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"/>
    </mc:Choice>
  </mc:AlternateContent>
  <xr:revisionPtr revIDLastSave="0" documentId="13_ncr:1_{7E9EF3A8-FD05-4AF5-9888-4E866AE6FAC9}" xr6:coauthVersionLast="47" xr6:coauthVersionMax="47" xr10:uidLastSave="{00000000-0000-0000-0000-000000000000}"/>
  <bookViews>
    <workbookView xWindow="-108" yWindow="-108" windowWidth="23256" windowHeight="14016" tabRatio="965" xr2:uid="{00000000-000D-0000-FFFF-FFFF00000000}"/>
  </bookViews>
  <sheets>
    <sheet name="прил.7.2" sheetId="44" r:id="rId1"/>
    <sheet name="01-01-01" sheetId="1" r:id="rId2"/>
    <sheet name="01-01-02" sheetId="2" r:id="rId3"/>
    <sheet name="02-01-01" sheetId="14" r:id="rId4"/>
    <sheet name="02-02-01" sheetId="13" r:id="rId5"/>
    <sheet name="02-03-01" sheetId="3" r:id="rId6"/>
    <sheet name="05-04-01" sheetId="39" r:id="rId7"/>
    <sheet name="01-02-05" sheetId="5" r:id="rId8"/>
    <sheet name="02-04-01" sheetId="11" r:id="rId9"/>
    <sheet name="02-04-02 " sheetId="6" r:id="rId10"/>
    <sheet name="02-04-03" sheetId="7" r:id="rId11"/>
    <sheet name="01-02-03" sheetId="15" r:id="rId12"/>
    <sheet name="03-01-06" sheetId="17" r:id="rId13"/>
    <sheet name="01-02-01" sheetId="9" r:id="rId14"/>
    <sheet name="02-05-01" sheetId="8" r:id="rId15"/>
    <sheet name="02-05-03" sheetId="4" r:id="rId16"/>
    <sheet name="02-05-02" sheetId="12" r:id="rId17"/>
    <sheet name="01-02-02" sheetId="10" r:id="rId18"/>
    <sheet name="02-06-01" sheetId="23" r:id="rId19"/>
    <sheet name="02-06-03" sheetId="30" r:id="rId20"/>
    <sheet name="02-06-02" sheetId="16" r:id="rId21"/>
    <sheet name="07-01-01" sheetId="38" r:id="rId22"/>
    <sheet name="07-01-02" sheetId="42" r:id="rId23"/>
    <sheet name="07-01-03" sheetId="36" r:id="rId24"/>
    <sheet name="05-01-01" sheetId="35" r:id="rId25"/>
    <sheet name="05-01-02" sheetId="32" r:id="rId26"/>
    <sheet name="04-01-01" sheetId="28" r:id="rId27"/>
    <sheet name="03-01-02" sheetId="24" r:id="rId28"/>
    <sheet name="04-02-01" sheetId="18" r:id="rId29"/>
    <sheet name="09-01-01" sheetId="34" r:id="rId30"/>
    <sheet name="09-01-04" sheetId="41" r:id="rId31"/>
    <sheet name="05-02-01" sheetId="40" r:id="rId32"/>
    <sheet name="03-01-01" sheetId="21" r:id="rId33"/>
    <sheet name="03-01-07" sheetId="20" r:id="rId34"/>
    <sheet name="03-01-04" sheetId="19" r:id="rId35"/>
    <sheet name="03-01-05" sheetId="27" r:id="rId36"/>
    <sheet name="03-01-03" sheetId="29" r:id="rId37"/>
    <sheet name="09-01-02" sheetId="37" r:id="rId38"/>
    <sheet name="03-02-02" sheetId="25" r:id="rId39"/>
    <sheet name="03-03-01" sheetId="26" r:id="rId40"/>
    <sheet name="04-02-03" sheetId="33" r:id="rId41"/>
    <sheet name="04-02-02" sheetId="45" r:id="rId42"/>
    <sheet name="05-02-02" sheetId="31" r:id="rId43"/>
  </sheets>
  <definedNames>
    <definedName name="_xlnm._FilterDatabase" localSheetId="1" hidden="1">'01-01-01'!$A$9:$K$32</definedName>
    <definedName name="_xlnm._FilterDatabase" localSheetId="2" hidden="1">'01-01-02'!$A$9:$K$69</definedName>
    <definedName name="_xlnm._FilterDatabase" localSheetId="13" hidden="1">'01-02-01'!$A$11:$BP$35</definedName>
    <definedName name="_xlnm._FilterDatabase" localSheetId="17" hidden="1">'01-02-02'!$A$10:$BP$10</definedName>
    <definedName name="_xlnm._FilterDatabase" localSheetId="11" hidden="1">'01-02-03'!$A$11:$BM$11</definedName>
    <definedName name="_xlnm._FilterDatabase" localSheetId="3" hidden="1">'02-01-01'!$A$11:$BQ$55</definedName>
    <definedName name="_xlnm._FilterDatabase" localSheetId="4" hidden="1">'02-02-01'!$A$10:$K$10</definedName>
    <definedName name="_xlnm._FilterDatabase" localSheetId="5" hidden="1">'02-03-01'!$A$9:$K$167</definedName>
    <definedName name="_xlnm._FilterDatabase" localSheetId="8" hidden="1">'02-04-01'!$A$10:$K$10</definedName>
    <definedName name="_xlnm._FilterDatabase" localSheetId="9" hidden="1">'02-04-02 '!$A$10:$BQ$91</definedName>
    <definedName name="_xlnm._FilterDatabase" localSheetId="10" hidden="1">'02-04-03'!$A$11:$BQ$127</definedName>
    <definedName name="_xlnm._FilterDatabase" localSheetId="14" hidden="1">'02-05-01'!$A$10:$BQ$10</definedName>
    <definedName name="_xlnm._FilterDatabase" localSheetId="16" hidden="1">'02-05-02'!$A$9:$K$9</definedName>
    <definedName name="_xlnm._FilterDatabase" localSheetId="15" hidden="1">'02-05-03'!$A$9:$BQ$264</definedName>
    <definedName name="_xlnm._FilterDatabase" localSheetId="18" hidden="1">'02-06-01'!$A$11:$BJ$135</definedName>
    <definedName name="_xlnm._FilterDatabase" localSheetId="20" hidden="1">'02-06-02'!$A$10:$K$10</definedName>
    <definedName name="_xlnm._FilterDatabase" localSheetId="19" hidden="1">'02-06-03'!$A$11:$BK$273</definedName>
    <definedName name="_xlnm._FilterDatabase" localSheetId="34" hidden="1">'03-01-04'!$A$11:$BK$119</definedName>
    <definedName name="_xlnm._FilterDatabase" localSheetId="12" hidden="1">'03-01-06'!$A$11:$BQ$160</definedName>
    <definedName name="_xlnm._FilterDatabase" localSheetId="33" hidden="1">'03-01-07'!$A$10:$BI$61</definedName>
    <definedName name="_xlnm._FilterDatabase" localSheetId="26" hidden="1">'04-01-01'!$A$11:$BK$290</definedName>
    <definedName name="_xlnm._FilterDatabase" localSheetId="41" hidden="1">'04-02-02'!$A$11:$BJ$92</definedName>
    <definedName name="_xlnm._FilterDatabase" localSheetId="24" hidden="1">'05-01-01'!$A$10:$BJ$331</definedName>
    <definedName name="_xlnm._FilterDatabase" localSheetId="42" hidden="1">'05-02-02'!$A$11:$BJ$143</definedName>
    <definedName name="_xlnm._FilterDatabase" localSheetId="21" hidden="1">'07-01-01'!$A$11:$BJ$60</definedName>
    <definedName name="_xlnm._FilterDatabase" localSheetId="22" hidden="1">'07-01-02'!$A$10:$BK$61</definedName>
    <definedName name="_xlnm._FilterDatabase" localSheetId="37" hidden="1">'09-01-02'!$A$11:$BG$19</definedName>
    <definedName name="_xlnm._FilterDatabase" localSheetId="0" hidden="1">'прил.7.2'!$A$10:$O$89</definedName>
    <definedName name="_xlnm.Print_Titles" localSheetId="1">'01-01-01'!$9:$9</definedName>
    <definedName name="_xlnm.Print_Titles" localSheetId="2">'01-01-02'!$9:$9</definedName>
    <definedName name="_xlnm.Print_Titles" localSheetId="13">'01-02-01'!#REF!</definedName>
    <definedName name="_xlnm.Print_Titles" localSheetId="17">'01-02-02'!#REF!</definedName>
    <definedName name="_xlnm.Print_Titles" localSheetId="11">'01-02-03'!#REF!</definedName>
    <definedName name="_xlnm.Print_Titles" localSheetId="7">'01-02-05'!#REF!</definedName>
    <definedName name="_xlnm.Print_Titles" localSheetId="3">'02-01-01'!#REF!</definedName>
    <definedName name="_xlnm.Print_Titles" localSheetId="4">'02-02-01'!#REF!</definedName>
    <definedName name="_xlnm.Print_Titles" localSheetId="5">'02-03-01'!#REF!</definedName>
    <definedName name="_xlnm.Print_Titles" localSheetId="8">'02-04-01'!#REF!</definedName>
    <definedName name="_xlnm.Print_Titles" localSheetId="9">'02-04-02 '!#REF!</definedName>
    <definedName name="_xlnm.Print_Titles" localSheetId="10">'02-04-03'!#REF!</definedName>
    <definedName name="_xlnm.Print_Titles" localSheetId="14">'02-05-01'!#REF!</definedName>
    <definedName name="_xlnm.Print_Titles" localSheetId="16">'02-05-02'!#REF!</definedName>
    <definedName name="_xlnm.Print_Titles" localSheetId="15">'02-05-03'!#REF!</definedName>
    <definedName name="_xlnm.Print_Titles" localSheetId="18">'02-06-01'!#REF!</definedName>
    <definedName name="_xlnm.Print_Titles" localSheetId="20">'02-06-02'!#REF!</definedName>
    <definedName name="_xlnm.Print_Titles" localSheetId="19">'02-06-03'!#REF!</definedName>
    <definedName name="_xlnm.Print_Titles" localSheetId="32">'03-01-01'!#REF!</definedName>
    <definedName name="_xlnm.Print_Titles" localSheetId="27">'03-01-02'!#REF!</definedName>
    <definedName name="_xlnm.Print_Titles" localSheetId="36">'03-01-03'!#REF!</definedName>
    <definedName name="_xlnm.Print_Titles" localSheetId="34">'03-01-04'!#REF!</definedName>
    <definedName name="_xlnm.Print_Titles" localSheetId="35">'03-01-05'!#REF!</definedName>
    <definedName name="_xlnm.Print_Titles" localSheetId="12">'03-01-06'!#REF!</definedName>
    <definedName name="_xlnm.Print_Titles" localSheetId="33">'03-01-07'!#REF!</definedName>
    <definedName name="_xlnm.Print_Titles" localSheetId="38">'03-02-02'!#REF!</definedName>
    <definedName name="_xlnm.Print_Titles" localSheetId="39">'03-03-01'!#REF!</definedName>
    <definedName name="_xlnm.Print_Titles" localSheetId="26">'04-01-01'!#REF!</definedName>
    <definedName name="_xlnm.Print_Titles" localSheetId="28">'04-02-01'!#REF!</definedName>
    <definedName name="_xlnm.Print_Titles" localSheetId="41">'04-02-02'!#REF!</definedName>
    <definedName name="_xlnm.Print_Titles" localSheetId="40">'04-02-03'!#REF!</definedName>
    <definedName name="_xlnm.Print_Titles" localSheetId="24">'05-01-01'!#REF!</definedName>
    <definedName name="_xlnm.Print_Titles" localSheetId="25">'05-01-02'!#REF!</definedName>
    <definedName name="_xlnm.Print_Titles" localSheetId="31">'05-02-01'!#REF!</definedName>
    <definedName name="_xlnm.Print_Titles" localSheetId="42">'05-02-02'!#REF!</definedName>
    <definedName name="_xlnm.Print_Titles" localSheetId="6">'05-04-01'!#REF!</definedName>
    <definedName name="_xlnm.Print_Titles" localSheetId="21">'07-01-01'!#REF!</definedName>
    <definedName name="_xlnm.Print_Titles" localSheetId="22">'07-01-02'!#REF!</definedName>
    <definedName name="_xlnm.Print_Titles" localSheetId="23">'07-01-03'!#REF!</definedName>
    <definedName name="_xlnm.Print_Titles" localSheetId="29">'09-01-01'!#REF!</definedName>
    <definedName name="_xlnm.Print_Titles" localSheetId="37">'09-01-02'!#REF!</definedName>
    <definedName name="_xlnm.Print_Titles" localSheetId="30">'09-01-04'!#REF!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33" l="1"/>
  <c r="I87" i="33"/>
  <c r="I88" i="33" s="1"/>
  <c r="F19" i="44"/>
  <c r="F12" i="44"/>
  <c r="J127" i="13" l="1"/>
  <c r="J31" i="31"/>
  <c r="J121" i="31"/>
  <c r="J120" i="31"/>
  <c r="H121" i="31"/>
  <c r="H120" i="31"/>
  <c r="J64" i="31"/>
  <c r="J65" i="31"/>
  <c r="J66" i="31"/>
  <c r="J67" i="31"/>
  <c r="J63" i="31"/>
  <c r="H17" i="31"/>
  <c r="J135" i="31"/>
  <c r="J131" i="31"/>
  <c r="J127" i="31"/>
  <c r="J123" i="31"/>
  <c r="J106" i="31"/>
  <c r="J100" i="31"/>
  <c r="J95" i="31"/>
  <c r="J90" i="31"/>
  <c r="J81" i="31"/>
  <c r="J77" i="31"/>
  <c r="J73" i="31"/>
  <c r="J69" i="31"/>
  <c r="J52" i="31"/>
  <c r="J46" i="31"/>
  <c r="J41" i="31"/>
  <c r="J36" i="31"/>
  <c r="J33" i="31"/>
  <c r="J22" i="31"/>
  <c r="J19" i="31"/>
  <c r="J16" i="31"/>
  <c r="J14" i="31"/>
  <c r="H77" i="31"/>
  <c r="H73" i="31"/>
  <c r="H33" i="31"/>
  <c r="H19" i="31"/>
  <c r="H16" i="31"/>
  <c r="H14" i="31"/>
  <c r="I135" i="31"/>
  <c r="H135" i="31" s="1"/>
  <c r="I131" i="31"/>
  <c r="H131" i="31" s="1"/>
  <c r="I127" i="31"/>
  <c r="H127" i="31" s="1"/>
  <c r="I123" i="31"/>
  <c r="H123" i="31" s="1"/>
  <c r="I106" i="31"/>
  <c r="H106" i="31" s="1"/>
  <c r="I100" i="31"/>
  <c r="H100" i="31" s="1"/>
  <c r="I95" i="31"/>
  <c r="H95" i="31" s="1"/>
  <c r="I90" i="31"/>
  <c r="H90" i="31" s="1"/>
  <c r="I81" i="31"/>
  <c r="H81" i="31" s="1"/>
  <c r="I77" i="31"/>
  <c r="I73" i="31"/>
  <c r="I69" i="31"/>
  <c r="H69" i="31" s="1"/>
  <c r="I52" i="31"/>
  <c r="H52" i="31" s="1"/>
  <c r="I46" i="31"/>
  <c r="H46" i="31" s="1"/>
  <c r="I41" i="31"/>
  <c r="H41" i="31" s="1"/>
  <c r="I36" i="31"/>
  <c r="H36" i="31" s="1"/>
  <c r="I22" i="31"/>
  <c r="H22" i="31" s="1"/>
  <c r="K142" i="31"/>
  <c r="J31" i="45"/>
  <c r="J66" i="45"/>
  <c r="J65" i="45"/>
  <c r="J34" i="45"/>
  <c r="H19" i="45"/>
  <c r="H18" i="45"/>
  <c r="H15" i="45"/>
  <c r="J82" i="45"/>
  <c r="J75" i="45"/>
  <c r="J74" i="45"/>
  <c r="J68" i="45"/>
  <c r="J48" i="45"/>
  <c r="J42" i="45"/>
  <c r="J37" i="45"/>
  <c r="J33" i="45"/>
  <c r="J22" i="45"/>
  <c r="J17" i="45"/>
  <c r="H33" i="45"/>
  <c r="H22" i="45"/>
  <c r="H17" i="45"/>
  <c r="J14" i="45"/>
  <c r="I82" i="45"/>
  <c r="H82" i="45" s="1"/>
  <c r="I75" i="45"/>
  <c r="H75" i="45" s="1"/>
  <c r="I74" i="45"/>
  <c r="H74" i="45" s="1"/>
  <c r="I68" i="45"/>
  <c r="H68" i="45" s="1"/>
  <c r="I48" i="45"/>
  <c r="H48" i="45" s="1"/>
  <c r="I42" i="45"/>
  <c r="H42" i="45" s="1"/>
  <c r="I37" i="45"/>
  <c r="H37" i="45" s="1"/>
  <c r="I22" i="45"/>
  <c r="I14" i="45"/>
  <c r="H14" i="45" s="1"/>
  <c r="K91" i="45"/>
  <c r="K87" i="33"/>
  <c r="J77" i="33"/>
  <c r="J72" i="33"/>
  <c r="J65" i="33"/>
  <c r="J60" i="33"/>
  <c r="J52" i="33"/>
  <c r="J39" i="33"/>
  <c r="J34" i="33"/>
  <c r="J27" i="33"/>
  <c r="J22" i="33"/>
  <c r="H77" i="33"/>
  <c r="H72" i="33"/>
  <c r="J14" i="33"/>
  <c r="I77" i="33"/>
  <c r="I72" i="33"/>
  <c r="I65" i="33"/>
  <c r="H65" i="33" s="1"/>
  <c r="I60" i="33"/>
  <c r="H60" i="33" s="1"/>
  <c r="I52" i="33"/>
  <c r="H52" i="33" s="1"/>
  <c r="I39" i="33"/>
  <c r="H39" i="33" s="1"/>
  <c r="I34" i="33"/>
  <c r="H34" i="33" s="1"/>
  <c r="I27" i="33"/>
  <c r="H27" i="33" s="1"/>
  <c r="I22" i="33"/>
  <c r="H22" i="33" s="1"/>
  <c r="I14" i="33"/>
  <c r="J162" i="26"/>
  <c r="J161" i="26"/>
  <c r="J120" i="26"/>
  <c r="J119" i="26"/>
  <c r="J95" i="26"/>
  <c r="J94" i="26"/>
  <c r="J93" i="26"/>
  <c r="J84" i="26"/>
  <c r="J83" i="26"/>
  <c r="J81" i="26"/>
  <c r="J76" i="26"/>
  <c r="J56" i="26"/>
  <c r="J49" i="26"/>
  <c r="J42" i="26"/>
  <c r="J35" i="26"/>
  <c r="K180" i="26"/>
  <c r="J178" i="26"/>
  <c r="J172" i="26"/>
  <c r="J145" i="26"/>
  <c r="J136" i="26"/>
  <c r="J130" i="26"/>
  <c r="J103" i="26"/>
  <c r="J85" i="26"/>
  <c r="J82" i="26"/>
  <c r="J80" i="26"/>
  <c r="J65" i="26"/>
  <c r="J26" i="26"/>
  <c r="H178" i="26"/>
  <c r="H172" i="26"/>
  <c r="H145" i="26"/>
  <c r="H136" i="26"/>
  <c r="H130" i="26"/>
  <c r="H103" i="26"/>
  <c r="H85" i="26"/>
  <c r="H82" i="26"/>
  <c r="H80" i="26"/>
  <c r="H65" i="26"/>
  <c r="H26" i="26"/>
  <c r="H18" i="26"/>
  <c r="J18" i="26"/>
  <c r="J174" i="26"/>
  <c r="J168" i="26"/>
  <c r="J166" i="26"/>
  <c r="J165" i="26"/>
  <c r="J155" i="26"/>
  <c r="J151" i="26"/>
  <c r="J147" i="26"/>
  <c r="J144" i="26"/>
  <c r="J142" i="26"/>
  <c r="J140" i="26"/>
  <c r="J132" i="26"/>
  <c r="J126" i="26"/>
  <c r="J124" i="26"/>
  <c r="J123" i="26"/>
  <c r="J113" i="26"/>
  <c r="J109" i="26"/>
  <c r="J105" i="26"/>
  <c r="J102" i="26"/>
  <c r="J100" i="26"/>
  <c r="J98" i="26"/>
  <c r="J87" i="26"/>
  <c r="J78" i="26"/>
  <c r="J71" i="26"/>
  <c r="J67" i="26"/>
  <c r="J58" i="26"/>
  <c r="J51" i="26"/>
  <c r="J44" i="26"/>
  <c r="J37" i="26"/>
  <c r="J28" i="26"/>
  <c r="J24" i="26"/>
  <c r="J20" i="26"/>
  <c r="J17" i="26"/>
  <c r="J15" i="26"/>
  <c r="J13" i="26"/>
  <c r="I174" i="26"/>
  <c r="H174" i="26" s="1"/>
  <c r="I168" i="26"/>
  <c r="H168" i="26" s="1"/>
  <c r="I166" i="26"/>
  <c r="H166" i="26" s="1"/>
  <c r="I165" i="26"/>
  <c r="H165" i="26" s="1"/>
  <c r="I155" i="26"/>
  <c r="H155" i="26" s="1"/>
  <c r="I151" i="26"/>
  <c r="H151" i="26" s="1"/>
  <c r="I147" i="26"/>
  <c r="H147" i="26" s="1"/>
  <c r="I144" i="26"/>
  <c r="H144" i="26" s="1"/>
  <c r="I142" i="26"/>
  <c r="H142" i="26" s="1"/>
  <c r="I140" i="26"/>
  <c r="H140" i="26" s="1"/>
  <c r="I132" i="26"/>
  <c r="H132" i="26" s="1"/>
  <c r="I126" i="26"/>
  <c r="H126" i="26" s="1"/>
  <c r="I124" i="26"/>
  <c r="H124" i="26" s="1"/>
  <c r="I123" i="26"/>
  <c r="H123" i="26" s="1"/>
  <c r="I113" i="26"/>
  <c r="H113" i="26" s="1"/>
  <c r="I109" i="26"/>
  <c r="H109" i="26" s="1"/>
  <c r="I105" i="26"/>
  <c r="H105" i="26" s="1"/>
  <c r="I102" i="26"/>
  <c r="H102" i="26" s="1"/>
  <c r="I100" i="26"/>
  <c r="H100" i="26" s="1"/>
  <c r="I98" i="26"/>
  <c r="H98" i="26" s="1"/>
  <c r="I87" i="26"/>
  <c r="H87" i="26" s="1"/>
  <c r="I78" i="26"/>
  <c r="H78" i="26" s="1"/>
  <c r="I71" i="26"/>
  <c r="H71" i="26" s="1"/>
  <c r="I67" i="26"/>
  <c r="H67" i="26" s="1"/>
  <c r="I58" i="26"/>
  <c r="H58" i="26" s="1"/>
  <c r="I51" i="26"/>
  <c r="H51" i="26" s="1"/>
  <c r="I44" i="26"/>
  <c r="H44" i="26" s="1"/>
  <c r="I37" i="26"/>
  <c r="H37" i="26" s="1"/>
  <c r="I28" i="26"/>
  <c r="H28" i="26" s="1"/>
  <c r="I24" i="26"/>
  <c r="H24" i="26" s="1"/>
  <c r="I20" i="26"/>
  <c r="H20" i="26" s="1"/>
  <c r="I17" i="26"/>
  <c r="H17" i="26" s="1"/>
  <c r="I15" i="26"/>
  <c r="H15" i="26" s="1"/>
  <c r="I13" i="26"/>
  <c r="H13" i="26" s="1"/>
  <c r="J61" i="25"/>
  <c r="J57" i="25"/>
  <c r="J53" i="25"/>
  <c r="J49" i="25"/>
  <c r="J31" i="25"/>
  <c r="J25" i="25"/>
  <c r="J20" i="25"/>
  <c r="H31" i="25"/>
  <c r="H57" i="25"/>
  <c r="H53" i="25"/>
  <c r="J47" i="25"/>
  <c r="J46" i="25"/>
  <c r="J17" i="25"/>
  <c r="H47" i="25"/>
  <c r="H46" i="25"/>
  <c r="H17" i="25"/>
  <c r="J14" i="25"/>
  <c r="H14" i="25"/>
  <c r="I61" i="25"/>
  <c r="H61" i="25" s="1"/>
  <c r="I49" i="25"/>
  <c r="H49" i="25" s="1"/>
  <c r="I25" i="25"/>
  <c r="H25" i="25" s="1"/>
  <c r="I20" i="25"/>
  <c r="H20" i="25" s="1"/>
  <c r="I16" i="25"/>
  <c r="H16" i="25" s="1"/>
  <c r="I13" i="25"/>
  <c r="H13" i="25" s="1"/>
  <c r="K68" i="25"/>
  <c r="H14" i="37"/>
  <c r="H15" i="37"/>
  <c r="H16" i="37"/>
  <c r="H17" i="37"/>
  <c r="H13" i="37"/>
  <c r="K18" i="37"/>
  <c r="I19" i="37" s="1"/>
  <c r="I18" i="37"/>
  <c r="K299" i="29"/>
  <c r="J286" i="29"/>
  <c r="J285" i="29"/>
  <c r="J279" i="29"/>
  <c r="J278" i="29"/>
  <c r="J277" i="29"/>
  <c r="J276" i="29"/>
  <c r="J275" i="29"/>
  <c r="J264" i="29"/>
  <c r="J258" i="29"/>
  <c r="J251" i="29"/>
  <c r="J250" i="29"/>
  <c r="J243" i="29"/>
  <c r="J242" i="29"/>
  <c r="J234" i="29"/>
  <c r="J233" i="29"/>
  <c r="J232" i="29"/>
  <c r="J230" i="29"/>
  <c r="J209" i="29"/>
  <c r="J200" i="29"/>
  <c r="J199" i="29"/>
  <c r="J192" i="29"/>
  <c r="J185" i="29"/>
  <c r="J184" i="29"/>
  <c r="J171" i="29"/>
  <c r="J164" i="29"/>
  <c r="J151" i="29"/>
  <c r="J150" i="29"/>
  <c r="J136" i="29"/>
  <c r="J135" i="29"/>
  <c r="J134" i="29"/>
  <c r="J133" i="29"/>
  <c r="J132" i="29"/>
  <c r="J131" i="29"/>
  <c r="J130" i="29"/>
  <c r="J129" i="29"/>
  <c r="J128" i="29"/>
  <c r="J75" i="29"/>
  <c r="J68" i="29"/>
  <c r="J49" i="29"/>
  <c r="J48" i="29"/>
  <c r="J40" i="29"/>
  <c r="J39" i="29"/>
  <c r="J32" i="29"/>
  <c r="J19" i="29"/>
  <c r="J298" i="29"/>
  <c r="J297" i="29"/>
  <c r="J231" i="29"/>
  <c r="J122" i="29"/>
  <c r="J110" i="29"/>
  <c r="J104" i="29"/>
  <c r="J93" i="29"/>
  <c r="J92" i="29"/>
  <c r="J87" i="29"/>
  <c r="J86" i="29"/>
  <c r="J80" i="29"/>
  <c r="J25" i="29"/>
  <c r="H298" i="29"/>
  <c r="H297" i="29"/>
  <c r="H231" i="29"/>
  <c r="H122" i="29"/>
  <c r="H110" i="29"/>
  <c r="H104" i="29"/>
  <c r="H93" i="29"/>
  <c r="H92" i="29"/>
  <c r="H87" i="29"/>
  <c r="H86" i="29"/>
  <c r="H80" i="29"/>
  <c r="H25" i="29"/>
  <c r="J294" i="29"/>
  <c r="J291" i="29"/>
  <c r="J288" i="29"/>
  <c r="J281" i="29"/>
  <c r="J266" i="29"/>
  <c r="J260" i="29"/>
  <c r="J254" i="29"/>
  <c r="J245" i="29"/>
  <c r="J236" i="29"/>
  <c r="J224" i="29"/>
  <c r="J211" i="29"/>
  <c r="J202" i="29"/>
  <c r="J194" i="29"/>
  <c r="J187" i="29"/>
  <c r="J178" i="29"/>
  <c r="J173" i="29"/>
  <c r="J166" i="29"/>
  <c r="J158" i="29"/>
  <c r="J153" i="29"/>
  <c r="J144" i="29"/>
  <c r="J139" i="29"/>
  <c r="J124" i="29"/>
  <c r="J118" i="29"/>
  <c r="J112" i="29"/>
  <c r="J106" i="29"/>
  <c r="J95" i="29"/>
  <c r="J89" i="29"/>
  <c r="J83" i="29"/>
  <c r="J77" i="29"/>
  <c r="J70" i="29"/>
  <c r="J62" i="29"/>
  <c r="J51" i="29"/>
  <c r="J42" i="29"/>
  <c r="J34" i="29"/>
  <c r="J27" i="29"/>
  <c r="J21" i="29"/>
  <c r="J15" i="29"/>
  <c r="J13" i="29"/>
  <c r="J12" i="29"/>
  <c r="I294" i="29"/>
  <c r="H294" i="29" s="1"/>
  <c r="I291" i="29"/>
  <c r="H291" i="29" s="1"/>
  <c r="I288" i="29"/>
  <c r="H288" i="29" s="1"/>
  <c r="I281" i="29"/>
  <c r="H281" i="29" s="1"/>
  <c r="I266" i="29"/>
  <c r="H266" i="29" s="1"/>
  <c r="I260" i="29"/>
  <c r="H260" i="29" s="1"/>
  <c r="I254" i="29"/>
  <c r="H254" i="29" s="1"/>
  <c r="I245" i="29"/>
  <c r="H245" i="29" s="1"/>
  <c r="I236" i="29"/>
  <c r="H236" i="29" s="1"/>
  <c r="I224" i="29"/>
  <c r="H224" i="29" s="1"/>
  <c r="I211" i="29"/>
  <c r="H211" i="29" s="1"/>
  <c r="I202" i="29"/>
  <c r="H202" i="29" s="1"/>
  <c r="I194" i="29"/>
  <c r="H194" i="29" s="1"/>
  <c r="I187" i="29"/>
  <c r="H187" i="29" s="1"/>
  <c r="I178" i="29"/>
  <c r="H178" i="29" s="1"/>
  <c r="I173" i="29"/>
  <c r="H173" i="29" s="1"/>
  <c r="I166" i="29"/>
  <c r="H166" i="29" s="1"/>
  <c r="I158" i="29"/>
  <c r="H158" i="29" s="1"/>
  <c r="I153" i="29"/>
  <c r="H153" i="29" s="1"/>
  <c r="I144" i="29"/>
  <c r="H144" i="29" s="1"/>
  <c r="I139" i="29"/>
  <c r="H139" i="29" s="1"/>
  <c r="I124" i="29"/>
  <c r="H124" i="29" s="1"/>
  <c r="I118" i="29"/>
  <c r="H118" i="29" s="1"/>
  <c r="I112" i="29"/>
  <c r="H112" i="29" s="1"/>
  <c r="I106" i="29"/>
  <c r="H106" i="29" s="1"/>
  <c r="I95" i="29"/>
  <c r="H95" i="29" s="1"/>
  <c r="I89" i="29"/>
  <c r="H89" i="29" s="1"/>
  <c r="I83" i="29"/>
  <c r="H83" i="29" s="1"/>
  <c r="I77" i="29"/>
  <c r="H77" i="29" s="1"/>
  <c r="I70" i="29"/>
  <c r="H70" i="29" s="1"/>
  <c r="I62" i="29"/>
  <c r="H62" i="29" s="1"/>
  <c r="I51" i="29"/>
  <c r="H51" i="29" s="1"/>
  <c r="I42" i="29"/>
  <c r="H42" i="29" s="1"/>
  <c r="I34" i="29"/>
  <c r="H34" i="29" s="1"/>
  <c r="I27" i="29"/>
  <c r="H27" i="29" s="1"/>
  <c r="I21" i="29"/>
  <c r="H21" i="29" s="1"/>
  <c r="I15" i="29"/>
  <c r="H15" i="29" s="1"/>
  <c r="I13" i="29"/>
  <c r="H13" i="29" s="1"/>
  <c r="I12" i="29"/>
  <c r="H12" i="29" s="1"/>
  <c r="J38" i="20"/>
  <c r="J22" i="20"/>
  <c r="J16" i="20"/>
  <c r="J59" i="20"/>
  <c r="J53" i="20"/>
  <c r="J46" i="20"/>
  <c r="J55" i="20"/>
  <c r="J48" i="20"/>
  <c r="J41" i="20"/>
  <c r="J24" i="20"/>
  <c r="J18" i="20"/>
  <c r="H41" i="20"/>
  <c r="J13" i="20"/>
  <c r="K102" i="27"/>
  <c r="H62" i="27"/>
  <c r="H63" i="27"/>
  <c r="H64" i="27"/>
  <c r="H65" i="27"/>
  <c r="H61" i="27"/>
  <c r="J98" i="27"/>
  <c r="J96" i="27"/>
  <c r="J95" i="27"/>
  <c r="J94" i="27"/>
  <c r="J80" i="27"/>
  <c r="J79" i="27"/>
  <c r="J73" i="27"/>
  <c r="J65" i="27"/>
  <c r="J64" i="27"/>
  <c r="J63" i="27"/>
  <c r="J62" i="27"/>
  <c r="J61" i="27"/>
  <c r="J85" i="27"/>
  <c r="J75" i="27"/>
  <c r="J68" i="27"/>
  <c r="J52" i="27"/>
  <c r="J43" i="27"/>
  <c r="J27" i="27"/>
  <c r="J13" i="27"/>
  <c r="H52" i="27"/>
  <c r="I85" i="27"/>
  <c r="H85" i="27" s="1"/>
  <c r="I75" i="27"/>
  <c r="H75" i="27" s="1"/>
  <c r="I68" i="27"/>
  <c r="I102" i="27" s="1"/>
  <c r="I52" i="27"/>
  <c r="I43" i="27"/>
  <c r="H43" i="27" s="1"/>
  <c r="I27" i="27"/>
  <c r="H27" i="27" s="1"/>
  <c r="I13" i="27"/>
  <c r="H13" i="27" s="1"/>
  <c r="K118" i="19"/>
  <c r="I119" i="19" s="1"/>
  <c r="I118" i="19"/>
  <c r="J114" i="19"/>
  <c r="J113" i="19"/>
  <c r="J112" i="19"/>
  <c r="J111" i="19"/>
  <c r="J109" i="19"/>
  <c r="J107" i="19"/>
  <c r="J106" i="19"/>
  <c r="J103" i="19"/>
  <c r="J101" i="19"/>
  <c r="J84" i="19"/>
  <c r="J76" i="19"/>
  <c r="J75" i="19"/>
  <c r="J74" i="19"/>
  <c r="J73" i="19"/>
  <c r="J72" i="19"/>
  <c r="J70" i="19"/>
  <c r="J69" i="19"/>
  <c r="J67" i="19"/>
  <c r="J66" i="19"/>
  <c r="J65" i="19"/>
  <c r="J64" i="19"/>
  <c r="J58" i="19"/>
  <c r="J56" i="19"/>
  <c r="J54" i="19"/>
  <c r="J87" i="19"/>
  <c r="J81" i="19"/>
  <c r="J40" i="19"/>
  <c r="J26" i="19"/>
  <c r="J14" i="19"/>
  <c r="I87" i="19"/>
  <c r="H87" i="19" s="1"/>
  <c r="I81" i="19"/>
  <c r="H81" i="19" s="1"/>
  <c r="I40" i="19"/>
  <c r="H40" i="19" s="1"/>
  <c r="I26" i="19"/>
  <c r="H26" i="19" s="1"/>
  <c r="I14" i="19"/>
  <c r="H14" i="19" s="1"/>
  <c r="J105" i="19"/>
  <c r="J63" i="19"/>
  <c r="J62" i="19"/>
  <c r="J61" i="19"/>
  <c r="J60" i="19"/>
  <c r="J23" i="19"/>
  <c r="I55" i="20"/>
  <c r="H55" i="20" s="1"/>
  <c r="I48" i="20"/>
  <c r="H48" i="20" s="1"/>
  <c r="I41" i="20"/>
  <c r="I24" i="20"/>
  <c r="H24" i="20" s="1"/>
  <c r="I18" i="20"/>
  <c r="H18" i="20" s="1"/>
  <c r="I13" i="20"/>
  <c r="H13" i="20" s="1"/>
  <c r="K60" i="20"/>
  <c r="J282" i="40"/>
  <c r="J254" i="40"/>
  <c r="J250" i="40"/>
  <c r="J249" i="40"/>
  <c r="J248" i="40"/>
  <c r="J247" i="40"/>
  <c r="J241" i="40"/>
  <c r="J235" i="40"/>
  <c r="J234" i="40"/>
  <c r="J233" i="40"/>
  <c r="J226" i="40"/>
  <c r="J225" i="40"/>
  <c r="J183" i="40"/>
  <c r="J175" i="40"/>
  <c r="J171" i="40"/>
  <c r="J166" i="40"/>
  <c r="J165" i="40"/>
  <c r="J160" i="40"/>
  <c r="J159" i="40"/>
  <c r="J158" i="40"/>
  <c r="J157" i="40"/>
  <c r="J156" i="40"/>
  <c r="J152" i="40"/>
  <c r="J139" i="40"/>
  <c r="J138" i="40"/>
  <c r="J137" i="40"/>
  <c r="J133" i="40"/>
  <c r="J124" i="40"/>
  <c r="J120" i="40"/>
  <c r="J115" i="40"/>
  <c r="J99" i="40"/>
  <c r="J92" i="40"/>
  <c r="J76" i="40"/>
  <c r="J72" i="40"/>
  <c r="J68" i="40"/>
  <c r="J58" i="40"/>
  <c r="J57" i="40"/>
  <c r="K314" i="40"/>
  <c r="J311" i="40"/>
  <c r="J255" i="40"/>
  <c r="J201" i="40"/>
  <c r="J200" i="40"/>
  <c r="J195" i="40"/>
  <c r="J189" i="40"/>
  <c r="J52" i="40"/>
  <c r="J48" i="40"/>
  <c r="J45" i="40"/>
  <c r="H311" i="40"/>
  <c r="H255" i="40"/>
  <c r="H201" i="40"/>
  <c r="H200" i="40"/>
  <c r="H195" i="40"/>
  <c r="H189" i="40"/>
  <c r="H52" i="40"/>
  <c r="H48" i="40"/>
  <c r="H45" i="40"/>
  <c r="J16" i="40"/>
  <c r="H16" i="40"/>
  <c r="J313" i="40"/>
  <c r="J307" i="40"/>
  <c r="J303" i="40"/>
  <c r="J301" i="40"/>
  <c r="J297" i="40"/>
  <c r="J293" i="40"/>
  <c r="J287" i="40"/>
  <c r="J284" i="40"/>
  <c r="J277" i="40"/>
  <c r="J257" i="40"/>
  <c r="J252" i="40"/>
  <c r="J243" i="40"/>
  <c r="J236" i="40"/>
  <c r="J228" i="40"/>
  <c r="J220" i="40"/>
  <c r="J205" i="40"/>
  <c r="J203" i="40"/>
  <c r="J197" i="40"/>
  <c r="J191" i="40"/>
  <c r="J185" i="40"/>
  <c r="J177" i="40"/>
  <c r="J173" i="40"/>
  <c r="J169" i="40"/>
  <c r="J162" i="40"/>
  <c r="J154" i="40"/>
  <c r="J141" i="40"/>
  <c r="J135" i="40"/>
  <c r="J126" i="40"/>
  <c r="J122" i="40"/>
  <c r="J117" i="40"/>
  <c r="J101" i="40"/>
  <c r="J94" i="40"/>
  <c r="J78" i="40"/>
  <c r="J74" i="40"/>
  <c r="J70" i="40"/>
  <c r="J60" i="40"/>
  <c r="J54" i="40"/>
  <c r="J50" i="40"/>
  <c r="J47" i="40"/>
  <c r="J43" i="40"/>
  <c r="J38" i="40"/>
  <c r="J24" i="40"/>
  <c r="J20" i="40"/>
  <c r="J18" i="40"/>
  <c r="J15" i="40"/>
  <c r="J13" i="40"/>
  <c r="I313" i="40"/>
  <c r="H313" i="40" s="1"/>
  <c r="I307" i="40"/>
  <c r="H307" i="40" s="1"/>
  <c r="I303" i="40"/>
  <c r="H303" i="40" s="1"/>
  <c r="I301" i="40"/>
  <c r="H301" i="40" s="1"/>
  <c r="I297" i="40"/>
  <c r="H297" i="40" s="1"/>
  <c r="I293" i="40"/>
  <c r="H293" i="40" s="1"/>
  <c r="I287" i="40"/>
  <c r="H287" i="40" s="1"/>
  <c r="I284" i="40"/>
  <c r="H284" i="40" s="1"/>
  <c r="I277" i="40"/>
  <c r="H277" i="40" s="1"/>
  <c r="I257" i="40"/>
  <c r="H257" i="40" s="1"/>
  <c r="I252" i="40"/>
  <c r="H252" i="40" s="1"/>
  <c r="I243" i="40"/>
  <c r="H243" i="40" s="1"/>
  <c r="I236" i="40"/>
  <c r="H236" i="40" s="1"/>
  <c r="I228" i="40"/>
  <c r="H228" i="40" s="1"/>
  <c r="I220" i="40"/>
  <c r="H220" i="40" s="1"/>
  <c r="I205" i="40"/>
  <c r="H205" i="40" s="1"/>
  <c r="I203" i="40"/>
  <c r="H203" i="40" s="1"/>
  <c r="I197" i="40"/>
  <c r="H197" i="40" s="1"/>
  <c r="I191" i="40"/>
  <c r="H191" i="40" s="1"/>
  <c r="I185" i="40"/>
  <c r="H185" i="40" s="1"/>
  <c r="I177" i="40"/>
  <c r="H177" i="40" s="1"/>
  <c r="I173" i="40"/>
  <c r="H173" i="40" s="1"/>
  <c r="I169" i="40"/>
  <c r="H169" i="40" s="1"/>
  <c r="I162" i="40"/>
  <c r="H162" i="40" s="1"/>
  <c r="I154" i="40"/>
  <c r="H154" i="40" s="1"/>
  <c r="I141" i="40"/>
  <c r="H141" i="40" s="1"/>
  <c r="I135" i="40"/>
  <c r="H135" i="40" s="1"/>
  <c r="I126" i="40"/>
  <c r="H126" i="40" s="1"/>
  <c r="I122" i="40"/>
  <c r="H122" i="40" s="1"/>
  <c r="I117" i="40"/>
  <c r="H117" i="40" s="1"/>
  <c r="I101" i="40"/>
  <c r="H101" i="40" s="1"/>
  <c r="I94" i="40"/>
  <c r="H94" i="40" s="1"/>
  <c r="I78" i="40"/>
  <c r="H78" i="40" s="1"/>
  <c r="I74" i="40"/>
  <c r="H74" i="40" s="1"/>
  <c r="I70" i="40"/>
  <c r="H70" i="40" s="1"/>
  <c r="I60" i="40"/>
  <c r="H60" i="40" s="1"/>
  <c r="I54" i="40"/>
  <c r="H54" i="40" s="1"/>
  <c r="I50" i="40"/>
  <c r="H50" i="40" s="1"/>
  <c r="I47" i="40"/>
  <c r="H47" i="40" s="1"/>
  <c r="I43" i="40"/>
  <c r="H43" i="40" s="1"/>
  <c r="I38" i="40"/>
  <c r="H38" i="40" s="1"/>
  <c r="I24" i="40"/>
  <c r="H24" i="40" s="1"/>
  <c r="I20" i="40"/>
  <c r="H20" i="40" s="1"/>
  <c r="I18" i="40"/>
  <c r="H18" i="40" s="1"/>
  <c r="I15" i="40"/>
  <c r="H15" i="40" s="1"/>
  <c r="I13" i="40"/>
  <c r="H13" i="40" s="1"/>
  <c r="I33" i="44"/>
  <c r="I32" i="44"/>
  <c r="I18" i="41"/>
  <c r="I19" i="41" s="1"/>
  <c r="J13" i="41"/>
  <c r="J14" i="41"/>
  <c r="J15" i="41"/>
  <c r="J16" i="41"/>
  <c r="J17" i="41"/>
  <c r="J12" i="41"/>
  <c r="H13" i="41"/>
  <c r="H14" i="41"/>
  <c r="H15" i="41"/>
  <c r="H16" i="41"/>
  <c r="H17" i="41"/>
  <c r="H12" i="41"/>
  <c r="J13" i="34"/>
  <c r="J14" i="34"/>
  <c r="J15" i="34"/>
  <c r="J16" i="34"/>
  <c r="J17" i="34"/>
  <c r="J12" i="34"/>
  <c r="H13" i="34"/>
  <c r="H14" i="34"/>
  <c r="H15" i="34"/>
  <c r="H16" i="34"/>
  <c r="H17" i="34"/>
  <c r="H12" i="34"/>
  <c r="I18" i="34"/>
  <c r="I19" i="34" s="1"/>
  <c r="J136" i="18"/>
  <c r="J130" i="18"/>
  <c r="J124" i="18"/>
  <c r="J122" i="18"/>
  <c r="J121" i="18"/>
  <c r="J110" i="18"/>
  <c r="J101" i="18"/>
  <c r="J94" i="18"/>
  <c r="J86" i="18"/>
  <c r="J77" i="18"/>
  <c r="J72" i="18"/>
  <c r="J63" i="18"/>
  <c r="J54" i="18"/>
  <c r="J47" i="18"/>
  <c r="J40" i="18"/>
  <c r="J33" i="18"/>
  <c r="J28" i="18"/>
  <c r="J24" i="18"/>
  <c r="J20" i="18"/>
  <c r="J17" i="18"/>
  <c r="J15" i="18"/>
  <c r="H136" i="18"/>
  <c r="H130" i="18"/>
  <c r="H86" i="18"/>
  <c r="J13" i="18"/>
  <c r="J118" i="18"/>
  <c r="J117" i="18"/>
  <c r="J108" i="18"/>
  <c r="J99" i="18"/>
  <c r="J92" i="18"/>
  <c r="J90" i="18"/>
  <c r="J83" i="18"/>
  <c r="J75" i="18"/>
  <c r="J61" i="18"/>
  <c r="H118" i="18"/>
  <c r="H117" i="18"/>
  <c r="H108" i="18"/>
  <c r="H99" i="18"/>
  <c r="H92" i="18"/>
  <c r="H90" i="18"/>
  <c r="H83" i="18"/>
  <c r="H75" i="18"/>
  <c r="H61" i="18"/>
  <c r="J134" i="18"/>
  <c r="J128" i="18"/>
  <c r="J74" i="18"/>
  <c r="J70" i="18"/>
  <c r="J31" i="18"/>
  <c r="J26" i="18"/>
  <c r="H134" i="18"/>
  <c r="H128" i="18"/>
  <c r="H74" i="18"/>
  <c r="H70" i="18"/>
  <c r="H31" i="18"/>
  <c r="H26" i="18"/>
  <c r="J18" i="18"/>
  <c r="H18" i="18"/>
  <c r="I136" i="18"/>
  <c r="I130" i="18"/>
  <c r="I124" i="18"/>
  <c r="H124" i="18" s="1"/>
  <c r="I122" i="18"/>
  <c r="H122" i="18" s="1"/>
  <c r="I121" i="18"/>
  <c r="H121" i="18" s="1"/>
  <c r="I110" i="18"/>
  <c r="H110" i="18" s="1"/>
  <c r="I101" i="18"/>
  <c r="H101" i="18" s="1"/>
  <c r="I94" i="18"/>
  <c r="H94" i="18" s="1"/>
  <c r="I86" i="18"/>
  <c r="I77" i="18"/>
  <c r="H77" i="18" s="1"/>
  <c r="I72" i="18"/>
  <c r="H72" i="18" s="1"/>
  <c r="I63" i="18"/>
  <c r="H63" i="18" s="1"/>
  <c r="I54" i="18"/>
  <c r="H54" i="18" s="1"/>
  <c r="I47" i="18"/>
  <c r="H47" i="18" s="1"/>
  <c r="I40" i="18"/>
  <c r="H40" i="18" s="1"/>
  <c r="I33" i="18"/>
  <c r="H33" i="18" s="1"/>
  <c r="I28" i="18"/>
  <c r="H28" i="18" s="1"/>
  <c r="I24" i="18"/>
  <c r="H24" i="18" s="1"/>
  <c r="I20" i="18"/>
  <c r="H20" i="18" s="1"/>
  <c r="I17" i="18"/>
  <c r="H17" i="18" s="1"/>
  <c r="I15" i="18"/>
  <c r="H15" i="18" s="1"/>
  <c r="I13" i="18"/>
  <c r="K146" i="18"/>
  <c r="J614" i="24"/>
  <c r="J502" i="24"/>
  <c r="J501" i="24"/>
  <c r="J500" i="24"/>
  <c r="J499" i="24"/>
  <c r="J498" i="24"/>
  <c r="J399" i="24"/>
  <c r="J398" i="24"/>
  <c r="J377" i="24"/>
  <c r="J376" i="24"/>
  <c r="J375" i="24"/>
  <c r="J99" i="24"/>
  <c r="J31" i="24"/>
  <c r="J30" i="24"/>
  <c r="H614" i="24"/>
  <c r="H502" i="24"/>
  <c r="H501" i="24"/>
  <c r="H500" i="24"/>
  <c r="H499" i="24"/>
  <c r="H498" i="24"/>
  <c r="H399" i="24"/>
  <c r="H398" i="24"/>
  <c r="H377" i="24"/>
  <c r="H376" i="24"/>
  <c r="H375" i="24"/>
  <c r="H99" i="24"/>
  <c r="H31" i="24"/>
  <c r="H30" i="24"/>
  <c r="J704" i="24"/>
  <c r="J697" i="24"/>
  <c r="J694" i="24"/>
  <c r="J684" i="24"/>
  <c r="J679" i="24"/>
  <c r="J670" i="24"/>
  <c r="J658" i="24"/>
  <c r="J652" i="24"/>
  <c r="J647" i="24"/>
  <c r="J641" i="24"/>
  <c r="J633" i="24"/>
  <c r="J628" i="24"/>
  <c r="J623" i="24"/>
  <c r="J616" i="24"/>
  <c r="J612" i="24"/>
  <c r="J607" i="24"/>
  <c r="J604" i="24"/>
  <c r="J600" i="24"/>
  <c r="J588" i="24"/>
  <c r="J580" i="24"/>
  <c r="J573" i="24"/>
  <c r="J566" i="24"/>
  <c r="J559" i="24"/>
  <c r="J550" i="24"/>
  <c r="J541" i="24"/>
  <c r="J534" i="24"/>
  <c r="J527" i="24"/>
  <c r="J515" i="24"/>
  <c r="J505" i="24"/>
  <c r="J494" i="24"/>
  <c r="J490" i="24"/>
  <c r="J481" i="24"/>
  <c r="J469" i="24"/>
  <c r="J465" i="24"/>
  <c r="J458" i="24"/>
  <c r="J451" i="24"/>
  <c r="J444" i="24"/>
  <c r="J439" i="24"/>
  <c r="J434" i="24"/>
  <c r="J427" i="24"/>
  <c r="J422" i="24"/>
  <c r="J415" i="24"/>
  <c r="J411" i="24"/>
  <c r="J407" i="24"/>
  <c r="J402" i="24"/>
  <c r="J379" i="24"/>
  <c r="J356" i="24"/>
  <c r="J334" i="24"/>
  <c r="J312" i="24"/>
  <c r="J290" i="24"/>
  <c r="J285" i="24"/>
  <c r="J279" i="24"/>
  <c r="J276" i="24"/>
  <c r="J272" i="24"/>
  <c r="J268" i="24"/>
  <c r="J263" i="24"/>
  <c r="J260" i="24"/>
  <c r="J255" i="24"/>
  <c r="J252" i="24"/>
  <c r="J248" i="24"/>
  <c r="J244" i="24"/>
  <c r="J232" i="24"/>
  <c r="J228" i="24"/>
  <c r="J225" i="24"/>
  <c r="J220" i="24"/>
  <c r="J217" i="24"/>
  <c r="J213" i="24"/>
  <c r="J206" i="24"/>
  <c r="J194" i="24"/>
  <c r="J190" i="24"/>
  <c r="J187" i="24"/>
  <c r="J182" i="24"/>
  <c r="J179" i="24"/>
  <c r="J175" i="24"/>
  <c r="J167" i="24"/>
  <c r="J155" i="24"/>
  <c r="J144" i="24"/>
  <c r="J140" i="24"/>
  <c r="J137" i="24"/>
  <c r="J132" i="24"/>
  <c r="J129" i="24"/>
  <c r="J125" i="24"/>
  <c r="J113" i="24"/>
  <c r="J106" i="24"/>
  <c r="J101" i="24"/>
  <c r="J95" i="24"/>
  <c r="J76" i="24"/>
  <c r="J57" i="24"/>
  <c r="J50" i="24"/>
  <c r="J40" i="24"/>
  <c r="J33" i="24"/>
  <c r="J25" i="24"/>
  <c r="J21" i="24"/>
  <c r="H704" i="24"/>
  <c r="H697" i="24"/>
  <c r="H694" i="24"/>
  <c r="H684" i="24"/>
  <c r="H679" i="24"/>
  <c r="H670" i="24"/>
  <c r="H658" i="24"/>
  <c r="H652" i="24"/>
  <c r="H647" i="24"/>
  <c r="H641" i="24"/>
  <c r="H633" i="24"/>
  <c r="H628" i="24"/>
  <c r="H623" i="24"/>
  <c r="H616" i="24"/>
  <c r="H612" i="24"/>
  <c r="H607" i="24"/>
  <c r="H604" i="24"/>
  <c r="H600" i="24"/>
  <c r="H588" i="24"/>
  <c r="H580" i="24"/>
  <c r="H573" i="24"/>
  <c r="H566" i="24"/>
  <c r="H559" i="24"/>
  <c r="H550" i="24"/>
  <c r="H541" i="24"/>
  <c r="H534" i="24"/>
  <c r="H527" i="24"/>
  <c r="H515" i="24"/>
  <c r="H505" i="24"/>
  <c r="H494" i="24"/>
  <c r="H490" i="24"/>
  <c r="H481" i="24"/>
  <c r="H469" i="24"/>
  <c r="H465" i="24"/>
  <c r="H458" i="24"/>
  <c r="H451" i="24"/>
  <c r="H444" i="24"/>
  <c r="H439" i="24"/>
  <c r="H434" i="24"/>
  <c r="H427" i="24"/>
  <c r="H422" i="24"/>
  <c r="H415" i="24"/>
  <c r="H411" i="24"/>
  <c r="H407" i="24"/>
  <c r="H402" i="24"/>
  <c r="H379" i="24"/>
  <c r="H356" i="24"/>
  <c r="H334" i="24"/>
  <c r="H312" i="24"/>
  <c r="H290" i="24"/>
  <c r="H285" i="24"/>
  <c r="H279" i="24"/>
  <c r="H276" i="24"/>
  <c r="H272" i="24"/>
  <c r="H268" i="24"/>
  <c r="H263" i="24"/>
  <c r="H260" i="24"/>
  <c r="H255" i="24"/>
  <c r="H252" i="24"/>
  <c r="H248" i="24"/>
  <c r="H244" i="24"/>
  <c r="H232" i="24"/>
  <c r="H228" i="24"/>
  <c r="H225" i="24"/>
  <c r="H220" i="24"/>
  <c r="H217" i="24"/>
  <c r="H213" i="24"/>
  <c r="H206" i="24"/>
  <c r="H194" i="24"/>
  <c r="H190" i="24"/>
  <c r="H187" i="24"/>
  <c r="H182" i="24"/>
  <c r="H179" i="24"/>
  <c r="H175" i="24"/>
  <c r="H167" i="24"/>
  <c r="H155" i="24"/>
  <c r="H144" i="24"/>
  <c r="H140" i="24"/>
  <c r="H137" i="24"/>
  <c r="H132" i="24"/>
  <c r="H129" i="24"/>
  <c r="H125" i="24"/>
  <c r="H113" i="24"/>
  <c r="H106" i="24"/>
  <c r="H101" i="24"/>
  <c r="H95" i="24"/>
  <c r="H76" i="24"/>
  <c r="H57" i="24"/>
  <c r="H50" i="24"/>
  <c r="H40" i="24"/>
  <c r="H33" i="24"/>
  <c r="H25" i="24"/>
  <c r="H21" i="24"/>
  <c r="J13" i="24"/>
  <c r="H13" i="24"/>
  <c r="K712" i="24"/>
  <c r="I712" i="24"/>
  <c r="J195" i="28"/>
  <c r="J194" i="28"/>
  <c r="J193" i="28"/>
  <c r="J192" i="28"/>
  <c r="J185" i="28"/>
  <c r="J184" i="28"/>
  <c r="J183" i="28"/>
  <c r="J174" i="28"/>
  <c r="J173" i="28"/>
  <c r="J171" i="28"/>
  <c r="J166" i="28"/>
  <c r="J135" i="28"/>
  <c r="J115" i="28"/>
  <c r="J106" i="28"/>
  <c r="J97" i="28"/>
  <c r="J83" i="28"/>
  <c r="J69" i="28"/>
  <c r="J55" i="28"/>
  <c r="H195" i="28"/>
  <c r="H194" i="28"/>
  <c r="H193" i="28"/>
  <c r="H192" i="28"/>
  <c r="H185" i="28"/>
  <c r="H184" i="28"/>
  <c r="H183" i="28"/>
  <c r="H174" i="28"/>
  <c r="H173" i="28"/>
  <c r="H171" i="28"/>
  <c r="H166" i="28"/>
  <c r="H135" i="28"/>
  <c r="H115" i="28"/>
  <c r="H106" i="28"/>
  <c r="H97" i="28"/>
  <c r="H83" i="28"/>
  <c r="H69" i="28"/>
  <c r="H55" i="28"/>
  <c r="J46" i="28"/>
  <c r="H46" i="28"/>
  <c r="J277" i="28"/>
  <c r="J271" i="28"/>
  <c r="J249" i="28"/>
  <c r="J242" i="28"/>
  <c r="J236" i="28"/>
  <c r="J175" i="28"/>
  <c r="J172" i="28"/>
  <c r="J170" i="28"/>
  <c r="J159" i="28"/>
  <c r="J155" i="28"/>
  <c r="J32" i="28"/>
  <c r="J27" i="28"/>
  <c r="H277" i="28"/>
  <c r="H271" i="28"/>
  <c r="H249" i="28"/>
  <c r="H242" i="28"/>
  <c r="H236" i="28"/>
  <c r="H175" i="28"/>
  <c r="H172" i="28"/>
  <c r="H170" i="28"/>
  <c r="H159" i="28"/>
  <c r="H155" i="28"/>
  <c r="H32" i="28"/>
  <c r="H27" i="28"/>
  <c r="J19" i="28"/>
  <c r="H19" i="28"/>
  <c r="J279" i="28"/>
  <c r="J273" i="28"/>
  <c r="J267" i="28"/>
  <c r="J265" i="28"/>
  <c r="J264" i="28"/>
  <c r="J252" i="28"/>
  <c r="J244" i="28"/>
  <c r="J238" i="28"/>
  <c r="J232" i="28"/>
  <c r="J230" i="28"/>
  <c r="J229" i="28"/>
  <c r="J217" i="28"/>
  <c r="J197" i="28"/>
  <c r="J186" i="28"/>
  <c r="J177" i="28"/>
  <c r="J168" i="28"/>
  <c r="J161" i="28"/>
  <c r="J157" i="28"/>
  <c r="J149" i="28"/>
  <c r="J144" i="28"/>
  <c r="J137" i="28"/>
  <c r="J130" i="28"/>
  <c r="J124" i="28"/>
  <c r="J117" i="28"/>
  <c r="J108" i="28"/>
  <c r="J99" i="28"/>
  <c r="J92" i="28"/>
  <c r="J85" i="28"/>
  <c r="J78" i="28"/>
  <c r="J71" i="28"/>
  <c r="J64" i="28"/>
  <c r="J57" i="28"/>
  <c r="J48" i="28"/>
  <c r="J41" i="28"/>
  <c r="J34" i="28"/>
  <c r="J29" i="28"/>
  <c r="J25" i="28"/>
  <c r="J21" i="28"/>
  <c r="J18" i="28"/>
  <c r="J16" i="28"/>
  <c r="H279" i="28"/>
  <c r="H273" i="28"/>
  <c r="H267" i="28"/>
  <c r="H265" i="28"/>
  <c r="H264" i="28"/>
  <c r="H252" i="28"/>
  <c r="H244" i="28"/>
  <c r="H238" i="28"/>
  <c r="H232" i="28"/>
  <c r="H230" i="28"/>
  <c r="H229" i="28"/>
  <c r="H217" i="28"/>
  <c r="H197" i="28"/>
  <c r="H186" i="28"/>
  <c r="H177" i="28"/>
  <c r="H168" i="28"/>
  <c r="H161" i="28"/>
  <c r="H157" i="28"/>
  <c r="H149" i="28"/>
  <c r="H144" i="28"/>
  <c r="H137" i="28"/>
  <c r="H130" i="28"/>
  <c r="H124" i="28"/>
  <c r="H117" i="28"/>
  <c r="H108" i="28"/>
  <c r="H99" i="28"/>
  <c r="H92" i="28"/>
  <c r="H85" i="28"/>
  <c r="H78" i="28"/>
  <c r="H71" i="28"/>
  <c r="H64" i="28"/>
  <c r="H57" i="28"/>
  <c r="H48" i="28"/>
  <c r="H41" i="28"/>
  <c r="H34" i="28"/>
  <c r="H29" i="28"/>
  <c r="H25" i="28"/>
  <c r="H21" i="28"/>
  <c r="H18" i="28"/>
  <c r="H16" i="28"/>
  <c r="J14" i="28"/>
  <c r="H14" i="28"/>
  <c r="K289" i="28"/>
  <c r="I289" i="28"/>
  <c r="J19" i="32"/>
  <c r="H19" i="32"/>
  <c r="J49" i="32"/>
  <c r="J178" i="32"/>
  <c r="J171" i="32"/>
  <c r="J166" i="32"/>
  <c r="J149" i="32"/>
  <c r="J141" i="32"/>
  <c r="J130" i="32"/>
  <c r="J109" i="32"/>
  <c r="J103" i="32"/>
  <c r="J99" i="32"/>
  <c r="J91" i="32"/>
  <c r="J80" i="32"/>
  <c r="J72" i="32"/>
  <c r="J65" i="32"/>
  <c r="J58" i="32"/>
  <c r="J51" i="32"/>
  <c r="J44" i="32"/>
  <c r="J39" i="32"/>
  <c r="J32" i="32"/>
  <c r="J21" i="32"/>
  <c r="J16" i="32"/>
  <c r="J14" i="32"/>
  <c r="J13" i="32"/>
  <c r="J319" i="35"/>
  <c r="J143" i="35"/>
  <c r="J135" i="35"/>
  <c r="J127" i="35"/>
  <c r="J119" i="35"/>
  <c r="J95" i="35"/>
  <c r="J88" i="35"/>
  <c r="J81" i="35"/>
  <c r="J68" i="35"/>
  <c r="J64" i="35"/>
  <c r="J56" i="35"/>
  <c r="J28" i="35"/>
  <c r="H68" i="35"/>
  <c r="H64" i="35"/>
  <c r="H28" i="35"/>
  <c r="J24" i="35"/>
  <c r="J321" i="35"/>
  <c r="J315" i="35"/>
  <c r="J311" i="35"/>
  <c r="J306" i="35"/>
  <c r="J302" i="35"/>
  <c r="J286" i="35"/>
  <c r="J270" i="35"/>
  <c r="J263" i="35"/>
  <c r="J255" i="35"/>
  <c r="J246" i="35"/>
  <c r="J242" i="35"/>
  <c r="J237" i="35"/>
  <c r="J233" i="35"/>
  <c r="J224" i="35"/>
  <c r="J211" i="35"/>
  <c r="J206" i="35"/>
  <c r="J202" i="35"/>
  <c r="J196" i="35"/>
  <c r="J194" i="35"/>
  <c r="J191" i="35"/>
  <c r="J189" i="35"/>
  <c r="J186" i="35"/>
  <c r="J183" i="35"/>
  <c r="J180" i="35"/>
  <c r="J177" i="35"/>
  <c r="J169" i="35"/>
  <c r="J161" i="35"/>
  <c r="J153" i="35"/>
  <c r="J145" i="35"/>
  <c r="J137" i="35"/>
  <c r="J129" i="35"/>
  <c r="J125" i="35"/>
  <c r="J123" i="35"/>
  <c r="J122" i="35"/>
  <c r="J120" i="35"/>
  <c r="J118" i="35"/>
  <c r="J111" i="35"/>
  <c r="J104" i="35"/>
  <c r="J97" i="35"/>
  <c r="J90" i="35"/>
  <c r="J83" i="35"/>
  <c r="J79" i="35"/>
  <c r="J75" i="35"/>
  <c r="J73" i="35"/>
  <c r="J71" i="35"/>
  <c r="J66" i="35"/>
  <c r="J62" i="35"/>
  <c r="J60" i="35"/>
  <c r="J59" i="35"/>
  <c r="J57" i="35"/>
  <c r="J55" i="35"/>
  <c r="J48" i="35"/>
  <c r="J39" i="35"/>
  <c r="J30" i="35"/>
  <c r="J26" i="35"/>
  <c r="J22" i="35"/>
  <c r="J17" i="35"/>
  <c r="J15" i="35"/>
  <c r="H263" i="35"/>
  <c r="H255" i="35"/>
  <c r="H224" i="35"/>
  <c r="H211" i="35"/>
  <c r="H186" i="35"/>
  <c r="H183" i="35"/>
  <c r="H180" i="35"/>
  <c r="H177" i="35"/>
  <c r="H48" i="35"/>
  <c r="H39" i="35"/>
  <c r="H30" i="35"/>
  <c r="H26" i="35"/>
  <c r="H22" i="35"/>
  <c r="J13" i="35"/>
  <c r="K309" i="35"/>
  <c r="I309" i="35" s="1"/>
  <c r="I178" i="32"/>
  <c r="I171" i="32"/>
  <c r="H171" i="32" s="1"/>
  <c r="I166" i="32"/>
  <c r="H166" i="32" s="1"/>
  <c r="I149" i="32"/>
  <c r="H149" i="32" s="1"/>
  <c r="I141" i="32"/>
  <c r="H141" i="32" s="1"/>
  <c r="I130" i="32"/>
  <c r="H130" i="32" s="1"/>
  <c r="I109" i="32"/>
  <c r="H109" i="32" s="1"/>
  <c r="I107" i="32"/>
  <c r="I106" i="32"/>
  <c r="I103" i="32"/>
  <c r="H103" i="32" s="1"/>
  <c r="I101" i="32"/>
  <c r="I99" i="32"/>
  <c r="H99" i="32" s="1"/>
  <c r="I97" i="32"/>
  <c r="I91" i="32"/>
  <c r="H91" i="32" s="1"/>
  <c r="I89" i="32"/>
  <c r="I80" i="32"/>
  <c r="H80" i="32" s="1"/>
  <c r="I78" i="32"/>
  <c r="I72" i="32"/>
  <c r="H72" i="32" s="1"/>
  <c r="I70" i="32"/>
  <c r="I65" i="32"/>
  <c r="H65" i="32" s="1"/>
  <c r="I63" i="32"/>
  <c r="I58" i="32"/>
  <c r="H58" i="32" s="1"/>
  <c r="I56" i="32"/>
  <c r="I51" i="32"/>
  <c r="H51" i="32" s="1"/>
  <c r="I49" i="32"/>
  <c r="H49" i="32" s="1"/>
  <c r="I44" i="32"/>
  <c r="H44" i="32" s="1"/>
  <c r="I42" i="32"/>
  <c r="I39" i="32"/>
  <c r="H39" i="32" s="1"/>
  <c r="I37" i="32"/>
  <c r="I32" i="32"/>
  <c r="H32" i="32" s="1"/>
  <c r="I21" i="32"/>
  <c r="H21" i="32" s="1"/>
  <c r="I16" i="32"/>
  <c r="H16" i="32" s="1"/>
  <c r="I14" i="32"/>
  <c r="H14" i="32" s="1"/>
  <c r="I13" i="32"/>
  <c r="H13" i="32" s="1"/>
  <c r="H23" i="44"/>
  <c r="I329" i="35"/>
  <c r="I328" i="35"/>
  <c r="I327" i="35"/>
  <c r="I326" i="35"/>
  <c r="I325" i="35"/>
  <c r="I321" i="35"/>
  <c r="H321" i="35" s="1"/>
  <c r="I319" i="35"/>
  <c r="H319" i="35" s="1"/>
  <c r="I315" i="35"/>
  <c r="H315" i="35" s="1"/>
  <c r="I313" i="35"/>
  <c r="I311" i="35"/>
  <c r="H311" i="35" s="1"/>
  <c r="I306" i="35"/>
  <c r="H306" i="35" s="1"/>
  <c r="I304" i="35"/>
  <c r="I302" i="35"/>
  <c r="H302" i="35" s="1"/>
  <c r="I300" i="35"/>
  <c r="I286" i="35"/>
  <c r="H286" i="35" s="1"/>
  <c r="I284" i="35"/>
  <c r="I270" i="35"/>
  <c r="H270" i="35" s="1"/>
  <c r="I268" i="35"/>
  <c r="I263" i="35"/>
  <c r="I261" i="35"/>
  <c r="I255" i="35"/>
  <c r="I253" i="35"/>
  <c r="I246" i="35"/>
  <c r="H246" i="35" s="1"/>
  <c r="I244" i="35"/>
  <c r="I242" i="35"/>
  <c r="H242" i="35" s="1"/>
  <c r="I240" i="35"/>
  <c r="I237" i="35"/>
  <c r="H237" i="35" s="1"/>
  <c r="I235" i="35"/>
  <c r="I233" i="35"/>
  <c r="H233" i="35" s="1"/>
  <c r="I231" i="35"/>
  <c r="I224" i="35"/>
  <c r="I222" i="35"/>
  <c r="I211" i="35"/>
  <c r="I209" i="35"/>
  <c r="I206" i="35"/>
  <c r="H206" i="35" s="1"/>
  <c r="I205" i="35"/>
  <c r="I202" i="35"/>
  <c r="H202" i="35" s="1"/>
  <c r="I200" i="35"/>
  <c r="I196" i="35"/>
  <c r="H196" i="35" s="1"/>
  <c r="I194" i="35"/>
  <c r="H194" i="35" s="1"/>
  <c r="I191" i="35"/>
  <c r="H191" i="35" s="1"/>
  <c r="I189" i="35"/>
  <c r="H189" i="35" s="1"/>
  <c r="I186" i="35"/>
  <c r="I183" i="35"/>
  <c r="I180" i="35"/>
  <c r="I177" i="35"/>
  <c r="I175" i="35"/>
  <c r="I169" i="35"/>
  <c r="H169" i="35" s="1"/>
  <c r="I167" i="35"/>
  <c r="I161" i="35"/>
  <c r="H161" i="35" s="1"/>
  <c r="I159" i="35"/>
  <c r="I153" i="35"/>
  <c r="H153" i="35" s="1"/>
  <c r="I151" i="35"/>
  <c r="I145" i="35"/>
  <c r="H145" i="35" s="1"/>
  <c r="I143" i="35"/>
  <c r="H143" i="35" s="1"/>
  <c r="I137" i="35"/>
  <c r="H137" i="35" s="1"/>
  <c r="I135" i="35"/>
  <c r="H135" i="35" s="1"/>
  <c r="I129" i="35"/>
  <c r="H129" i="35" s="1"/>
  <c r="I127" i="35"/>
  <c r="H127" i="35" s="1"/>
  <c r="I125" i="35"/>
  <c r="H125" i="35" s="1"/>
  <c r="I123" i="35"/>
  <c r="H123" i="35" s="1"/>
  <c r="I122" i="35"/>
  <c r="H122" i="35" s="1"/>
  <c r="I120" i="35"/>
  <c r="H120" i="35" s="1"/>
  <c r="I119" i="35"/>
  <c r="H119" i="35" s="1"/>
  <c r="I118" i="35"/>
  <c r="H118" i="35" s="1"/>
  <c r="I116" i="35"/>
  <c r="I111" i="35"/>
  <c r="H111" i="35" s="1"/>
  <c r="I109" i="35"/>
  <c r="I104" i="35"/>
  <c r="H104" i="35" s="1"/>
  <c r="I102" i="35"/>
  <c r="I97" i="35"/>
  <c r="H97" i="35" s="1"/>
  <c r="I95" i="35"/>
  <c r="H95" i="35" s="1"/>
  <c r="I90" i="35"/>
  <c r="H90" i="35" s="1"/>
  <c r="I88" i="35"/>
  <c r="H88" i="35" s="1"/>
  <c r="I83" i="35"/>
  <c r="H83" i="35" s="1"/>
  <c r="I81" i="35"/>
  <c r="H81" i="35" s="1"/>
  <c r="I79" i="35"/>
  <c r="H79" i="35" s="1"/>
  <c r="I75" i="35"/>
  <c r="H75" i="35" s="1"/>
  <c r="I73" i="35"/>
  <c r="H73" i="35" s="1"/>
  <c r="I71" i="35"/>
  <c r="H71" i="35" s="1"/>
  <c r="I68" i="35"/>
  <c r="I66" i="35"/>
  <c r="H66" i="35" s="1"/>
  <c r="I64" i="35"/>
  <c r="I62" i="35"/>
  <c r="H62" i="35" s="1"/>
  <c r="I60" i="35"/>
  <c r="H60" i="35" s="1"/>
  <c r="I59" i="35"/>
  <c r="H59" i="35" s="1"/>
  <c r="I57" i="35"/>
  <c r="H57" i="35" s="1"/>
  <c r="I56" i="35"/>
  <c r="H56" i="35" s="1"/>
  <c r="I55" i="35"/>
  <c r="H55" i="35" s="1"/>
  <c r="I53" i="35"/>
  <c r="I48" i="35"/>
  <c r="I46" i="35"/>
  <c r="I39" i="35"/>
  <c r="I37" i="35"/>
  <c r="I30" i="35"/>
  <c r="I28" i="35"/>
  <c r="I26" i="35"/>
  <c r="I24" i="35"/>
  <c r="H24" i="35" s="1"/>
  <c r="I22" i="35"/>
  <c r="I17" i="35"/>
  <c r="H17" i="35" s="1"/>
  <c r="I15" i="35"/>
  <c r="H15" i="35" s="1"/>
  <c r="I13" i="35"/>
  <c r="H13" i="35" s="1"/>
  <c r="I142" i="31" l="1"/>
  <c r="I143" i="31" s="1"/>
  <c r="I91" i="45"/>
  <c r="I92" i="45" s="1"/>
  <c r="I180" i="26"/>
  <c r="I68" i="25"/>
  <c r="I69" i="25" s="1"/>
  <c r="I299" i="29"/>
  <c r="I300" i="29" s="1"/>
  <c r="I103" i="27"/>
  <c r="H68" i="27"/>
  <c r="I60" i="20"/>
  <c r="I314" i="40"/>
  <c r="I315" i="40" s="1"/>
  <c r="I146" i="18"/>
  <c r="H13" i="18"/>
  <c r="I147" i="18"/>
  <c r="I713" i="24"/>
  <c r="I290" i="28"/>
  <c r="H19" i="44"/>
  <c r="G19" i="44"/>
  <c r="I22" i="44"/>
  <c r="J32" i="36"/>
  <c r="J15" i="36"/>
  <c r="J170" i="36"/>
  <c r="J165" i="36"/>
  <c r="J162" i="36"/>
  <c r="J155" i="36"/>
  <c r="J145" i="36"/>
  <c r="J142" i="36"/>
  <c r="J137" i="36"/>
  <c r="J135" i="36"/>
  <c r="J126" i="36"/>
  <c r="J122" i="36"/>
  <c r="J117" i="36"/>
  <c r="J114" i="36"/>
  <c r="J109" i="36"/>
  <c r="J107" i="36"/>
  <c r="J98" i="36"/>
  <c r="J92" i="36"/>
  <c r="J82" i="36"/>
  <c r="J79" i="36"/>
  <c r="J73" i="36"/>
  <c r="J63" i="36"/>
  <c r="J60" i="36"/>
  <c r="J55" i="36"/>
  <c r="J50" i="36"/>
  <c r="J47" i="36"/>
  <c r="J43" i="36"/>
  <c r="J38" i="36"/>
  <c r="J36" i="36"/>
  <c r="J31" i="36"/>
  <c r="J29" i="36"/>
  <c r="J27" i="36"/>
  <c r="J24" i="36"/>
  <c r="J22" i="36"/>
  <c r="J19" i="36"/>
  <c r="J17" i="36"/>
  <c r="J16" i="36"/>
  <c r="J14" i="36"/>
  <c r="K175" i="36"/>
  <c r="I170" i="36"/>
  <c r="H170" i="36" s="1"/>
  <c r="I165" i="36"/>
  <c r="H165" i="36" s="1"/>
  <c r="I162" i="36"/>
  <c r="H162" i="36" s="1"/>
  <c r="I155" i="36"/>
  <c r="H155" i="36" s="1"/>
  <c r="I145" i="36"/>
  <c r="H145" i="36" s="1"/>
  <c r="I142" i="36"/>
  <c r="H142" i="36" s="1"/>
  <c r="I137" i="36"/>
  <c r="H137" i="36" s="1"/>
  <c r="I135" i="36"/>
  <c r="H135" i="36" s="1"/>
  <c r="I126" i="36"/>
  <c r="H126" i="36" s="1"/>
  <c r="I122" i="36"/>
  <c r="H122" i="36" s="1"/>
  <c r="I117" i="36"/>
  <c r="H117" i="36" s="1"/>
  <c r="I114" i="36"/>
  <c r="H114" i="36" s="1"/>
  <c r="I109" i="36"/>
  <c r="H109" i="36" s="1"/>
  <c r="I107" i="36"/>
  <c r="H107" i="36" s="1"/>
  <c r="I98" i="36"/>
  <c r="H98" i="36" s="1"/>
  <c r="I92" i="36"/>
  <c r="H92" i="36" s="1"/>
  <c r="I82" i="36"/>
  <c r="H82" i="36" s="1"/>
  <c r="I79" i="36"/>
  <c r="H79" i="36" s="1"/>
  <c r="I73" i="36"/>
  <c r="H73" i="36" s="1"/>
  <c r="I63" i="36"/>
  <c r="H63" i="36" s="1"/>
  <c r="I60" i="36"/>
  <c r="H60" i="36" s="1"/>
  <c r="I55" i="36"/>
  <c r="H55" i="36" s="1"/>
  <c r="I50" i="36"/>
  <c r="H50" i="36" s="1"/>
  <c r="I47" i="36"/>
  <c r="H47" i="36" s="1"/>
  <c r="I43" i="36"/>
  <c r="H43" i="36" s="1"/>
  <c r="I38" i="36"/>
  <c r="H38" i="36" s="1"/>
  <c r="I36" i="36"/>
  <c r="H36" i="36" s="1"/>
  <c r="I32" i="36"/>
  <c r="H32" i="36" s="1"/>
  <c r="I31" i="36"/>
  <c r="H31" i="36" s="1"/>
  <c r="I29" i="36"/>
  <c r="H29" i="36" s="1"/>
  <c r="I27" i="36"/>
  <c r="H27" i="36" s="1"/>
  <c r="I24" i="36"/>
  <c r="H24" i="36" s="1"/>
  <c r="I22" i="36"/>
  <c r="H22" i="36" s="1"/>
  <c r="I19" i="36"/>
  <c r="H19" i="36" s="1"/>
  <c r="I17" i="36"/>
  <c r="H17" i="36" s="1"/>
  <c r="I16" i="36"/>
  <c r="H16" i="36" s="1"/>
  <c r="I15" i="36"/>
  <c r="H15" i="36" s="1"/>
  <c r="I14" i="36"/>
  <c r="H14" i="36" s="1"/>
  <c r="J21" i="42"/>
  <c r="H21" i="42"/>
  <c r="J56" i="42"/>
  <c r="J53" i="42"/>
  <c r="J44" i="42"/>
  <c r="J40" i="42"/>
  <c r="J35" i="42"/>
  <c r="J32" i="42"/>
  <c r="J27" i="42"/>
  <c r="J25" i="42"/>
  <c r="J20" i="42"/>
  <c r="J18" i="42"/>
  <c r="J16" i="42"/>
  <c r="H56" i="42"/>
  <c r="H53" i="42"/>
  <c r="H44" i="42"/>
  <c r="H40" i="42"/>
  <c r="H35" i="42"/>
  <c r="H32" i="42"/>
  <c r="H27" i="42"/>
  <c r="H25" i="42"/>
  <c r="H20" i="42"/>
  <c r="H18" i="42"/>
  <c r="H16" i="42"/>
  <c r="J13" i="42"/>
  <c r="H13" i="42"/>
  <c r="K60" i="42"/>
  <c r="H20" i="38"/>
  <c r="J20" i="38"/>
  <c r="J55" i="38"/>
  <c r="J52" i="38"/>
  <c r="J43" i="38"/>
  <c r="J39" i="38"/>
  <c r="J34" i="38"/>
  <c r="J31" i="38"/>
  <c r="J26" i="38"/>
  <c r="J24" i="38"/>
  <c r="J19" i="38"/>
  <c r="J17" i="38"/>
  <c r="H55" i="38"/>
  <c r="J15" i="38"/>
  <c r="K59" i="38"/>
  <c r="I55" i="38"/>
  <c r="I52" i="38"/>
  <c r="H52" i="38" s="1"/>
  <c r="I43" i="38"/>
  <c r="H43" i="38" s="1"/>
  <c r="I39" i="38"/>
  <c r="H39" i="38" s="1"/>
  <c r="I34" i="38"/>
  <c r="H34" i="38" s="1"/>
  <c r="I31" i="38"/>
  <c r="H31" i="38" s="1"/>
  <c r="I26" i="38"/>
  <c r="H26" i="38" s="1"/>
  <c r="I24" i="38"/>
  <c r="H24" i="38" s="1"/>
  <c r="I20" i="38"/>
  <c r="I19" i="38"/>
  <c r="H19" i="38" s="1"/>
  <c r="I17" i="38"/>
  <c r="H17" i="38" s="1"/>
  <c r="I15" i="38"/>
  <c r="H15" i="38" s="1"/>
  <c r="H76" i="44"/>
  <c r="G76" i="44"/>
  <c r="F76" i="44"/>
  <c r="H43" i="44"/>
  <c r="G43" i="44"/>
  <c r="F43" i="44"/>
  <c r="I78" i="44"/>
  <c r="I75" i="44"/>
  <c r="H74" i="44"/>
  <c r="G74" i="44"/>
  <c r="F74" i="44"/>
  <c r="I73" i="44"/>
  <c r="H72" i="44"/>
  <c r="G72" i="44"/>
  <c r="F72" i="44"/>
  <c r="G70" i="44"/>
  <c r="F70" i="44"/>
  <c r="I71" i="44"/>
  <c r="H70" i="44"/>
  <c r="H65" i="44"/>
  <c r="G63" i="44"/>
  <c r="H63" i="44"/>
  <c r="F63" i="44"/>
  <c r="H58" i="44"/>
  <c r="I57" i="44"/>
  <c r="H56" i="44"/>
  <c r="G56" i="44"/>
  <c r="F56" i="44"/>
  <c r="I55" i="44"/>
  <c r="I54" i="44"/>
  <c r="G53" i="44"/>
  <c r="H53" i="44"/>
  <c r="F53" i="44"/>
  <c r="G50" i="44"/>
  <c r="H50" i="44"/>
  <c r="F50" i="44"/>
  <c r="I52" i="44"/>
  <c r="I51" i="44"/>
  <c r="H48" i="44"/>
  <c r="F48" i="44"/>
  <c r="G46" i="44"/>
  <c r="H46" i="44"/>
  <c r="I45" i="44"/>
  <c r="H40" i="44"/>
  <c r="I42" i="44"/>
  <c r="G40" i="44"/>
  <c r="F40" i="44"/>
  <c r="H36" i="44"/>
  <c r="H28" i="44"/>
  <c r="H34" i="44"/>
  <c r="G34" i="44"/>
  <c r="F34" i="44"/>
  <c r="I35" i="44"/>
  <c r="I30" i="44"/>
  <c r="I31" i="44"/>
  <c r="G28" i="44"/>
  <c r="F28" i="44"/>
  <c r="H26" i="44"/>
  <c r="F26" i="44"/>
  <c r="J13" i="39"/>
  <c r="J14" i="39"/>
  <c r="J12" i="39"/>
  <c r="H13" i="39"/>
  <c r="H14" i="39"/>
  <c r="H12" i="39"/>
  <c r="K15" i="39"/>
  <c r="I15" i="39"/>
  <c r="I79" i="44"/>
  <c r="I181" i="26" l="1"/>
  <c r="G26" i="44"/>
  <c r="I76" i="44"/>
  <c r="I61" i="20"/>
  <c r="I19" i="44"/>
  <c r="I175" i="36"/>
  <c r="I176" i="36" s="1"/>
  <c r="I21" i="44"/>
  <c r="I60" i="42"/>
  <c r="I61" i="42" s="1"/>
  <c r="I59" i="38"/>
  <c r="I43" i="44"/>
  <c r="I74" i="44"/>
  <c r="I72" i="44"/>
  <c r="I68" i="44"/>
  <c r="I64" i="44"/>
  <c r="I70" i="44"/>
  <c r="G65" i="44"/>
  <c r="I38" i="44"/>
  <c r="I61" i="44"/>
  <c r="I69" i="44"/>
  <c r="I67" i="44"/>
  <c r="F65" i="44"/>
  <c r="I50" i="44"/>
  <c r="I63" i="44"/>
  <c r="I62" i="44"/>
  <c r="I47" i="44"/>
  <c r="G58" i="44"/>
  <c r="I60" i="44"/>
  <c r="F58" i="44"/>
  <c r="I56" i="44"/>
  <c r="I15" i="44"/>
  <c r="F46" i="44"/>
  <c r="I46" i="44" s="1"/>
  <c r="I53" i="44"/>
  <c r="I16" i="44"/>
  <c r="I18" i="44"/>
  <c r="I17" i="44"/>
  <c r="I40" i="44"/>
  <c r="F36" i="44"/>
  <c r="I13" i="44"/>
  <c r="I39" i="44"/>
  <c r="I41" i="44"/>
  <c r="I26" i="44"/>
  <c r="G36" i="44"/>
  <c r="I37" i="44"/>
  <c r="I29" i="44"/>
  <c r="I27" i="44"/>
  <c r="I34" i="44"/>
  <c r="I14" i="44"/>
  <c r="I28" i="44"/>
  <c r="I16" i="39"/>
  <c r="G12" i="44"/>
  <c r="I58" i="44" l="1"/>
  <c r="G48" i="44"/>
  <c r="I48" i="44" s="1"/>
  <c r="I49" i="44"/>
  <c r="I60" i="38"/>
  <c r="I20" i="44"/>
  <c r="I65" i="44"/>
  <c r="I36" i="44"/>
  <c r="H12" i="44"/>
  <c r="I12" i="44" s="1"/>
  <c r="H13" i="1" l="1"/>
  <c r="I235" i="21" l="1"/>
  <c r="H235" i="21" s="1"/>
  <c r="I231" i="21"/>
  <c r="H231" i="21" s="1"/>
  <c r="I228" i="21"/>
  <c r="H228" i="21" s="1"/>
  <c r="I224" i="21"/>
  <c r="I220" i="21"/>
  <c r="H220" i="21" s="1"/>
  <c r="I208" i="21"/>
  <c r="H208" i="21" s="1"/>
  <c r="I201" i="21"/>
  <c r="H201" i="21" s="1"/>
  <c r="I200" i="21"/>
  <c r="H200" i="21" s="1"/>
  <c r="I196" i="21"/>
  <c r="H196" i="21" s="1"/>
  <c r="I178" i="21"/>
  <c r="H178" i="21" s="1"/>
  <c r="I174" i="21"/>
  <c r="H174" i="21" s="1"/>
  <c r="I156" i="21"/>
  <c r="H156" i="21" s="1"/>
  <c r="I138" i="21"/>
  <c r="H138" i="21" s="1"/>
  <c r="I134" i="21"/>
  <c r="H134" i="21" s="1"/>
  <c r="I125" i="21"/>
  <c r="H125" i="21" s="1"/>
  <c r="I119" i="21"/>
  <c r="H119" i="21" s="1"/>
  <c r="I114" i="21"/>
  <c r="H114" i="21" s="1"/>
  <c r="I109" i="21"/>
  <c r="H109" i="21" s="1"/>
  <c r="I105" i="21"/>
  <c r="H105" i="21" s="1"/>
  <c r="I101" i="21"/>
  <c r="H101" i="21" s="1"/>
  <c r="I96" i="21"/>
  <c r="H96" i="21" s="1"/>
  <c r="I91" i="21"/>
  <c r="H91" i="21" s="1"/>
  <c r="I86" i="21"/>
  <c r="H86" i="21" s="1"/>
  <c r="I79" i="21"/>
  <c r="H79" i="21" s="1"/>
  <c r="I75" i="21"/>
  <c r="H75" i="21" s="1"/>
  <c r="I54" i="21"/>
  <c r="H54" i="21" s="1"/>
  <c r="I50" i="21"/>
  <c r="H50" i="21" s="1"/>
  <c r="I41" i="21"/>
  <c r="H41" i="21" s="1"/>
  <c r="I35" i="21"/>
  <c r="H35" i="21" s="1"/>
  <c r="I30" i="21"/>
  <c r="H30" i="21" s="1"/>
  <c r="I25" i="21"/>
  <c r="H25" i="21" s="1"/>
  <c r="I21" i="21"/>
  <c r="H21" i="21" s="1"/>
  <c r="I19" i="21"/>
  <c r="H19" i="21" s="1"/>
  <c r="I16" i="21"/>
  <c r="H16" i="21" s="1"/>
  <c r="I13" i="21"/>
  <c r="J237" i="21"/>
  <c r="J230" i="21"/>
  <c r="K238" i="21"/>
  <c r="J172" i="21"/>
  <c r="J171" i="21"/>
  <c r="J170" i="21"/>
  <c r="J169" i="21"/>
  <c r="J168" i="21"/>
  <c r="J167" i="21"/>
  <c r="J153" i="21"/>
  <c r="J152" i="21"/>
  <c r="J151" i="21"/>
  <c r="J150" i="21"/>
  <c r="J149" i="21"/>
  <c r="J73" i="21"/>
  <c r="J72" i="21"/>
  <c r="J71" i="21"/>
  <c r="J70" i="21"/>
  <c r="J69" i="21"/>
  <c r="J68" i="21"/>
  <c r="J67" i="21"/>
  <c r="J66" i="21"/>
  <c r="J65" i="21"/>
  <c r="J26" i="21"/>
  <c r="J23" i="21"/>
  <c r="H172" i="21"/>
  <c r="H171" i="21"/>
  <c r="H170" i="21"/>
  <c r="H169" i="21"/>
  <c r="H168" i="21"/>
  <c r="H167" i="21"/>
  <c r="H153" i="21"/>
  <c r="H152" i="21"/>
  <c r="H151" i="21"/>
  <c r="H150" i="21"/>
  <c r="H149" i="21"/>
  <c r="H73" i="21"/>
  <c r="H72" i="21"/>
  <c r="H71" i="21"/>
  <c r="H70" i="21"/>
  <c r="H69" i="21"/>
  <c r="H68" i="21"/>
  <c r="H67" i="21"/>
  <c r="H66" i="21"/>
  <c r="H65" i="21"/>
  <c r="H26" i="21"/>
  <c r="H23" i="21"/>
  <c r="J235" i="21"/>
  <c r="J231" i="21"/>
  <c r="J228" i="21"/>
  <c r="J224" i="21"/>
  <c r="J220" i="21"/>
  <c r="J208" i="21"/>
  <c r="J201" i="21"/>
  <c r="J200" i="21"/>
  <c r="J196" i="21"/>
  <c r="J178" i="21"/>
  <c r="J174" i="21"/>
  <c r="J156" i="21"/>
  <c r="J138" i="21"/>
  <c r="J134" i="21"/>
  <c r="J125" i="21"/>
  <c r="J119" i="21"/>
  <c r="J114" i="21"/>
  <c r="J109" i="21"/>
  <c r="J105" i="21"/>
  <c r="J101" i="21"/>
  <c r="J96" i="21"/>
  <c r="J91" i="21"/>
  <c r="J86" i="21"/>
  <c r="J79" i="21"/>
  <c r="J75" i="21"/>
  <c r="J54" i="21"/>
  <c r="J50" i="21"/>
  <c r="J41" i="21"/>
  <c r="J35" i="21"/>
  <c r="J30" i="21"/>
  <c r="J25" i="21"/>
  <c r="J21" i="21"/>
  <c r="J19" i="21"/>
  <c r="J16" i="21"/>
  <c r="H224" i="21"/>
  <c r="J13" i="21"/>
  <c r="H13" i="21"/>
  <c r="I255" i="30"/>
  <c r="H255" i="30" s="1"/>
  <c r="I238" i="30"/>
  <c r="H238" i="30" s="1"/>
  <c r="I232" i="30"/>
  <c r="H232" i="30" s="1"/>
  <c r="I227" i="30"/>
  <c r="H227" i="30" s="1"/>
  <c r="I222" i="30"/>
  <c r="I217" i="30"/>
  <c r="I215" i="30"/>
  <c r="H215" i="30" s="1"/>
  <c r="I211" i="30"/>
  <c r="H211" i="30" s="1"/>
  <c r="I208" i="30"/>
  <c r="H208" i="30" s="1"/>
  <c r="I203" i="30"/>
  <c r="H203" i="30" s="1"/>
  <c r="I196" i="30"/>
  <c r="H196" i="30" s="1"/>
  <c r="I179" i="30"/>
  <c r="H179" i="30" s="1"/>
  <c r="I173" i="30"/>
  <c r="H173" i="30" s="1"/>
  <c r="I168" i="30"/>
  <c r="H168" i="30" s="1"/>
  <c r="I163" i="30"/>
  <c r="H163" i="30" s="1"/>
  <c r="I158" i="30"/>
  <c r="H158" i="30" s="1"/>
  <c r="I156" i="30"/>
  <c r="H156" i="30" s="1"/>
  <c r="I152" i="30"/>
  <c r="I149" i="30"/>
  <c r="H149" i="30" s="1"/>
  <c r="I144" i="30"/>
  <c r="H144" i="30" s="1"/>
  <c r="I137" i="30"/>
  <c r="H137" i="30" s="1"/>
  <c r="I130" i="30"/>
  <c r="H130" i="30" s="1"/>
  <c r="I129" i="30"/>
  <c r="H129" i="30" s="1"/>
  <c r="I111" i="30"/>
  <c r="H111" i="30" s="1"/>
  <c r="I103" i="30"/>
  <c r="H103" i="30" s="1"/>
  <c r="I97" i="30"/>
  <c r="H97" i="30" s="1"/>
  <c r="I92" i="30"/>
  <c r="H92" i="30" s="1"/>
  <c r="I83" i="30"/>
  <c r="H83" i="30" s="1"/>
  <c r="I66" i="30"/>
  <c r="H66" i="30" s="1"/>
  <c r="I60" i="30"/>
  <c r="H60" i="30" s="1"/>
  <c r="I55" i="30"/>
  <c r="H55" i="30" s="1"/>
  <c r="I49" i="30"/>
  <c r="H49" i="30" s="1"/>
  <c r="I41" i="30"/>
  <c r="H41" i="30" s="1"/>
  <c r="I33" i="30"/>
  <c r="H33" i="30" s="1"/>
  <c r="I29" i="30"/>
  <c r="H29" i="30" s="1"/>
  <c r="I27" i="30"/>
  <c r="H27" i="30" s="1"/>
  <c r="I20" i="30"/>
  <c r="I14" i="30"/>
  <c r="H14" i="30" s="1"/>
  <c r="K272" i="30"/>
  <c r="J271" i="30"/>
  <c r="J270" i="30"/>
  <c r="J127" i="30"/>
  <c r="J126" i="30"/>
  <c r="J81" i="30"/>
  <c r="J80" i="30"/>
  <c r="J79" i="30"/>
  <c r="J78" i="30"/>
  <c r="J77" i="30"/>
  <c r="J53" i="30"/>
  <c r="J52" i="30"/>
  <c r="J28" i="30"/>
  <c r="J18" i="30"/>
  <c r="H271" i="30"/>
  <c r="H270" i="30"/>
  <c r="H127" i="30"/>
  <c r="H126" i="30"/>
  <c r="H81" i="30"/>
  <c r="H80" i="30"/>
  <c r="H79" i="30"/>
  <c r="H78" i="30"/>
  <c r="H77" i="30"/>
  <c r="H53" i="30"/>
  <c r="H52" i="30"/>
  <c r="H28" i="30"/>
  <c r="H18" i="30"/>
  <c r="J16" i="30"/>
  <c r="H16" i="30"/>
  <c r="J255" i="30"/>
  <c r="J238" i="30"/>
  <c r="J232" i="30"/>
  <c r="J227" i="30"/>
  <c r="J222" i="30"/>
  <c r="J217" i="30"/>
  <c r="J215" i="30"/>
  <c r="J211" i="30"/>
  <c r="J208" i="30"/>
  <c r="J203" i="30"/>
  <c r="J196" i="30"/>
  <c r="J179" i="30"/>
  <c r="J173" i="30"/>
  <c r="J168" i="30"/>
  <c r="J163" i="30"/>
  <c r="J158" i="30"/>
  <c r="J156" i="30"/>
  <c r="J152" i="30"/>
  <c r="J149" i="30"/>
  <c r="J144" i="30"/>
  <c r="J137" i="30"/>
  <c r="J130" i="30"/>
  <c r="J129" i="30"/>
  <c r="J111" i="30"/>
  <c r="J103" i="30"/>
  <c r="J97" i="30"/>
  <c r="J92" i="30"/>
  <c r="J83" i="30"/>
  <c r="J66" i="30"/>
  <c r="J60" i="30"/>
  <c r="J55" i="30"/>
  <c r="J49" i="30"/>
  <c r="J41" i="30"/>
  <c r="J33" i="30"/>
  <c r="J29" i="30"/>
  <c r="J27" i="30"/>
  <c r="J20" i="30"/>
  <c r="H222" i="30"/>
  <c r="H217" i="30"/>
  <c r="H152" i="30"/>
  <c r="J14" i="30"/>
  <c r="J85" i="23"/>
  <c r="J79" i="23"/>
  <c r="J78" i="23"/>
  <c r="J77" i="23"/>
  <c r="J76" i="23"/>
  <c r="J75" i="23"/>
  <c r="J74" i="23"/>
  <c r="J50" i="23"/>
  <c r="J49" i="23"/>
  <c r="J18" i="23"/>
  <c r="H50" i="23"/>
  <c r="H49" i="23"/>
  <c r="H18" i="23"/>
  <c r="J16" i="23"/>
  <c r="H16" i="23"/>
  <c r="J127" i="23"/>
  <c r="J120" i="23"/>
  <c r="J114" i="23"/>
  <c r="J105" i="23"/>
  <c r="J88" i="23"/>
  <c r="J86" i="23"/>
  <c r="J84" i="23"/>
  <c r="J80" i="23"/>
  <c r="J63" i="23"/>
  <c r="J57" i="23"/>
  <c r="J52" i="23"/>
  <c r="J46" i="23"/>
  <c r="J36" i="23"/>
  <c r="J28" i="23"/>
  <c r="J20" i="23"/>
  <c r="J14" i="23"/>
  <c r="H14" i="23"/>
  <c r="I28" i="23"/>
  <c r="H28" i="23" s="1"/>
  <c r="K134" i="23"/>
  <c r="I127" i="23"/>
  <c r="H127" i="23" s="1"/>
  <c r="I120" i="23"/>
  <c r="H120" i="23" s="1"/>
  <c r="I114" i="23"/>
  <c r="H114" i="23" s="1"/>
  <c r="I105" i="23"/>
  <c r="H105" i="23" s="1"/>
  <c r="I88" i="23"/>
  <c r="H88" i="23" s="1"/>
  <c r="I86" i="23"/>
  <c r="H86" i="23" s="1"/>
  <c r="I85" i="23"/>
  <c r="H85" i="23" s="1"/>
  <c r="I84" i="23"/>
  <c r="H84" i="23" s="1"/>
  <c r="I80" i="23"/>
  <c r="H80" i="23" s="1"/>
  <c r="I79" i="23"/>
  <c r="H79" i="23" s="1"/>
  <c r="I78" i="23"/>
  <c r="H78" i="23" s="1"/>
  <c r="I77" i="23"/>
  <c r="H77" i="23" s="1"/>
  <c r="I76" i="23"/>
  <c r="H76" i="23" s="1"/>
  <c r="I75" i="23"/>
  <c r="H75" i="23" s="1"/>
  <c r="I74" i="23"/>
  <c r="H74" i="23" s="1"/>
  <c r="I63" i="23"/>
  <c r="H63" i="23" s="1"/>
  <c r="I57" i="23"/>
  <c r="H57" i="23" s="1"/>
  <c r="I52" i="23"/>
  <c r="H52" i="23" s="1"/>
  <c r="I46" i="23"/>
  <c r="H46" i="23" s="1"/>
  <c r="I36" i="23"/>
  <c r="H36" i="23" s="1"/>
  <c r="I20" i="23"/>
  <c r="H20" i="23" s="1"/>
  <c r="J158" i="17"/>
  <c r="J153" i="17"/>
  <c r="J138" i="17"/>
  <c r="J86" i="17"/>
  <c r="J81" i="17"/>
  <c r="J63" i="17"/>
  <c r="J50" i="17"/>
  <c r="J42" i="17"/>
  <c r="J148" i="17"/>
  <c r="J143" i="17"/>
  <c r="H148" i="17"/>
  <c r="H143" i="17"/>
  <c r="J26" i="17"/>
  <c r="H26" i="17"/>
  <c r="J155" i="17"/>
  <c r="J150" i="17"/>
  <c r="J145" i="17"/>
  <c r="J140" i="17"/>
  <c r="J133" i="17"/>
  <c r="J125" i="17"/>
  <c r="J118" i="17"/>
  <c r="J103" i="17"/>
  <c r="J88" i="17"/>
  <c r="J83" i="17"/>
  <c r="J78" i="17"/>
  <c r="J72" i="17"/>
  <c r="J66" i="17"/>
  <c r="J52" i="17"/>
  <c r="J45" i="17"/>
  <c r="J28" i="17"/>
  <c r="H155" i="17"/>
  <c r="H150" i="17"/>
  <c r="H145" i="17"/>
  <c r="H140" i="17"/>
  <c r="H133" i="17"/>
  <c r="H125" i="17"/>
  <c r="H118" i="17"/>
  <c r="H103" i="17"/>
  <c r="H88" i="17"/>
  <c r="H83" i="17"/>
  <c r="H78" i="17"/>
  <c r="H72" i="17"/>
  <c r="H66" i="17"/>
  <c r="H52" i="17"/>
  <c r="H45" i="17"/>
  <c r="H28" i="17"/>
  <c r="J14" i="17"/>
  <c r="H14" i="17"/>
  <c r="I159" i="17"/>
  <c r="K159" i="17"/>
  <c r="J79" i="16"/>
  <c r="J73" i="16"/>
  <c r="J68" i="16"/>
  <c r="J62" i="16"/>
  <c r="J60" i="16"/>
  <c r="J56" i="16"/>
  <c r="J53" i="16"/>
  <c r="J47" i="16"/>
  <c r="J31" i="16"/>
  <c r="H79" i="16"/>
  <c r="H73" i="16"/>
  <c r="H68" i="16"/>
  <c r="H62" i="16"/>
  <c r="H47" i="16"/>
  <c r="J13" i="16"/>
  <c r="K85" i="16"/>
  <c r="I79" i="16"/>
  <c r="I73" i="16"/>
  <c r="I68" i="16"/>
  <c r="I62" i="16"/>
  <c r="I60" i="16"/>
  <c r="H60" i="16" s="1"/>
  <c r="I56" i="16"/>
  <c r="H56" i="16" s="1"/>
  <c r="I53" i="16"/>
  <c r="H53" i="16" s="1"/>
  <c r="I47" i="16"/>
  <c r="I31" i="16"/>
  <c r="H31" i="16" s="1"/>
  <c r="I13" i="16"/>
  <c r="H13" i="16" s="1"/>
  <c r="K19" i="5"/>
  <c r="I19" i="5"/>
  <c r="I20" i="5" s="1"/>
  <c r="J14" i="15"/>
  <c r="J15" i="15"/>
  <c r="J13" i="15"/>
  <c r="H14" i="15"/>
  <c r="H15" i="15"/>
  <c r="H13" i="15"/>
  <c r="I16" i="15"/>
  <c r="K16" i="15"/>
  <c r="K54" i="14"/>
  <c r="J15" i="14"/>
  <c r="J16" i="14"/>
  <c r="J18" i="14"/>
  <c r="J19" i="14"/>
  <c r="J20" i="14"/>
  <c r="J22" i="14"/>
  <c r="J23" i="14"/>
  <c r="J24" i="14"/>
  <c r="J26" i="14"/>
  <c r="J28" i="14"/>
  <c r="J29" i="14"/>
  <c r="J31" i="14"/>
  <c r="J32" i="14"/>
  <c r="J34" i="14"/>
  <c r="J35" i="14"/>
  <c r="J37" i="14"/>
  <c r="J42" i="14"/>
  <c r="J44" i="14"/>
  <c r="H15" i="14"/>
  <c r="H16" i="14"/>
  <c r="H18" i="14"/>
  <c r="H19" i="14"/>
  <c r="H20" i="14"/>
  <c r="H22" i="14"/>
  <c r="H23" i="14"/>
  <c r="H24" i="14"/>
  <c r="H26" i="14"/>
  <c r="H28" i="14"/>
  <c r="H29" i="14"/>
  <c r="H31" i="14"/>
  <c r="H32" i="14"/>
  <c r="H34" i="14"/>
  <c r="H35" i="14"/>
  <c r="H37" i="14"/>
  <c r="H42" i="14"/>
  <c r="H44" i="14"/>
  <c r="H48" i="14"/>
  <c r="J14" i="14"/>
  <c r="H14" i="14"/>
  <c r="I54" i="14"/>
  <c r="J239" i="13"/>
  <c r="J231" i="13"/>
  <c r="J220" i="13"/>
  <c r="J202" i="13"/>
  <c r="J197" i="13"/>
  <c r="J194" i="13"/>
  <c r="J191" i="13"/>
  <c r="J188" i="13"/>
  <c r="J185" i="13"/>
  <c r="J184" i="13"/>
  <c r="J181" i="13"/>
  <c r="J178" i="13"/>
  <c r="J175" i="13"/>
  <c r="J172" i="13"/>
  <c r="J168" i="13"/>
  <c r="J163" i="13"/>
  <c r="J162" i="13"/>
  <c r="J161" i="13"/>
  <c r="J150" i="13"/>
  <c r="J144" i="13"/>
  <c r="J124" i="13"/>
  <c r="J109" i="13"/>
  <c r="J103" i="13"/>
  <c r="J88" i="13"/>
  <c r="J85" i="13"/>
  <c r="J70" i="13"/>
  <c r="J63" i="13"/>
  <c r="J56" i="13"/>
  <c r="J51" i="13"/>
  <c r="J46" i="13"/>
  <c r="J43" i="13"/>
  <c r="J36" i="13"/>
  <c r="J31" i="13"/>
  <c r="J24" i="13"/>
  <c r="J19" i="13"/>
  <c r="H197" i="13"/>
  <c r="H194" i="13"/>
  <c r="H191" i="13"/>
  <c r="H188" i="13"/>
  <c r="H184" i="13"/>
  <c r="H168" i="13"/>
  <c r="H124" i="13"/>
  <c r="H85" i="13"/>
  <c r="H43" i="13"/>
  <c r="J14" i="13"/>
  <c r="H14" i="13"/>
  <c r="K243" i="13"/>
  <c r="I239" i="13"/>
  <c r="H239" i="13" s="1"/>
  <c r="I231" i="13"/>
  <c r="H231" i="13" s="1"/>
  <c r="I220" i="13"/>
  <c r="H220" i="13" s="1"/>
  <c r="I202" i="13"/>
  <c r="H202" i="13" s="1"/>
  <c r="I185" i="13"/>
  <c r="H185" i="13" s="1"/>
  <c r="I181" i="13"/>
  <c r="H181" i="13" s="1"/>
  <c r="I178" i="13"/>
  <c r="H178" i="13" s="1"/>
  <c r="I175" i="13"/>
  <c r="H175" i="13" s="1"/>
  <c r="I172" i="13"/>
  <c r="H172" i="13" s="1"/>
  <c r="I163" i="13"/>
  <c r="H163" i="13" s="1"/>
  <c r="I162" i="13"/>
  <c r="H162" i="13" s="1"/>
  <c r="I161" i="13"/>
  <c r="H161" i="13" s="1"/>
  <c r="I150" i="13"/>
  <c r="H150" i="13" s="1"/>
  <c r="I144" i="13"/>
  <c r="H144" i="13" s="1"/>
  <c r="I127" i="13"/>
  <c r="H127" i="13" s="1"/>
  <c r="I109" i="13"/>
  <c r="H109" i="13" s="1"/>
  <c r="I103" i="13"/>
  <c r="H103" i="13" s="1"/>
  <c r="I88" i="13"/>
  <c r="H88" i="13" s="1"/>
  <c r="I70" i="13"/>
  <c r="H70" i="13" s="1"/>
  <c r="I63" i="13"/>
  <c r="H63" i="13" s="1"/>
  <c r="I56" i="13"/>
  <c r="H56" i="13" s="1"/>
  <c r="I51" i="13"/>
  <c r="H51" i="13" s="1"/>
  <c r="I46" i="13"/>
  <c r="H46" i="13" s="1"/>
  <c r="I36" i="13"/>
  <c r="H36" i="13" s="1"/>
  <c r="I31" i="13"/>
  <c r="H31" i="13" s="1"/>
  <c r="I24" i="13"/>
  <c r="H24" i="13" s="1"/>
  <c r="I19" i="13"/>
  <c r="H19" i="13" s="1"/>
  <c r="K100" i="12"/>
  <c r="I94" i="12"/>
  <c r="I88" i="12"/>
  <c r="I83" i="12"/>
  <c r="I77" i="12"/>
  <c r="I75" i="12"/>
  <c r="I71" i="12"/>
  <c r="I65" i="12"/>
  <c r="I63" i="12"/>
  <c r="I62" i="12"/>
  <c r="I47" i="12"/>
  <c r="I29" i="12"/>
  <c r="I12" i="12"/>
  <c r="I100" i="12" s="1"/>
  <c r="J14" i="11"/>
  <c r="J15" i="11"/>
  <c r="J17" i="11"/>
  <c r="J19" i="11"/>
  <c r="J20" i="11"/>
  <c r="J23" i="11"/>
  <c r="J32" i="11"/>
  <c r="J33" i="11"/>
  <c r="J39" i="11"/>
  <c r="J42" i="11"/>
  <c r="J52" i="11"/>
  <c r="J58" i="11"/>
  <c r="J61" i="11"/>
  <c r="J66" i="11"/>
  <c r="J71" i="11"/>
  <c r="J74" i="11"/>
  <c r="J78" i="11"/>
  <c r="J83" i="11"/>
  <c r="J91" i="11"/>
  <c r="J96" i="11"/>
  <c r="J102" i="11"/>
  <c r="J110" i="11"/>
  <c r="J112" i="11"/>
  <c r="H14" i="11"/>
  <c r="H15" i="11"/>
  <c r="H17" i="11"/>
  <c r="H19" i="11"/>
  <c r="H20" i="11"/>
  <c r="H32" i="11"/>
  <c r="H110" i="11"/>
  <c r="J13" i="11"/>
  <c r="H13" i="11"/>
  <c r="I91" i="11"/>
  <c r="H91" i="11" s="1"/>
  <c r="K117" i="11"/>
  <c r="I112" i="11"/>
  <c r="H112" i="11" s="1"/>
  <c r="I102" i="11"/>
  <c r="H102" i="11" s="1"/>
  <c r="I96" i="11"/>
  <c r="H96" i="11" s="1"/>
  <c r="I83" i="11"/>
  <c r="H83" i="11" s="1"/>
  <c r="I78" i="11"/>
  <c r="H78" i="11" s="1"/>
  <c r="I74" i="11"/>
  <c r="H74" i="11" s="1"/>
  <c r="I71" i="11"/>
  <c r="H71" i="11" s="1"/>
  <c r="I66" i="11"/>
  <c r="H66" i="11" s="1"/>
  <c r="I61" i="11"/>
  <c r="H61" i="11" s="1"/>
  <c r="I58" i="11"/>
  <c r="H58" i="11" s="1"/>
  <c r="I52" i="11"/>
  <c r="H52" i="11" s="1"/>
  <c r="I42" i="11"/>
  <c r="H42" i="11" s="1"/>
  <c r="I39" i="11"/>
  <c r="H39" i="11" s="1"/>
  <c r="I33" i="11"/>
  <c r="H33" i="11" s="1"/>
  <c r="I23" i="11"/>
  <c r="H23" i="11" s="1"/>
  <c r="K32" i="10"/>
  <c r="I25" i="10"/>
  <c r="I22" i="10"/>
  <c r="I32" i="10" s="1"/>
  <c r="I33" i="10" s="1"/>
  <c r="J32" i="9"/>
  <c r="J33" i="9"/>
  <c r="J30" i="9"/>
  <c r="J18" i="9"/>
  <c r="J20" i="9"/>
  <c r="J21" i="9"/>
  <c r="H18" i="9"/>
  <c r="H20" i="9"/>
  <c r="H21" i="9"/>
  <c r="H26" i="9"/>
  <c r="H30" i="9"/>
  <c r="H32" i="9"/>
  <c r="H33" i="9"/>
  <c r="J14" i="9"/>
  <c r="H14" i="9"/>
  <c r="I26" i="9"/>
  <c r="I23" i="9"/>
  <c r="H23" i="9" s="1"/>
  <c r="K34" i="9"/>
  <c r="I34" i="9"/>
  <c r="J15" i="8"/>
  <c r="J17" i="8"/>
  <c r="J19" i="8"/>
  <c r="J27" i="8"/>
  <c r="J35" i="8"/>
  <c r="J45" i="8"/>
  <c r="J48" i="8"/>
  <c r="J49" i="8"/>
  <c r="J51" i="8"/>
  <c r="J56" i="8"/>
  <c r="J62" i="8"/>
  <c r="J73" i="8"/>
  <c r="J74" i="8"/>
  <c r="J75" i="8"/>
  <c r="J76" i="8"/>
  <c r="J77" i="8"/>
  <c r="J79" i="8"/>
  <c r="J80" i="8"/>
  <c r="J81" i="8"/>
  <c r="J83" i="8"/>
  <c r="J92" i="8"/>
  <c r="J98" i="8"/>
  <c r="J105" i="8"/>
  <c r="H15" i="8"/>
  <c r="H17" i="8"/>
  <c r="H35" i="8"/>
  <c r="H48" i="8"/>
  <c r="H49" i="8"/>
  <c r="H73" i="8"/>
  <c r="H74" i="8"/>
  <c r="H75" i="8"/>
  <c r="H76" i="8"/>
  <c r="H77" i="8"/>
  <c r="H79" i="8"/>
  <c r="H80" i="8"/>
  <c r="H81" i="8"/>
  <c r="J13" i="8"/>
  <c r="H13" i="8"/>
  <c r="H105" i="8"/>
  <c r="H98" i="8"/>
  <c r="H92" i="8"/>
  <c r="H83" i="8"/>
  <c r="H62" i="8"/>
  <c r="H56" i="8"/>
  <c r="H51" i="8"/>
  <c r="H45" i="8"/>
  <c r="H27" i="8"/>
  <c r="H19" i="8"/>
  <c r="J15" i="7"/>
  <c r="J16" i="7"/>
  <c r="J18" i="7"/>
  <c r="J20" i="7"/>
  <c r="J21" i="7"/>
  <c r="J24" i="7"/>
  <c r="J34" i="7"/>
  <c r="J40" i="7"/>
  <c r="J43" i="7"/>
  <c r="J53" i="7"/>
  <c r="J57" i="7"/>
  <c r="J59" i="7"/>
  <c r="J62" i="7"/>
  <c r="J67" i="7"/>
  <c r="J70" i="7"/>
  <c r="J72" i="7"/>
  <c r="J75" i="7"/>
  <c r="J79" i="7"/>
  <c r="J84" i="7"/>
  <c r="J92" i="7"/>
  <c r="J97" i="7"/>
  <c r="J105" i="7"/>
  <c r="J107" i="7"/>
  <c r="J112" i="7"/>
  <c r="J120" i="7"/>
  <c r="J122" i="7"/>
  <c r="H15" i="7"/>
  <c r="H16" i="7"/>
  <c r="H18" i="7"/>
  <c r="H20" i="7"/>
  <c r="H21" i="7"/>
  <c r="H57" i="7"/>
  <c r="H70" i="7"/>
  <c r="H92" i="7"/>
  <c r="H105" i="7"/>
  <c r="J14" i="7"/>
  <c r="H14" i="7"/>
  <c r="I92" i="7"/>
  <c r="I122" i="7"/>
  <c r="H122" i="7" s="1"/>
  <c r="I120" i="7"/>
  <c r="H120" i="7" s="1"/>
  <c r="I112" i="7"/>
  <c r="H112" i="7" s="1"/>
  <c r="I107" i="7"/>
  <c r="H107" i="7" s="1"/>
  <c r="I97" i="7"/>
  <c r="H97" i="7" s="1"/>
  <c r="I84" i="7"/>
  <c r="H84" i="7" s="1"/>
  <c r="I79" i="7"/>
  <c r="H79" i="7" s="1"/>
  <c r="I75" i="7"/>
  <c r="H75" i="7" s="1"/>
  <c r="I72" i="7"/>
  <c r="H72" i="7" s="1"/>
  <c r="I67" i="7"/>
  <c r="H67" i="7" s="1"/>
  <c r="I62" i="7"/>
  <c r="H62" i="7" s="1"/>
  <c r="I59" i="7"/>
  <c r="H59" i="7" s="1"/>
  <c r="I53" i="7"/>
  <c r="H53" i="7" s="1"/>
  <c r="I43" i="7"/>
  <c r="H43" i="7" s="1"/>
  <c r="I40" i="7"/>
  <c r="H40" i="7" s="1"/>
  <c r="I34" i="7"/>
  <c r="H34" i="7" s="1"/>
  <c r="I24" i="7"/>
  <c r="H24" i="7" s="1"/>
  <c r="K126" i="7"/>
  <c r="J14" i="6"/>
  <c r="J15" i="6"/>
  <c r="J17" i="6"/>
  <c r="J19" i="6"/>
  <c r="J20" i="6"/>
  <c r="J23" i="6"/>
  <c r="J33" i="6"/>
  <c r="J39" i="6"/>
  <c r="J42" i="6"/>
  <c r="J52" i="6"/>
  <c r="J58" i="6"/>
  <c r="J61" i="6"/>
  <c r="J66" i="6"/>
  <c r="J69" i="6"/>
  <c r="J71" i="6"/>
  <c r="J74" i="6"/>
  <c r="J78" i="6"/>
  <c r="J83" i="6"/>
  <c r="J13" i="6"/>
  <c r="H39" i="6"/>
  <c r="H69" i="6"/>
  <c r="H83" i="6"/>
  <c r="H17" i="6"/>
  <c r="H19" i="6"/>
  <c r="H20" i="6"/>
  <c r="H14" i="6"/>
  <c r="H15" i="6"/>
  <c r="H13" i="6"/>
  <c r="K90" i="6"/>
  <c r="I83" i="6"/>
  <c r="I78" i="6"/>
  <c r="H78" i="6" s="1"/>
  <c r="I74" i="6"/>
  <c r="H74" i="6" s="1"/>
  <c r="I71" i="6"/>
  <c r="H71" i="6" s="1"/>
  <c r="I66" i="6"/>
  <c r="H66" i="6" s="1"/>
  <c r="I61" i="6"/>
  <c r="H61" i="6" s="1"/>
  <c r="I58" i="6"/>
  <c r="H58" i="6" s="1"/>
  <c r="I52" i="6"/>
  <c r="H52" i="6" s="1"/>
  <c r="I42" i="6"/>
  <c r="H42" i="6" s="1"/>
  <c r="I39" i="6"/>
  <c r="I33" i="6"/>
  <c r="H33" i="6" s="1"/>
  <c r="I23" i="6"/>
  <c r="H18" i="5"/>
  <c r="H17" i="5"/>
  <c r="H15" i="5"/>
  <c r="H13" i="5"/>
  <c r="H12" i="5"/>
  <c r="J262" i="4"/>
  <c r="J261" i="4"/>
  <c r="H203" i="4"/>
  <c r="H143" i="4"/>
  <c r="H115" i="4"/>
  <c r="J113" i="4"/>
  <c r="J67" i="4"/>
  <c r="J65" i="4"/>
  <c r="J64" i="4"/>
  <c r="J63" i="4"/>
  <c r="J50" i="4"/>
  <c r="H20" i="4"/>
  <c r="H19" i="4"/>
  <c r="H18" i="4"/>
  <c r="H16" i="4"/>
  <c r="H14" i="4"/>
  <c r="H12" i="4"/>
  <c r="K263" i="4"/>
  <c r="J246" i="4"/>
  <c r="J229" i="4"/>
  <c r="J222" i="4"/>
  <c r="J216" i="4"/>
  <c r="J211" i="4"/>
  <c r="J205" i="4"/>
  <c r="J199" i="4"/>
  <c r="J193" i="4"/>
  <c r="J186" i="4"/>
  <c r="J169" i="4"/>
  <c r="J162" i="4"/>
  <c r="J156" i="4"/>
  <c r="J151" i="4"/>
  <c r="J145" i="4"/>
  <c r="J139" i="4"/>
  <c r="J136" i="4"/>
  <c r="J130" i="4"/>
  <c r="J123" i="4"/>
  <c r="J116" i="4"/>
  <c r="J98" i="4"/>
  <c r="J89" i="4"/>
  <c r="J82" i="4"/>
  <c r="J76" i="4"/>
  <c r="J52" i="4"/>
  <c r="J34" i="4"/>
  <c r="J28" i="4"/>
  <c r="J23" i="4"/>
  <c r="I246" i="4"/>
  <c r="H246" i="4" s="1"/>
  <c r="I229" i="4"/>
  <c r="H229" i="4" s="1"/>
  <c r="I222" i="4"/>
  <c r="H222" i="4" s="1"/>
  <c r="I216" i="4"/>
  <c r="H216" i="4" s="1"/>
  <c r="I211" i="4"/>
  <c r="H211" i="4" s="1"/>
  <c r="I205" i="4"/>
  <c r="H205" i="4" s="1"/>
  <c r="I199" i="4"/>
  <c r="H199" i="4" s="1"/>
  <c r="I193" i="4"/>
  <c r="H193" i="4" s="1"/>
  <c r="I186" i="4"/>
  <c r="H186" i="4" s="1"/>
  <c r="I169" i="4"/>
  <c r="H169" i="4" s="1"/>
  <c r="I162" i="4"/>
  <c r="H162" i="4" s="1"/>
  <c r="I156" i="4"/>
  <c r="H156" i="4" s="1"/>
  <c r="I151" i="4"/>
  <c r="H151" i="4" s="1"/>
  <c r="I145" i="4"/>
  <c r="H145" i="4" s="1"/>
  <c r="I139" i="4"/>
  <c r="H139" i="4" s="1"/>
  <c r="I136" i="4"/>
  <c r="H136" i="4" s="1"/>
  <c r="I130" i="4"/>
  <c r="H130" i="4" s="1"/>
  <c r="I123" i="4"/>
  <c r="H123" i="4" s="1"/>
  <c r="I116" i="4"/>
  <c r="H116" i="4" s="1"/>
  <c r="I98" i="4"/>
  <c r="H98" i="4" s="1"/>
  <c r="I89" i="4"/>
  <c r="H89" i="4" s="1"/>
  <c r="I82" i="4"/>
  <c r="H82" i="4" s="1"/>
  <c r="I76" i="4"/>
  <c r="H76" i="4" s="1"/>
  <c r="I67" i="4"/>
  <c r="H67" i="4" s="1"/>
  <c r="I52" i="4"/>
  <c r="H52" i="4" s="1"/>
  <c r="I34" i="4"/>
  <c r="H34" i="4" s="1"/>
  <c r="I28" i="4"/>
  <c r="H28" i="4" s="1"/>
  <c r="I23" i="4"/>
  <c r="H23" i="4" s="1"/>
  <c r="J165" i="3"/>
  <c r="J162" i="3"/>
  <c r="H153" i="3"/>
  <c r="H149" i="3"/>
  <c r="H97" i="3"/>
  <c r="H95" i="3"/>
  <c r="H93" i="3"/>
  <c r="H92" i="3"/>
  <c r="J97" i="3"/>
  <c r="J96" i="3"/>
  <c r="J95" i="3"/>
  <c r="J94" i="3"/>
  <c r="J93" i="3"/>
  <c r="J92" i="3"/>
  <c r="J76" i="3"/>
  <c r="J74" i="3"/>
  <c r="J161" i="3"/>
  <c r="J157" i="3"/>
  <c r="J155" i="3"/>
  <c r="J152" i="3"/>
  <c r="J151" i="3"/>
  <c r="J148" i="3"/>
  <c r="J147" i="3"/>
  <c r="J127" i="3"/>
  <c r="J120" i="3"/>
  <c r="J115" i="3"/>
  <c r="J104" i="3"/>
  <c r="J101" i="3"/>
  <c r="J99" i="3"/>
  <c r="J91" i="3"/>
  <c r="J84" i="3"/>
  <c r="J78" i="3"/>
  <c r="J69" i="3"/>
  <c r="J64" i="3"/>
  <c r="J51" i="3"/>
  <c r="H161" i="3"/>
  <c r="H155" i="3"/>
  <c r="H152" i="3"/>
  <c r="H151" i="3"/>
  <c r="H148" i="3"/>
  <c r="H147" i="3"/>
  <c r="H101" i="3"/>
  <c r="H99" i="3"/>
  <c r="H96" i="3"/>
  <c r="H94" i="3"/>
  <c r="H91" i="3"/>
  <c r="J38" i="3"/>
  <c r="J25" i="3"/>
  <c r="I165" i="3"/>
  <c r="I164" i="3"/>
  <c r="H164" i="3" s="1"/>
  <c r="I162" i="3"/>
  <c r="I157" i="3"/>
  <c r="H157" i="3" s="1"/>
  <c r="I127" i="3"/>
  <c r="H127" i="3" s="1"/>
  <c r="I120" i="3"/>
  <c r="H120" i="3" s="1"/>
  <c r="I115" i="3"/>
  <c r="H115" i="3" s="1"/>
  <c r="I104" i="3"/>
  <c r="H104" i="3" s="1"/>
  <c r="I84" i="3"/>
  <c r="H84" i="3" s="1"/>
  <c r="I78" i="3"/>
  <c r="H78" i="3" s="1"/>
  <c r="I76" i="3"/>
  <c r="I74" i="3"/>
  <c r="I69" i="3"/>
  <c r="H69" i="3" s="1"/>
  <c r="I64" i="3"/>
  <c r="H64" i="3" s="1"/>
  <c r="I51" i="3"/>
  <c r="H51" i="3" s="1"/>
  <c r="I38" i="3"/>
  <c r="H38" i="3" s="1"/>
  <c r="I25" i="3"/>
  <c r="H25" i="3" s="1"/>
  <c r="K166" i="3"/>
  <c r="J12" i="3"/>
  <c r="H12" i="3"/>
  <c r="J67" i="2"/>
  <c r="J66" i="2"/>
  <c r="H67" i="2"/>
  <c r="H66" i="2"/>
  <c r="J64" i="2"/>
  <c r="H64" i="2"/>
  <c r="J52" i="2"/>
  <c r="H52" i="2"/>
  <c r="J49" i="2"/>
  <c r="J48" i="2"/>
  <c r="H49" i="2"/>
  <c r="H48" i="2"/>
  <c r="J36" i="2"/>
  <c r="H36" i="2"/>
  <c r="J24" i="2"/>
  <c r="H24" i="2"/>
  <c r="H12" i="2"/>
  <c r="J12" i="2"/>
  <c r="K68" i="2"/>
  <c r="K31" i="1"/>
  <c r="J15" i="1"/>
  <c r="J17" i="1"/>
  <c r="J19" i="1"/>
  <c r="J21" i="1"/>
  <c r="J23" i="1"/>
  <c r="J25" i="1"/>
  <c r="J27" i="1"/>
  <c r="J28" i="1"/>
  <c r="J30" i="1"/>
  <c r="H15" i="1"/>
  <c r="H17" i="1"/>
  <c r="H19" i="1"/>
  <c r="H21" i="1"/>
  <c r="H25" i="1"/>
  <c r="H27" i="1"/>
  <c r="H30" i="1"/>
  <c r="J13" i="1"/>
  <c r="I28" i="1"/>
  <c r="H28" i="1" s="1"/>
  <c r="I23" i="1"/>
  <c r="H23" i="1" s="1"/>
  <c r="I238" i="21" l="1"/>
  <c r="I239" i="21" s="1"/>
  <c r="I272" i="30"/>
  <c r="I273" i="30" s="1"/>
  <c r="N274" i="30" s="1"/>
  <c r="N275" i="30" s="1"/>
  <c r="H20" i="30"/>
  <c r="I134" i="23"/>
  <c r="I135" i="23" s="1"/>
  <c r="I160" i="17"/>
  <c r="I85" i="16"/>
  <c r="I86" i="16" s="1"/>
  <c r="I17" i="15"/>
  <c r="J48" i="14"/>
  <c r="I55" i="14"/>
  <c r="I243" i="13"/>
  <c r="I244" i="13" s="1"/>
  <c r="I101" i="12"/>
  <c r="I117" i="11"/>
  <c r="I118" i="11" s="1"/>
  <c r="I35" i="9"/>
  <c r="I126" i="7"/>
  <c r="I127" i="7" s="1"/>
  <c r="M123" i="7" s="1"/>
  <c r="M124" i="7" s="1"/>
  <c r="I90" i="6"/>
  <c r="I91" i="6" s="1"/>
  <c r="H23" i="6"/>
  <c r="I263" i="4"/>
  <c r="I264" i="4" s="1"/>
  <c r="I166" i="3"/>
  <c r="I68" i="2"/>
  <c r="I69" i="2" s="1"/>
  <c r="I31" i="1"/>
  <c r="I32" i="1" s="1"/>
  <c r="I167" i="3" l="1"/>
  <c r="I230" i="35"/>
  <c r="I330" i="35" s="1"/>
  <c r="K330" i="35"/>
  <c r="I331" i="35" l="1"/>
  <c r="I24" i="44" l="1"/>
  <c r="I30" i="32" l="1"/>
  <c r="I186" i="32" s="1"/>
  <c r="K186" i="32"/>
  <c r="F23" i="44" s="1"/>
  <c r="I25" i="44" l="1"/>
  <c r="G23" i="44"/>
  <c r="I23" i="44" s="1"/>
  <c r="I80" i="44" s="1"/>
  <c r="I81" i="44" s="1"/>
  <c r="I82" i="44" s="1"/>
  <c r="I83" i="44" s="1"/>
  <c r="I84" i="44" s="1"/>
  <c r="I187" i="32"/>
</calcChain>
</file>

<file path=xl/sharedStrings.xml><?xml version="1.0" encoding="utf-8"?>
<sst xmlns="http://schemas.openxmlformats.org/spreadsheetml/2006/main" count="26439" uniqueCount="5743">
  <si>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</si>
  <si>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</si>
  <si>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</si>
  <si>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</si>
  <si>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</si>
  <si>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</si>
  <si>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</si>
  <si>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</si>
  <si>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</si>
  <si>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</si>
  <si>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</si>
  <si>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</si>
  <si>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</si>
  <si>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</si>
  <si>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</si>
  <si>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</si>
  <si>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</si>
  <si>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</si>
  <si>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</si>
  <si>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</si>
  <si>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2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</si>
  <si>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</si>
  <si>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</si>
  <si>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</si>
  <si>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</si>
  <si>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</si>
  <si>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</si>
  <si>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</si>
  <si>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</si>
  <si>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</si>
  <si>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</si>
  <si>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26.1.02.08-0101</t>
  </si>
  <si>
    <t>Стыки изолирующие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</si>
  <si>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</si>
  <si>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</si>
  <si>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</si>
  <si>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</si>
  <si>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</si>
  <si>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</si>
  <si>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</si>
  <si>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</si>
  <si>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</si>
  <si>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</si>
  <si>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</si>
  <si>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02.2.05.04-1777</t>
  </si>
  <si>
    <t>Щебень М 800, фракция 20-40 мм, группа 2</t>
  </si>
  <si>
    <t>м3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</si>
  <si>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</si>
  <si>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</si>
  <si>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</si>
  <si>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</si>
  <si>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</si>
  <si>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</si>
  <si>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</si>
  <si>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</si>
  <si>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9</t>
  </si>
  <si>
    <t>10</t>
  </si>
  <si>
    <t xml:space="preserve">  ВСЕГО по смете</t>
  </si>
  <si>
    <t>Составил:  ____________________________ Бузина А.А.</t>
  </si>
  <si>
    <t>[должность, подпись (инициалы, фамилия)]</t>
  </si>
  <si>
    <t>Проверил:  ____________________________ Шидловская А.Ю.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</si>
  <si>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</si>
  <si>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</si>
  <si>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</si>
  <si>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</si>
  <si>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</si>
  <si>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</si>
  <si>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</si>
  <si>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01.2.03.03-0107</t>
  </si>
  <si>
    <t>Мастика битумно-масляная морозостойкая горячего применения</t>
  </si>
  <si>
    <t>т</t>
  </si>
  <si>
    <t>01.3.01.08-0002</t>
  </si>
  <si>
    <t>Топливо дизельное из малосернистых нефтей</t>
  </si>
  <si>
    <t>01.7.07.29-0111</t>
  </si>
  <si>
    <t>Пакля пропитанная</t>
  </si>
  <si>
    <t>кг</t>
  </si>
  <si>
    <t>01.7.15.06-0111</t>
  </si>
  <si>
    <t>Гвозди строительные</t>
  </si>
  <si>
    <t>П,Н</t>
  </si>
  <si>
    <t>02.2.05.04</t>
  </si>
  <si>
    <t>Щебень из природного камня для строительных работ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</si>
  <si>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</si>
  <si>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</si>
  <si>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</si>
  <si>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</si>
  <si>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</si>
  <si>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</si>
  <si>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</si>
  <si>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</si>
  <si>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14.4.03.03-0002</t>
  </si>
  <si>
    <t>Лак битумный БТ-123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</si>
  <si>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</si>
  <si>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</si>
  <si>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</si>
  <si>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Демонтаж железобетонного лотка h-1,00 м (междупутного)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</si>
  <si>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</si>
  <si>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</si>
  <si>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</si>
  <si>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</si>
  <si>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</si>
  <si>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</si>
  <si>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</si>
  <si>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</si>
  <si>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01.7.16.04-0013</t>
  </si>
  <si>
    <t>Опалубка металлическая</t>
  </si>
  <si>
    <t>03.2.01.01-0001</t>
  </si>
  <si>
    <t>Портландцемент общестроительного назначения бездобавочный М400 Д0 (ЦЕМ I 32,5Н)</t>
  </si>
  <si>
    <t>04.1.02.05-0006</t>
  </si>
  <si>
    <t>Смеси бетонные тяжелого бетона (БСТ), класс В15 (М200)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</si>
  <si>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</si>
  <si>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</si>
  <si>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</si>
  <si>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</si>
  <si>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05.1.01.09</t>
  </si>
  <si>
    <t>Кольца для колодцев сборные железобетонные диаметром 1000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</si>
  <si>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</si>
  <si>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</si>
  <si>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</si>
  <si>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</si>
  <si>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</si>
  <si>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</si>
  <si>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</si>
  <si>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</si>
  <si>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</si>
  <si>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</si>
  <si>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100 м3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</si>
  <si>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</si>
  <si>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</si>
  <si>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</si>
  <si>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Д</t>
  </si>
  <si>
    <t>ФССЦ-05.1.01.10-0104</t>
  </si>
  <si>
    <t>Лотки железобетонные водопропускные трапецеидального сечения</t>
  </si>
  <si>
    <t>Устройство железобетонного лотка h-1,00 м (междупутного)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</si>
  <si>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</si>
  <si>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</si>
  <si>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</si>
  <si>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</si>
  <si>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</si>
  <si>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</si>
  <si>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</si>
  <si>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ФЕР07-06-002-05</t>
  </si>
  <si>
    <t>Устройство плит перекрытий каналов площадью: до 0,5 м2</t>
  </si>
  <si>
    <t>100 шт</t>
  </si>
  <si>
    <t>Н</t>
  </si>
  <si>
    <t>05.1.01.12</t>
  </si>
  <si>
    <t>ФССЦ-05.1.01.13-0043</t>
  </si>
  <si>
    <t>Плита железобетонная покрытий, перекрытий и днищ</t>
  </si>
  <si>
    <t>Железобетонные распорные крышки для междушпальных лотков l типа l-0,75 м</t>
  </si>
  <si>
    <t>Засыпка щебнем фракции 20-40 мм М 800 - работа учтена в ФЕР30-07-030</t>
  </si>
  <si>
    <t>ФССЦ-02.2.05.04-1777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</si>
  <si>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</si>
  <si>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</si>
  <si>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</si>
  <si>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</si>
  <si>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01.7.03.01-0001</t>
  </si>
  <si>
    <t>Вода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</si>
  <si>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</si>
  <si>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</si>
  <si>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</si>
  <si>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</si>
  <si>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</si>
  <si>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</si>
  <si>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</si>
  <si>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</si>
  <si>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</si>
  <si>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</si>
  <si>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</si>
  <si>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</si>
  <si>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</si>
  <si>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</si>
  <si>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</si>
  <si>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</si>
  <si>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</si>
  <si>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</si>
  <si>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</si>
  <si>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</si>
  <si>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</si>
  <si>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</si>
  <si>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</si>
  <si>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</si>
  <si>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</si>
  <si>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</si>
  <si>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</si>
  <si>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</si>
  <si>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</si>
  <si>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</si>
  <si>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</si>
  <si>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</si>
  <si>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</si>
  <si>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</si>
  <si>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</si>
  <si>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</si>
  <si>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</si>
  <si>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</si>
  <si>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</si>
  <si>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Железобетонные крышки для междупутных лотков  l типа-0,75 м</t>
  </si>
  <si>
    <t>21</t>
  </si>
  <si>
    <t>Устройство наполнения начального звена лотка монолитным бетоном B-15</t>
  </si>
  <si>
    <t>22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</si>
  <si>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</si>
  <si>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</si>
  <si>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</si>
  <si>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</si>
  <si>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</si>
  <si>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Кольца для колодцев сборные железобетонные диаметром 1500 мм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</si>
  <si>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</si>
  <si>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</si>
  <si>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</si>
  <si>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ФССЦ-05.1.01.09-0062</t>
  </si>
  <si>
    <t>Кольцо стеновое смотровых колодцев КС15-10, бетон B20 (М250), объем 0,5 м3, расход арматуры 9,05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</si>
  <si>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</si>
  <si>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</si>
  <si>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</si>
  <si>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</si>
  <si>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</si>
  <si>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</si>
  <si>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</si>
  <si>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</si>
  <si>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</si>
  <si>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</si>
  <si>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</si>
  <si>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</si>
  <si>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</si>
  <si>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</si>
  <si>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</si>
  <si>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</si>
  <si>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</si>
  <si>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</si>
  <si>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</si>
  <si>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</si>
  <si>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</si>
  <si>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</si>
  <si>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</si>
  <si>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29</t>
  </si>
  <si>
    <t>Срезка грунта бульдозером ИГЭ (3) (группа грунтов 3) в засыпку котлована</t>
  </si>
  <si>
    <t>30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</si>
  <si>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</si>
  <si>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</si>
  <si>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</si>
  <si>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</si>
  <si>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</si>
  <si>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</si>
  <si>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</si>
  <si>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</si>
  <si>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33</t>
  </si>
  <si>
    <t>Засыпка щебнем фракции 20-40 мм М 800</t>
  </si>
  <si>
    <t>34</t>
  </si>
  <si>
    <t>35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</si>
  <si>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</si>
  <si>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</si>
  <si>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</si>
  <si>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</si>
  <si>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>Погрузка и вывоз разработанного грунта на ТБО, согласно транспортной схеме на свалку ТБО, согласно транспортной схемы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</si>
  <si>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</si>
  <si>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</si>
  <si>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</si>
  <si>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Обратная засыпка котлованов, ранее разработанным грунтом, бульдозером мощностью 96кВт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</si>
  <si>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</si>
  <si>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</si>
  <si>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</si>
  <si>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</si>
  <si>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</si>
  <si>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</si>
  <si>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0,15
0,267</t>
  </si>
  <si>
    <t>Щебень</t>
  </si>
  <si>
    <t>1,15
2,047</t>
  </si>
  <si>
    <t>ФССЦ-02.2.05.04-1767</t>
  </si>
  <si>
    <t>Щебень М 400, фракция 20-40 мм, группа 2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</si>
  <si>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</si>
  <si>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1,75
0,0084</t>
  </si>
  <si>
    <t>250
1,2</t>
  </si>
  <si>
    <t>102
0,4896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</si>
  <si>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</si>
  <si>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</si>
  <si>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</si>
  <si>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>0,73
0,007008</t>
  </si>
  <si>
    <t>30
0,288</t>
  </si>
  <si>
    <t>01.7.11.07-0032</t>
  </si>
  <si>
    <t>Электроды сварочные Э42, диаметр 4 мм</t>
  </si>
  <si>
    <t>0,005
0,000048</t>
  </si>
  <si>
    <t>0,002
0,0000192</t>
  </si>
  <si>
    <t>03.1.02.03-0011</t>
  </si>
  <si>
    <t>Известь строительная негашеная комовая, сорт I</t>
  </si>
  <si>
    <t>0,01
0,000096</t>
  </si>
  <si>
    <t>101,5
0,9744</t>
  </si>
  <si>
    <t>08.3.03.06-0002</t>
  </si>
  <si>
    <t>Проволока горячекатаная в мотках, диаметр 6,3-6,5 мм</t>
  </si>
  <si>
    <t>0,0102
0,0000979</t>
  </si>
  <si>
    <t>08.4.03.03</t>
  </si>
  <si>
    <t>Арматура</t>
  </si>
  <si>
    <t>8,1
0,07776</t>
  </si>
  <si>
    <t>11.1.03.06-0095</t>
  </si>
  <si>
    <t>Доска обрезная, хвойных пород, ширина 75-150 мм, толщина 44 мм и более, длина 4-6,5 м, сорт III</t>
  </si>
  <si>
    <t>0,04
0,000384</t>
  </si>
  <si>
    <t>11.2.13.04-0012</t>
  </si>
  <si>
    <t>Щиты из досок, толщина 40 мм</t>
  </si>
  <si>
    <t>3,6
0,03456</t>
  </si>
  <si>
    <t>ФССЦ-08.4.03.03-0034</t>
  </si>
  <si>
    <t>Сталь арматурная, горячекатаная, периодического профиля, класс А-III, диаметр 16-18 мм</t>
  </si>
  <si>
    <t>7,142857
0,0685714</t>
  </si>
  <si>
    <t>ФССЦ-08.4.03.03-0033</t>
  </si>
  <si>
    <t>Сталь арматурная, горячекатаная, периодического профиля, класс А-III, диаметр 14 мм</t>
  </si>
  <si>
    <t>3,57143
0,0342857</t>
  </si>
  <si>
    <t>ФССЦ-08.4.02.06-0003</t>
  </si>
  <si>
    <t>Сетка сварная из холоднотянутой проволоки 4-5 мм</t>
  </si>
  <si>
    <t>ФССЦ-04.1.02.05-0011</t>
  </si>
  <si>
    <t>Смеси бетонные тяжелого бетона (БСТ), класс B30 (М400)</t>
  </si>
  <si>
    <t>ФССЦ-08.4.03.03-0032</t>
  </si>
  <si>
    <t>Сталь арматурная, горячекатаная, периодического профиля, класс А-III, диаметр 12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</si>
  <si>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</si>
  <si>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</si>
  <si>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</si>
  <si>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>Устройство монолитных фундаментных блоков в основании лестничного схода в деревометаллической опалубке:</t>
  </si>
  <si>
    <t>0,73
0,00876</t>
  </si>
  <si>
    <t>30
0,36</t>
  </si>
  <si>
    <t>0,005
0,00006</t>
  </si>
  <si>
    <t>0,002
0,000024</t>
  </si>
  <si>
    <t>0,01
0,00012</t>
  </si>
  <si>
    <t>101,5
1,218</t>
  </si>
  <si>
    <t>0,0102
0,0001224</t>
  </si>
  <si>
    <t>8,1
0,0972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</si>
  <si>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</si>
  <si>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</si>
  <si>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</si>
  <si>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</si>
  <si>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</si>
  <si>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</si>
  <si>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</si>
  <si>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</si>
  <si>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</si>
  <si>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01.2.01.02</t>
  </si>
  <si>
    <t>Битум</t>
  </si>
  <si>
    <t>0,016
0,000864</t>
  </si>
  <si>
    <t>01.2.03.03</t>
  </si>
  <si>
    <t>Мастика</t>
  </si>
  <si>
    <t>0,24
0,01296</t>
  </si>
  <si>
    <t>01.3.01.03-0002</t>
  </si>
  <si>
    <t>Керосин для технических целей</t>
  </si>
  <si>
    <t>0,024
0,001296</t>
  </si>
  <si>
    <t>01.7.20.08-0051</t>
  </si>
  <si>
    <t>Ветошь</t>
  </si>
  <si>
    <t>0,1
0,0054</t>
  </si>
  <si>
    <t>ФССЦ-01.2.03.03-0007</t>
  </si>
  <si>
    <t>Мастика битумная</t>
  </si>
  <si>
    <t>ФССЦ-01.2.01.02-0001</t>
  </si>
  <si>
    <t>Битум горячий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</si>
  <si>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</si>
  <si>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</si>
  <si>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</si>
  <si>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</si>
  <si>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14.4.03.03-0102</t>
  </si>
  <si>
    <t>Лак битумный БТ-577</t>
  </si>
  <si>
    <t>0,013
0,000702</t>
  </si>
  <si>
    <t>14.5.09.11-0102</t>
  </si>
  <si>
    <t>Уайт-спирит</t>
  </si>
  <si>
    <t>1,95
0,1053</t>
  </si>
  <si>
    <t>ФССЦ-14.4.03.03-0102</t>
  </si>
  <si>
    <t>-0,013
-0,000702</t>
  </si>
  <si>
    <t>ФССЦ-14.4.01.05-0103</t>
  </si>
  <si>
    <t>Грунт HEMPEL’S CONTEX SEALER 26600</t>
  </si>
  <si>
    <t>40
2,16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</si>
  <si>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</si>
  <si>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</si>
  <si>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</si>
  <si>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</si>
  <si>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</si>
  <si>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>0,04
0,00216</t>
  </si>
  <si>
    <t>14.5.09.04-0111</t>
  </si>
  <si>
    <t>Отвердитель № 1</t>
  </si>
  <si>
    <t>0,0006
0,0000324</t>
  </si>
  <si>
    <t>14.5.09.07-0030</t>
  </si>
  <si>
    <t>Растворитель Р-4</t>
  </si>
  <si>
    <t>4
0,216</t>
  </si>
  <si>
    <t>ФССЦ-14.4.04.12-0014</t>
  </si>
  <si>
    <t>-0,04
-0,00216</t>
  </si>
  <si>
    <t>ФССЦ-14.4.04.10-0107</t>
  </si>
  <si>
    <t>Эмаль HEMPEL'S CONTEX SMOOTH 46600 серая</t>
  </si>
  <si>
    <t>33
1,782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</si>
  <si>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</si>
  <si>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</si>
  <si>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</si>
  <si>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</si>
  <si>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</si>
  <si>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</t>
  </si>
  <si>
    <t>01.3.02.08-0001</t>
  </si>
  <si>
    <t>Кислород газообразный технический</t>
  </si>
  <si>
    <t>1,95
28,236</t>
  </si>
  <si>
    <t>01.3.02.09-0022</t>
  </si>
  <si>
    <t>Пропан-бутан смесь техническая</t>
  </si>
  <si>
    <t>0,59
8,5432</t>
  </si>
  <si>
    <t>0,002
0,02896</t>
  </si>
  <si>
    <t>01.7.15.03-0042</t>
  </si>
  <si>
    <t>Болты с гайками и шайбами строительные</t>
  </si>
  <si>
    <t>3
43,44</t>
  </si>
  <si>
    <t>0,00001
0,0001448</t>
  </si>
  <si>
    <t>01.7.20.08-0071</t>
  </si>
  <si>
    <t>Канат пеньковый пропитанный</t>
  </si>
  <si>
    <t>0,0001
0,001448</t>
  </si>
  <si>
    <t>07.2.07.12</t>
  </si>
  <si>
    <t>Конструкции стальные</t>
  </si>
  <si>
    <t>1
14,48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</si>
  <si>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</si>
  <si>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</si>
  <si>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0,016
0,23168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</si>
  <si>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</si>
  <si>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</si>
  <si>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</si>
  <si>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
0,270776</t>
  </si>
  <si>
    <t>0,00003
0,0004344</t>
  </si>
  <si>
    <t>08.3.11.01-0091</t>
  </si>
  <si>
    <t>Швеллеры № 40, марка стали Ст0</t>
  </si>
  <si>
    <t>0,00194
0,0280912</t>
  </si>
  <si>
    <t>11.1.03.01-0077</t>
  </si>
  <si>
    <t>Бруски обрезные, хвойных пород, длина 4-6,5 м, ширина 75-150 мм, толщина 40-75 мм, сорт I</t>
  </si>
  <si>
    <t>0,0007
0,010136</t>
  </si>
  <si>
    <t>14.4.01.01-0003</t>
  </si>
  <si>
    <t>Грунтовка ГФ-021</t>
  </si>
  <si>
    <t>0,00031
0,0044888</t>
  </si>
  <si>
    <t>0,6
8,688</t>
  </si>
  <si>
    <t>ФССЦ-07.3.01.01-0002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</si>
  <si>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</si>
  <si>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</si>
  <si>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</si>
  <si>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</si>
  <si>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</si>
  <si>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</si>
  <si>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04.3.02.04</t>
  </si>
  <si>
    <t>Смесь бетонная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</si>
  <si>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</si>
  <si>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</si>
  <si>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</si>
  <si>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ФССЦ-04.3.02.04-0306</t>
  </si>
  <si>
    <t>Смесь бетонная сухая безусадочная быстротвердеющая MasterEmaco S466 (EMACO S66) наливного типа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</si>
  <si>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</si>
  <si>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</si>
  <si>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</si>
  <si>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</si>
  <si>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</si>
  <si>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</si>
  <si>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01.7.15.01</t>
  </si>
  <si>
    <t>Анкер-шпилька</t>
  </si>
  <si>
    <t>100
32</t>
  </si>
  <si>
    <t>11.3.03.15-0021</t>
  </si>
  <si>
    <t>Клинья пластиковые монтажные</t>
  </si>
  <si>
    <t>2
0,64</t>
  </si>
  <si>
    <t>14.1.06.06</t>
  </si>
  <si>
    <t>Анкер химический</t>
  </si>
  <si>
    <t>ФССЦ-01.7.15.01-0094</t>
  </si>
  <si>
    <t>Шпилька анкерная Hilti: HIT-V-5,8 М24х450 (HAS) для использования с химическими анкерами HIT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</si>
  <si>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</si>
  <si>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</si>
  <si>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</si>
  <si>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ФЕР13-03-002-17</t>
  </si>
  <si>
    <t>Огрунтовка металлических поверхностей за один раз: грунтовкой цинконаполненной</t>
  </si>
  <si>
    <t>14.4.01.20-0012</t>
  </si>
  <si>
    <t>Грунтовка антикоррозионная цинкнаполненная быстросохнущая, преобразователь ржавчины и окалины</t>
  </si>
  <si>
    <t>0,015
0,0225</t>
  </si>
  <si>
    <t>0,75
1,125</t>
  </si>
  <si>
    <t>ФССЦ-14.4.01.20-0012</t>
  </si>
  <si>
    <t>-0,015
-0,0225</t>
  </si>
  <si>
    <t>ФССЦ-14.4.01.09-0425</t>
  </si>
  <si>
    <t>Грунтовка эпоксидная двухкомпонентная, марка "HEMPADUR TL87/ZP 87431"</t>
  </si>
  <si>
    <t>32
48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</si>
  <si>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</si>
  <si>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</si>
  <si>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</si>
  <si>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02.3.01.07</t>
  </si>
  <si>
    <t>Песок кварцевый</t>
  </si>
  <si>
    <t>38
570</t>
  </si>
  <si>
    <t>ФССЦ-02.3.01.07-0002</t>
  </si>
  <si>
    <t>0,038
0,57</t>
  </si>
  <si>
    <t>ФЕР13-07-001-02</t>
  </si>
  <si>
    <t>Обезжиривание поверхностей аппаратов и трубопроводов диаметром до 500 мм: уайт-спиритом</t>
  </si>
  <si>
    <t>5
0,75</t>
  </si>
  <si>
    <t>32
4,8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</si>
  <si>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</si>
  <si>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</si>
  <si>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</si>
  <si>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</si>
  <si>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0,015
0,00225</t>
  </si>
  <si>
    <t>0,75
0,1125</t>
  </si>
  <si>
    <t>-0,015
-0,00225</t>
  </si>
  <si>
    <t>Обеспыливание и обезжиривание поверхностей опор</t>
  </si>
  <si>
    <t>5
7,5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</si>
  <si>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</si>
  <si>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</si>
  <si>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</si>
  <si>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</si>
  <si>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</si>
  <si>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</si>
  <si>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
49,05</t>
  </si>
  <si>
    <t>1
1,5</t>
  </si>
  <si>
    <t>ФССЦ-14.4.01.17-0004</t>
  </si>
  <si>
    <t>-32,7
-49,05</t>
  </si>
  <si>
    <t>ФССЦ-14.4.02.06-0002</t>
  </si>
  <si>
    <t>Краска HEMPADUR MASTIC 45880</t>
  </si>
  <si>
    <t>35
52,5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</si>
  <si>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</si>
  <si>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</si>
  <si>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</si>
  <si>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ФЕР09-03-029-01</t>
  </si>
  <si>
    <t>Монтаж лестниц прямолинейных и криволинейных, пожарных с ограждением</t>
  </si>
  <si>
    <t>1,37
5,3156</t>
  </si>
  <si>
    <t>0,41
1,5908</t>
  </si>
  <si>
    <t>01.7.11.07-0036</t>
  </si>
  <si>
    <t>Электроды сварочные Э46, диаметр 4 мм</t>
  </si>
  <si>
    <t>4
15,52</t>
  </si>
  <si>
    <t>0,00001
0,0000388</t>
  </si>
  <si>
    <t>0,0001
0,000388</t>
  </si>
  <si>
    <t>07.2.05.01</t>
  </si>
  <si>
    <t>Лестницы маршевые, ширина 6 мм</t>
  </si>
  <si>
    <t>1
3,88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</si>
  <si>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</si>
  <si>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</si>
  <si>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</si>
  <si>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</si>
  <si>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</si>
  <si>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</si>
  <si>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</si>
  <si>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</si>
  <si>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</si>
  <si>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ФССЦ-07.2.05.01-0032</t>
  </si>
  <si>
    <t>100
40</t>
  </si>
  <si>
    <t>2
0,8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</si>
  <si>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</si>
  <si>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0,015
0,006</t>
  </si>
  <si>
    <t>0,75
0,3</t>
  </si>
  <si>
    <t>-0,015
-0,006</t>
  </si>
  <si>
    <t>32
12,8</t>
  </si>
  <si>
    <t>38
152</t>
  </si>
  <si>
    <t>0,038
0,152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</si>
  <si>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</si>
  <si>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</si>
  <si>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</si>
  <si>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>0,015
0,0006</t>
  </si>
  <si>
    <t>0,75
0,03</t>
  </si>
  <si>
    <t>-0,015
-0,0006</t>
  </si>
  <si>
    <t>32
1,28</t>
  </si>
  <si>
    <t>Обеспыливание и обезжиривание поверхностей металлоконструкций лестничных сходов и опор</t>
  </si>
  <si>
    <t>38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</si>
  <si>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</si>
  <si>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</si>
  <si>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</si>
  <si>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32,7
13,08</t>
  </si>
  <si>
    <t>1
0,4</t>
  </si>
  <si>
    <t>-32,7
-13,08</t>
  </si>
  <si>
    <t>35
14</t>
  </si>
  <si>
    <t>40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</si>
  <si>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</si>
  <si>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</si>
  <si>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</si>
  <si>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</t>
  </si>
  <si>
    <t>1,37
0,27948</t>
  </si>
  <si>
    <t>0,41
0,08364</t>
  </si>
  <si>
    <t>4
0,816</t>
  </si>
  <si>
    <t>0,00001
0,000002</t>
  </si>
  <si>
    <t>0,0001
0,0000204</t>
  </si>
  <si>
    <t>Площадки площадью до 2 м2</t>
  </si>
  <si>
    <t>1
0,204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</si>
  <si>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</si>
  <si>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</si>
  <si>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</si>
  <si>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</si>
  <si>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</si>
  <si>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</si>
  <si>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</si>
  <si>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</si>
  <si>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</si>
  <si>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4,335</t>
  </si>
  <si>
    <t>Изготовление, транспортировка и монтаж стальных решетчатых ступеней по СТО 23083253-004-2017</t>
  </si>
  <si>
    <t>42</t>
  </si>
  <si>
    <t>1,37
0,52745</t>
  </si>
  <si>
    <t>0,41
0,15785</t>
  </si>
  <si>
    <t>4
1,54</t>
  </si>
  <si>
    <t>0,00001
0,0000039</t>
  </si>
  <si>
    <t>0,0001
0,0000385</t>
  </si>
  <si>
    <t>1
0,385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</si>
  <si>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</si>
  <si>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</si>
  <si>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</si>
  <si>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</si>
  <si>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</si>
  <si>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</si>
  <si>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</si>
  <si>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43</t>
  </si>
  <si>
    <t>44</t>
  </si>
  <si>
    <t>ФССЦ-01.7.15.02-0055</t>
  </si>
  <si>
    <t>Болты высокопрочные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</si>
  <si>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</si>
  <si>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</si>
  <si>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</si>
  <si>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</si>
  <si>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</si>
  <si>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</si>
  <si>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</si>
  <si>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</si>
  <si>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</si>
  <si>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</si>
  <si>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</si>
  <si>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01.7.06.07-0002</t>
  </si>
  <si>
    <t>Лента монтажная, тип ЛМ-5</t>
  </si>
  <si>
    <t>08.3.07.01-0076</t>
  </si>
  <si>
    <t>Прокат полосовой, горячекатаный, марка стали Ст3сп, ширина 50-200 мм, толщина 4-5 мм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</si>
  <si>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</si>
  <si>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</si>
  <si>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</si>
  <si>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</si>
  <si>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</si>
  <si>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</si>
  <si>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</si>
  <si>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</si>
  <si>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 xml:space="preserve">на Пожарный проезд вдоль 9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</si>
  <si>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</si>
  <si>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</si>
  <si>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</si>
  <si>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</si>
  <si>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</si>
  <si>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</si>
  <si>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</si>
  <si>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</si>
  <si>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</si>
  <si>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</si>
  <si>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</si>
  <si>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</si>
  <si>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</si>
  <si>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ФЕР01-02-001-07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</si>
  <si>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</si>
  <si>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</si>
  <si>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</si>
  <si>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</si>
  <si>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</si>
  <si>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01.2.03.07-0023</t>
  </si>
  <si>
    <t>Эмульсия битумно-дорожная</t>
  </si>
  <si>
    <t>0,004
0,0025806</t>
  </si>
  <si>
    <t>01.7.03.01-0002</t>
  </si>
  <si>
    <t>Вода водопроводная</t>
  </si>
  <si>
    <t>20,52
13,2382728</t>
  </si>
  <si>
    <t>01.7.07.26-0032</t>
  </si>
  <si>
    <t>Шнур полиамидный крученый, диаметр 2 мм</t>
  </si>
  <si>
    <t>0,0024
0,0015483</t>
  </si>
  <si>
    <t>01.7.15.02-0051</t>
  </si>
  <si>
    <t>Болты анкерные</t>
  </si>
  <si>
    <t>0,012
0,0077417</t>
  </si>
  <si>
    <t>01.7.17.06-0061</t>
  </si>
  <si>
    <t>Диск алмазный для твердых материалов, диаметр 350 мм</t>
  </si>
  <si>
    <t>0,782
0,5044995</t>
  </si>
  <si>
    <t>04.2.01.01</t>
  </si>
  <si>
    <t>Смесь асфальтобетонная</t>
  </si>
  <si>
    <t>08.1.02.11-0001</t>
  </si>
  <si>
    <t>Поковки из квадратных заготовок, масса 1,8 кг</t>
  </si>
  <si>
    <t>0,0008
0,0005161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</si>
  <si>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</si>
  <si>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</si>
  <si>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</si>
  <si>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</si>
  <si>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
62,836636</t>
  </si>
  <si>
    <t>ФЕР27-06-030-01</t>
  </si>
  <si>
    <t>При изменении толщины покрытия на 0,5 см добавлять или исключать: к расценке 27-06-029-01</t>
  </si>
  <si>
    <t>0,002
0,0012903</t>
  </si>
  <si>
    <t>0,88
0,5677232</t>
  </si>
  <si>
    <t>24,2
15,612388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</si>
  <si>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</si>
  <si>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</si>
  <si>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</si>
  <si>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1,03
0,2781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</si>
  <si>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</si>
  <si>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ФССЦ-04.2.01.02-0006</t>
  </si>
  <si>
    <t>Смеси асфальтобетонные пористые крупнозернистые марка II</t>
  </si>
  <si>
    <t>91,1
58,772254</t>
  </si>
  <si>
    <t>0,006
0,0038708</t>
  </si>
  <si>
    <t>2,64
1,7031696</t>
  </si>
  <si>
    <t>68,4
44,127576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</si>
  <si>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</si>
  <si>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</si>
  <si>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</si>
  <si>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</si>
  <si>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
21,0114</t>
  </si>
  <si>
    <t>02.2.05.04-1697</t>
  </si>
  <si>
    <t>Щебень М 800, фракция 10-20 мм, группа 2</t>
  </si>
  <si>
    <t>15
10,5057</t>
  </si>
  <si>
    <t>02.2.05.04-1817</t>
  </si>
  <si>
    <t>Щебень М 800, фракция 40-80(70) мм, группа 2</t>
  </si>
  <si>
    <t>189
132,37182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</si>
  <si>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</si>
  <si>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</si>
  <si>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</si>
  <si>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>01.7.12.11</t>
  </si>
  <si>
    <t>Геосетка</t>
  </si>
  <si>
    <t>01.7.15.07-0094</t>
  </si>
  <si>
    <t>Дюбель-гвозди оцинкованные с шайбой, размер 4,5х60 мм</t>
  </si>
  <si>
    <t>2,64
1,9127328</t>
  </si>
  <si>
    <t>ФССЦ-01.7.12.10-1020</t>
  </si>
  <si>
    <t>Геосетка полиэфирная с битумной пропиткой, прочность при растяжении 100/100 кН/м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</si>
  <si>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</si>
  <si>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</si>
  <si>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</si>
  <si>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20
15,2484</t>
  </si>
  <si>
    <t>189
144,09738</t>
  </si>
  <si>
    <t>ФЕР27-04-006-04</t>
  </si>
  <si>
    <t>На каждый 1 см изменения толщины слоя добавлять или исключать к расценкам 27-04-006-01, 27-04-006-02, 27-04-006-03</t>
  </si>
  <si>
    <t>63
48,03246</t>
  </si>
  <si>
    <t>Разравнивание нижнего слоя основания из щебня за 1-2 прохода бульдозером мощностью 135 кВт (учтено ФЕР27-04-006-03 в п.13)</t>
  </si>
  <si>
    <t>2,64
2,0945496</t>
  </si>
  <si>
    <t>1100,0011974
872,72995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</si>
  <si>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</si>
  <si>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</si>
  <si>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</si>
  <si>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0,001
0,00305</t>
  </si>
  <si>
    <t>5,9
17,995</t>
  </si>
  <si>
    <t>04.3.01.09-0014</t>
  </si>
  <si>
    <t>Раствор готовый кладочный, цементный, М100</t>
  </si>
  <si>
    <t>0,06
0,183</t>
  </si>
  <si>
    <t>11.1.03.03-0012</t>
  </si>
  <si>
    <t>Брусья необрезные, хвойных пород, длина 4-6,5 м, все ширины, толщина 100, 125 мм, сорт IV</t>
  </si>
  <si>
    <t>0,17
0,5185</t>
  </si>
  <si>
    <t>13.2.03.02</t>
  </si>
  <si>
    <t>Камни бортовые</t>
  </si>
  <si>
    <t>100
305</t>
  </si>
  <si>
    <t>ФССЦ-05.2.03.03-0032</t>
  </si>
  <si>
    <t>Камни бортовые БР 100.30.15, бетон B30 (М400), объем 0,043 м3</t>
  </si>
  <si>
    <t xml:space="preserve">на Пожарный проезд, 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</si>
  <si>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</si>
  <si>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</si>
  <si>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</si>
  <si>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</si>
  <si>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</si>
  <si>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</si>
  <si>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</si>
  <si>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0,002
0,001131</t>
  </si>
  <si>
    <t>0,88
0,4976576</t>
  </si>
  <si>
    <t>24,2
13,685584</t>
  </si>
  <si>
    <t>1,03
0,2369</t>
  </si>
  <si>
    <t>91,1
51,518872</t>
  </si>
  <si>
    <t>0,006
0,0033931</t>
  </si>
  <si>
    <t>2,64
1,4929728</t>
  </si>
  <si>
    <t>68,4
38,681568</t>
  </si>
  <si>
    <t>30
17,6091</t>
  </si>
  <si>
    <t>15
8,80455</t>
  </si>
  <si>
    <t>189
110,93733</t>
  </si>
  <si>
    <t>2,64
1,5496008</t>
  </si>
  <si>
    <t>20
12,3012</t>
  </si>
  <si>
    <t>189
116,24634</t>
  </si>
  <si>
    <t>63
38,74878</t>
  </si>
  <si>
    <t>2,64
1,6661304</t>
  </si>
  <si>
    <t>1100,0011974
694,2217557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</si>
  <si>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</si>
  <si>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</si>
  <si>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</si>
  <si>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31
2,294</t>
  </si>
  <si>
    <t>Щебень из природного камня для строительных работ, фракция 10-20 мм</t>
  </si>
  <si>
    <t>15
1,11</t>
  </si>
  <si>
    <t>Щебень из природного камня для строительных работ, фракция 40-70 мм</t>
  </si>
  <si>
    <t>251
18,574</t>
  </si>
  <si>
    <t>Щебень из природного камня для строительных работ, фракция 5-10 мм</t>
  </si>
  <si>
    <t>10
0,74</t>
  </si>
  <si>
    <t>ФССЦ-02.2.05.04-1697</t>
  </si>
  <si>
    <t>ФССЦ-02.2.05.04-1817</t>
  </si>
  <si>
    <t>ФССЦ-02.2.05.04-1577</t>
  </si>
  <si>
    <t>Щебень М 800, фракция 5(3)-10 мм, группа 2</t>
  </si>
  <si>
    <t>ФЕР27-08-001-17</t>
  </si>
  <si>
    <t>На каждый 1 см изменения толщины слоя добавлять или исключать к расценке 27-08-001-16</t>
  </si>
  <si>
    <t>63
-4,662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</si>
  <si>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</si>
  <si>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</si>
  <si>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</si>
  <si>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</si>
  <si>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5
0,8355</t>
  </si>
  <si>
    <t>02.3.01.02</t>
  </si>
  <si>
    <t>Песок для строительных работ природный</t>
  </si>
  <si>
    <t>110
18,381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</si>
  <si>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</si>
  <si>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</si>
  <si>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</si>
  <si>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</si>
  <si>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</si>
  <si>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</si>
  <si>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</si>
  <si>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</si>
  <si>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</si>
  <si>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12
4,32</t>
  </si>
  <si>
    <t>13.2.03.01</t>
  </si>
  <si>
    <t>Камень</t>
  </si>
  <si>
    <t>15,9
5,724</t>
  </si>
  <si>
    <t>Укрепление откосов канавы растительным грунтом с посевом трав, h=0,15 м</t>
  </si>
  <si>
    <t>ФЕР01-02-040-02</t>
  </si>
  <si>
    <t>Укрепление откосов земляных сооружений посевом многолетних трав: механизированным способом</t>
  </si>
  <si>
    <t>16.2.01.02</t>
  </si>
  <si>
    <t>Земля растительная</t>
  </si>
  <si>
    <t>15,8
22,436</t>
  </si>
  <si>
    <t>16.2.02.07</t>
  </si>
  <si>
    <t>Семена трав</t>
  </si>
  <si>
    <t>2,7
3,834</t>
  </si>
  <si>
    <t>16.3.02.03-0004</t>
  </si>
  <si>
    <t>Удобрения сложно-смешанные гранулированные насыпью</t>
  </si>
  <si>
    <t>0,0034
0,004828</t>
  </si>
  <si>
    <t>ФССЦ-16.2.01.02-0001</t>
  </si>
  <si>
    <t>ФССЦ-16.2.02.07-0161</t>
  </si>
  <si>
    <t>Семена газонных трав (смесь)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</si>
  <si>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</si>
  <si>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</si>
  <si>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</si>
  <si>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</si>
  <si>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16.2.01.02-0001</t>
  </si>
  <si>
    <t>15
5,55</t>
  </si>
  <si>
    <t>ФЕР47-01-046-06</t>
  </si>
  <si>
    <t>Посев газонов партерных, мавританских и обыкновенных вручную</t>
  </si>
  <si>
    <t>10
3,7</t>
  </si>
  <si>
    <t>Семена газонных трав</t>
  </si>
  <si>
    <t>2
0,74</t>
  </si>
  <si>
    <t xml:space="preserve">на Досмотровая эстакада. Опоры., </t>
  </si>
  <si>
    <t>1146-3-ИС.КЖ.ВР</t>
  </si>
  <si>
    <t>Раздел 1. 1146-3-ИС.КЖ.ВР - Фундаменты опор 1 и 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</si>
  <si>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</si>
  <si>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</si>
  <si>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</si>
  <si>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01.3.05.38</t>
  </si>
  <si>
    <t>Химреагенты</t>
  </si>
  <si>
    <t>01.4.03.06</t>
  </si>
  <si>
    <t>Расход бурового инструмента</t>
  </si>
  <si>
    <t>0,1
3,2</t>
  </si>
  <si>
    <t>02.1.01.01-0001</t>
  </si>
  <si>
    <t>Глина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</si>
  <si>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</si>
  <si>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</si>
  <si>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>0,01
0,32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</si>
  <si>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</si>
  <si>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</si>
  <si>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</si>
  <si>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</si>
  <si>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0,00008
0,000096</t>
  </si>
  <si>
    <t>05.1.05.16</t>
  </si>
  <si>
    <t>Сваи железобетонные</t>
  </si>
  <si>
    <t>1,01
1,212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</si>
  <si>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</si>
  <si>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</si>
  <si>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
0,000084</t>
  </si>
  <si>
    <t>11.1.03.06-0002</t>
  </si>
  <si>
    <t>Доска дубовая, сорт II</t>
  </si>
  <si>
    <t>0,003
0,0036</t>
  </si>
  <si>
    <t>14.4.02.04-0142</t>
  </si>
  <si>
    <t>Краска масляная земляная МА-0115, мумия, сурик железный</t>
  </si>
  <si>
    <t>0,02
0,024</t>
  </si>
  <si>
    <t>ФССЦ-05.1.05.08-0037</t>
  </si>
  <si>
    <t>Свая мостовая длиной 8 м, сечением 35х35 см, объем бетона 1,0 м3, тип Т-7</t>
  </si>
  <si>
    <t>1,6666667
2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</si>
  <si>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</si>
  <si>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</si>
  <si>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</si>
  <si>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0,00008
0,000384</t>
  </si>
  <si>
    <t>1,03
4,944</t>
  </si>
  <si>
    <t>0,004
0,0192</t>
  </si>
  <si>
    <t>0,02
0,096</t>
  </si>
  <si>
    <t>1,25
6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</si>
  <si>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</si>
  <si>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</si>
  <si>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</si>
  <si>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</si>
  <si>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</si>
  <si>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01.3.02.03-0001</t>
  </si>
  <si>
    <t>Ацетилен газообразный технический</t>
  </si>
  <si>
    <t>0,01
0,08</t>
  </si>
  <si>
    <t>0,063
0,504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</si>
  <si>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</si>
  <si>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0,15
0,39</t>
  </si>
  <si>
    <t>1,15
2,99</t>
  </si>
  <si>
    <t>Устройство в основании ростверков бетонной подготовки толщиной 100 мм:- Бетон класса В15 по ГОСТ 26633-2015</t>
  </si>
  <si>
    <t>1,75
0,03325</t>
  </si>
  <si>
    <t>250
4,75</t>
  </si>
  <si>
    <t>102
1,938</t>
  </si>
  <si>
    <t>Устройство монолитных ростверков в деревометаллической опалубке</t>
  </si>
  <si>
    <t>0,73
0,12264</t>
  </si>
  <si>
    <t>30
5,04</t>
  </si>
  <si>
    <t>0,005
0,00084</t>
  </si>
  <si>
    <t>0,002
0,000336</t>
  </si>
  <si>
    <t>0,01
0,00168</t>
  </si>
  <si>
    <t>101,5
17,052</t>
  </si>
  <si>
    <t>0,0102
0,0017136</t>
  </si>
  <si>
    <t>8,1
1,3608</t>
  </si>
  <si>
    <t>0,04
0,00672</t>
  </si>
  <si>
    <t>3,6
0,6048</t>
  </si>
  <si>
    <t>0,016
0,002592</t>
  </si>
  <si>
    <t>0,24
0,03888</t>
  </si>
  <si>
    <t>0,024
0,003888</t>
  </si>
  <si>
    <t>0,1
0,0162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</si>
  <si>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</si>
  <si>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0,013
0,003094</t>
  </si>
  <si>
    <t>1,95
0,4641</t>
  </si>
  <si>
    <t>-0,013
-0,003094</t>
  </si>
  <si>
    <t>40
9,52</t>
  </si>
  <si>
    <t>0,04
0,00952</t>
  </si>
  <si>
    <t>0,0006
0,0001428</t>
  </si>
  <si>
    <t>4
0,952</t>
  </si>
  <si>
    <t>-0,04
-0,00952</t>
  </si>
  <si>
    <t>33
7,854</t>
  </si>
  <si>
    <t xml:space="preserve">на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</si>
  <si>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</si>
  <si>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</si>
  <si>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</si>
  <si>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</si>
  <si>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</si>
  <si>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</si>
  <si>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</si>
  <si>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</si>
  <si>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ФЕР01-02-055-01</t>
  </si>
  <si>
    <t>Разработка грунта вручную с креплениями в траншеях шириной до 2 м, глубиной: до 2 м, группа грунтов 1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</si>
  <si>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</si>
  <si>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</si>
  <si>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</si>
  <si>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</si>
  <si>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</si>
  <si>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</si>
  <si>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</si>
  <si>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0,26
0,4134</t>
  </si>
  <si>
    <t>2
3,18</t>
  </si>
  <si>
    <t>Обратная засыпка котлованов местным грунтом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</si>
  <si>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</si>
  <si>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</si>
  <si>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</si>
  <si>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0,31
13,6152</t>
  </si>
  <si>
    <t>1,46
64,1232</t>
  </si>
  <si>
    <t>0,26
1,2688</t>
  </si>
  <si>
    <t>2
9,76</t>
  </si>
  <si>
    <t xml:space="preserve">на Пожарный проезд вдоль 8 пути., </t>
  </si>
  <si>
    <t>0,004
0,008043</t>
  </si>
  <si>
    <t>20,52
41,26059</t>
  </si>
  <si>
    <t>0,0024
0,0048258</t>
  </si>
  <si>
    <t>0,012
0,024129</t>
  </si>
  <si>
    <t>0,782
1,5724065</t>
  </si>
  <si>
    <t>0,0008
0,0016086</t>
  </si>
  <si>
    <t>97,4
195,84705</t>
  </si>
  <si>
    <t>0,002
0,0040215</t>
  </si>
  <si>
    <t>0,88
1,76946</t>
  </si>
  <si>
    <t>24,2
48,66015</t>
  </si>
  <si>
    <t>1,03
0,8549</t>
  </si>
  <si>
    <t>91,1
183,179325</t>
  </si>
  <si>
    <t>0,006
0,0120645</t>
  </si>
  <si>
    <t>2,64
5,30838</t>
  </si>
  <si>
    <t>68,4
137,5353</t>
  </si>
  <si>
    <t>30
67,2597</t>
  </si>
  <si>
    <t>15
33,62985</t>
  </si>
  <si>
    <t>189
423,73611</t>
  </si>
  <si>
    <t>2,64
6,108564</t>
  </si>
  <si>
    <t>1100,0021609
2545,24</t>
  </si>
  <si>
    <t>20
48,1932</t>
  </si>
  <si>
    <t>189
455,42574</t>
  </si>
  <si>
    <t>63
151,80858</t>
  </si>
  <si>
    <t>2,64
6,6144408</t>
  </si>
  <si>
    <t>1100,0011974
2756,02</t>
  </si>
  <si>
    <t>31
12,9487</t>
  </si>
  <si>
    <t>15
6,2655</t>
  </si>
  <si>
    <t>251
104,8427</t>
  </si>
  <si>
    <t>10
4,177</t>
  </si>
  <si>
    <t>63
-26,3151</t>
  </si>
  <si>
    <t>5
6,598</t>
  </si>
  <si>
    <t>110
145,156</t>
  </si>
  <si>
    <t>0,001
0,008588</t>
  </si>
  <si>
    <t>5,9
50,6692</t>
  </si>
  <si>
    <t>0,06
0,51528</t>
  </si>
  <si>
    <t>0,17
1,45996</t>
  </si>
  <si>
    <t>100
858,8</t>
  </si>
  <si>
    <t>100,02328831
859</t>
  </si>
  <si>
    <t>Досыпка дренирующим грунтом (местный грунт), (между 8 ж.д путем и пожарным проездом)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</si>
  <si>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</si>
  <si>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</si>
  <si>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</si>
  <si>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20
12,666666</t>
  </si>
  <si>
    <t>02.2.05.04-1577</t>
  </si>
  <si>
    <t>10
6,333333</t>
  </si>
  <si>
    <t>15
9,4999995</t>
  </si>
  <si>
    <t>189
119,6999937</t>
  </si>
  <si>
    <t xml:space="preserve">на Досмотровая эстакада. Пролётное строение., </t>
  </si>
  <si>
    <t>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</si>
  <si>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</si>
  <si>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</si>
  <si>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2,145
49,44225</t>
  </si>
  <si>
    <t>0,649
14,95945</t>
  </si>
  <si>
    <t>0,0022
0,05071</t>
  </si>
  <si>
    <t>3,3
76,065</t>
  </si>
  <si>
    <t>0,000011
0,0002536</t>
  </si>
  <si>
    <t>0,00011
0,0025355</t>
  </si>
  <si>
    <t>1,1
25,355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</si>
  <si>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</si>
  <si>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</si>
  <si>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</si>
  <si>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</si>
  <si>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</si>
  <si>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</si>
  <si>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</si>
  <si>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</si>
  <si>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1,95
0,507</t>
  </si>
  <si>
    <t>0,59
0,1534</t>
  </si>
  <si>
    <t>0,002
0,00052</t>
  </si>
  <si>
    <t>3
0,78</t>
  </si>
  <si>
    <t>0,00001
0,0000026</t>
  </si>
  <si>
    <t>0,0001
0,000026</t>
  </si>
  <si>
    <t>1
0,26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</si>
  <si>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</si>
  <si>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</si>
  <si>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</si>
  <si>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</si>
  <si>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</si>
  <si>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</si>
  <si>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</si>
  <si>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</si>
  <si>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</si>
  <si>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1,37
1,9454</t>
  </si>
  <si>
    <t>0,41
0,5822</t>
  </si>
  <si>
    <t>4
5,68</t>
  </si>
  <si>
    <t>0,00001
0,0000142</t>
  </si>
  <si>
    <t>0,0001
0,000142</t>
  </si>
  <si>
    <t>1
1,42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</si>
  <si>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</si>
  <si>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</si>
  <si>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</si>
  <si>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</si>
  <si>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</si>
  <si>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</si>
  <si>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</si>
  <si>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</si>
  <si>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0,015
0,05625</t>
  </si>
  <si>
    <t>0,75
2,8125</t>
  </si>
  <si>
    <t>-0,015
-0,05625</t>
  </si>
  <si>
    <t>32
120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</si>
  <si>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</si>
  <si>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38
1444</t>
  </si>
  <si>
    <t>0,038
1,444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</si>
  <si>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</si>
  <si>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</si>
  <si>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0,015
0,0057</t>
  </si>
  <si>
    <t>0,75
0,285</t>
  </si>
  <si>
    <t>-0,015
-0,0057</t>
  </si>
  <si>
    <t>32
12,16</t>
  </si>
  <si>
    <t>Обеспыливание и обезжиривание поверхностей пролетного строения</t>
  </si>
  <si>
    <t>5
18,75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</si>
  <si>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</si>
  <si>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</si>
  <si>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32,7
122,625</t>
  </si>
  <si>
    <t>1
3,75</t>
  </si>
  <si>
    <t>-32,7
-122,625</t>
  </si>
  <si>
    <t>35
131,25</t>
  </si>
  <si>
    <t>- 3-й слой – HEMPADUR MASTIC 45880 – 80 мкм, теоретический расход 0,350 л/м2;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</si>
  <si>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</si>
  <si>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</si>
  <si>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</si>
  <si>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</si>
  <si>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</si>
  <si>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</si>
  <si>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</si>
  <si>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</si>
  <si>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</si>
  <si>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</si>
  <si>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</si>
  <si>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</si>
  <si>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
0,0762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</si>
  <si>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</si>
  <si>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</si>
  <si>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</si>
  <si>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</si>
  <si>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</si>
  <si>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01.7.12.16-0011</t>
  </si>
  <si>
    <t>Геотекстиль для разделительного слоя балластной призмы</t>
  </si>
  <si>
    <t>1
0,0078</t>
  </si>
  <si>
    <t>ФССЦ-01.7.12.16-0011</t>
  </si>
  <si>
    <t>4284,61538
33,42</t>
  </si>
  <si>
    <t>1
1,169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</si>
  <si>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</si>
  <si>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</si>
  <si>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</si>
  <si>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1
1,293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</si>
  <si>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</si>
  <si>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</si>
  <si>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</si>
  <si>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</si>
  <si>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</si>
  <si>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</si>
  <si>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</si>
  <si>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</si>
  <si>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</si>
  <si>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</si>
  <si>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</si>
  <si>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</si>
  <si>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</si>
  <si>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</si>
  <si>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</si>
  <si>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</si>
  <si>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</si>
  <si>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</si>
  <si>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</si>
  <si>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</si>
  <si>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</si>
  <si>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</si>
  <si>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</si>
  <si>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</si>
  <si>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</si>
  <si>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</si>
  <si>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</si>
  <si>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</si>
  <si>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</si>
  <si>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</si>
  <si>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</si>
  <si>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</si>
  <si>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</si>
  <si>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</si>
  <si>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</si>
  <si>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</si>
  <si>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</si>
  <si>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</si>
  <si>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</si>
  <si>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</si>
  <si>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50
350</t>
  </si>
  <si>
    <t>25.1.06.03</t>
  </si>
  <si>
    <t>Знаки путевые и сигнальные железных дорог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</si>
  <si>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</si>
  <si>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</si>
  <si>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</si>
  <si>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</si>
  <si>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</si>
  <si>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</si>
  <si>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</si>
  <si>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</si>
  <si>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</si>
  <si>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</si>
  <si>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</si>
  <si>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</si>
  <si>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</si>
  <si>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</si>
  <si>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</si>
  <si>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</si>
  <si>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</si>
  <si>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</si>
  <si>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</si>
  <si>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1
8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</si>
  <si>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</si>
  <si>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</si>
  <si>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</si>
  <si>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</si>
  <si>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</si>
  <si>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</si>
  <si>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</si>
  <si>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</si>
  <si>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</si>
  <si>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</si>
  <si>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</si>
  <si>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</si>
  <si>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</si>
  <si>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</si>
  <si>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</si>
  <si>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</si>
  <si>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</si>
  <si>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</si>
  <si>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</si>
  <si>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</si>
  <si>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</si>
  <si>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</si>
  <si>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</si>
  <si>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</si>
  <si>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</si>
  <si>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</si>
  <si>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</si>
  <si>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</si>
  <si>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</si>
  <si>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</si>
  <si>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</si>
  <si>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</si>
  <si>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</si>
  <si>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</si>
  <si>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</si>
  <si>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</si>
  <si>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</si>
  <si>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</si>
  <si>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</si>
  <si>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</si>
  <si>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</si>
  <si>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</si>
  <si>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</si>
  <si>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</si>
  <si>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</si>
  <si>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</si>
  <si>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</si>
  <si>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</si>
  <si>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</si>
  <si>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</si>
  <si>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</si>
  <si>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ФЕР27-04-016-04</t>
  </si>
  <si>
    <t>Устройство прослойки из нетканого синтетического материала (НСМ) в земляном полотне: сплошной</t>
  </si>
  <si>
    <t>01.7.12.05-1018</t>
  </si>
  <si>
    <t>Геотекстиль нетканый, поверхностной плотностью 550 г/м2</t>
  </si>
  <si>
    <t>0,00013
0,0000428</t>
  </si>
  <si>
    <t>1007,8
331,596434</t>
  </si>
  <si>
    <t>Передвижка пути до 2 м, балласт щебеночный</t>
  </si>
  <si>
    <t>ФЕР28-01-092-01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</si>
  <si>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</si>
  <si>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</si>
  <si>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</si>
  <si>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</si>
  <si>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</si>
  <si>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</si>
  <si>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</si>
  <si>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</si>
  <si>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</si>
  <si>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</si>
  <si>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1180
236</t>
  </si>
  <si>
    <t>дополнительно балластировка стрелочных переводов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</si>
  <si>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</si>
  <si>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</si>
  <si>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</si>
  <si>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</si>
  <si>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</si>
  <si>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</si>
  <si>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</si>
  <si>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</si>
  <si>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</si>
  <si>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</si>
  <si>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</si>
  <si>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</si>
  <si>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</si>
  <si>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</si>
  <si>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</si>
  <si>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</si>
  <si>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</si>
  <si>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</si>
  <si>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</si>
  <si>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</si>
  <si>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</si>
  <si>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</si>
  <si>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</si>
  <si>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</si>
  <si>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</si>
  <si>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</si>
  <si>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</si>
  <si>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</si>
  <si>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</si>
  <si>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</si>
  <si>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</si>
  <si>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</si>
  <si>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</si>
  <si>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</si>
  <si>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</si>
  <si>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</si>
  <si>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</si>
  <si>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</si>
  <si>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</si>
  <si>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</si>
  <si>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</si>
  <si>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</si>
  <si>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</si>
  <si>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</si>
  <si>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</si>
  <si>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</si>
  <si>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</si>
  <si>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</si>
  <si>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</si>
  <si>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</si>
  <si>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</si>
  <si>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</si>
  <si>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</si>
  <si>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</si>
  <si>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</si>
  <si>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</si>
  <si>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</si>
  <si>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</si>
  <si>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</si>
  <si>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</si>
  <si>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</si>
  <si>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
0,0144</t>
  </si>
  <si>
    <t>0,004
0,0016</t>
  </si>
  <si>
    <t>1,1
0,44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</si>
  <si>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</si>
  <si>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</si>
  <si>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</si>
  <si>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</si>
  <si>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</si>
  <si>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</si>
  <si>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</si>
  <si>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</si>
  <si>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</si>
  <si>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</si>
  <si>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</si>
  <si>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</si>
  <si>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</si>
  <si>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</si>
  <si>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</si>
  <si>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</si>
  <si>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</si>
  <si>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</si>
  <si>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</si>
  <si>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</si>
  <si>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</si>
  <si>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</si>
  <si>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</si>
  <si>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</si>
  <si>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</si>
  <si>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</si>
  <si>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</si>
  <si>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</si>
  <si>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</si>
  <si>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</si>
  <si>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</si>
  <si>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</si>
  <si>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
0,011</t>
  </si>
  <si>
    <t>20
2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</si>
  <si>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</si>
  <si>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</si>
  <si>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</si>
  <si>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</si>
  <si>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Срезка грунта бульдозером ИГЭ (3) (группа грунтов 3)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</si>
  <si>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</si>
  <si>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</si>
  <si>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</si>
  <si>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</si>
  <si>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</si>
  <si>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</si>
  <si>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</si>
  <si>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</si>
  <si>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</si>
  <si>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</si>
  <si>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</si>
  <si>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</si>
  <si>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</si>
  <si>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</si>
  <si>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</si>
  <si>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</si>
  <si>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</si>
  <si>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</si>
  <si>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</si>
  <si>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Планировка основания земляного полотна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</si>
  <si>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</si>
  <si>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</si>
  <si>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</si>
  <si>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15,8
126,716</t>
  </si>
  <si>
    <t>2,7
21,654</t>
  </si>
  <si>
    <t>0,0034
0,027268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</si>
  <si>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</si>
  <si>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</si>
  <si>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</si>
  <si>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</si>
  <si>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</si>
  <si>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</si>
  <si>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на Пешеходная эстакада. Пролётное строение., </t>
  </si>
  <si>
    <t>1146-4-ИС.КМ1.ВР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</si>
  <si>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</si>
  <si>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2,145
74,28135</t>
  </si>
  <si>
    <t>0,649
22,47487</t>
  </si>
  <si>
    <t>0,0022
0,076186</t>
  </si>
  <si>
    <t>3,3
114,279</t>
  </si>
  <si>
    <t>0,000011
0,0003809</t>
  </si>
  <si>
    <t>0,00011
0,0038093</t>
  </si>
  <si>
    <t>1,1
38,093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</si>
  <si>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</si>
  <si>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</si>
  <si>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</si>
  <si>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</si>
  <si>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</si>
  <si>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</si>
  <si>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</si>
  <si>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</si>
  <si>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</si>
  <si>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1,37
13,5767</t>
  </si>
  <si>
    <t>0,41
4,0631</t>
  </si>
  <si>
    <t>4
39,64</t>
  </si>
  <si>
    <t>0,00001
0,0000991</t>
  </si>
  <si>
    <t>0,0001
0,000991</t>
  </si>
  <si>
    <t>1
9,91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</si>
  <si>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</si>
  <si>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</si>
  <si>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</si>
  <si>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</si>
  <si>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</si>
  <si>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</si>
  <si>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</si>
  <si>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0,015
0,108</t>
  </si>
  <si>
    <t>0,75
5,4</t>
  </si>
  <si>
    <t>-0,015
-0,108</t>
  </si>
  <si>
    <t>32
230,4</t>
  </si>
  <si>
    <t>38
2736</t>
  </si>
  <si>
    <t>0,038
2,736</t>
  </si>
  <si>
    <t>5
3,6</t>
  </si>
  <si>
    <t>32
23,04</t>
  </si>
  <si>
    <t>0,015
0,0108</t>
  </si>
  <si>
    <t>0,75
0,54</t>
  </si>
  <si>
    <t>-0,015
-0,0108</t>
  </si>
  <si>
    <t>5
36</t>
  </si>
  <si>
    <t>32,7
235,44</t>
  </si>
  <si>
    <t>1
7,2</t>
  </si>
  <si>
    <t>-32,7
-235,44</t>
  </si>
  <si>
    <t>35
252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</si>
  <si>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</si>
  <si>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</si>
  <si>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</si>
  <si>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</si>
  <si>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</si>
  <si>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</si>
  <si>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01.7.15.03-0031</t>
  </si>
  <si>
    <t>Болты с гайками и шайбами оцинкованные, диаметр 6 мм</t>
  </si>
  <si>
    <t>0,01
0,02</t>
  </si>
  <si>
    <t>01.7.15.07-0007</t>
  </si>
  <si>
    <t>Дюбели пластмассовые, диаметр 14 мм</t>
  </si>
  <si>
    <t>08.3.05.02-0052</t>
  </si>
  <si>
    <t>Прокат толстолистовой горячекатаный марка стали Ст3, толщина 2-6 мм</t>
  </si>
  <si>
    <t>0,001
0,002</t>
  </si>
  <si>
    <t>08.3.07.01-0064</t>
  </si>
  <si>
    <t>Прокат полосовой горячекатаный перфорированный, ширина 30-40 мм, марка стали Ст3, толщина 2-6 мм</t>
  </si>
  <si>
    <t>08.3.08.02-0091</t>
  </si>
  <si>
    <t>Уголок перфорированный, марка стали Ст3, размер 35х35 мм</t>
  </si>
  <si>
    <t>0,95
1,9</t>
  </si>
  <si>
    <t>0,00004
0,00008</t>
  </si>
  <si>
    <t>14.4.04.09-0017</t>
  </si>
  <si>
    <t>Эмаль ХВ-124, защитная, зеленая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</si>
  <si>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</si>
  <si>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</si>
  <si>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</si>
  <si>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</si>
  <si>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</si>
  <si>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</si>
  <si>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01.7.06.03-0024</t>
  </si>
  <si>
    <t>Лента полиэтиленовая с липким слоем, толщина 0,1 мм</t>
  </si>
  <si>
    <t>01.7.15.04-0054</t>
  </si>
  <si>
    <t>Винты самонарезающие, оцинкованные, размер 4х12 мм</t>
  </si>
  <si>
    <t>0,00007
0,00014</t>
  </si>
  <si>
    <t>01.7.15.07-0022</t>
  </si>
  <si>
    <t>Дюбели распорные полиэтиленовые, размер 6х40 мм</t>
  </si>
  <si>
    <t>12.2.07.04</t>
  </si>
  <si>
    <t>Трубки из вспененного каучука, полиэтилена</t>
  </si>
  <si>
    <t>14.5.01.10-0003</t>
  </si>
  <si>
    <t>Пена монтажная</t>
  </si>
  <si>
    <t>19.3.02.08-0021</t>
  </si>
  <si>
    <t>1
2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</si>
  <si>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</si>
  <si>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</si>
  <si>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</si>
  <si>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</si>
  <si>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</si>
  <si>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</si>
  <si>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ФССЦ-23.2.02.04-0005</t>
  </si>
  <si>
    <t>Трубы медные: отожженные (мягкие) универсальные в бухтах, размером 6х1 мм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</si>
  <si>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</si>
  <si>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</si>
  <si>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</si>
  <si>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</si>
  <si>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</si>
  <si>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</si>
  <si>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</si>
  <si>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</si>
  <si>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</si>
  <si>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</si>
  <si>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</si>
  <si>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</si>
  <si>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</si>
  <si>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</si>
  <si>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01.7.11.07-0045</t>
  </si>
  <si>
    <t>Электроды сварочные Э42А, диаметр 5 мм</t>
  </si>
  <si>
    <t>01.7.15.03-0044</t>
  </si>
  <si>
    <t>Болты строительные с гайками и шайбами черные, размер 10х100 мм</t>
  </si>
  <si>
    <t>01.7.19.07-0006</t>
  </si>
  <si>
    <t>Резина техническая листовая прессованная</t>
  </si>
  <si>
    <t>23.8.03.11</t>
  </si>
  <si>
    <t>Фланцы приварные</t>
  </si>
  <si>
    <t>7
О</t>
  </si>
  <si>
    <t>ТЦ_68.1.01.07_78_7801612992_25.02.2025_02_2.1</t>
  </si>
  <si>
    <t>Насос дренажный SauermannSI2750</t>
  </si>
  <si>
    <t>шт.</t>
  </si>
  <si>
    <t>Монтаж согласователя работы кондиционеров СРК-2.3У</t>
  </si>
  <si>
    <t>ФЕРм11-06-001-01</t>
  </si>
  <si>
    <t>Щиты и пульты, масса: до 50 кг</t>
  </si>
  <si>
    <t>01.7.15.03-0034</t>
  </si>
  <si>
    <t>Болты с гайками и шайбами оцинкованные, диаметр 12 мм</t>
  </si>
  <si>
    <t>07.2.07.13-0171</t>
  </si>
  <si>
    <t>Подкладки металлические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</si>
  <si>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</si>
  <si>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</si>
  <si>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0,007
0,007</t>
  </si>
  <si>
    <t>0,00001
0,00001</t>
  </si>
  <si>
    <t>0,00002
0,00002</t>
  </si>
  <si>
    <t>0,01
0,01</t>
  </si>
  <si>
    <t>25.2.02.11-0041</t>
  </si>
  <si>
    <t>Рамка для надписей 55х15 мм</t>
  </si>
  <si>
    <t>9
О</t>
  </si>
  <si>
    <t>ТЦ_64.4.02.00_50_5007094208_07.03.2025_01_3.1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</si>
  <si>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</si>
  <si>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</si>
  <si>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</si>
  <si>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</si>
  <si>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</si>
  <si>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0,2
0,4</t>
  </si>
  <si>
    <t>01.7.19.04-0031</t>
  </si>
  <si>
    <t>Прокладки резиновые (пластина техническая прессованная)</t>
  </si>
  <si>
    <t>19.3.01.02</t>
  </si>
  <si>
    <t>Заслонки унифицированные или клапаны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</si>
  <si>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</si>
  <si>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</si>
  <si>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</si>
  <si>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</si>
  <si>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</si>
  <si>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</si>
  <si>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</si>
  <si>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</si>
  <si>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0,08
0,08</t>
  </si>
  <si>
    <t>15
О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</si>
  <si>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</si>
  <si>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</si>
  <si>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</si>
  <si>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</si>
  <si>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</si>
  <si>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</si>
  <si>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</si>
  <si>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</si>
  <si>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</si>
  <si>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01.1.01.09-0026</t>
  </si>
  <si>
    <t>Шнур асбестовый общего назначения ШАОН, диаметр 8-10 мм</t>
  </si>
  <si>
    <t>0,00089
0,0000167</t>
  </si>
  <si>
    <t>0,00045
0,0000085</t>
  </si>
  <si>
    <t>15
0,282</t>
  </si>
  <si>
    <t>8
0,1504</t>
  </si>
  <si>
    <t>08.1.02.17</t>
  </si>
  <si>
    <t>Сетки в рамках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</si>
  <si>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</si>
  <si>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</si>
  <si>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
0,0000942</t>
  </si>
  <si>
    <t>19.1.01.02</t>
  </si>
  <si>
    <t>Воздуховоды металлические</t>
  </si>
  <si>
    <t>100
1,88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</si>
  <si>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</si>
  <si>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</si>
  <si>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</si>
  <si>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</si>
  <si>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</si>
  <si>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19.3.02.07</t>
  </si>
  <si>
    <t>Шиберы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</si>
  <si>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</si>
  <si>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</si>
  <si>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</si>
  <si>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</si>
  <si>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</si>
  <si>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</si>
  <si>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</si>
  <si>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0,00089
0,0000214</t>
  </si>
  <si>
    <t>0,00045
0,0000108</t>
  </si>
  <si>
    <t>15
0,36</t>
  </si>
  <si>
    <t>8
0,192</t>
  </si>
  <si>
    <t>0,00501
0,0001202</t>
  </si>
  <si>
    <t>100
2,4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</si>
  <si>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</si>
  <si>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</si>
  <si>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</si>
  <si>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</si>
  <si>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</si>
  <si>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</si>
  <si>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</si>
  <si>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0,00004
0,00004</t>
  </si>
  <si>
    <t>0,18
0,18</t>
  </si>
  <si>
    <t>19.2.02.01</t>
  </si>
  <si>
    <t>Зонты стальные вентиляционных систем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</si>
  <si>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</si>
  <si>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</si>
  <si>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</si>
  <si>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</si>
  <si>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</si>
  <si>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</si>
  <si>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</si>
  <si>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</si>
  <si>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</si>
  <si>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</si>
  <si>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</si>
  <si>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</si>
  <si>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
2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</si>
  <si>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</si>
  <si>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</si>
  <si>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</si>
  <si>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</si>
  <si>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</si>
  <si>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</si>
  <si>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01.7.15.07-0014</t>
  </si>
  <si>
    <t>Дюбели распорные полипропиленовые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</si>
  <si>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</si>
  <si>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</si>
  <si>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</si>
  <si>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</si>
  <si>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</si>
  <si>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</si>
  <si>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</si>
  <si>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</si>
  <si>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</si>
  <si>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</si>
  <si>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</si>
  <si>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</si>
  <si>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</si>
  <si>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</si>
  <si>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</si>
  <si>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</si>
  <si>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</si>
  <si>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</si>
  <si>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</si>
  <si>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</si>
  <si>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</si>
  <si>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</si>
  <si>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</si>
  <si>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Обратная засыпка грунта группы II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</si>
  <si>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</si>
  <si>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</si>
  <si>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</si>
  <si>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</si>
  <si>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</si>
  <si>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</si>
  <si>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</si>
  <si>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</si>
  <si>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</si>
  <si>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</si>
  <si>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>0,68
1,19</t>
  </si>
  <si>
    <t>ФССЦ-20.2.12.03-0001</t>
  </si>
  <si>
    <t>Трубы гибкие гофрированные двустенные из ПВХ, диаметр 50 мм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</si>
  <si>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</si>
  <si>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</si>
  <si>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</si>
  <si>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</si>
  <si>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с шурупом, размер 6х35 мм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</si>
  <si>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</si>
  <si>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</si>
  <si>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</si>
  <si>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</si>
  <si>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</si>
  <si>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0,096
1,7568</t>
  </si>
  <si>
    <t>0,001
0,0183</t>
  </si>
  <si>
    <t>0,01
0,183</t>
  </si>
  <si>
    <t>0,25
4,575</t>
  </si>
  <si>
    <t>0,00006
0,001098</t>
  </si>
  <si>
    <t>2,06
37,698</t>
  </si>
  <si>
    <t>0,096
0,168</t>
  </si>
  <si>
    <t>0,001
0,00175</t>
  </si>
  <si>
    <t>0,01
0,0175</t>
  </si>
  <si>
    <t>0,25
0,4375</t>
  </si>
  <si>
    <t>0,00006
0,000105</t>
  </si>
  <si>
    <t>2,06
3,605</t>
  </si>
  <si>
    <t>0,096
0,048</t>
  </si>
  <si>
    <t>0,001
0,0005</t>
  </si>
  <si>
    <t>0,01
0,005</t>
  </si>
  <si>
    <t>0,25
0,125</t>
  </si>
  <si>
    <t>0,00006
0,00003</t>
  </si>
  <si>
    <t>2,06
1,03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</si>
  <si>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</si>
  <si>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</si>
  <si>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</si>
  <si>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</si>
  <si>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</si>
  <si>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</si>
  <si>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</si>
  <si>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</si>
  <si>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Прокладка кабеля ВВГнг(А)-LS 5х2,5 мм по эстакаде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</si>
  <si>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</si>
  <si>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</si>
  <si>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</si>
  <si>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</si>
  <si>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</si>
  <si>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</si>
  <si>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</si>
  <si>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</si>
  <si>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</si>
  <si>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</si>
  <si>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</si>
  <si>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>0,08
0,1664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</si>
  <si>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</si>
  <si>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</si>
  <si>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</si>
  <si>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</si>
  <si>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</si>
  <si>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</si>
  <si>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</si>
  <si>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01.3.01.01-0001</t>
  </si>
  <si>
    <t>Бензин авиационный Б-70</t>
  </si>
  <si>
    <t>0,0008
0,0128</t>
  </si>
  <si>
    <t>01.3.01.05-0009</t>
  </si>
  <si>
    <t>Парафин нефтяной твердый Т-1</t>
  </si>
  <si>
    <t>0,00001
0,00016</t>
  </si>
  <si>
    <t>0,15
2,4</t>
  </si>
  <si>
    <t>0,024
0,384</t>
  </si>
  <si>
    <t>0,17
2,72</t>
  </si>
  <si>
    <t>ТЦ_20.2.09.08_21_2130178920_20.02.2025_02_2.1</t>
  </si>
  <si>
    <t>Муфта кабельная концевая ПКВНТпб-1-5х(10-25)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</si>
  <si>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</si>
  <si>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</si>
  <si>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</si>
  <si>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</si>
  <si>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0,008
0,178912</t>
  </si>
  <si>
    <t>22.2.02.07</t>
  </si>
  <si>
    <t>Конструкции стальные прожекторных мачт ОРУ</t>
  </si>
  <si>
    <t>1,03
23,03492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</si>
  <si>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</si>
  <si>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</si>
  <si>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</si>
  <si>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</si>
  <si>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</si>
  <si>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</si>
  <si>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</si>
  <si>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</si>
  <si>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01.7.11.07-0034</t>
  </si>
  <si>
    <t>Электроды сварочные Э42А, диаметр 4 мм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</si>
  <si>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</si>
  <si>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</si>
  <si>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</si>
  <si>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</si>
  <si>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</si>
  <si>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</si>
  <si>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</si>
  <si>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</si>
  <si>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01.7.06.05-0041</t>
  </si>
  <si>
    <t>Лента изоляционная прорезиненная односторонняя, ширина 20 мм, толщина 0,25-0,35 мм</t>
  </si>
  <si>
    <t>0,5
0,12</t>
  </si>
  <si>
    <t>5,2
1,248</t>
  </si>
  <si>
    <t>38
9,12</t>
  </si>
  <si>
    <t>14.4.03.17-0101</t>
  </si>
  <si>
    <t>Лак канифольный КФ-965</t>
  </si>
  <si>
    <t>0,004
0,00096</t>
  </si>
  <si>
    <t>20.5.04.09-0001</t>
  </si>
  <si>
    <t>Сжимы ответвительные</t>
  </si>
  <si>
    <t>1,02
0,2448</t>
  </si>
  <si>
    <t>60,79
14,5896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</si>
  <si>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</si>
  <si>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</si>
  <si>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</si>
  <si>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</si>
  <si>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</si>
  <si>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</si>
  <si>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</si>
  <si>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</si>
  <si>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</si>
  <si>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</si>
  <si>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</si>
  <si>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</si>
  <si>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</si>
  <si>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</si>
  <si>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</si>
  <si>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</si>
  <si>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</si>
  <si>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ФЕР01-02-057-02</t>
  </si>
  <si>
    <t>Разработка грунта вручную в траншеях глубиной до 2 м без креплений с откосами, группа грунтов: 2</t>
  </si>
  <si>
    <t>Прокладка горизонтального заземлителя из стальной полосы 40х5 мм</t>
  </si>
  <si>
    <t>ФЕРм08-02-472-02</t>
  </si>
  <si>
    <t>Заземлитель горизонтальный из стали: полосовой сечением 160 мм2</t>
  </si>
  <si>
    <t>0,9
0,648</t>
  </si>
  <si>
    <t>14.4.02.09-0301</t>
  </si>
  <si>
    <t>Композиция антикоррозионная цинкнаполненная</t>
  </si>
  <si>
    <t>3,7
2,664</t>
  </si>
  <si>
    <t>2,71
1,9512</t>
  </si>
  <si>
    <t>ФССЦ-08.3.07.01-0043</t>
  </si>
  <si>
    <t>Сталь полосовая: 40х5 мм, марка Ст3сп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</si>
  <si>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</si>
  <si>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</si>
  <si>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</si>
  <si>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0,65
1,04</t>
  </si>
  <si>
    <t>2
3,2</t>
  </si>
  <si>
    <t>1,74
2,784</t>
  </si>
  <si>
    <t>ФССЦ-08.3.08.02-0031</t>
  </si>
  <si>
    <t>Сталь угловая равнополочная размером 50х50х4 мм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</si>
  <si>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</si>
  <si>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</si>
  <si>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</si>
  <si>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01.3.01.02-0002</t>
  </si>
  <si>
    <t>Вазелин технический</t>
  </si>
  <si>
    <t>0,1
0,004</t>
  </si>
  <si>
    <t>01.7.02.09-0002</t>
  </si>
  <si>
    <t>Шпагат бумажный</t>
  </si>
  <si>
    <t>0,02
0,0008</t>
  </si>
  <si>
    <t>0,2
0,008</t>
  </si>
  <si>
    <t>1
0,04</t>
  </si>
  <si>
    <t>01.7.20.04-0005</t>
  </si>
  <si>
    <t>Нитки швейные</t>
  </si>
  <si>
    <t>0,01
0,0004</t>
  </si>
  <si>
    <t>10.3.02.03-0011</t>
  </si>
  <si>
    <t>Припои оловянно-свинцовые бессурьмянистые, марка ПОС30</t>
  </si>
  <si>
    <t>0,00008
0,0000032</t>
  </si>
  <si>
    <t>0,0001
0,000004</t>
  </si>
  <si>
    <t>25.2.01.01-0001</t>
  </si>
  <si>
    <t>Бирки-оконцеватели</t>
  </si>
  <si>
    <t>1,02
0,0408</t>
  </si>
  <si>
    <t>3,07
0,1228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</si>
  <si>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</si>
  <si>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</si>
  <si>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</si>
  <si>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</si>
  <si>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</si>
  <si>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</si>
  <si>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</si>
  <si>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</si>
  <si>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1,29
1,29</t>
  </si>
  <si>
    <t>01.7.07.29-0101</t>
  </si>
  <si>
    <t>Очес льняной</t>
  </si>
  <si>
    <t>0,00028
0,00028</t>
  </si>
  <si>
    <t>18.1.02.01</t>
  </si>
  <si>
    <t>Арматура трубопроводная фланцевая</t>
  </si>
  <si>
    <t>18.5.08.18-0071</t>
  </si>
  <si>
    <t>Кронштейны и подставки под оборудование из сортовой стали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</si>
  <si>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</si>
  <si>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</si>
  <si>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</si>
  <si>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2
О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</si>
  <si>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</si>
  <si>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</si>
  <si>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</si>
  <si>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</si>
  <si>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</si>
  <si>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</si>
  <si>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01.3.05.38-0241</t>
  </si>
  <si>
    <t>Метилен хлористый технический</t>
  </si>
  <si>
    <t>0,25
0,02</t>
  </si>
  <si>
    <t>0,47
0,0376</t>
  </si>
  <si>
    <t>01.7.07.10-0001</t>
  </si>
  <si>
    <t>Патроны для строительно-монтажного пистолета</t>
  </si>
  <si>
    <t>0,1
0,008</t>
  </si>
  <si>
    <t>01.7.15.07-0042</t>
  </si>
  <si>
    <t>Дюбели с калиброванной головкой (в обоймах), размер 3х58,5 мм</t>
  </si>
  <si>
    <t>0,00085
0,000068</t>
  </si>
  <si>
    <t>03.1.02.03-0015</t>
  </si>
  <si>
    <t>Известь строительная негашеная хлорная, марка А</t>
  </si>
  <si>
    <t>0,0016
0,000128</t>
  </si>
  <si>
    <t>08.1.02.25-0101</t>
  </si>
  <si>
    <t>Наконечники для полиэтиленовых труб</t>
  </si>
  <si>
    <t>0,55
0,044</t>
  </si>
  <si>
    <t>14.1.04.02-0002</t>
  </si>
  <si>
    <t>Клей 88-СА</t>
  </si>
  <si>
    <t>18.1.09.06</t>
  </si>
  <si>
    <t>Арматура муфтовая</t>
  </si>
  <si>
    <t>23.1.02.07</t>
  </si>
  <si>
    <t>24.3.03.13</t>
  </si>
  <si>
    <t>Трубы полиэтиленовые</t>
  </si>
  <si>
    <t>89,9
7,192</t>
  </si>
  <si>
    <t>24.3.05.19</t>
  </si>
  <si>
    <t>Фасонные и соединительные части к полиэтиленовым трубам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</si>
  <si>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</si>
  <si>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</si>
  <si>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</si>
  <si>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</si>
  <si>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</si>
  <si>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</si>
  <si>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0,25
0,01</t>
  </si>
  <si>
    <t>0,74
0,0296</t>
  </si>
  <si>
    <t>0,069
0,00276</t>
  </si>
  <si>
    <t>0,00059
0,0000236</t>
  </si>
  <si>
    <t>0,0025
0,0001</t>
  </si>
  <si>
    <t>0,38
0,0152</t>
  </si>
  <si>
    <t>92,9
3,716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</si>
  <si>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</si>
  <si>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</si>
  <si>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</si>
  <si>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</si>
  <si>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</si>
  <si>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</si>
  <si>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</si>
  <si>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</si>
  <si>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</si>
  <si>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</si>
  <si>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</si>
  <si>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</si>
  <si>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</si>
  <si>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</si>
  <si>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</si>
  <si>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</si>
  <si>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</si>
  <si>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</si>
  <si>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</si>
  <si>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</si>
  <si>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</si>
  <si>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</si>
  <si>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</si>
  <si>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</si>
  <si>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</si>
  <si>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</si>
  <si>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</si>
  <si>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</si>
  <si>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</si>
  <si>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</si>
  <si>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</si>
  <si>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</si>
  <si>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</si>
  <si>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</si>
  <si>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</si>
  <si>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</si>
  <si>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</si>
  <si>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</si>
  <si>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</si>
  <si>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</si>
  <si>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</si>
  <si>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</si>
  <si>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</si>
  <si>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</si>
  <si>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</si>
  <si>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</si>
  <si>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</si>
  <si>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</si>
  <si>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01.7.06.11-0021</t>
  </si>
  <si>
    <t>Лента ФУМ</t>
  </si>
  <si>
    <t>0,002
0,002</t>
  </si>
  <si>
    <t>1,5
1,5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</si>
  <si>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</si>
  <si>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</si>
  <si>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</si>
  <si>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0,47
0,0188</t>
  </si>
  <si>
    <t>0,00085
0,000034</t>
  </si>
  <si>
    <t>0,0016
0,000064</t>
  </si>
  <si>
    <t>0,55
0,022</t>
  </si>
  <si>
    <t>89,9
3,596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</si>
  <si>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</si>
  <si>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</si>
  <si>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</si>
  <si>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</si>
  <si>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</si>
  <si>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</si>
  <si>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</si>
  <si>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</si>
  <si>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</si>
  <si>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</si>
  <si>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0,035
0,035</t>
  </si>
  <si>
    <t>0,1
0,1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</si>
  <si>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</si>
  <si>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</si>
  <si>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</si>
  <si>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</si>
  <si>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</si>
  <si>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03.1.01.01-0002</t>
  </si>
  <si>
    <t>Гипс строительный Г-3</t>
  </si>
  <si>
    <t>0,00315
0,000063</t>
  </si>
  <si>
    <t>0,102
0,00204</t>
  </si>
  <si>
    <t>5,22
0,1044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</si>
  <si>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</si>
  <si>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</si>
  <si>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</si>
  <si>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</si>
  <si>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</si>
  <si>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0,003
0,003</t>
  </si>
  <si>
    <t>0,001
0,001</t>
  </si>
  <si>
    <t>0,006
0,006</t>
  </si>
  <si>
    <t>0,177
0,177</t>
  </si>
  <si>
    <t>0,014
0,014</t>
  </si>
  <si>
    <t>07.2.07.04-0007</t>
  </si>
  <si>
    <t>Конструкции стальные индивидуальные решетчатые сварные, масса до 0,1 т</t>
  </si>
  <si>
    <t>0,058
0,058</t>
  </si>
  <si>
    <t>14.4.03.17-0011</t>
  </si>
  <si>
    <t>Лак электроизоляционный 318</t>
  </si>
  <si>
    <t>20.1.02.23-0082</t>
  </si>
  <si>
    <t>Перемычки гибкие, тип ПГС-50</t>
  </si>
  <si>
    <t>0,031
0,031</t>
  </si>
  <si>
    <t>0,4
0,4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</si>
  <si>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</si>
  <si>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</si>
  <si>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</si>
  <si>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</si>
  <si>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</si>
  <si>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</si>
  <si>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</si>
  <si>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0,096
0,0048</t>
  </si>
  <si>
    <t>0,0005
0,000025</t>
  </si>
  <si>
    <t>0,00006
0,000003</t>
  </si>
  <si>
    <t>1,87
0,0935</t>
  </si>
  <si>
    <t>ФССЦ-21.1.08.03-0519</t>
  </si>
  <si>
    <t>Кабель контрольный КВВГнг(A)-LS 7х1</t>
  </si>
  <si>
    <t>Прокладка кабеля КПСВВнг(А)-LS 2х2х0.75 в кабель-канале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</si>
  <si>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</si>
  <si>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</si>
  <si>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</si>
  <si>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</si>
  <si>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</si>
  <si>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</t>
  </si>
  <si>
    <t>Прокладка кабель-канала</t>
  </si>
  <si>
    <t>ФЕРм08-02-390-01</t>
  </si>
  <si>
    <t>Короба пластмассовые: шириной до 40 мм</t>
  </si>
  <si>
    <t>0,2
0,04</t>
  </si>
  <si>
    <t>01.7.15.14-0165</t>
  </si>
  <si>
    <t>Шурупы с полукруглой головкой 4х40 мм</t>
  </si>
  <si>
    <t>0,001
0,0002</t>
  </si>
  <si>
    <t>3,1
0,62</t>
  </si>
  <si>
    <t>ФССЦ-20.2.05.04-0026</t>
  </si>
  <si>
    <t>Кабель-канал (короб) 25х25 мм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</si>
  <si>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</si>
  <si>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</si>
  <si>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</si>
  <si>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</si>
  <si>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</si>
  <si>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</si>
  <si>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</si>
  <si>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0,03
0,000204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</si>
  <si>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</si>
  <si>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</si>
  <si>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</si>
  <si>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Вывоз грунта</t>
  </si>
  <si>
    <t>0,02
0,0002244</t>
  </si>
  <si>
    <t>Обратная засыпка пазух котлована песком средней крупности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</si>
  <si>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</si>
  <si>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</si>
  <si>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</si>
  <si>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0,00013
0,0000092</t>
  </si>
  <si>
    <t>ФССЦ-01.7.12.05-1004</t>
  </si>
  <si>
    <t>Геотекстиль нетканый, поверхностной плотностью 200 г/м2</t>
  </si>
  <si>
    <t>1000
70,8</t>
  </si>
  <si>
    <t>Устройство подготовки из бетона В7,5</t>
  </si>
  <si>
    <t>1,75
0,072275</t>
  </si>
  <si>
    <t>250
10,325</t>
  </si>
  <si>
    <t>102
4,2126</t>
  </si>
  <si>
    <t>ФССЦ-04.1.02.05-0003</t>
  </si>
  <si>
    <t>Смеси бетонные тяжелого бетона (БСТ), класс В7,5 (М100)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</si>
  <si>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</si>
  <si>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</si>
  <si>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</si>
  <si>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0,016
0,0128976</t>
  </si>
  <si>
    <t>0,44
0,354684</t>
  </si>
  <si>
    <t>0,024
0,0193464</t>
  </si>
  <si>
    <t>12.1.02.15</t>
  </si>
  <si>
    <t>Материалы гидроизоляционные рулонные</t>
  </si>
  <si>
    <t>230
185,403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</si>
  <si>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</si>
  <si>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</si>
  <si>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</si>
  <si>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</si>
  <si>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</si>
  <si>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12.2.05.06</t>
  </si>
  <si>
    <t>Изделия теплоизоляционные из пенопласта</t>
  </si>
  <si>
    <t>1,02
2,20422</t>
  </si>
  <si>
    <t>ФССЦ-12.2.05.09-0044</t>
  </si>
  <si>
    <t>Плиты теплоизоляционные из экструзионного вспененного полистирола ПЕНОПЛЭКС-45</t>
  </si>
  <si>
    <t>Устройство железобетонной конструкции</t>
  </si>
  <si>
    <t>0,73
0,106215</t>
  </si>
  <si>
    <t>30
4,365</t>
  </si>
  <si>
    <t>0,005
0,0007275</t>
  </si>
  <si>
    <t>0,002
0,000291</t>
  </si>
  <si>
    <t>0,01
0,001455</t>
  </si>
  <si>
    <t>101,5
14,76825</t>
  </si>
  <si>
    <t>0,0102
0,0014841</t>
  </si>
  <si>
    <t>8,1
1,17855</t>
  </si>
  <si>
    <t>0,04
0,00582</t>
  </si>
  <si>
    <t>3,6
0,5238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</si>
  <si>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</si>
  <si>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</si>
  <si>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</si>
  <si>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</si>
  <si>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</si>
  <si>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</si>
  <si>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</si>
  <si>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</si>
  <si>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</si>
  <si>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</si>
  <si>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ФССЦ-08.4.03.03-0002</t>
  </si>
  <si>
    <t>Сталь арматурная рифленая свариваемая, класс А500С, диаметр 8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</si>
  <si>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</si>
  <si>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</si>
  <si>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</si>
  <si>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</si>
  <si>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ФССЦ-08.4.03.02-0001</t>
  </si>
  <si>
    <t>Сталь арматурная, горячекатаная, гладкая, класс А-I, диаметр 6 мм</t>
  </si>
  <si>
    <t>Установка закладных деталей</t>
  </si>
  <si>
    <t>ФЕР06-03-004-09</t>
  </si>
  <si>
    <t>Установка закладных деталей весом: до 4 кг</t>
  </si>
  <si>
    <t>08.4.01.02</t>
  </si>
  <si>
    <t>Детали закладные и накладные</t>
  </si>
  <si>
    <t>1
0,04044</t>
  </si>
  <si>
    <t>ФССЦ-08.4.01.02-0001</t>
  </si>
  <si>
    <t>Детали закладные, вес до 1 кг</t>
  </si>
  <si>
    <t>Установка крышки приямка</t>
  </si>
  <si>
    <t>ФЕР08-02-007-03</t>
  </si>
  <si>
    <t>Установка металлических решеток приямков</t>
  </si>
  <si>
    <t>04.3.01.09-0023</t>
  </si>
  <si>
    <t>Раствор отделочный тяжелый цементный, состав 1:3</t>
  </si>
  <si>
    <t>0,75
0,02856</t>
  </si>
  <si>
    <t>07.2.07.13</t>
  </si>
  <si>
    <t>Изделия металлические (стяжки, прижимы, планки)</t>
  </si>
  <si>
    <t>1
0,03808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</si>
  <si>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</si>
  <si>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</si>
  <si>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</si>
  <si>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</si>
  <si>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</si>
  <si>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</si>
  <si>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</t>
  </si>
  <si>
    <t>канал.км</t>
  </si>
  <si>
    <t>01.3.01.01-0002</t>
  </si>
  <si>
    <t>Бензин автомобильный АИ-98, АИ-95, АИ-93</t>
  </si>
  <si>
    <t>0,0008
0,0000576</t>
  </si>
  <si>
    <t>11.1.03.03-0003</t>
  </si>
  <si>
    <t>Брусья необрезные, хвойных пород, длина 2-3,75 м, все ширины, толщина 100-125 мм, сорт III</t>
  </si>
  <si>
    <t>0,08
0,00576</t>
  </si>
  <si>
    <t>24.3.03.13-0418</t>
  </si>
  <si>
    <t>Труба напорная полиэтиленовая ПНД, среднего типа, диаметр 110 мм</t>
  </si>
  <si>
    <t>1000
72</t>
  </si>
  <si>
    <t>Устройство трубы гибкой гофрированной двустенной ПНД Ø110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</si>
  <si>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</si>
  <si>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</si>
  <si>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</si>
  <si>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</si>
  <si>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</si>
  <si>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</si>
  <si>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01.2.03.03-0043</t>
  </si>
  <si>
    <t>Мастика битумно-кукерсольная холодная</t>
  </si>
  <si>
    <t>0,00049
0,00588</t>
  </si>
  <si>
    <t>1,8
21,6</t>
  </si>
  <si>
    <t>03.2.02.08-0001</t>
  </si>
  <si>
    <t>Цемент гипсоглиноземистый расширяющийся</t>
  </si>
  <si>
    <t>0,00064
0,00768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</si>
  <si>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</si>
  <si>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</si>
  <si>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</si>
  <si>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0,009
0,0001944</t>
  </si>
  <si>
    <t>14.5.09.02-0002</t>
  </si>
  <si>
    <t>Ксилол нефтяной, марка А</t>
  </si>
  <si>
    <t>0,0015
0,0000324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</si>
  <si>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</si>
  <si>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</si>
  <si>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</si>
  <si>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</si>
  <si>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</si>
  <si>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>0,027
0,0005832</t>
  </si>
  <si>
    <t>4,2
0,09072</t>
  </si>
  <si>
    <t>Укладка экструзионного пенополистирола толщиной 100 мм</t>
  </si>
  <si>
    <t>1,02
2,57856</t>
  </si>
  <si>
    <t>Раздел 3. Плита крыльца монолитная Пм1</t>
  </si>
  <si>
    <t>0,00013
0,0000006</t>
  </si>
  <si>
    <t>1100
5,28</t>
  </si>
  <si>
    <t>0,016
0,000768</t>
  </si>
  <si>
    <t>0,44
0,02112</t>
  </si>
  <si>
    <t>0,024
0,001152</t>
  </si>
  <si>
    <t>230
11,04</t>
  </si>
  <si>
    <t>0,73
0,00657</t>
  </si>
  <si>
    <t>30
0,27</t>
  </si>
  <si>
    <t>0,005
0,000045</t>
  </si>
  <si>
    <t>0,002
0,000018</t>
  </si>
  <si>
    <t>0,01
0,00009</t>
  </si>
  <si>
    <t>101,5
0,9135</t>
  </si>
  <si>
    <t>0,0102
0,0000918</t>
  </si>
  <si>
    <t>8,1
0,0729</t>
  </si>
  <si>
    <t>0,04
0,00036</t>
  </si>
  <si>
    <t>3,6
0,0324</t>
  </si>
  <si>
    <t>Раздел 4. Плита покрытия монолитная Пм2</t>
  </si>
  <si>
    <t>0,73
0,04599</t>
  </si>
  <si>
    <t>30
1,89</t>
  </si>
  <si>
    <t>0,005
0,000315</t>
  </si>
  <si>
    <t>0,002
0,000126</t>
  </si>
  <si>
    <t>0,01
0,00063</t>
  </si>
  <si>
    <t>101,5
6,3945</t>
  </si>
  <si>
    <t>0,0102
0,0006426</t>
  </si>
  <si>
    <t>8,1
0,5103</t>
  </si>
  <si>
    <t>0,04
0,00252</t>
  </si>
  <si>
    <t>3,6
0,2268</t>
  </si>
  <si>
    <t>45</t>
  </si>
  <si>
    <t>46</t>
  </si>
  <si>
    <t>47</t>
  </si>
  <si>
    <t>1,02
0,03366</t>
  </si>
  <si>
    <t>ФССЦ-12.2.05.09-0031</t>
  </si>
  <si>
    <t>Плиты пенополистирольные экструзионные ТЕХНОПЛЕКС (ТУ 2244-047-17925162-2006), марки: 30-250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</si>
  <si>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</si>
  <si>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</si>
  <si>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</si>
  <si>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</si>
  <si>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2,5
9,715</t>
  </si>
  <si>
    <t>0,8
3,1088</t>
  </si>
  <si>
    <t>0,0026
0,0101036</t>
  </si>
  <si>
    <t>4,4
17,0984</t>
  </si>
  <si>
    <t>0,00001
0,0000389</t>
  </si>
  <si>
    <t>0,0001
0,0003886</t>
  </si>
  <si>
    <t>1
3,886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</si>
  <si>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</si>
  <si>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</si>
  <si>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</si>
  <si>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</si>
  <si>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</si>
  <si>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</si>
  <si>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</si>
  <si>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</si>
  <si>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</si>
  <si>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</si>
  <si>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</si>
  <si>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</si>
  <si>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</si>
  <si>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</si>
  <si>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</si>
  <si>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49</t>
  </si>
  <si>
    <t>ФЕР06-03-004-02</t>
  </si>
  <si>
    <t>Установка анкерных болтов: в готовые гнезда с заделкой длиной более 1 м</t>
  </si>
  <si>
    <t>07.2.07.02-0001</t>
  </si>
  <si>
    <t>Кондуктор инвентарный металлический</t>
  </si>
  <si>
    <t>0,01
0,0000998</t>
  </si>
  <si>
    <t>08.4.01.01-0022</t>
  </si>
  <si>
    <t>Детали анкерные с резьбой из прямых или гнутых круглых стержней</t>
  </si>
  <si>
    <t>1
0,009984</t>
  </si>
  <si>
    <t>Устройство безусадочной цементной смеси MasterFlow 928 (Emaco S 55)</t>
  </si>
  <si>
    <t>50</t>
  </si>
  <si>
    <t>51</t>
  </si>
  <si>
    <t>4200
84</t>
  </si>
  <si>
    <t>560
11,2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</si>
  <si>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</si>
  <si>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</si>
  <si>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</si>
  <si>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01.7.06.03-0022</t>
  </si>
  <si>
    <t>Лента полиэтиленовая с липким слоем А50</t>
  </si>
  <si>
    <t>0,1883
21,57918</t>
  </si>
  <si>
    <t>01.7.07.12-0022</t>
  </si>
  <si>
    <t>Пленка полиэтиленовая, толщина 0,2-0,5 мм</t>
  </si>
  <si>
    <t>2,917
334,2882</t>
  </si>
  <si>
    <t>01.7.16.02-0001</t>
  </si>
  <si>
    <t>Детали деревянные лесов из пиломатериалов хвойных пород</t>
  </si>
  <si>
    <t>0,01362
1,560852</t>
  </si>
  <si>
    <t>01.7.16.02-0002</t>
  </si>
  <si>
    <t>Детали лесов стальные, укомплектованные пробками, крючками и хомутами, окрашенные</t>
  </si>
  <si>
    <t>0,00109
0,124914</t>
  </si>
  <si>
    <t>01.7.17.08-0001</t>
  </si>
  <si>
    <t>Купрошлак</t>
  </si>
  <si>
    <t>0,05028
5,762088</t>
  </si>
  <si>
    <t>0,047
5,3862</t>
  </si>
  <si>
    <t>11.2.13.06-0011</t>
  </si>
  <si>
    <t>Щиты настила, все толщины</t>
  </si>
  <si>
    <t>0,106
12,1476</t>
  </si>
  <si>
    <t>0,0009
0,10314</t>
  </si>
  <si>
    <t>14.5.09.07-1020</t>
  </si>
  <si>
    <t>Растворитель, для эпоксидных и эпоксидосодержащих красок и грунтовок</t>
  </si>
  <si>
    <t>0,0316
3,62136</t>
  </si>
  <si>
    <t>0,31
35,526</t>
  </si>
  <si>
    <t>53</t>
  </si>
  <si>
    <t>0,027
0,030942</t>
  </si>
  <si>
    <t>4,2
4,8132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</si>
  <si>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</si>
  <si>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</si>
  <si>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</si>
  <si>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</si>
  <si>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4,7
5,3862</t>
  </si>
  <si>
    <t>14.2.02.03</t>
  </si>
  <si>
    <t>Краски огнезащитные</t>
  </si>
  <si>
    <t>0,165
0,18909</t>
  </si>
  <si>
    <t>30,9
35,4114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</si>
  <si>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</si>
  <si>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</si>
  <si>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</si>
  <si>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0,0320016
-0,0366738</t>
  </si>
  <si>
    <t>56</t>
  </si>
  <si>
    <t>ТЦ_14.2.02.02_78_7801557981_05.03.2025_02_1.1</t>
  </si>
  <si>
    <t>Конструктивная огнезащита "ТермобарьерК" (1 слой)</t>
  </si>
  <si>
    <t>57</t>
  </si>
  <si>
    <t>58</t>
  </si>
  <si>
    <t>0,5120016
0,5867538</t>
  </si>
  <si>
    <t>59</t>
  </si>
  <si>
    <t>ТЦ_14.2.02.02_78_7801557981_05.03.2025_02_2.1</t>
  </si>
  <si>
    <t>Конструктивная огнезащита "ТермобарьерК" (2 слой)</t>
  </si>
  <si>
    <t>Составил:  ____________________________ Орлова В.В.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</si>
  <si>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</si>
  <si>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</si>
  <si>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</si>
  <si>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</si>
  <si>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</si>
  <si>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</si>
  <si>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0,05
0,44</t>
  </si>
  <si>
    <t>0,25
2,2</t>
  </si>
  <si>
    <t>0,0013
0,01144</t>
  </si>
  <si>
    <t>0,00051
0,004488</t>
  </si>
  <si>
    <t>08.3.10.02</t>
  </si>
  <si>
    <t>Профили фасонные горячекатаные для шпунтовых свай</t>
  </si>
  <si>
    <t>1,01
8,888</t>
  </si>
  <si>
    <t>08.3.12.01-0030</t>
  </si>
  <si>
    <t>Балки двутавровые № 60, марка стали Ст6пс</t>
  </si>
  <si>
    <t>0,00009
0,000792</t>
  </si>
  <si>
    <t>11.1.03.01-0067</t>
  </si>
  <si>
    <t>Бруски обрезные, хвойных пород, длина 2-3,75 м, ширина 75-150 мм, толщина 100-125 мм, сорт III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</si>
  <si>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</si>
  <si>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</si>
  <si>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</si>
  <si>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</si>
  <si>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Раздел 2. Фундаментная плита монолитная ФМ-3 (4 шт.)</t>
  </si>
  <si>
    <t>0,00013
0,0000158</t>
  </si>
  <si>
    <t>1000
121,2</t>
  </si>
  <si>
    <t>1,75
0,119</t>
  </si>
  <si>
    <t>250
17</t>
  </si>
  <si>
    <t>102
6,936</t>
  </si>
  <si>
    <t>0,73
0,4964</t>
  </si>
  <si>
    <t>30
20,4</t>
  </si>
  <si>
    <t>0,005
0,0034</t>
  </si>
  <si>
    <t>0,002
0,00136</t>
  </si>
  <si>
    <t>0,01
0,0068</t>
  </si>
  <si>
    <t>101,5
69,02</t>
  </si>
  <si>
    <t>0,0102
0,006936</t>
  </si>
  <si>
    <t>8,1
5,508</t>
  </si>
  <si>
    <t>0,04
0,0272</t>
  </si>
  <si>
    <t>3,6
2,448</t>
  </si>
  <si>
    <t>ФССЦ-08.4.03.03-0010</t>
  </si>
  <si>
    <t>Сталь арматурная рифленая свариваемая, класс А500С, диаметр 28 мм</t>
  </si>
  <si>
    <t>Устройство трубы ПНД 110</t>
  </si>
  <si>
    <t>0,0008
0,000048</t>
  </si>
  <si>
    <t>0,08
0,0048</t>
  </si>
  <si>
    <t>1000
60</t>
  </si>
  <si>
    <t>Установка закладной детали (Входит в поставку мачты освещения)</t>
  </si>
  <si>
    <t>4200
2520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</si>
  <si>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</si>
  <si>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</si>
  <si>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0,016
0,025344</t>
  </si>
  <si>
    <t>0,24
0,38016</t>
  </si>
  <si>
    <t>0,024
0,038016</t>
  </si>
  <si>
    <t>0,1
0,1584</t>
  </si>
  <si>
    <t>ФССЦ-01.2.03.05-0010</t>
  </si>
  <si>
    <t>Праймер битумный производства «Техно-Николь»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</si>
  <si>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</si>
  <si>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</si>
  <si>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</si>
  <si>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 xml:space="preserve">на Пешеходная эстакада. Опоры., </t>
  </si>
  <si>
    <t>Раздел 1. Фундаменты опор 1, 2 и 3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</si>
  <si>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</si>
  <si>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</si>
  <si>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</si>
  <si>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0,00008
0,000136</t>
  </si>
  <si>
    <t>1,01
1,717</t>
  </si>
  <si>
    <t>0,00007
0,000119</t>
  </si>
  <si>
    <t>0,003
0,0051</t>
  </si>
  <si>
    <t>0,02
0,034</t>
  </si>
  <si>
    <t>1,25
2,125</t>
  </si>
  <si>
    <t>0,00008
0,000824</t>
  </si>
  <si>
    <t>1,03
10,609</t>
  </si>
  <si>
    <t>0,004
0,0412</t>
  </si>
  <si>
    <t>0,02
0,206</t>
  </si>
  <si>
    <t>0,9375
9,65625</t>
  </si>
  <si>
    <t>0,01
0,12</t>
  </si>
  <si>
    <t>0,063
0,756</t>
  </si>
  <si>
    <t>0,15
0,81</t>
  </si>
  <si>
    <t>1,15
6,21</t>
  </si>
  <si>
    <t>1,75
0,07525</t>
  </si>
  <si>
    <t>250
10,75</t>
  </si>
  <si>
    <t>102
4,386</t>
  </si>
  <si>
    <t>0,73
0,27448</t>
  </si>
  <si>
    <t>30
11,28</t>
  </si>
  <si>
    <t>0,005
0,00188</t>
  </si>
  <si>
    <t>0,002
0,000752</t>
  </si>
  <si>
    <t>0,01
0,00376</t>
  </si>
  <si>
    <t>101,5
38,164</t>
  </si>
  <si>
    <t>0,0102
0,0038352</t>
  </si>
  <si>
    <t>8,1
3,0456</t>
  </si>
  <si>
    <t>0,04
0,01504</t>
  </si>
  <si>
    <t>3,6
1,3536</t>
  </si>
  <si>
    <t>ФЕР06-03-004-11</t>
  </si>
  <si>
    <t>Установка закладных деталей весом: более 20 кг</t>
  </si>
  <si>
    <t>1
0,10549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</si>
  <si>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</si>
  <si>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</si>
  <si>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Изготовление, транспортировка и монтаж металлоконструкций опор из стали марки 325-12-09Г2С по ГОСТ 19281-2014</t>
  </si>
  <si>
    <t>2,145
46,5465</t>
  </si>
  <si>
    <t>0,649
14,0833</t>
  </si>
  <si>
    <t>0,0022
0,04774</t>
  </si>
  <si>
    <t>3,3
71,61</t>
  </si>
  <si>
    <t>0,000011
0,0002387</t>
  </si>
  <si>
    <t>0,00011
0,002387</t>
  </si>
  <si>
    <t>1,1
23,87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</si>
  <si>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</si>
  <si>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</si>
  <si>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</si>
  <si>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</si>
  <si>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</si>
  <si>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</si>
  <si>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</si>
  <si>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0,016
0,00384</t>
  </si>
  <si>
    <t>0,24
0,0576</t>
  </si>
  <si>
    <t>0,024
0,00576</t>
  </si>
  <si>
    <t>0,1
0,024</t>
  </si>
  <si>
    <t>0,013
0,00572</t>
  </si>
  <si>
    <t>1,95
0,858</t>
  </si>
  <si>
    <t>-0,013
-0,00572</t>
  </si>
  <si>
    <t>40
17,6</t>
  </si>
  <si>
    <t>0,04
0,0176</t>
  </si>
  <si>
    <t>0,0006
0,000264</t>
  </si>
  <si>
    <t>4
1,76</t>
  </si>
  <si>
    <t>-0,04
-0,0176</t>
  </si>
  <si>
    <t>33
14,52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</si>
  <si>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</si>
  <si>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</si>
  <si>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</si>
  <si>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</si>
  <si>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0,016
0,0044704</t>
  </si>
  <si>
    <t>0,24
0,067056</t>
  </si>
  <si>
    <t>0,024
0,0067056</t>
  </si>
  <si>
    <t>0,1
0,02794</t>
  </si>
  <si>
    <t>Утепление цоколя экструзионным пенополистиролом XPS CARBON ECO SP толщиной 100 мм</t>
  </si>
  <si>
    <t>1,02
2,48574</t>
  </si>
  <si>
    <t>ФССЦ-12.2.05.09-0008</t>
  </si>
  <si>
    <t>Пенополистирол экструдированный ТЕХНОНИКОЛЬ XPS CARBON 30-280 Стандарт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</si>
  <si>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</si>
  <si>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</si>
  <si>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</si>
  <si>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0,12
0,00528</t>
  </si>
  <si>
    <t>01.7.15.07-0132</t>
  </si>
  <si>
    <t>Дюбели распорные с металлическим стержнем, размер 10х150 мм</t>
  </si>
  <si>
    <t>12.2.01.09</t>
  </si>
  <si>
    <t>Изделия теплоизоляционные</t>
  </si>
  <si>
    <t>14.1.06.04-0001</t>
  </si>
  <si>
    <t>Клей для приклеивания минеральной ваты</t>
  </si>
  <si>
    <t>409
17,996</t>
  </si>
  <si>
    <t>ФССЦ-12.2.05.05-0014</t>
  </si>
  <si>
    <t>Плиты из минеральной ваты повышенной жесткости на синтетическом связующем ППЖ-200</t>
  </si>
  <si>
    <t>ФССЦ-01.7.15.07-1008</t>
  </si>
  <si>
    <t>Дюбели тарельчатые с металлическим гвоздем и термоголовкой, диаметр 8 мм, длина 130 мм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</si>
  <si>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</si>
  <si>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</si>
  <si>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</si>
  <si>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0,01
0,001303</t>
  </si>
  <si>
    <t>12
1,5636</t>
  </si>
  <si>
    <t>01.7.15.06-0121</t>
  </si>
  <si>
    <t>Гвозди строительные с плоской головкой, размер 1,6х50 мм</t>
  </si>
  <si>
    <t>0,0025
0,0003258</t>
  </si>
  <si>
    <t>0,013
0,0016939</t>
  </si>
  <si>
    <t>04.3.01.07-0012</t>
  </si>
  <si>
    <t>Раствор готовый отделочный тяжелый, известковый, состав 1:2,5</t>
  </si>
  <si>
    <t>3,1
0,40393</t>
  </si>
  <si>
    <t>08.1.02.17-0161</t>
  </si>
  <si>
    <t>Сетка тканая с квадратными ячейками № 05, без покрытия</t>
  </si>
  <si>
    <t>108
14,0724</t>
  </si>
  <si>
    <t>ФЕР15-04-011-02</t>
  </si>
  <si>
    <t>Окраска фасадов с лесов с подготовкой поверхности: силикатная</t>
  </si>
  <si>
    <t>0,075
0,0097725</t>
  </si>
  <si>
    <t>01.8.01.07-0001</t>
  </si>
  <si>
    <t>Стекло жидкое калийное</t>
  </si>
  <si>
    <t>0,0532
0,006932</t>
  </si>
  <si>
    <t>02.4.03.02-0001</t>
  </si>
  <si>
    <t>Щебень пористый из металлургического шлака М 600, фракция 5-10 мм</t>
  </si>
  <si>
    <t>0,0003
0,0000391</t>
  </si>
  <si>
    <t>04.3.01.12-0111</t>
  </si>
  <si>
    <t>Раствор готовый отделочный тяжелый, цементно-известковый, состав 1:1:6</t>
  </si>
  <si>
    <t>0,06
0,007818</t>
  </si>
  <si>
    <t>14.2.06.03-0514</t>
  </si>
  <si>
    <t>Жидкость гидрофобизирующая ГКЖ-10</t>
  </si>
  <si>
    <t>0,0023
0,0002997</t>
  </si>
  <si>
    <t>14.3.02.05</t>
  </si>
  <si>
    <t>Краски силикатные</t>
  </si>
  <si>
    <t>0,045
0,0058635</t>
  </si>
  <si>
    <t>ФССЦ-14.3.02.05-0201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</si>
  <si>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</si>
  <si>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</si>
  <si>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</si>
  <si>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</si>
  <si>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01.2.03.03-0104</t>
  </si>
  <si>
    <t>Мастика нетвердеющая строительная, гидроизоляционная и кровельная, битумно-полимерная, холодная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</si>
  <si>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</si>
  <si>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</si>
  <si>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</t>
  </si>
  <si>
    <t>1,05
0,28665</t>
  </si>
  <si>
    <t>14.4.01.15-1002</t>
  </si>
  <si>
    <t>Грунтовка полимерная</t>
  </si>
  <si>
    <t>0,0006
0,0001638</t>
  </si>
  <si>
    <t>14.5.09.07-0032</t>
  </si>
  <si>
    <t>Растворитель Р-5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</si>
  <si>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</si>
  <si>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</si>
  <si>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</si>
  <si>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</si>
  <si>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</si>
  <si>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2,98
1,088892</t>
  </si>
  <si>
    <t>3,16
1,154664</t>
  </si>
  <si>
    <t>0,0031
0,0011327</t>
  </si>
  <si>
    <t>12,6
4,60404</t>
  </si>
  <si>
    <t>0,00005
0,0000183</t>
  </si>
  <si>
    <t>0,00054
0,0001973</t>
  </si>
  <si>
    <t>07.2.05.02</t>
  </si>
  <si>
    <t>Панели многослойные стеновые с обшивкой из профильного настила</t>
  </si>
  <si>
    <t>0,017
0,0062118</t>
  </si>
  <si>
    <t>Конструкции стальные нащельников и деталей обрамления</t>
  </si>
  <si>
    <t>0,273
0,0997542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</si>
  <si>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</si>
  <si>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</si>
  <si>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</si>
  <si>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</si>
  <si>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</si>
  <si>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</si>
  <si>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</si>
  <si>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</si>
  <si>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</si>
  <si>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</si>
  <si>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</si>
  <si>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</si>
  <si>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</si>
  <si>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</si>
  <si>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</si>
  <si>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</si>
  <si>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</si>
  <si>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</si>
  <si>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0,273
0,1621347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</si>
  <si>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</si>
  <si>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</si>
  <si>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</si>
  <si>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</si>
  <si>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</si>
  <si>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</si>
  <si>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</si>
  <si>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</si>
  <si>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</si>
  <si>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</si>
  <si>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01.7.15.14-0166</t>
  </si>
  <si>
    <t>Шурупы с полукруглой головкой 5х35 мм</t>
  </si>
  <si>
    <t>0,00075
0,000177</t>
  </si>
  <si>
    <t>Планка из стального листа</t>
  </si>
  <si>
    <t>0,004
0,000944</t>
  </si>
  <si>
    <t>08.3.09.05</t>
  </si>
  <si>
    <t>ФССЦ-08.3.08.02-0052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</si>
  <si>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</si>
  <si>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</si>
  <si>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</si>
  <si>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</si>
  <si>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</si>
  <si>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>0,8
0,3952</t>
  </si>
  <si>
    <t>14.5.04.02-0002</t>
  </si>
  <si>
    <t>Мастика клеящая каучуковая КН-3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</si>
  <si>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</si>
  <si>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</si>
  <si>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</si>
  <si>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</si>
  <si>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</si>
  <si>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01.7.15.06-0146</t>
  </si>
  <si>
    <t>Гвозди толевые круглые, размер 3,0х40 мм</t>
  </si>
  <si>
    <t>0,004
0,0026044</t>
  </si>
  <si>
    <t>08.3.03.05-0002</t>
  </si>
  <si>
    <t>Проволока канатная оцинкованная, диаметр 3 мм</t>
  </si>
  <si>
    <t>0,012
0,0078132</t>
  </si>
  <si>
    <t>08.3.05.05-0051</t>
  </si>
  <si>
    <t>Сталь листовая оцинкованная, толщина 0,5 мм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</si>
  <si>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</si>
  <si>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</si>
  <si>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</si>
  <si>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</si>
  <si>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</si>
  <si>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</si>
  <si>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</si>
  <si>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</si>
  <si>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</t>
  </si>
  <si>
    <t>0,013
0,000845</t>
  </si>
  <si>
    <t>06.2.05.03</t>
  </si>
  <si>
    <t>Плиты керамогранитные 400х400 мм</t>
  </si>
  <si>
    <t>102
6,63</t>
  </si>
  <si>
    <t>11.2.04.05</t>
  </si>
  <si>
    <t>Рейки деревянные</t>
  </si>
  <si>
    <t>0,01
0,00065</t>
  </si>
  <si>
    <t>14.1.06.02</t>
  </si>
  <si>
    <t>Клей для облицовочных работ (сухая смесь)</t>
  </si>
  <si>
    <t>1,2
0,078</t>
  </si>
  <si>
    <t>14.4.01.21</t>
  </si>
  <si>
    <t>Грунтовка</t>
  </si>
  <si>
    <t>ФССЦ-06.2.05.03-0001</t>
  </si>
  <si>
    <t>Плитка керамогранитная многоцветная неполированная, размер 300х300х8 мм</t>
  </si>
  <si>
    <t>ФССЦ-14.1.06.02-0011</t>
  </si>
  <si>
    <t>Клей для плитки Ветонит "Клей для пола"</t>
  </si>
  <si>
    <t>ФССЦ-11.2.04.05-0001</t>
  </si>
  <si>
    <t>Рейки деревянные, сечение 8х18 мм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</si>
  <si>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</si>
  <si>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</si>
  <si>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</si>
  <si>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</si>
  <si>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</si>
  <si>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</si>
  <si>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3,5
0,24605</t>
  </si>
  <si>
    <t>04.3.01.09</t>
  </si>
  <si>
    <t>Раствор готовый кладочный тяжелый цементный</t>
  </si>
  <si>
    <t>2,04
0,143412</t>
  </si>
  <si>
    <t>ФССЦ-04.3.01.09-0015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</si>
  <si>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</si>
  <si>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</si>
  <si>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2,55
0,179265</t>
  </si>
  <si>
    <t>10,2
0,71706</t>
  </si>
  <si>
    <t>ФЕР06-03-004-12</t>
  </si>
  <si>
    <t>Армирование подстилающих слоев и набетонок</t>
  </si>
  <si>
    <t>08.3.03.04-0012</t>
  </si>
  <si>
    <t>Проволока светлая, диаметр 1,1 мм</t>
  </si>
  <si>
    <t>0,028
0,0006102</t>
  </si>
  <si>
    <t>1
0,021793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</si>
  <si>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</si>
  <si>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</si>
  <si>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</si>
  <si>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</si>
  <si>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</si>
  <si>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</si>
  <si>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</si>
  <si>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</si>
  <si>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</si>
  <si>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</si>
  <si>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12.2.04.04</t>
  </si>
  <si>
    <t>Плиты или маты минераловатные или стекловолокнистые</t>
  </si>
  <si>
    <t>103
7,2409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</si>
  <si>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</si>
  <si>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</si>
  <si>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</si>
  <si>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</si>
  <si>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</si>
  <si>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</si>
  <si>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0,01
0,000821</t>
  </si>
  <si>
    <t>01.7.03.04-0001</t>
  </si>
  <si>
    <t>Электроэнергия</t>
  </si>
  <si>
    <t>кВт-ч</t>
  </si>
  <si>
    <t>0,09
0,007389</t>
  </si>
  <si>
    <t>04.3.02.09</t>
  </si>
  <si>
    <t>Смесь сухая для заделки швов</t>
  </si>
  <si>
    <t>Плиты керамогранитные</t>
  </si>
  <si>
    <t>10,2
0,83742</t>
  </si>
  <si>
    <t>0,04
0,003284</t>
  </si>
  <si>
    <t>ФССЦ-04.3.02.09-0102</t>
  </si>
  <si>
    <t>6,12
0,502452</t>
  </si>
  <si>
    <t>Тип пола 2</t>
  </si>
  <si>
    <t>0,44
0,017248</t>
  </si>
  <si>
    <t>0,013
0,0005096</t>
  </si>
  <si>
    <t>102
3,9984</t>
  </si>
  <si>
    <t>0,01
0,000392</t>
  </si>
  <si>
    <t>1,2
0,04704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</si>
  <si>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</si>
  <si>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</si>
  <si>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</si>
  <si>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</si>
  <si>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01.1.02.10-1022</t>
  </si>
  <si>
    <t>Хризотил, группа 6К</t>
  </si>
  <si>
    <t>0,008
0,0005168</t>
  </si>
  <si>
    <t>01.2.01.02-0052</t>
  </si>
  <si>
    <t>Битумы нефтяные строительные БН-70/30</t>
  </si>
  <si>
    <t>0,019
0,0012274</t>
  </si>
  <si>
    <t>0,157
0,0101422</t>
  </si>
  <si>
    <t>01.3.01.01-0010</t>
  </si>
  <si>
    <t>Бензин-растворитель</t>
  </si>
  <si>
    <t>57
3,6822</t>
  </si>
  <si>
    <t>01.7.07.13-0001</t>
  </si>
  <si>
    <t>Мука андезитовая кислотоупорная, А</t>
  </si>
  <si>
    <t>0,125
0,008075</t>
  </si>
  <si>
    <t>0,5
0,0323</t>
  </si>
  <si>
    <t>3,5
0,1827</t>
  </si>
  <si>
    <t>2,04
0,106488</t>
  </si>
  <si>
    <t>2,55
0,13311</t>
  </si>
  <si>
    <t>10,2
0,53244</t>
  </si>
  <si>
    <t>0,028
0,0004531</t>
  </si>
  <si>
    <t>1
0,016182</t>
  </si>
  <si>
    <t>322,580645
5,22</t>
  </si>
  <si>
    <t>122,4
6,38928</t>
  </si>
  <si>
    <t>103
5,3766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</si>
  <si>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</si>
  <si>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</si>
  <si>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</si>
  <si>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</si>
  <si>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01.7.15.04-0048</t>
  </si>
  <si>
    <t>Винты самонарезающие, остроконечные, длина 35 мм</t>
  </si>
  <si>
    <t>2,63
0,219342</t>
  </si>
  <si>
    <t>01.7.15.07-0021</t>
  </si>
  <si>
    <t>Дюбели распорные полиэтиленовые, размер 6х30 мм</t>
  </si>
  <si>
    <t>0,263
0,0219342</t>
  </si>
  <si>
    <t>11.3.03.06</t>
  </si>
  <si>
    <t>Плинтуса для полов пластиковые</t>
  </si>
  <si>
    <t>101
8,4234</t>
  </si>
  <si>
    <t>11.3.03.14-0001</t>
  </si>
  <si>
    <t>Заглушки торцевые для плинтуса из ПВХ, левые, высота 48 мм</t>
  </si>
  <si>
    <t>0,08
0,006672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</si>
  <si>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</si>
  <si>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</si>
  <si>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</si>
  <si>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</si>
  <si>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>0,4
0,03336</t>
  </si>
  <si>
    <t>11.3.03.14-0031</t>
  </si>
  <si>
    <t>Уголок внутренний для плинтуса из ПВХ, высота 48 мм</t>
  </si>
  <si>
    <t>0,07
0,005838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</si>
  <si>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</si>
  <si>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</si>
  <si>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</si>
  <si>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</si>
  <si>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</si>
  <si>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</si>
  <si>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</si>
  <si>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</si>
  <si>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01.6.03.04</t>
  </si>
  <si>
    <t>Линолеум</t>
  </si>
  <si>
    <t>102
17,8194</t>
  </si>
  <si>
    <t>0,5
0,08735</t>
  </si>
  <si>
    <t>14.1.02.04</t>
  </si>
  <si>
    <t>Состав клеящий</t>
  </si>
  <si>
    <t>50
8,735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</si>
  <si>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</si>
  <si>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</si>
  <si>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</si>
  <si>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</si>
  <si>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</si>
  <si>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Устройство армированной стяжки из ЦПР (сетка диам.5 мм, шаг ячейки 100х100) - 55 мм</t>
  </si>
  <si>
    <t>3,5
0,61145</t>
  </si>
  <si>
    <t>2,04
0,356388</t>
  </si>
  <si>
    <t>3,57
0,623679</t>
  </si>
  <si>
    <t>14,28
2,494716</t>
  </si>
  <si>
    <t>0,028
0,0015164</t>
  </si>
  <si>
    <t>1
0,054157</t>
  </si>
  <si>
    <t>322,580645
17,47</t>
  </si>
  <si>
    <t>122,4
21,38328</t>
  </si>
  <si>
    <t>103
17,9941</t>
  </si>
  <si>
    <t>14,42
2,519174</t>
  </si>
  <si>
    <t>2,63
0,574918</t>
  </si>
  <si>
    <t>0,263
0,0574918</t>
  </si>
  <si>
    <t>101
22,0786</t>
  </si>
  <si>
    <t>0,08
0,017488</t>
  </si>
  <si>
    <t>0,4
0,08744</t>
  </si>
  <si>
    <t>0,07
0,015302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</si>
  <si>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</si>
  <si>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</si>
  <si>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</si>
  <si>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</si>
  <si>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0,008
0,000144</t>
  </si>
  <si>
    <t>3
0,054</t>
  </si>
  <si>
    <t>Устройство армированной стяжки из ЦПР (сетка диам.5 мм, шаг ячейки 100х100) - 60 мм</t>
  </si>
  <si>
    <t>3,5
0,063</t>
  </si>
  <si>
    <t>2,04
0,03672</t>
  </si>
  <si>
    <t>4,08
0,07344</t>
  </si>
  <si>
    <t>16,32
0,29376</t>
  </si>
  <si>
    <t>0,028
0,0001562</t>
  </si>
  <si>
    <t>1
0,00558</t>
  </si>
  <si>
    <t>322,580645
1,8</t>
  </si>
  <si>
    <t>122,4
2,2032</t>
  </si>
  <si>
    <t>103
1,854</t>
  </si>
  <si>
    <t>14,42
0,25956</t>
  </si>
  <si>
    <t>Тип пола 4.1</t>
  </si>
  <si>
    <t>0,008
0,0000816</t>
  </si>
  <si>
    <t>3
0,0306</t>
  </si>
  <si>
    <t>3,5
0,0357</t>
  </si>
  <si>
    <t>2,04
0,020808</t>
  </si>
  <si>
    <t>4,08
0,041616</t>
  </si>
  <si>
    <t>16,32
0,166464</t>
  </si>
  <si>
    <t>0,028
0,0000885</t>
  </si>
  <si>
    <t>1
0,003162</t>
  </si>
  <si>
    <t>322,580645
1,02</t>
  </si>
  <si>
    <t>Тип пола 4.2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</si>
  <si>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</si>
  <si>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</si>
  <si>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</si>
  <si>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</si>
  <si>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</si>
  <si>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</si>
  <si>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01.6.01.02</t>
  </si>
  <si>
    <t>Листы гипсокартонные</t>
  </si>
  <si>
    <t>449
53,7453</t>
  </si>
  <si>
    <t>0,13
0,015561</t>
  </si>
  <si>
    <t>01.7.06.01-0042</t>
  </si>
  <si>
    <t>Лента эластичная самоклеящаяся для профилей направляющих 50/30000 мм</t>
  </si>
  <si>
    <t>117
14,0049</t>
  </si>
  <si>
    <t>01.7.06.04-0002</t>
  </si>
  <si>
    <t>Лента бумажная для повышения трещиностойкости стыков ГКЛ и ГВЛ</t>
  </si>
  <si>
    <t>177
21,1869</t>
  </si>
  <si>
    <t>01.7.06.04-0007</t>
  </si>
  <si>
    <t>Лента разделительная для сопряжения потолка из ЛГК со стеной</t>
  </si>
  <si>
    <t>1,62
0,193914</t>
  </si>
  <si>
    <t>01.7.15.07-0082</t>
  </si>
  <si>
    <t>Дюбель-гвозди, размер 6х39 мм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</si>
  <si>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</si>
  <si>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</si>
  <si>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</si>
  <si>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</si>
  <si>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</si>
  <si>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</si>
  <si>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</si>
  <si>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</si>
  <si>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</si>
  <si>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</si>
  <si>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</si>
  <si>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</si>
  <si>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</si>
  <si>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
30,4038</t>
  </si>
  <si>
    <t>07.2.06.04-0011</t>
  </si>
  <si>
    <t>Верхний уголок для крепления несущих элементов двери 100х123 мм</t>
  </si>
  <si>
    <t>0,14
0,016758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</si>
  <si>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</si>
  <si>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</si>
  <si>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</si>
  <si>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</si>
  <si>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
0,0116708</t>
  </si>
  <si>
    <t>12.2.03.15</t>
  </si>
  <si>
    <t>Материалы теплоизоляционные из минеральных волокон</t>
  </si>
  <si>
    <t>103
12,3291</t>
  </si>
  <si>
    <t>14.4.01.02-0012</t>
  </si>
  <si>
    <t>Грунтовка укрепляющая, глубокого проникновения, быстросохнущая, паропроницаемая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</si>
  <si>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</si>
  <si>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</si>
  <si>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</si>
  <si>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</si>
  <si>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</si>
  <si>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
17,955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</si>
  <si>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</si>
  <si>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</si>
  <si>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</si>
  <si>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</si>
  <si>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</si>
  <si>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</si>
  <si>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449
61,6477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</si>
  <si>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</si>
  <si>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</si>
  <si>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</si>
  <si>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</si>
  <si>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</si>
  <si>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</si>
  <si>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</si>
  <si>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</si>
  <si>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</si>
  <si>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</si>
  <si>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</si>
  <si>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</si>
  <si>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103
14,1419</t>
  </si>
  <si>
    <t>20
2,746</t>
  </si>
  <si>
    <t>150
20,595</t>
  </si>
  <si>
    <t>ФССЦ-01.6.01.02-0010</t>
  </si>
  <si>
    <t>Листы гипсокартонные: огнестойкие, ГИПРОК, толщиной 15 мм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</si>
  <si>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</si>
  <si>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</si>
  <si>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449
23,1684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</si>
  <si>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</si>
  <si>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</si>
  <si>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</si>
  <si>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</si>
  <si>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</si>
  <si>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</si>
  <si>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</si>
  <si>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</si>
  <si>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</si>
  <si>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</si>
  <si>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</si>
  <si>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</si>
  <si>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103
5,3148</t>
  </si>
  <si>
    <t>20
1,032</t>
  </si>
  <si>
    <t>150
7,74</t>
  </si>
  <si>
    <t>ФССЦ-01.6.01.02-0008</t>
  </si>
  <si>
    <t>Листы гипсокартонные ГКЛВ, толщина 12,5 мм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</si>
  <si>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</si>
  <si>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</si>
  <si>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449
101,2495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</si>
  <si>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</si>
  <si>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</si>
  <si>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</si>
  <si>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</si>
  <si>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</si>
  <si>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</si>
  <si>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</si>
  <si>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</si>
  <si>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</si>
  <si>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</si>
  <si>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</si>
  <si>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</si>
  <si>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103
23,2265</t>
  </si>
  <si>
    <t>20
4,51</t>
  </si>
  <si>
    <t>150
33,825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</si>
  <si>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</si>
  <si>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</si>
  <si>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</si>
  <si>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212
17,9352</t>
  </si>
  <si>
    <t>0,073
0,0061758</t>
  </si>
  <si>
    <t>01.7.06.01-0043</t>
  </si>
  <si>
    <t>Лента эластичная самоклеящаяся для профилей направляющих 70/30000 мм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</si>
  <si>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</si>
  <si>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</si>
  <si>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</si>
  <si>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</si>
  <si>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</si>
  <si>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</si>
  <si>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</si>
  <si>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</si>
  <si>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</si>
  <si>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</si>
  <si>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</si>
  <si>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
19,035</t>
  </si>
  <si>
    <t>07.2.06.03-0229</t>
  </si>
  <si>
    <t>Профиль угловой, стальной, оцинкованный, для защиты углов, длина 3 м, сечение 31х31х0,4 мм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</si>
  <si>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</si>
  <si>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</si>
  <si>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</si>
  <si>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
10,0674</t>
  </si>
  <si>
    <t>10
0,846</t>
  </si>
  <si>
    <t>14.5.01.01</t>
  </si>
  <si>
    <t>Герметик акриловый, 300мл</t>
  </si>
  <si>
    <t>7
0,5922</t>
  </si>
  <si>
    <t>9
0,7614</t>
  </si>
  <si>
    <t>85
7,191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</si>
  <si>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</si>
  <si>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</si>
  <si>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</si>
  <si>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</si>
  <si>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</si>
  <si>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</si>
  <si>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</si>
  <si>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3,85
1,505735</t>
  </si>
  <si>
    <t>1,53
0,598383</t>
  </si>
  <si>
    <t>12.1.02.06-0022</t>
  </si>
  <si>
    <t>Рубероид кровельный РКП-350</t>
  </si>
  <si>
    <t>4,4
1,72084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</si>
  <si>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</si>
  <si>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</si>
  <si>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4,59
1,795149</t>
  </si>
  <si>
    <t>Укладка пароизоляции Бикрост ТУ 5774-042-00288739-99</t>
  </si>
  <si>
    <t>60</t>
  </si>
  <si>
    <t>ФЕР12-01-015-03</t>
  </si>
  <si>
    <t>Устройство пароизоляции: прокладочной в один слой</t>
  </si>
  <si>
    <t>01.2.03.03-0013</t>
  </si>
  <si>
    <t>Мастика битумная кровельная горячая</t>
  </si>
  <si>
    <t>0,05
0,019555</t>
  </si>
  <si>
    <t>110
43,021</t>
  </si>
  <si>
    <t>Укладка утеплителя Роквул «Руф-Баттс Н» p=100 кг/м3 толщиной 140 мм</t>
  </si>
  <si>
    <t>61</t>
  </si>
  <si>
    <t>ФЕР12-01-013-03</t>
  </si>
  <si>
    <t>Утепление покрытий плитами: из минеральной ваты или перлита на битумной мастике в один слой</t>
  </si>
  <si>
    <t>01.2.01.02-0041</t>
  </si>
  <si>
    <t>Битумы нефтяные строительные кровельные БНК-45/190, БНК-40/180</t>
  </si>
  <si>
    <t>0,025
0,0097775</t>
  </si>
  <si>
    <t>0,201
0,0786111</t>
  </si>
  <si>
    <t>0,058
0,0226838</t>
  </si>
  <si>
    <t>12.2.05.05</t>
  </si>
  <si>
    <t>Плиты теплоизоляционные</t>
  </si>
  <si>
    <t>103
40,2833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</si>
  <si>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</si>
  <si>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</si>
  <si>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</si>
  <si>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</si>
  <si>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62</t>
  </si>
  <si>
    <t>ФЕР12-01-013-04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</si>
  <si>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</si>
  <si>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</si>
  <si>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63</t>
  </si>
  <si>
    <t>ФЕР12-01-017-05</t>
  </si>
  <si>
    <t>Устройство выравнивающих стяжек: сборных из плоских хризотилцементных листов</t>
  </si>
  <si>
    <t>01.1.01.05-0031</t>
  </si>
  <si>
    <t>Листы хризотилцементные плоские с гладкой поверхностью, прессованные, толщина 10 мм</t>
  </si>
  <si>
    <t>204
79,7844</t>
  </si>
  <si>
    <t>0,096
0,0375456</t>
  </si>
  <si>
    <t>01.2.03.08-0001</t>
  </si>
  <si>
    <t>Гудрон (полугудрон)</t>
  </si>
  <si>
    <t>0,276
0,1079436</t>
  </si>
  <si>
    <t>08.3.05.05-0053</t>
  </si>
  <si>
    <t>Сталь листовая оцинкованная, толщина 0,7 мм</t>
  </si>
  <si>
    <t>0,0268
0,0104815</t>
  </si>
  <si>
    <t>12.2.03.11-0012</t>
  </si>
  <si>
    <t>Ткань стеклянная изоляционная, плотность 230 г/м2, толщина 0,2 мм</t>
  </si>
  <si>
    <t>40
15,644</t>
  </si>
  <si>
    <t>Установка Галтели ТЕХНОРУФ ПРОФ по краю парапета</t>
  </si>
  <si>
    <t>64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</si>
  <si>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</si>
  <si>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</si>
  <si>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</si>
  <si>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</si>
  <si>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65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</si>
  <si>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</si>
  <si>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</si>
  <si>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15,02
6,493146</t>
  </si>
  <si>
    <t>Материалы рулонные кровельные для верхнего слоя</t>
  </si>
  <si>
    <t>116
50,1468</t>
  </si>
  <si>
    <t>ФССЦ-12.1.02.03-0172</t>
  </si>
  <si>
    <t>Техноэласт: Пламя-Стоп ЭКП</t>
  </si>
  <si>
    <t>Укладка кровельного рулонного битумосодержащего материала Техноэласт Пламя Стоп в 2 слоя</t>
  </si>
  <si>
    <t>66</t>
  </si>
  <si>
    <t>ФЕР12-01-002-09</t>
  </si>
  <si>
    <t>Устройство кровель плоских из наплавляемых материалов: в два слоя</t>
  </si>
  <si>
    <t>29,94
12,943062</t>
  </si>
  <si>
    <t>114
49,2822</t>
  </si>
  <si>
    <t>Материалы рулонные кровельные для нижних слоев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</si>
  <si>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</si>
  <si>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</si>
  <si>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Устройство утеплителя по краю парапета жесткая минераловатная плита p=190 кг/м3</t>
  </si>
  <si>
    <t>67</t>
  </si>
  <si>
    <t>0,025
0,0013175</t>
  </si>
  <si>
    <t>0,201
0,0105927</t>
  </si>
  <si>
    <t>0,058
0,0030566</t>
  </si>
  <si>
    <t>103
5,4281</t>
  </si>
  <si>
    <t>4,12
0,217124</t>
  </si>
  <si>
    <t>Устройство ЦСП плиты по краю парапета</t>
  </si>
  <si>
    <t>68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</si>
  <si>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</si>
  <si>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</si>
  <si>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</si>
  <si>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</si>
  <si>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</si>
  <si>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</si>
  <si>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69</t>
  </si>
  <si>
    <t>ФЕР09-05-003-01</t>
  </si>
  <si>
    <t>Постановка болтов: строительных с гайками и шайбами</t>
  </si>
  <si>
    <t>1
0,45</t>
  </si>
  <si>
    <t>Примыкание кровли к вентиляционному стояку</t>
  </si>
  <si>
    <t>70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</si>
  <si>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</si>
  <si>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</si>
  <si>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</si>
  <si>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</si>
  <si>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</si>
  <si>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</t>
  </si>
  <si>
    <t>0,006
0,000018</t>
  </si>
  <si>
    <t>3,5
0,0105</t>
  </si>
  <si>
    <t>0,054
0,000162</t>
  </si>
  <si>
    <t>Материалы рулонные кровельные</t>
  </si>
  <si>
    <t>128
0,384</t>
  </si>
  <si>
    <t>14.5.04.08</t>
  </si>
  <si>
    <t>Мастика герметизирующая</t>
  </si>
  <si>
    <t>9
0,027</t>
  </si>
  <si>
    <t>ФССЦ-14.5.04.08-0001</t>
  </si>
  <si>
    <t>Мастика битумная кровельная холодная</t>
  </si>
  <si>
    <t>0,009
0,000027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</si>
  <si>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</si>
  <si>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</si>
  <si>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71</t>
  </si>
  <si>
    <t>ФЕР12-01-035-03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</si>
  <si>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</si>
  <si>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</si>
  <si>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размер 10х50 мм</t>
  </si>
  <si>
    <t>0,2
1,58</t>
  </si>
  <si>
    <t>08.1.02.07</t>
  </si>
  <si>
    <t>Труба водосточная</t>
  </si>
  <si>
    <t>1
7,9</t>
  </si>
  <si>
    <t>08.1.02.22</t>
  </si>
  <si>
    <t>Изделия для водосточных труб</t>
  </si>
  <si>
    <t>2
15,8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</si>
  <si>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</si>
  <si>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</si>
  <si>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</si>
  <si>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</si>
  <si>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</si>
  <si>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</si>
  <si>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</si>
  <si>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</si>
  <si>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</si>
  <si>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</si>
  <si>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</si>
  <si>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</si>
  <si>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72</t>
  </si>
  <si>
    <t>ФЕР12-01-035-02</t>
  </si>
  <si>
    <t>Устройство металлической водосточной системы: воронок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</si>
  <si>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</si>
  <si>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</si>
  <si>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</si>
  <si>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73</t>
  </si>
  <si>
    <t>0,2
0,8</t>
  </si>
  <si>
    <t>1
4</t>
  </si>
  <si>
    <t>2
8</t>
  </si>
  <si>
    <t>74</t>
  </si>
  <si>
    <t>ФССЦ-12.1.01.05-0064</t>
  </si>
  <si>
    <t>Труба металлическая для водосточных систем, окрашенная, диаметр 100 мм, длина 2000 мм</t>
  </si>
  <si>
    <t>75</t>
  </si>
  <si>
    <t>76</t>
  </si>
  <si>
    <t>ФССЦ-12.1.01.05-0021</t>
  </si>
  <si>
    <t>Хомут трубы (на кирпич) медный для водосточных систем, диаметр 100 мм</t>
  </si>
  <si>
    <t>77</t>
  </si>
  <si>
    <t>ФССЦ-12.1.01.05-0050</t>
  </si>
  <si>
    <t>Колено трубы 60° металлическое для водосточных систем, окрашенное, диаметр 100 мм</t>
  </si>
  <si>
    <t>78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</si>
  <si>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</si>
  <si>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</si>
  <si>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</si>
  <si>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</si>
  <si>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79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</si>
  <si>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</si>
  <si>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</si>
  <si>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01.7.06.02-0001</t>
  </si>
  <si>
    <t>Лента бутиловая</t>
  </si>
  <si>
    <t>248,5
20,1285</t>
  </si>
  <si>
    <t>01.7.06.02-0002</t>
  </si>
  <si>
    <t>Лента бутиловая диффузионная</t>
  </si>
  <si>
    <t>57,5
4,6575</t>
  </si>
  <si>
    <t>01.7.06.11-0001</t>
  </si>
  <si>
    <t>Лента предварительно сжатая, уплотнительная</t>
  </si>
  <si>
    <t>15,75
1,27575</t>
  </si>
  <si>
    <t>01.7.15.07-0005</t>
  </si>
  <si>
    <t>Дюбели монтажные, размер 10х130 (10х132, 10х150) мм</t>
  </si>
  <si>
    <t>40,1
3,2481</t>
  </si>
  <si>
    <t>11.3.02.03</t>
  </si>
  <si>
    <t>Блоки оконные пластиковые</t>
  </si>
  <si>
    <t>100
8,1</t>
  </si>
  <si>
    <t>8
0,648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</si>
  <si>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</si>
  <si>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</si>
  <si>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</si>
  <si>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Оконный блок ОК-2</t>
  </si>
  <si>
    <t>80</t>
  </si>
  <si>
    <t>248,5
5,3676</t>
  </si>
  <si>
    <t>57,5
1,242</t>
  </si>
  <si>
    <t>15,75
0,3402</t>
  </si>
  <si>
    <t>40,1
0,86616</t>
  </si>
  <si>
    <t>100
2,16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</si>
  <si>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</si>
  <si>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</si>
  <si>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</si>
  <si>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</si>
  <si>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</si>
  <si>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</si>
  <si>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</si>
  <si>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81</t>
  </si>
  <si>
    <t>ФЕР09-04-012-01</t>
  </si>
  <si>
    <t>Установка металлических дверных блоков в готовые проемы</t>
  </si>
  <si>
    <t>01.7.04.07</t>
  </si>
  <si>
    <t>Скобяные изделия</t>
  </si>
  <si>
    <t>0,0001
0,000185</t>
  </si>
  <si>
    <t>07.1.01.03</t>
  </si>
  <si>
    <t>Блоки дверные металлические</t>
  </si>
  <si>
    <t>1
1,85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</si>
  <si>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</si>
  <si>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</si>
  <si>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0,003
0,00555</t>
  </si>
  <si>
    <t>14.5.01.10-0025</t>
  </si>
  <si>
    <t>Пена монтажная для герметизации стыков в баллончике емкостью 0,85 л</t>
  </si>
  <si>
    <t>0,1
0,185</t>
  </si>
  <si>
    <t>ФССЦ-07.1.01.03-0001</t>
  </si>
  <si>
    <t>Блок дверной стальной внутренний однопольный ДСВ, площадь 2,1 м2</t>
  </si>
  <si>
    <t>82</t>
  </si>
  <si>
    <t>ФЕР09-04-012-02</t>
  </si>
  <si>
    <t>Установка дверного доводчика к металлическим дверям</t>
  </si>
  <si>
    <t>01.7.04.01</t>
  </si>
  <si>
    <t>Доводчики дверные</t>
  </si>
  <si>
    <t>0,00007
0,00007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</si>
  <si>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</si>
  <si>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</si>
  <si>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</si>
  <si>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</si>
  <si>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</si>
  <si>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</si>
  <si>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83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</si>
  <si>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</si>
  <si>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</si>
  <si>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84</t>
  </si>
  <si>
    <t>ФЕР09-04-013-01</t>
  </si>
  <si>
    <t>Установка противопожарных дверей: однопольных глухих</t>
  </si>
  <si>
    <t>0,00007
0,0001148</t>
  </si>
  <si>
    <t>0,003
0,00492</t>
  </si>
  <si>
    <t>07.1.01.01</t>
  </si>
  <si>
    <t>Дверь противопожарная металлическая</t>
  </si>
  <si>
    <t>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</si>
  <si>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</si>
  <si>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0,27
0,4428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</si>
  <si>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</si>
  <si>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</si>
  <si>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</si>
  <si>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</si>
  <si>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</si>
  <si>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</si>
  <si>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</si>
  <si>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</si>
  <si>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01.7.15.14-0185</t>
  </si>
  <si>
    <t>Шурупы с потайной головкой черные 8,0х100 мм</t>
  </si>
  <si>
    <t>0,0196
0,0003626</t>
  </si>
  <si>
    <t>11.3.01.02</t>
  </si>
  <si>
    <t>Блоки дверные входные из поливинилхлоридных профилей</t>
  </si>
  <si>
    <t>100
1,85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</si>
  <si>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</si>
  <si>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</si>
  <si>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</si>
  <si>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</si>
  <si>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</si>
  <si>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86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</si>
  <si>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</si>
  <si>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87</t>
  </si>
  <si>
    <t>0,0196
0,0003214</t>
  </si>
  <si>
    <t>100
1,64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</si>
  <si>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</si>
  <si>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</si>
  <si>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</si>
  <si>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88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</si>
  <si>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</si>
  <si>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</si>
  <si>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89</t>
  </si>
  <si>
    <t>ФЕР11-01-047-02</t>
  </si>
  <si>
    <t>Устройство покрытий из плит керамогранитных размером: 60х60 см</t>
  </si>
  <si>
    <t>0,44
0,021692</t>
  </si>
  <si>
    <t>0,009
0,0004437</t>
  </si>
  <si>
    <t>Плиты керамогранитные 600х600 мм</t>
  </si>
  <si>
    <t>102
5,0286</t>
  </si>
  <si>
    <t>0,01
0,000493</t>
  </si>
  <si>
    <t>1,2
0,05916</t>
  </si>
  <si>
    <t>ФССЦ-06.2.05.03-0002</t>
  </si>
  <si>
    <t>Плитка керамогранитная многоцветная неполированная, размер 300х600х10 мм, 600х600х10 мм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</si>
  <si>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</si>
  <si>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</si>
  <si>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90</t>
  </si>
  <si>
    <t>3,5
0,15225</t>
  </si>
  <si>
    <t>2,04
0,08874</t>
  </si>
  <si>
    <t>91</t>
  </si>
  <si>
    <t>1,887
0,0820845</t>
  </si>
  <si>
    <t>7,548
0,328338</t>
  </si>
  <si>
    <t>92</t>
  </si>
  <si>
    <t>0,028
0,0003776</t>
  </si>
  <si>
    <t>1
0,013485</t>
  </si>
  <si>
    <t>322,580645
4,35</t>
  </si>
  <si>
    <t>Утепление плиты покрытия над крыльцом экструзионным пенополистиролом ЭППС XPS CARBON PROF толщиной 150 мм</t>
  </si>
  <si>
    <t>93</t>
  </si>
  <si>
    <t>103
4,2539</t>
  </si>
  <si>
    <t>94</t>
  </si>
  <si>
    <t>Устройство подвесного реечного потолка на козырьке над крыльцом</t>
  </si>
  <si>
    <t>95</t>
  </si>
  <si>
    <t>ФЕР15-01-047-16</t>
  </si>
  <si>
    <t>Устройство потолков: реечных алюминиевых</t>
  </si>
  <si>
    <t>09.2.01.05-0001</t>
  </si>
  <si>
    <t>Гребенка несущая</t>
  </si>
  <si>
    <t>100
4,13</t>
  </si>
  <si>
    <t>09.2.01.05-0051</t>
  </si>
  <si>
    <t>Подвес в комплекте</t>
  </si>
  <si>
    <t>0,7
0,02891</t>
  </si>
  <si>
    <t>09.2.01.05-0091</t>
  </si>
  <si>
    <t>Уголок декоративный (пристенный)</t>
  </si>
  <si>
    <t>09.2.02.02-0011</t>
  </si>
  <si>
    <t>Рейка алюминиевая потолочная, ширина 100 мм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</si>
  <si>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</si>
  <si>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</si>
  <si>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</si>
  <si>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</si>
  <si>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</si>
  <si>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</si>
  <si>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12.2.03.14</t>
  </si>
  <si>
    <t>Пенопласт ФРП-1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</si>
  <si>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</si>
  <si>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</si>
  <si>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</si>
  <si>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1,75
0,03465</t>
  </si>
  <si>
    <t>250
4,95</t>
  </si>
  <si>
    <t>102
2,0196</t>
  </si>
  <si>
    <t>98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</si>
  <si>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</si>
  <si>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</si>
  <si>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</si>
  <si>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</si>
  <si>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</si>
  <si>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</si>
  <si>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</si>
  <si>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</si>
  <si>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</si>
  <si>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0,51
0,039678</t>
  </si>
  <si>
    <t>Смеси на цементной основе</t>
  </si>
  <si>
    <t>0,85
0,06613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</si>
  <si>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</si>
  <si>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</si>
  <si>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</si>
  <si>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</si>
  <si>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</si>
  <si>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</si>
  <si>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0,408
-0,0317424</t>
  </si>
  <si>
    <t>0,68
-0,052904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</si>
  <si>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</si>
  <si>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</si>
  <si>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</si>
  <si>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</si>
  <si>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</si>
  <si>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</si>
  <si>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</si>
  <si>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</si>
  <si>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</si>
  <si>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</si>
  <si>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</si>
  <si>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</si>
  <si>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</si>
  <si>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01.7.17.11-0011</t>
  </si>
  <si>
    <t>Шкурка шлифовальная двухслойная с зернистостью 40-25</t>
  </si>
  <si>
    <t>0,84
0,065352</t>
  </si>
  <si>
    <t>0,31
0,024118</t>
  </si>
  <si>
    <t>14.3.02.01</t>
  </si>
  <si>
    <t>Краска акриловая</t>
  </si>
  <si>
    <t>0,03
0,002334</t>
  </si>
  <si>
    <t>14.4.01.02</t>
  </si>
  <si>
    <t>0,02
0,001556</t>
  </si>
  <si>
    <t>14.5.11.02-0101</t>
  </si>
  <si>
    <t>Шпатлевка водно-дисперсионная</t>
  </si>
  <si>
    <t>0,005
0,000389</t>
  </si>
  <si>
    <t>20
1,556</t>
  </si>
  <si>
    <t>ФССЦ-14.3.02.01-0371</t>
  </si>
  <si>
    <t>Краска водно-дисперсионная ВД-АК-111 белая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</si>
  <si>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</si>
  <si>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</si>
  <si>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</si>
  <si>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</si>
  <si>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0,84
0,533988</t>
  </si>
  <si>
    <t>0,31
0,197067</t>
  </si>
  <si>
    <t>0,03
0,019071</t>
  </si>
  <si>
    <t>0,02
0,012714</t>
  </si>
  <si>
    <t>0,005
0,0031785</t>
  </si>
  <si>
    <t>20
12,714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</si>
  <si>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</si>
  <si>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</si>
  <si>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</si>
  <si>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</si>
  <si>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0,1
0,02746</t>
  </si>
  <si>
    <t>14.3.01.03</t>
  </si>
  <si>
    <t>0,0103
0,0028284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</si>
  <si>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</si>
  <si>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</si>
  <si>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</si>
  <si>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</si>
  <si>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</si>
  <si>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0,465
0,127689</t>
  </si>
  <si>
    <t>01.7.07.29-0091</t>
  </si>
  <si>
    <t>Опилки древесные</t>
  </si>
  <si>
    <t>0,5
0,1373</t>
  </si>
  <si>
    <t>0,04
0,010984</t>
  </si>
  <si>
    <t>1,5
0,4119</t>
  </si>
  <si>
    <t>06.2.05.04</t>
  </si>
  <si>
    <t>Плитки рядовые</t>
  </si>
  <si>
    <t>100
27,46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</si>
  <si>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</si>
  <si>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</si>
  <si>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</si>
  <si>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</si>
  <si>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</si>
  <si>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</si>
  <si>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</si>
  <si>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01.6.04.02-0011</t>
  </si>
  <si>
    <t>Панели потолочные с комплектующими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</si>
  <si>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</si>
  <si>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</si>
  <si>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</si>
  <si>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</si>
  <si>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</si>
  <si>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</si>
  <si>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</si>
  <si>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</si>
  <si>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</si>
  <si>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</si>
  <si>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</si>
  <si>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0,84
0,032676</t>
  </si>
  <si>
    <t>0,31
0,012059</t>
  </si>
  <si>
    <t>0,033
0,0012837</t>
  </si>
  <si>
    <t>0,022
0,0008558</t>
  </si>
  <si>
    <t>0,0055
0,0002139</t>
  </si>
  <si>
    <t>22
0,8558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</si>
  <si>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</si>
  <si>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</si>
  <si>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</si>
  <si>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Раздел 2. Фундаментная плита</t>
  </si>
  <si>
    <t>0,00013
0,0000148</t>
  </si>
  <si>
    <t>1100
125,081</t>
  </si>
  <si>
    <t>1,75
0,191625</t>
  </si>
  <si>
    <t>250
27,375</t>
  </si>
  <si>
    <t>102
11,169</t>
  </si>
  <si>
    <t>0,73
0,245426</t>
  </si>
  <si>
    <t>30
10,086</t>
  </si>
  <si>
    <t>0,005
0,001681</t>
  </si>
  <si>
    <t>0,002
0,0006724</t>
  </si>
  <si>
    <t>0,01
0,003362</t>
  </si>
  <si>
    <t>101,5
34,1243</t>
  </si>
  <si>
    <t>0,0102
0,0034292</t>
  </si>
  <si>
    <t>8,1
2,72322</t>
  </si>
  <si>
    <t>0,04
0,013448</t>
  </si>
  <si>
    <t>3,6
1,21032</t>
  </si>
  <si>
    <t>3,7439024
1,2587</t>
  </si>
  <si>
    <t>1,8393813
0,6184</t>
  </si>
  <si>
    <t>0,1133254
0,0381</t>
  </si>
  <si>
    <t>Установка закладной детали</t>
  </si>
  <si>
    <t>ФЕР06-03-004-10</t>
  </si>
  <si>
    <t>Установка закладных деталей весом: до 20 кг</t>
  </si>
  <si>
    <t>1
0,1742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</si>
  <si>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</si>
  <si>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</si>
  <si>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0,009
0,0002106</t>
  </si>
  <si>
    <t>0,0015
0,0000351</t>
  </si>
  <si>
    <t>Нанесение эмали ПФ-115 на мет. поверхность в 2 слоя</t>
  </si>
  <si>
    <t>0,018
0,0004212</t>
  </si>
  <si>
    <t>2,8
0,06552</t>
  </si>
  <si>
    <t>0,016
0,0013152</t>
  </si>
  <si>
    <t>0,24
0,019728</t>
  </si>
  <si>
    <t>0,024
0,0019728</t>
  </si>
  <si>
    <t>0,1
0,00822</t>
  </si>
  <si>
    <t xml:space="preserve">на Электрообогрев стрелочных переводов, </t>
  </si>
  <si>
    <t>1146-ЭС1.ВР</t>
  </si>
  <si>
    <t>Разработка грунта для прокладки кабелей в траншее экскаватором емкостью ковша до 1 м3 в отвал, грунт II группы: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</si>
  <si>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</si>
  <si>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</si>
  <si>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</si>
  <si>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</si>
  <si>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</si>
  <si>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</si>
  <si>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</si>
  <si>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>0,99
16,2558</t>
  </si>
  <si>
    <t>ФССЦ-20.2.12.03-0005</t>
  </si>
  <si>
    <t>Трубы гибкие гофрированные двустенные из ПВХ, диаметр 110 мм</t>
  </si>
  <si>
    <t>Прокладка кабеля ПвВЭнг(А)-LS 4х10 в траншее и в ПНД трубе d=110 мм в траншее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</si>
  <si>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</si>
  <si>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</si>
  <si>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</si>
  <si>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</si>
  <si>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</si>
  <si>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</si>
  <si>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</si>
  <si>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</si>
  <si>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Прокладка кабеля ПвВЭнг(А)-LS 4х10 в ПНД трубе d=110 мм в траншее</t>
  </si>
  <si>
    <t>0,096
0,4416</t>
  </si>
  <si>
    <t>0,0005
0,0023</t>
  </si>
  <si>
    <t>0,00006
0,000276</t>
  </si>
  <si>
    <t>1,87
8,602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</si>
  <si>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</si>
  <si>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</si>
  <si>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</si>
  <si>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</si>
  <si>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</si>
  <si>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</si>
  <si>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</si>
  <si>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</si>
  <si>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</si>
  <si>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</si>
  <si>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</si>
  <si>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</si>
  <si>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</si>
  <si>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</si>
  <si>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</si>
  <si>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</si>
  <si>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</si>
  <si>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</si>
  <si>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Прокладка кабеля FTP 4PR 24AWG CAT5 в траншее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</si>
  <si>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</si>
  <si>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</si>
  <si>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</si>
  <si>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</si>
  <si>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</si>
  <si>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</si>
  <si>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</si>
  <si>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</si>
  <si>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</si>
  <si>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</si>
  <si>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</si>
  <si>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Фасонные части</t>
  </si>
  <si>
    <t>10
66</t>
  </si>
  <si>
    <t>ФССЦ-24.3.05.02-0212</t>
  </si>
  <si>
    <t>Заглушка полиэтиленовая, номинальный наружный диаметр 110 мм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</si>
  <si>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</si>
  <si>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</si>
  <si>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</si>
  <si>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0,04
5,92</t>
  </si>
  <si>
    <t>01.7.06.12-0005</t>
  </si>
  <si>
    <t>Лента клеевая термоспекаемая однослойная</t>
  </si>
  <si>
    <t>0,003
0,444</t>
  </si>
  <si>
    <t>01.7.06.12-0007</t>
  </si>
  <si>
    <t>Лента покровная термоспекаемая однослойная, ширина 40 мм</t>
  </si>
  <si>
    <t>0,004
0,592</t>
  </si>
  <si>
    <t>0,11
16,28</t>
  </si>
  <si>
    <t>ТЦ_20.2.01.08_77_7704844420_07.04.2025_02_20.1</t>
  </si>
  <si>
    <t>Уплотнитель УКПТ 75/20 L-150 мм Михнево 010001</t>
  </si>
  <si>
    <t>0,08
0,5736</t>
  </si>
  <si>
    <t>ТЦ_01.7.06.08_77_7704588494_24.02.2025_02_4.1</t>
  </si>
  <si>
    <t>ФССЦ-01.7.06.08-0012</t>
  </si>
  <si>
    <t>Лента сигнальная полиэтиленовая ЛСЭ-300, длина 100 м, ширина 300 мм</t>
  </si>
  <si>
    <t>ТЦ_01.7.06.08_78_7842224734_24.02.2025_02_5.1</t>
  </si>
  <si>
    <t>Лента сигнальная ЛСЭ-450</t>
  </si>
  <si>
    <t>ТЦ_01.7.06.08_78_7842224734_24.02.2025_02_6.1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</si>
  <si>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</si>
  <si>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</si>
  <si>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</si>
  <si>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0,0008
0,048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</si>
  <si>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</si>
  <si>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</si>
  <si>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</si>
  <si>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</si>
  <si>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</si>
  <si>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</si>
  <si>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</si>
  <si>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</si>
  <si>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</si>
  <si>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</si>
  <si>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</si>
  <si>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</si>
  <si>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Засыпка грунта вручную под фундамент распределительного шкафа, грунт II группы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</si>
  <si>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</si>
  <si>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</si>
  <si>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</si>
  <si>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</si>
  <si>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</si>
  <si>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9,6
0,48</t>
  </si>
  <si>
    <t>05.1.05.04</t>
  </si>
  <si>
    <t>100
5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</si>
  <si>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</si>
  <si>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</si>
  <si>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</si>
  <si>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01.7.15.03-0032</t>
  </si>
  <si>
    <t>Болты с гайками и шайбами оцинкованные, диаметр 8 мм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</si>
  <si>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</si>
  <si>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</si>
  <si>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</si>
  <si>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</si>
  <si>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</si>
  <si>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0,25
1,25</t>
  </si>
  <si>
    <t>0,06
0,3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</si>
  <si>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</si>
  <si>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</si>
  <si>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</si>
  <si>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</si>
  <si>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</si>
  <si>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</si>
  <si>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</si>
  <si>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Раздел 4. Заземление распределительных шкафов</t>
  </si>
  <si>
    <t>0,65
0,975</t>
  </si>
  <si>
    <t>2
3</t>
  </si>
  <si>
    <t>1,74
2,61</t>
  </si>
  <si>
    <t>0,9
0,585</t>
  </si>
  <si>
    <t>3,7
2,405</t>
  </si>
  <si>
    <t>2,71
1,7615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</si>
  <si>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</si>
  <si>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</si>
  <si>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</si>
  <si>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9,6
2,88</t>
  </si>
  <si>
    <t>100
30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</si>
  <si>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</si>
  <si>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0,035
1,05</t>
  </si>
  <si>
    <t>0,1
3</t>
  </si>
  <si>
    <t>Монтаж коммутационного шкафа на фундамент (в сборе с оборудованием)</t>
  </si>
  <si>
    <t>0,25
7,5</t>
  </si>
  <si>
    <t>0,06
1,8</t>
  </si>
  <si>
    <t>0,025
0,75</t>
  </si>
  <si>
    <t>0,03
0,9</t>
  </si>
  <si>
    <t>0,61
18,3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</si>
  <si>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</si>
  <si>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</si>
  <si>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</si>
  <si>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</si>
  <si>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</si>
  <si>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0,65
5,85</t>
  </si>
  <si>
    <t>2
18</t>
  </si>
  <si>
    <t>1,74
15,66</t>
  </si>
  <si>
    <t>0,9
3,51</t>
  </si>
  <si>
    <t>3,7
14,43</t>
  </si>
  <si>
    <t>2,71
10,569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</si>
  <si>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</si>
  <si>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</si>
  <si>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</si>
  <si>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</si>
  <si>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</si>
  <si>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</si>
  <si>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</si>
  <si>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01.7.07.29-0031</t>
  </si>
  <si>
    <t>Каболка</t>
  </si>
  <si>
    <t>0,001
0,0001</t>
  </si>
  <si>
    <t>0,04
0,004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</si>
  <si>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</si>
  <si>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</si>
  <si>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</si>
  <si>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</si>
  <si>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</si>
  <si>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</si>
  <si>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0,0005
0,00005</t>
  </si>
  <si>
    <t>01.7.19.04-0002</t>
  </si>
  <si>
    <t>Пластина резиновая рулонная вулканизированная</t>
  </si>
  <si>
    <t>0,8
0,08</t>
  </si>
  <si>
    <t>14.1.05.03-0012</t>
  </si>
  <si>
    <t>Клей фенолополивинилацетальный БФ-2, сорт I</t>
  </si>
  <si>
    <t>0,0008
0,00008</t>
  </si>
  <si>
    <t>0,4
0,04</t>
  </si>
  <si>
    <t>14.5.02.02-0105</t>
  </si>
  <si>
    <t>Замазка суриковая</t>
  </si>
  <si>
    <t>4
0,4</t>
  </si>
  <si>
    <t>0,0002
0,00002</t>
  </si>
  <si>
    <t>18.2.01.06</t>
  </si>
  <si>
    <t>Унитазы</t>
  </si>
  <si>
    <t>10
1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</si>
  <si>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</si>
  <si>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</si>
  <si>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</si>
  <si>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</si>
  <si>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</si>
  <si>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0,3
0,03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</si>
  <si>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</si>
  <si>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</si>
  <si>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</si>
  <si>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</si>
  <si>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
0,00007</t>
  </si>
  <si>
    <t>0,0036
0,00036</t>
  </si>
  <si>
    <t>2
0,2</t>
  </si>
  <si>
    <t>18.2.02.08</t>
  </si>
  <si>
    <t>Умывальники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</si>
  <si>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</si>
  <si>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</si>
  <si>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</si>
  <si>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</si>
  <si>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</si>
  <si>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</si>
  <si>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</si>
  <si>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</si>
  <si>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</si>
  <si>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</si>
  <si>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</si>
  <si>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0,39
0,0078</t>
  </si>
  <si>
    <t>01.7.15.03-0014</t>
  </si>
  <si>
    <t>Болты с гайками и шайбами для санитарно-технических работ, диаметр 16 мм</t>
  </si>
  <si>
    <t>0,0012
0,000024</t>
  </si>
  <si>
    <t>01.7.19.02-0041</t>
  </si>
  <si>
    <t>Кольца резиновые для чугунных напорных труб диаметром 65-300 мм</t>
  </si>
  <si>
    <t>1,5
0,03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</si>
  <si>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</si>
  <si>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</si>
  <si>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</si>
  <si>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99,8
1,996</t>
  </si>
  <si>
    <t>ФССЦ-24.3.02.05-0023</t>
  </si>
  <si>
    <t>Трубы полипропиленовые ПП-Р, номинальное давление 2,0 МПа, номинальный наружный диаметр 32 мм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</si>
  <si>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</si>
  <si>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</si>
  <si>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</si>
  <si>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1,57
0,0942</t>
  </si>
  <si>
    <t>0,00266
0,0001596</t>
  </si>
  <si>
    <t>4
0,24</t>
  </si>
  <si>
    <t>Трубопроводы канализации из полиэтиленовых труб высокой плотности с гильзами, диаметром 110 мм</t>
  </si>
  <si>
    <t>99,8
5,988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</si>
  <si>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</si>
  <si>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</si>
  <si>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</si>
  <si>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</si>
  <si>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</si>
  <si>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</si>
  <si>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</si>
  <si>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</si>
  <si>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</si>
  <si>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</si>
  <si>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</si>
  <si>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</si>
  <si>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</si>
  <si>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</si>
  <si>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</si>
  <si>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</si>
  <si>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01.7.15.07-0097</t>
  </si>
  <si>
    <t>Дюбель-гвозди полипропиленовые с оцинкованным гвоздем, с цилиндрическим бортиком, размер 6х80 мм</t>
  </si>
  <si>
    <t>4,04
0,0404</t>
  </si>
  <si>
    <t>23.8.03.04</t>
  </si>
  <si>
    <t>Муфты противопожарные из нержавеющей стали с вкладышем из терморасширяющейся резины</t>
  </si>
  <si>
    <t>100
1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</si>
  <si>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</si>
  <si>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</si>
  <si>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</si>
  <si>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</si>
  <si>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</si>
  <si>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</si>
  <si>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</si>
  <si>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</si>
  <si>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</si>
  <si>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</si>
  <si>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</si>
  <si>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</si>
  <si>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</si>
  <si>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0,39
0,00975</t>
  </si>
  <si>
    <t>0,0012
0,00003</t>
  </si>
  <si>
    <t>1,5
0,0375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</si>
  <si>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</si>
  <si>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</si>
  <si>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</si>
  <si>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</si>
  <si>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</si>
  <si>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 xml:space="preserve">на Наружное электроснабжение, </t>
  </si>
  <si>
    <t>1146-ЭС2.ВР1; 1146-ЭС2.СО1</t>
  </si>
  <si>
    <t>11
169,125</t>
  </si>
  <si>
    <t>0,99
5,0094</t>
  </si>
  <si>
    <t>1,75
1,575</t>
  </si>
  <si>
    <t>2,79
2,511</t>
  </si>
  <si>
    <t>0,096
0,01728</t>
  </si>
  <si>
    <t>0,001
0,00018</t>
  </si>
  <si>
    <t>0,01
0,0018</t>
  </si>
  <si>
    <t>0,25
0,045</t>
  </si>
  <si>
    <t>0,00006
0,0000108</t>
  </si>
  <si>
    <t>2,06
0,3708</t>
  </si>
  <si>
    <t>0,096
0,11136</t>
  </si>
  <si>
    <t>0,0005
0,00058</t>
  </si>
  <si>
    <t>0,00006
0,0000696</t>
  </si>
  <si>
    <t>1,87
2,1692</t>
  </si>
  <si>
    <t>Прокладка кабеля ПвВЭнг(А)-LS 4х25 в траншее</t>
  </si>
  <si>
    <t>0,096
0,08832</t>
  </si>
  <si>
    <t>0,001
0,00092</t>
  </si>
  <si>
    <t>0,01
0,0092</t>
  </si>
  <si>
    <t>0,25
0,23</t>
  </si>
  <si>
    <t>0,00006
0,0000552</t>
  </si>
  <si>
    <t>2,06
1,8952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</si>
  <si>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</si>
  <si>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</si>
  <si>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</si>
  <si>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0,096
0,23904</t>
  </si>
  <si>
    <t>0,001
0,00249</t>
  </si>
  <si>
    <t>0,01
0,0249</t>
  </si>
  <si>
    <t>0,25
0,6225</t>
  </si>
  <si>
    <t>0,00006
0,0001494</t>
  </si>
  <si>
    <t>2,14
5,3286</t>
  </si>
  <si>
    <t>0,096
0,05184</t>
  </si>
  <si>
    <t>0,0005
0,00027</t>
  </si>
  <si>
    <t>0,00006
0,0000324</t>
  </si>
  <si>
    <t>3,49
1,8846</t>
  </si>
  <si>
    <t>Прокладка кабеля ПвВЭнг(А)-LS 4х50 в траншее и в ПНД трубе d=110 мм в траншее</t>
  </si>
  <si>
    <t>0,096
0,86688</t>
  </si>
  <si>
    <t>0,001
0,00903</t>
  </si>
  <si>
    <t>0,01
0,0903</t>
  </si>
  <si>
    <t>0,25
2,2575</t>
  </si>
  <si>
    <t>0,00006
0,0005418</t>
  </si>
  <si>
    <t>2,14
19,3242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</si>
  <si>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</si>
  <si>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</si>
  <si>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</si>
  <si>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</si>
  <si>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</si>
  <si>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</si>
  <si>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</si>
  <si>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</si>
  <si>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</si>
  <si>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</si>
  <si>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</si>
  <si>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</si>
  <si>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</si>
  <si>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</si>
  <si>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</si>
  <si>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</si>
  <si>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</si>
  <si>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</si>
  <si>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</si>
  <si>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</si>
  <si>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</si>
  <si>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</si>
  <si>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</si>
  <si>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Прокладка кабеля ПвВЭнг(А)-LS 3х10 в траншее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</si>
  <si>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</si>
  <si>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</si>
  <si>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</si>
  <si>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</si>
  <si>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</si>
  <si>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</si>
  <si>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</si>
  <si>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</si>
  <si>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</si>
  <si>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0,096
0,0288</t>
  </si>
  <si>
    <t>0,001
0,0003</t>
  </si>
  <si>
    <t>0,01
0,003</t>
  </si>
  <si>
    <t>0,25
0,075</t>
  </si>
  <si>
    <t>0,00006
0,000018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</si>
  <si>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</si>
  <si>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</si>
  <si>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</si>
  <si>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Прокладка кабеля ПвВЭнг(А)-LS 3х70 в траншее и в ПНД трубе d=50 мм по эстакаде; в ПНД трубе d=110 мм в траншее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</si>
  <si>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</si>
  <si>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</si>
  <si>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</si>
  <si>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</si>
  <si>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</si>
  <si>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</si>
  <si>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</si>
  <si>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</si>
  <si>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0,245
0,0735</t>
  </si>
  <si>
    <t>0,00062
0,000186</t>
  </si>
  <si>
    <t>0,00025
0,000075</t>
  </si>
  <si>
    <t>0,00072
0,000216</t>
  </si>
  <si>
    <t>3,91
1,173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</si>
  <si>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</si>
  <si>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</si>
  <si>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</si>
  <si>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</si>
  <si>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</si>
  <si>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</si>
  <si>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Прокладка кабеля АПВБ-3х4-1 в траншее;  в ПНД трубе d=110 мм в траншее; в ПНД трубе d=50 мм по эстакаде</t>
  </si>
  <si>
    <t>0,096
0,13728</t>
  </si>
  <si>
    <t>0,001
0,00143</t>
  </si>
  <si>
    <t>0,01
0,0143</t>
  </si>
  <si>
    <t>0,25
0,3575</t>
  </si>
  <si>
    <t>0,00006
0,0000858</t>
  </si>
  <si>
    <t>2,06
2,9458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</si>
  <si>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</si>
  <si>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</si>
  <si>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</si>
  <si>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</si>
  <si>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</si>
  <si>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</si>
  <si>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</si>
  <si>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</si>
  <si>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</si>
  <si>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</si>
  <si>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</si>
  <si>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</si>
  <si>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</t>
  </si>
  <si>
    <t>10
42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</si>
  <si>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</si>
  <si>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</si>
  <si>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</si>
  <si>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</si>
  <si>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</si>
  <si>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</t>
  </si>
  <si>
    <t>0,08
0,9624</t>
  </si>
  <si>
    <t>ТЦ_01.7.06.08_78_7842224734_24.02.2025_02_11.1</t>
  </si>
  <si>
    <t>ТЦ_01.7.06.08_78_7842224734_24.02.2025_02_12.1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</si>
  <si>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</si>
  <si>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</si>
  <si>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</si>
  <si>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</si>
  <si>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</si>
  <si>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</si>
  <si>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</si>
  <si>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</si>
  <si>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</si>
  <si>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</si>
  <si>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</si>
  <si>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</si>
  <si>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</si>
  <si>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</si>
  <si>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</si>
  <si>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</si>
  <si>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</si>
  <si>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</si>
  <si>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</si>
  <si>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</si>
  <si>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</si>
  <si>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</si>
  <si>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</si>
  <si>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</si>
  <si>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>01.3.05.17-0002</t>
  </si>
  <si>
    <t>Канифоль сосновая</t>
  </si>
  <si>
    <t>0,01
0,2</t>
  </si>
  <si>
    <t>01.3.05.38-0371</t>
  </si>
  <si>
    <t>Кислота стеариновая техническая</t>
  </si>
  <si>
    <t>0,009
0,18</t>
  </si>
  <si>
    <t>01.7.11.06-0021</t>
  </si>
  <si>
    <t>Флюс ЛТИ-1</t>
  </si>
  <si>
    <t>0,005
0,1</t>
  </si>
  <si>
    <t>0,23
4,6</t>
  </si>
  <si>
    <t>0,00003
0,0006</t>
  </si>
  <si>
    <t>01.7.15.14-0174</t>
  </si>
  <si>
    <t>Шурупы с полукруглой головкой 8х100 мм</t>
  </si>
  <si>
    <t>0,00007
0,0014</t>
  </si>
  <si>
    <t>01.7.20.04-0003</t>
  </si>
  <si>
    <t>Нитки суровые</t>
  </si>
  <si>
    <t>0,003
0,06</t>
  </si>
  <si>
    <t>08.1.02.11-0023</t>
  </si>
  <si>
    <t>Поковки простые строительные (скобы, закрепы, хомуты), масса до 1,6 кг</t>
  </si>
  <si>
    <t>0,2
4</t>
  </si>
  <si>
    <t>0,00754
0,1508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</si>
  <si>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</si>
  <si>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</si>
  <si>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</si>
  <si>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</si>
  <si>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0,00025
0,005</t>
  </si>
  <si>
    <t>14.5.09.11-0001</t>
  </si>
  <si>
    <t>Нефрас С4-150/200</t>
  </si>
  <si>
    <t>0,0022
0,044</t>
  </si>
  <si>
    <t>18.1.10.01-0001</t>
  </si>
  <si>
    <t>Вентили автомобильные в сборе</t>
  </si>
  <si>
    <t>1
20</t>
  </si>
  <si>
    <t>20.2.09.01-0031</t>
  </si>
  <si>
    <t>Состав для заливки кабельных муфт, марка МБ-70</t>
  </si>
  <si>
    <t>1,2
24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</si>
  <si>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</si>
  <si>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</si>
  <si>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</si>
  <si>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</si>
  <si>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</si>
  <si>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</si>
  <si>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</si>
  <si>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</si>
  <si>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</si>
  <si>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</si>
  <si>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</si>
  <si>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0,2
0,022</t>
  </si>
  <si>
    <t>0,09
0,0099</t>
  </si>
  <si>
    <t>0,9
0,099</t>
  </si>
  <si>
    <t>1,5
0,165</t>
  </si>
  <si>
    <t>5,54
0,6094</t>
  </si>
  <si>
    <t>0,05
0,0055</t>
  </si>
  <si>
    <t>0,0003
0,000033</t>
  </si>
  <si>
    <t>1,02
0,1122</t>
  </si>
  <si>
    <t>7,97
0,8767</t>
  </si>
  <si>
    <t>Раздел 3. Заземление здания поста ЭЦ</t>
  </si>
  <si>
    <t>0,9
0,495</t>
  </si>
  <si>
    <t>3,7
2,035</t>
  </si>
  <si>
    <t>2,71
1,4905</t>
  </si>
  <si>
    <t>0,65
0,26</t>
  </si>
  <si>
    <t>1,74
0,696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</si>
  <si>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</si>
  <si>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</si>
  <si>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</si>
  <si>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0,9
0,63</t>
  </si>
  <si>
    <t>0,004
0,0028</t>
  </si>
  <si>
    <t>2
1,4</t>
  </si>
  <si>
    <t>3,29
2,303</t>
  </si>
  <si>
    <t>ФССЦ-08.3.04.02-0053</t>
  </si>
  <si>
    <t>Сталь круглая (катанка), диаметром 8 мм</t>
  </si>
  <si>
    <t>Монтаж молниезащиты</t>
  </si>
  <si>
    <t>Присоединение заземляющего выпуска от ГЗШ к контуру заземления в ФЕРм08-03-572-06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</si>
  <si>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</si>
  <si>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</si>
  <si>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</si>
  <si>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</si>
  <si>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</si>
  <si>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</si>
  <si>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</si>
  <si>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</si>
  <si>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</si>
  <si>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</si>
  <si>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0,9
0,4869</t>
  </si>
  <si>
    <t>3,7
2,0017</t>
  </si>
  <si>
    <t>2,71
1,46611</t>
  </si>
  <si>
    <t>0,65
0,52</t>
  </si>
  <si>
    <t>2
1,6</t>
  </si>
  <si>
    <t>1,74
1,392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</si>
  <si>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</si>
  <si>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</si>
  <si>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</si>
  <si>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Заземлитель горизонтальный из стали: полосовой сечением 160 мм2 (40х4 мм в земле)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</si>
  <si>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</si>
  <si>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</si>
  <si>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</si>
  <si>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</si>
  <si>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</si>
  <si>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</si>
  <si>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</si>
  <si>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</si>
  <si>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</si>
  <si>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</si>
  <si>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</si>
  <si>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</si>
  <si>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</si>
  <si>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</si>
  <si>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</si>
  <si>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</si>
  <si>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</si>
  <si>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</si>
  <si>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</si>
  <si>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</si>
  <si>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</si>
  <si>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</si>
  <si>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</si>
  <si>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0,00005
0,00005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</si>
  <si>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</si>
  <si>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</si>
  <si>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</si>
  <si>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</si>
  <si>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</si>
  <si>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</si>
  <si>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</si>
  <si>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</si>
  <si>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</si>
  <si>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</si>
  <si>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</si>
  <si>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</si>
  <si>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</si>
  <si>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</si>
  <si>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</si>
  <si>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</si>
  <si>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</si>
  <si>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</si>
  <si>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</si>
  <si>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</si>
  <si>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</si>
  <si>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</si>
  <si>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18
0,1422</t>
  </si>
  <si>
    <t>0,116
0,0009164</t>
  </si>
  <si>
    <t>01.7.19.02-0031</t>
  </si>
  <si>
    <t>Кольца резиновые для хризотилцементных напорных муфт САМ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</si>
  <si>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</si>
  <si>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</si>
  <si>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</si>
  <si>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</t>
  </si>
  <si>
    <t>0,07
0,000553</t>
  </si>
  <si>
    <t>24.2.05.01</t>
  </si>
  <si>
    <t>Трубы хризолитцементные безнапорные</t>
  </si>
  <si>
    <t>1008
7,9632</t>
  </si>
  <si>
    <t>24.2.06.04</t>
  </si>
  <si>
    <t>Муфты хризолитцементные</t>
  </si>
  <si>
    <t>338
2,6702</t>
  </si>
  <si>
    <t>ФССЦ-24.2.05.01-0001</t>
  </si>
  <si>
    <t>Трубы хризотилцементные безнапорные, номинальный диаметр 100 мм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</si>
  <si>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</si>
  <si>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</si>
  <si>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</si>
  <si>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</si>
  <si>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</si>
  <si>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0,3
0,3</t>
  </si>
  <si>
    <t>0,06
0,06</t>
  </si>
  <si>
    <t>0,05
0,05</t>
  </si>
  <si>
    <t>0,82
0,82</t>
  </si>
  <si>
    <t>ТЦ_62.1.02.14_50_5001112612_28.02.2025_01_12.1</t>
  </si>
  <si>
    <t>Щит ЩР</t>
  </si>
  <si>
    <t>Монтаж распределительного щита ПЭСПЗ с АВР</t>
  </si>
  <si>
    <t>0,41
0,41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</si>
  <si>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</si>
  <si>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</si>
  <si>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</si>
  <si>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</si>
  <si>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</si>
  <si>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</si>
  <si>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0,04
0,04</t>
  </si>
  <si>
    <t>0,23
0,23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</si>
  <si>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</si>
  <si>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</si>
  <si>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</si>
  <si>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</si>
  <si>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</si>
  <si>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</si>
  <si>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</si>
  <si>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</si>
  <si>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</t>
  </si>
  <si>
    <t>ФССЦ-23.8.03.02-0002</t>
  </si>
  <si>
    <t>Клипса для крепежа гофротрубы, номинальный диаметр 20 мм</t>
  </si>
  <si>
    <t>Прокладка трубы D=25мм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</si>
  <si>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</si>
  <si>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</si>
  <si>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</si>
  <si>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</si>
  <si>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</si>
  <si>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</si>
  <si>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</si>
  <si>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</si>
  <si>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</si>
  <si>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0,032
0,00192</t>
  </si>
  <si>
    <t>1,05
0,063</t>
  </si>
  <si>
    <t>04.3.01.09-0016</t>
  </si>
  <si>
    <t>Раствор готовый кладочный, цементный, М200</t>
  </si>
  <si>
    <t>0,003
0,00018</t>
  </si>
  <si>
    <t>0,0034
0,000204</t>
  </si>
  <si>
    <t>0,6
0,036</t>
  </si>
  <si>
    <t>20.2.02.02-0011</t>
  </si>
  <si>
    <t>Заглушки</t>
  </si>
  <si>
    <t>1,02
0,0612</t>
  </si>
  <si>
    <t>22.2.02.11-0051</t>
  </si>
  <si>
    <t>Гайки установочные заземляющие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</si>
  <si>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</si>
  <si>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</si>
  <si>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</si>
  <si>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</si>
  <si>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</si>
  <si>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</si>
  <si>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</si>
  <si>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0,96
0,096</t>
  </si>
  <si>
    <t>14.1.02.01-0002</t>
  </si>
  <si>
    <t>Клей БМК-5к</t>
  </si>
  <si>
    <t>0,2
0,02</t>
  </si>
  <si>
    <t>3,58
0,358</t>
  </si>
  <si>
    <t>ФССЦ-24.3.01.03-0002</t>
  </si>
  <si>
    <t>Трубы гладкие жесткие из ПВХ "DKC" диаметром: 25 мм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</si>
  <si>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</si>
  <si>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</si>
  <si>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</si>
  <si>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</si>
  <si>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</si>
  <si>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>0,00006
0,00072</t>
  </si>
  <si>
    <t>0,15
1,8</t>
  </si>
  <si>
    <t>01.7.07.29-0221</t>
  </si>
  <si>
    <t>Состав уплотнительный</t>
  </si>
  <si>
    <t>0,72
8,64</t>
  </si>
  <si>
    <t>0,07
0,84</t>
  </si>
  <si>
    <t>Мини-канал</t>
  </si>
  <si>
    <t>0,2
0,208</t>
  </si>
  <si>
    <t>0,001
0,00104</t>
  </si>
  <si>
    <t>3,1
3,224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</si>
  <si>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</si>
  <si>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</si>
  <si>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</si>
  <si>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</si>
  <si>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</si>
  <si>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</si>
  <si>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</si>
  <si>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</si>
  <si>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</si>
  <si>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</t>
  </si>
  <si>
    <t>ТЦ_20.2.07.02_50_5001112612_28.02.2025_01_36.1</t>
  </si>
  <si>
    <t>Лоток перфорированный 300х80х3000 35305 DKC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</si>
  <si>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</si>
  <si>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</si>
  <si>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</si>
  <si>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</si>
  <si>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</si>
  <si>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</si>
  <si>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</si>
  <si>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</si>
  <si>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</si>
  <si>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</si>
  <si>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</si>
  <si>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</si>
  <si>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</si>
  <si>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</si>
  <si>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</si>
  <si>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</si>
  <si>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>0,096
0,08352</t>
  </si>
  <si>
    <t>0,0005
0,000435</t>
  </si>
  <si>
    <t>0,00006
0,0000522</t>
  </si>
  <si>
    <t>1,87
1,6269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</si>
  <si>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</si>
  <si>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</si>
  <si>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</si>
  <si>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</si>
  <si>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</si>
  <si>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</si>
  <si>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</si>
  <si>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</si>
  <si>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</si>
  <si>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Прокладка кабеля в ПВХ трубе д.25 мм, в лотке, в мини-канале.</t>
  </si>
  <si>
    <t>0,096
0,10656</t>
  </si>
  <si>
    <t>0,0005
0,000555</t>
  </si>
  <si>
    <t>0,00006
0,0000666</t>
  </si>
  <si>
    <t>1,87
2,0757</t>
  </si>
  <si>
    <t>0,245
0,098</t>
  </si>
  <si>
    <t>0,00011
0,000044</t>
  </si>
  <si>
    <t>0,00026
0,000104</t>
  </si>
  <si>
    <t>0,00072
0,000288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</si>
  <si>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</si>
  <si>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</si>
  <si>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Прокладка кабеля в ПВХ трубе, в мини-канале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</si>
  <si>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</si>
  <si>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</si>
  <si>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</si>
  <si>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</si>
  <si>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</si>
  <si>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</si>
  <si>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Прокладка кабеля в лотке, в ПВХ жесткой трубе д.25 мм</t>
  </si>
  <si>
    <t>0,096
0,00192</t>
  </si>
  <si>
    <t>0,0005
0,00001</t>
  </si>
  <si>
    <t>0,00006
0,0000012</t>
  </si>
  <si>
    <t>1,87
0,0374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</si>
  <si>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</si>
  <si>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</si>
  <si>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</si>
  <si>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</si>
  <si>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</si>
  <si>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</si>
  <si>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</si>
  <si>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</si>
  <si>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</si>
  <si>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</si>
  <si>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</si>
  <si>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</si>
  <si>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</si>
  <si>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0,0005
0,00015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</si>
  <si>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</si>
  <si>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</si>
  <si>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</si>
  <si>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</si>
  <si>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</si>
  <si>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</si>
  <si>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0,096
0,01056</t>
  </si>
  <si>
    <t>0,001
0,00011</t>
  </si>
  <si>
    <t>0,01
0,0011</t>
  </si>
  <si>
    <t>0,25
0,0275</t>
  </si>
  <si>
    <t>0,00006
0,0000066</t>
  </si>
  <si>
    <t>2,06
0,2266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</si>
  <si>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</si>
  <si>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</si>
  <si>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Разводка по устройствам и подключение жил кабелей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</si>
  <si>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</si>
  <si>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</si>
  <si>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</si>
  <si>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</si>
  <si>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</si>
  <si>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</si>
  <si>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</si>
  <si>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</si>
  <si>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</si>
  <si>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</si>
  <si>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</si>
  <si>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</si>
  <si>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ФЕРм08-03-591-09</t>
  </si>
  <si>
    <t>Розетка штепсельная: утопленного типа при скрытой проводке</t>
  </si>
  <si>
    <t>0,42
0,0042</t>
  </si>
  <si>
    <t>1,5
0,015</t>
  </si>
  <si>
    <t>0,00315
0,0000315</t>
  </si>
  <si>
    <t>0,102
0,00102</t>
  </si>
  <si>
    <t>6,05
0,0605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</si>
  <si>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</si>
  <si>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</si>
  <si>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</si>
  <si>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</si>
  <si>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</si>
  <si>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</si>
  <si>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</si>
  <si>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</si>
  <si>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</si>
  <si>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</si>
  <si>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</si>
  <si>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</si>
  <si>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</si>
  <si>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0,11
0,0121</t>
  </si>
  <si>
    <t>01.7.15.14-0161</t>
  </si>
  <si>
    <t>Шурупы с полукруглой головкой 2,5х20 мм</t>
  </si>
  <si>
    <t>0,00016
0,0000176</t>
  </si>
  <si>
    <t>6,27
0,6897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</si>
  <si>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</si>
  <si>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</si>
  <si>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</si>
  <si>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</si>
  <si>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</si>
  <si>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0,00001
0,00031</t>
  </si>
  <si>
    <t>0,00005
0,00155</t>
  </si>
  <si>
    <t>0,1
3,1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</si>
  <si>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</si>
  <si>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</si>
  <si>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</si>
  <si>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</si>
  <si>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</si>
  <si>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</si>
  <si>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</si>
  <si>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</si>
  <si>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24.3.01.01-0002</t>
  </si>
  <si>
    <t>Трубка полихлорвиниловая</t>
  </si>
  <si>
    <t>2,8
0,028</t>
  </si>
  <si>
    <t>13,97
0,1397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</si>
  <si>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</si>
  <si>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</si>
  <si>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</si>
  <si>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2,8
0,056</t>
  </si>
  <si>
    <t>13,97
0,2794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</si>
  <si>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</si>
  <si>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</si>
  <si>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</si>
  <si>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</si>
  <si>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</si>
  <si>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</si>
  <si>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</si>
  <si>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</si>
  <si>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</si>
  <si>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</si>
  <si>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</t>
  </si>
  <si>
    <t>0,005
0,00055</t>
  </si>
  <si>
    <t>08.3.04.02-0092</t>
  </si>
  <si>
    <t>Круг стальной горячекатаный, марка стали ВСт3пс5-1, диаметр 10 мм</t>
  </si>
  <si>
    <t>0,56
0,0616</t>
  </si>
  <si>
    <t>3
0,33</t>
  </si>
  <si>
    <t>43,01
4,7311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</si>
  <si>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</si>
  <si>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</si>
  <si>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</si>
  <si>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</si>
  <si>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</si>
  <si>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</si>
  <si>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</si>
  <si>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</si>
  <si>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</si>
  <si>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</si>
  <si>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</si>
  <si>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0,00315
0,0000945</t>
  </si>
  <si>
    <t>3,09
0,0927</t>
  </si>
  <si>
    <t>17,62
0,5286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</si>
  <si>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</si>
  <si>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</si>
  <si>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</si>
  <si>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</si>
  <si>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Раздел 7. Материалы</t>
  </si>
  <si>
    <t>0,009
0,0009</t>
  </si>
  <si>
    <t>0,0015
0,00015</t>
  </si>
  <si>
    <t>0,009
0,0008001</t>
  </si>
  <si>
    <t>1,4
0,12446</t>
  </si>
  <si>
    <t>ФЕР13-03-002-15</t>
  </si>
  <si>
    <t>Огрунтовка металлических поверхностей за один раз: лаком БТ-577</t>
  </si>
  <si>
    <t>0,009
0,00045</t>
  </si>
  <si>
    <t>1,3
0,065</t>
  </si>
  <si>
    <t>ФССЦ-01.7.06.14-0031</t>
  </si>
  <si>
    <t>Лента полимерная разделительная самоклеящаяся, ширина 50 мм</t>
  </si>
  <si>
    <t>ФССЦ-25.2.01.01-0012</t>
  </si>
  <si>
    <t>Бирки кабельные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</si>
  <si>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</si>
  <si>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</si>
  <si>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</si>
  <si>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0,1
3,6</t>
  </si>
  <si>
    <t>0,01
0,36</t>
  </si>
  <si>
    <t>Раздел 2. 1146-4-ИС.КЖ.ВР - Лестничные сходы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</si>
  <si>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</si>
  <si>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0,00008
0,000072</t>
  </si>
  <si>
    <t>1,01
0,909</t>
  </si>
  <si>
    <t>0,00007
0,000063</t>
  </si>
  <si>
    <t>0,003
0,0027</t>
  </si>
  <si>
    <t>0,02
0,018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</si>
  <si>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</si>
  <si>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</si>
  <si>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0,00008
0,000408</t>
  </si>
  <si>
    <t>1,03
5,253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</si>
  <si>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</si>
  <si>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</si>
  <si>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</si>
  <si>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</si>
  <si>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0,01
0,06</t>
  </si>
  <si>
    <t>0,063
0,378</t>
  </si>
  <si>
    <t>1,75
0,035</t>
  </si>
  <si>
    <t>250
5</t>
  </si>
  <si>
    <t>102
2,04</t>
  </si>
  <si>
    <t>0,73
0,0803</t>
  </si>
  <si>
    <t>30
3,3</t>
  </si>
  <si>
    <t>0,002
0,00022</t>
  </si>
  <si>
    <t>101,5
11,165</t>
  </si>
  <si>
    <t>0,0102
0,001122</t>
  </si>
  <si>
    <t>8,1
0,891</t>
  </si>
  <si>
    <t>0,04
0,0044</t>
  </si>
  <si>
    <t>3,6
0,396</t>
  </si>
  <si>
    <t>0,016
0,007824</t>
  </si>
  <si>
    <t>0,24
0,11736</t>
  </si>
  <si>
    <t>0,024
0,011736</t>
  </si>
  <si>
    <t>0,1
0,0489</t>
  </si>
  <si>
    <t>0,013
0,001963</t>
  </si>
  <si>
    <t>1,95
0,29445</t>
  </si>
  <si>
    <t>40
6,04</t>
  </si>
  <si>
    <t>0,04
0,00604</t>
  </si>
  <si>
    <t>0,0006
0,0000906</t>
  </si>
  <si>
    <t>4
0,604</t>
  </si>
  <si>
    <t>33
4,983</t>
  </si>
  <si>
    <t>Раздел 3. 1146-4-ИС.КМ2.ВР - Опоры. Лестничные сходы</t>
  </si>
  <si>
    <t>1,37
30,3044</t>
  </si>
  <si>
    <t>0,41
9,0692</t>
  </si>
  <si>
    <t>4
88,48</t>
  </si>
  <si>
    <t>0,00001
0,0002212</t>
  </si>
  <si>
    <t>0,0001
0,002212</t>
  </si>
  <si>
    <t>1
22,12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</si>
  <si>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</si>
  <si>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</si>
  <si>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</si>
  <si>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</si>
  <si>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</si>
  <si>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</si>
  <si>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</si>
  <si>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</si>
  <si>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0,015
0,0525</t>
  </si>
  <si>
    <t>0,75
2,625</t>
  </si>
  <si>
    <t>32
112</t>
  </si>
  <si>
    <t>38
1330</t>
  </si>
  <si>
    <t>0,038
1,33</t>
  </si>
  <si>
    <t>5
1,75</t>
  </si>
  <si>
    <t>32
11,2</t>
  </si>
  <si>
    <t>0,015
0,00525</t>
  </si>
  <si>
    <t>0,75
0,2625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</si>
  <si>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</si>
  <si>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</si>
  <si>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32,7
114,45</t>
  </si>
  <si>
    <t>1
3,5</t>
  </si>
  <si>
    <t>35
122,5</t>
  </si>
  <si>
    <t>Изготовление, транспортировка и монтаж металлоконструкций лестничных сходов</t>
  </si>
  <si>
    <t>1,37
15,481</t>
  </si>
  <si>
    <t>0,41
4,633</t>
  </si>
  <si>
    <t>4
45,2</t>
  </si>
  <si>
    <t>0,00001
0,000113</t>
  </si>
  <si>
    <t>0,0001
0,00113</t>
  </si>
  <si>
    <t>1
11,3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</si>
  <si>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</si>
  <si>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</si>
  <si>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</si>
  <si>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</si>
  <si>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</si>
  <si>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</si>
  <si>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</si>
  <si>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</si>
  <si>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</si>
  <si>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0,015
0,0195</t>
  </si>
  <si>
    <t>0,75
0,975</t>
  </si>
  <si>
    <t>32
41,6</t>
  </si>
  <si>
    <t>38
494</t>
  </si>
  <si>
    <t>0,038
0,494</t>
  </si>
  <si>
    <t>5
0,65</t>
  </si>
  <si>
    <t>32
4,16</t>
  </si>
  <si>
    <t>0,015
0,00195</t>
  </si>
  <si>
    <t>0,75
0,0975</t>
  </si>
  <si>
    <t>5
6,5</t>
  </si>
  <si>
    <t>32,7
42,51</t>
  </si>
  <si>
    <t>1
1,3</t>
  </si>
  <si>
    <t>35
45,5</t>
  </si>
  <si>
    <t>1,37
0,89872</t>
  </si>
  <si>
    <t>0,41
0,26896</t>
  </si>
  <si>
    <t>4
2,624</t>
  </si>
  <si>
    <t>0,00001
0,0000066</t>
  </si>
  <si>
    <t>0,0001
0,0000656</t>
  </si>
  <si>
    <t>1
0,656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</si>
  <si>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</si>
  <si>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</si>
  <si>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</si>
  <si>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</si>
  <si>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</si>
  <si>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</si>
  <si>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</si>
  <si>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21,25
13,94</t>
  </si>
  <si>
    <t>1,37
3,88395</t>
  </si>
  <si>
    <t>0,41
1,16235</t>
  </si>
  <si>
    <t>4
11,34</t>
  </si>
  <si>
    <t>0,00001
0,0000284</t>
  </si>
  <si>
    <t>0,0001
0,0002835</t>
  </si>
  <si>
    <t>1
2,835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</si>
  <si>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</si>
  <si>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</si>
  <si>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</si>
  <si>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</si>
  <si>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</si>
  <si>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</si>
  <si>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</si>
  <si>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</si>
  <si>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</si>
  <si>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</si>
  <si>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Планировка дна котлована с уплотнением (учтено в ФЕР08-01-002-01)</t>
  </si>
  <si>
    <t>0,05
1,32</t>
  </si>
  <si>
    <t>0,25
6,6</t>
  </si>
  <si>
    <t>0,0013
0,03432</t>
  </si>
  <si>
    <t>0,00051
0,013464</t>
  </si>
  <si>
    <t>1,01
26,664</t>
  </si>
  <si>
    <t>0,00009
0,002376</t>
  </si>
  <si>
    <t>0,0015
0,0396</t>
  </si>
  <si>
    <t>0,03
0,792</t>
  </si>
  <si>
    <t>Обратная засыпка пазух котлована местным грунтом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</si>
  <si>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</si>
  <si>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</si>
  <si>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</si>
  <si>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</si>
  <si>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0,15
0,153</t>
  </si>
  <si>
    <t>1,1
1,122</t>
  </si>
  <si>
    <t>1100
5,06</t>
  </si>
  <si>
    <t>1,75
0,00595</t>
  </si>
  <si>
    <t>250
0,85</t>
  </si>
  <si>
    <t>102
0,3468</t>
  </si>
  <si>
    <t>0,73
0,02482</t>
  </si>
  <si>
    <t>30
1,02</t>
  </si>
  <si>
    <t>0,005
0,00017</t>
  </si>
  <si>
    <t>0,002
0,000068</t>
  </si>
  <si>
    <t>0,01
0,00034</t>
  </si>
  <si>
    <t>101,5
3,451</t>
  </si>
  <si>
    <t>0,0102
0,0003468</t>
  </si>
  <si>
    <t>8,1
0,2754</t>
  </si>
  <si>
    <t>0,04
0,00136</t>
  </si>
  <si>
    <t>3,6
0,1224</t>
  </si>
  <si>
    <t>1
0,09798</t>
  </si>
  <si>
    <t>0,009
0,0007974</t>
  </si>
  <si>
    <t>0,0015
0,0001329</t>
  </si>
  <si>
    <t>0,018
0,0015948</t>
  </si>
  <si>
    <t>2,8
0,24808</t>
  </si>
  <si>
    <t>0,016
0,0030912</t>
  </si>
  <si>
    <t>0,24
0,046368</t>
  </si>
  <si>
    <t>0,024
0,0046368</t>
  </si>
  <si>
    <t>0,1
0,01932</t>
  </si>
  <si>
    <t>Раздел 3. Фундаментная плита монолитная ФМ-2</t>
  </si>
  <si>
    <t>0,15
0,126</t>
  </si>
  <si>
    <t>1,1
0,924</t>
  </si>
  <si>
    <t>0,00013
0,0000005</t>
  </si>
  <si>
    <t>1100
4,18</t>
  </si>
  <si>
    <t>1,75
0,00525</t>
  </si>
  <si>
    <t>250
0,75</t>
  </si>
  <si>
    <t>102
0,306</t>
  </si>
  <si>
    <t>0,73
0,023798</t>
  </si>
  <si>
    <t>30
0,978</t>
  </si>
  <si>
    <t>0,005
0,000163</t>
  </si>
  <si>
    <t>0,002
0,0000652</t>
  </si>
  <si>
    <t>0,01
0,000326</t>
  </si>
  <si>
    <t>101,5
3,3089</t>
  </si>
  <si>
    <t>0,0102
0,0003325</t>
  </si>
  <si>
    <t>8,1
0,26406</t>
  </si>
  <si>
    <t>0,04
0,001304</t>
  </si>
  <si>
    <t>3,6
0,11736</t>
  </si>
  <si>
    <t>2,101227
0,0685</t>
  </si>
  <si>
    <t>0,92822
0,03026</t>
  </si>
  <si>
    <t>0,009
0,0003987</t>
  </si>
  <si>
    <t>0,0015
0,0000665</t>
  </si>
  <si>
    <t>0,018
0,0007974</t>
  </si>
  <si>
    <t>2,8
0,12404</t>
  </si>
  <si>
    <t>0,016
0,0025344</t>
  </si>
  <si>
    <t>0,24
0,038016</t>
  </si>
  <si>
    <t>0,024
0,0038016</t>
  </si>
  <si>
    <t>0,1
0,01584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</si>
  <si>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</si>
  <si>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</si>
  <si>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</si>
  <si>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</si>
  <si>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</si>
  <si>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</si>
  <si>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</si>
  <si>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</si>
  <si>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</si>
  <si>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07.2.02.01</t>
  </si>
  <si>
    <t>Закладная деталь фундамента</t>
  </si>
  <si>
    <t>1
9</t>
  </si>
  <si>
    <t>07.4.03.12</t>
  </si>
  <si>
    <t>Опора наружного освещения композитная с фланцевым соединением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</si>
  <si>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</si>
  <si>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</si>
  <si>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</si>
  <si>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</si>
  <si>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</si>
  <si>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08.3.07.01-0041</t>
  </si>
  <si>
    <t>Прокат полосовой, горячекатаный, размер 40х4 мм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</si>
  <si>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</si>
  <si>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</si>
  <si>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</si>
  <si>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</si>
  <si>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
0,054</t>
  </si>
  <si>
    <t>22.2.02.14-0013</t>
  </si>
  <si>
    <t>Проволока стальная оцинкованная для воздушных линий связи, диаметр 2,5 мм</t>
  </si>
  <si>
    <t>0,00078
0,00702</t>
  </si>
  <si>
    <t>22.2.02.23-0011</t>
  </si>
  <si>
    <t>Глухари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</si>
  <si>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</si>
  <si>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</si>
  <si>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</si>
  <si>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</si>
  <si>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</si>
  <si>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</si>
  <si>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</si>
  <si>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</si>
  <si>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</si>
  <si>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</si>
  <si>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</si>
  <si>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</si>
  <si>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</si>
  <si>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01.7.06.05-0042</t>
  </si>
  <si>
    <t>Лента липкая изоляционная на поликасиновом компаунде, ширина 20-30 мм, толщина от 0,14 до 0,19 мм</t>
  </si>
  <si>
    <t>0,015
0,27</t>
  </si>
  <si>
    <t>21.2.03.09-0105</t>
  </si>
  <si>
    <t>Провод силовой ПРТО 1х1,5-660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</si>
  <si>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</si>
  <si>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</si>
  <si>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</si>
  <si>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</si>
  <si>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</si>
  <si>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</si>
  <si>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</si>
  <si>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</si>
  <si>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</si>
  <si>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</si>
  <si>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</si>
  <si>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</si>
  <si>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</si>
  <si>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</si>
  <si>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Прокладка провода ПуГВнг(А)-LS 1х16 в существующем кабельном лотке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</si>
  <si>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</si>
  <si>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</si>
  <si>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</si>
  <si>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</si>
  <si>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</si>
  <si>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</t>
  </si>
  <si>
    <t>Прокладка кабеля КВПЭфнг(А)-LS-5е 4х2х0,52 в существующем кабельном лотке и  в гибкой гофрированной трубе диаметром 36 мм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</si>
  <si>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</si>
  <si>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</si>
  <si>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</si>
  <si>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</si>
  <si>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</si>
  <si>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</si>
  <si>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Прокладка кабеля КВПЭфнг(А)-LS-5е 4х2х0,52 в гибкой гофрированной трубе диаметром 36 мм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</si>
  <si>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</si>
  <si>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</si>
  <si>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</si>
  <si>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</si>
  <si>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</si>
  <si>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</si>
  <si>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</si>
  <si>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</si>
  <si>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</si>
  <si>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</si>
  <si>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</si>
  <si>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</si>
  <si>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</si>
  <si>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</si>
  <si>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</si>
  <si>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01.7.06.03-0023</t>
  </si>
  <si>
    <t>Лента полиэтиленовая с липким слоем, марка А</t>
  </si>
  <si>
    <t>01.7.15.07-0012</t>
  </si>
  <si>
    <t>Дюбели пластмассовые с шурупами, размер 12х70 мм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</si>
  <si>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</si>
  <si>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</si>
  <si>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10.3.02.03-0012</t>
  </si>
  <si>
    <t>Припои оловянно-свинцовые бессурьмянистые, марка ПОС40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</si>
  <si>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</si>
  <si>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</si>
  <si>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</si>
  <si>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</si>
  <si>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
0,14</t>
  </si>
  <si>
    <t>22
О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</si>
  <si>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</si>
  <si>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</si>
  <si>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</si>
  <si>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</si>
  <si>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</si>
  <si>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0,15
0,15</t>
  </si>
  <si>
    <t>0,17
0,17</t>
  </si>
  <si>
    <t>0,015
0,015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</si>
  <si>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</si>
  <si>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</si>
  <si>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</si>
  <si>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</si>
  <si>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</si>
  <si>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0,36
0,36</t>
  </si>
  <si>
    <t>26
О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</si>
  <si>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</si>
  <si>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</si>
  <si>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</si>
  <si>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</si>
  <si>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</si>
  <si>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01.3.01.07-0009</t>
  </si>
  <si>
    <t>Спирт этиловый ректификованный технический, сорт I</t>
  </si>
  <si>
    <t>0,03
0,09</t>
  </si>
  <si>
    <t>0,48
1,44</t>
  </si>
  <si>
    <t>28
О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</si>
  <si>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</si>
  <si>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</si>
  <si>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</si>
  <si>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</si>
  <si>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</si>
  <si>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</si>
  <si>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</si>
  <si>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</si>
  <si>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</si>
  <si>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</si>
  <si>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32
О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</si>
  <si>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</si>
  <si>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</si>
  <si>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</si>
  <si>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</si>
  <si>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</si>
  <si>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34
О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</si>
  <si>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</si>
  <si>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</si>
  <si>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</si>
  <si>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</si>
  <si>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</si>
  <si>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</si>
  <si>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</si>
  <si>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</si>
  <si>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</si>
  <si>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</si>
  <si>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</si>
  <si>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</si>
  <si>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</si>
  <si>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</si>
  <si>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</si>
  <si>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</si>
  <si>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</si>
  <si>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</si>
  <si>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</si>
  <si>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</si>
  <si>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</si>
  <si>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</si>
  <si>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</si>
  <si>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</si>
  <si>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</si>
  <si>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</si>
  <si>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</si>
  <si>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</si>
  <si>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</si>
  <si>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</si>
  <si>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</si>
  <si>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</si>
  <si>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</si>
  <si>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</si>
  <si>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</si>
  <si>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</si>
  <si>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</si>
  <si>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</si>
  <si>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</si>
  <si>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</si>
  <si>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</si>
  <si>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</si>
  <si>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</si>
  <si>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</si>
  <si>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</si>
  <si>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</si>
  <si>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</si>
  <si>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</t>
  </si>
  <si>
    <t>0,02
0,06</t>
  </si>
  <si>
    <t>0,3
0,9</t>
  </si>
  <si>
    <t>0,1
0,3</t>
  </si>
  <si>
    <t>0,0003
0,0009</t>
  </si>
  <si>
    <t>10.2.02.08-0001</t>
  </si>
  <si>
    <t>Проволока медная, круглая, мягкая, электротехническая, диаметр 1,0-3,0 мм и выше</t>
  </si>
  <si>
    <t>0,0001
0,0003</t>
  </si>
  <si>
    <t>0,00006
0,00018</t>
  </si>
  <si>
    <t>14.3.02.01-0219</t>
  </si>
  <si>
    <t>Краска универсальная, акриловая для внутренних и наружных работ</t>
  </si>
  <si>
    <t>0,00002
0,00006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</si>
  <si>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</si>
  <si>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</si>
  <si>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</si>
  <si>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</si>
  <si>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</si>
  <si>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</si>
  <si>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>2,06
6,18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</si>
  <si>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</si>
  <si>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</si>
  <si>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</si>
  <si>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</si>
  <si>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</si>
  <si>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</si>
  <si>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</si>
  <si>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ФЕРм08-03-575-01</t>
  </si>
  <si>
    <t>Прибор или аппарат</t>
  </si>
  <si>
    <t>0,02
0,08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</si>
  <si>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</si>
  <si>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</si>
  <si>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</si>
  <si>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</si>
  <si>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</si>
  <si>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</si>
  <si>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</si>
  <si>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</si>
  <si>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ФЕРм08-03-591-08</t>
  </si>
  <si>
    <t>Розетка штепсельная: неутопленного типа при открытой проводке</t>
  </si>
  <si>
    <t>0,11
0,0011</t>
  </si>
  <si>
    <t>0,00016
0,0000016</t>
  </si>
  <si>
    <t>0,0003
0,000003</t>
  </si>
  <si>
    <t>6,86
0,0686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</si>
  <si>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</si>
  <si>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</si>
  <si>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</si>
  <si>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</si>
  <si>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</si>
  <si>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</si>
  <si>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</si>
  <si>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</si>
  <si>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</si>
  <si>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</si>
  <si>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</si>
  <si>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0,13
0,4264</t>
  </si>
  <si>
    <t>Сваи железобетонные сплошные</t>
  </si>
  <si>
    <t>1,015
3,3292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</si>
  <si>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</si>
  <si>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</si>
  <si>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</si>
  <si>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</si>
  <si>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</si>
  <si>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</si>
  <si>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</si>
  <si>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</si>
  <si>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</si>
  <si>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0,625
0,01875</t>
  </si>
  <si>
    <t>05.1.02.07-0038</t>
  </si>
  <si>
    <t>Стойка железобетонная сборная под электрооборудование</t>
  </si>
  <si>
    <t>101
3,03</t>
  </si>
  <si>
    <t>0,78
0,0234</t>
  </si>
  <si>
    <t>Заполнение швов цементным раствором М400 по ГОСТ 28013-98</t>
  </si>
  <si>
    <t>1,75
0,0035</t>
  </si>
  <si>
    <t>250
0,5</t>
  </si>
  <si>
    <t>102
0,204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</si>
  <si>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</si>
  <si>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</si>
  <si>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</si>
  <si>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</si>
  <si>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</si>
  <si>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</si>
  <si>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0,01
0,02464</t>
  </si>
  <si>
    <t>Конструкции стальные порталов ОРУ</t>
  </si>
  <si>
    <t>1,03
2,53792</t>
  </si>
  <si>
    <t>ФССЦ-07.2.07.13-0211</t>
  </si>
  <si>
    <t>Тяги, распорки, связи, стойки стальные оцинкованные</t>
  </si>
  <si>
    <t>ФЕР33-02-013-09</t>
  </si>
  <si>
    <t>Установка стальных: болтовых траверс порталов массой до 7,5 т</t>
  </si>
  <si>
    <t>0,005
0,056811</t>
  </si>
  <si>
    <t>1,03
11,7030743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</si>
  <si>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</si>
  <si>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</si>
  <si>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</si>
  <si>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</si>
  <si>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</si>
  <si>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</si>
  <si>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</si>
  <si>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</si>
  <si>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</si>
  <si>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</si>
  <si>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</si>
  <si>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</si>
  <si>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</si>
  <si>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</si>
  <si>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</si>
  <si>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</si>
  <si>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Раздел 2. Эстакада освещения №2 на ПК 7+86</t>
  </si>
  <si>
    <t>Устройство металлокаркаса ферм Ф3, Ф4, Ф5</t>
  </si>
  <si>
    <t>0,01
0,0191</t>
  </si>
  <si>
    <t>1,03
1,9673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</si>
  <si>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</si>
  <si>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</si>
  <si>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</si>
  <si>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</si>
  <si>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</si>
  <si>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</si>
  <si>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</si>
  <si>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</si>
  <si>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 xml:space="preserve">на Наружное электроснабжение.. Пусконаладочные работы., </t>
  </si>
  <si>
    <t>1146-ТКР4.1.ВОР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</si>
  <si>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</si>
  <si>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</si>
  <si>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</si>
  <si>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</si>
  <si>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</si>
  <si>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</si>
  <si>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ФЕРп01-12-027-01</t>
  </si>
  <si>
    <t>Испытание кабеля силового длиной до 500 м напряжением: до 10 кВ</t>
  </si>
  <si>
    <t>испытание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</si>
  <si>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</si>
  <si>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</si>
  <si>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</si>
  <si>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ФЕРп01-11-010-01</t>
  </si>
  <si>
    <t>Измерение сопротивления растеканию тока: заземлителя</t>
  </si>
  <si>
    <t>ФЕРп01-11-010-02</t>
  </si>
  <si>
    <t>Измерение сопротивления растеканию тока: контура с диагональю до 20 м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</si>
  <si>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</si>
  <si>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</si>
  <si>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</si>
  <si>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</si>
  <si>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</si>
  <si>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</si>
  <si>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Доработка траншеи вручную группа грунтов: 2 (3% от объема разрабатываемого грунта)</t>
  </si>
  <si>
    <t>Устройство песчаного основания толщиной 0,1 м под кабель с уплотнением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</si>
  <si>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</si>
  <si>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</si>
  <si>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</si>
  <si>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</si>
  <si>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</si>
  <si>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</si>
  <si>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3,82
3,14386</t>
  </si>
  <si>
    <t>ФССЦ-21.1.01.01-0013
ДПД2-нг(А)-FRHFLTx-08У-40</t>
  </si>
  <si>
    <t>Кабель оптический ДПС-008Е04-04</t>
  </si>
  <si>
    <t>Прокладка кабеля в траншее  ДПД2-нг(А)-FRHFLTx-016У</t>
  </si>
  <si>
    <t>3,82
1,7954</t>
  </si>
  <si>
    <t>ФССЦ-21.1.01.01-0015
ДПД2-нг(А)-FRHFLTx-16У-40</t>
  </si>
  <si>
    <t>Кабель оптический ДПС-016Е04-04</t>
  </si>
  <si>
    <t>Прокладка кабеля в траншее КСППБ 1х4х1,2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</si>
  <si>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</si>
  <si>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</si>
  <si>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</si>
  <si>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</si>
  <si>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</si>
  <si>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</si>
  <si>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</si>
  <si>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</t>
  </si>
  <si>
    <t>Прокладка кабеля в траншее ТППэпБбП-НДГ 10х2х0,5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</si>
  <si>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</si>
  <si>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</si>
  <si>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</si>
  <si>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</si>
  <si>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</si>
  <si>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</si>
  <si>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</si>
  <si>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</t>
  </si>
  <si>
    <t>Прокладка кабеля в трубе d=63мм ParLan ARM F/UTP Cat5e PVCLS нг(А)-FRLS 4х2х0,52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</si>
  <si>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</si>
  <si>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</si>
  <si>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</si>
  <si>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</si>
  <si>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</si>
  <si>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</t>
  </si>
  <si>
    <t>Засыпка траншеи песком с уплотнением пневмотрамбовками</t>
  </si>
  <si>
    <t>ФЕР01-02-005-01</t>
  </si>
  <si>
    <t>Уплотнение грунта пневматическими трамбовками, группа грунтов: 1-2</t>
  </si>
  <si>
    <t>Засыпка бульдозером траншеи грунтом, из отвала с уплотнением пневмотрамбовками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</si>
  <si>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</si>
  <si>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</si>
  <si>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</si>
  <si>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0,04
0,002396</t>
  </si>
  <si>
    <t>Прокладка сигнальной ленты</t>
  </si>
  <si>
    <t>0,08
1,264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</si>
  <si>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</si>
  <si>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</si>
  <si>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</si>
  <si>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11
3,96</t>
  </si>
  <si>
    <t>Укладка футляра ПЭ-100 SDR 9 - 110×12,3 мм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</si>
  <si>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</si>
  <si>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</si>
  <si>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</si>
  <si>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</si>
  <si>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</si>
  <si>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</si>
  <si>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100 м кабеля</t>
  </si>
  <si>
    <t>0,001
0,00006</t>
  </si>
  <si>
    <t>0,01
0,0006</t>
  </si>
  <si>
    <t>08.3.03.04-0014</t>
  </si>
  <si>
    <t>Проволока светлая, диаметр 3,0 мм</t>
  </si>
  <si>
    <t>3,11
0,1866</t>
  </si>
  <si>
    <t>Протяжка кабеля в футляре ДПД2-нг(А)-FRHFLTx-016У</t>
  </si>
  <si>
    <t>0,001
0,00126</t>
  </si>
  <si>
    <t>0,01
0,0126</t>
  </si>
  <si>
    <t>3,11
3,9186</t>
  </si>
  <si>
    <t>Протяжка кабеля в футляре ParLan ARM F/UTP Cat5e PVCLS нг(А)-FRLS 4х2х0,52</t>
  </si>
  <si>
    <t>0,0005
0,000045</t>
  </si>
  <si>
    <t>1,87
0,1683</t>
  </si>
  <si>
    <t>Протяжка кабеля в футляре ТППэпБбП-НДГ 10х2х0,5</t>
  </si>
  <si>
    <t>0,096
0,00288</t>
  </si>
  <si>
    <t>0,0005
0,000015</t>
  </si>
  <si>
    <t>0,00006
0,0000018</t>
  </si>
  <si>
    <t>1,87
0,0561</t>
  </si>
  <si>
    <t>Протяжка кабеля в футляре КСППБ 1х4х1,2</t>
  </si>
  <si>
    <t>0,096
0,30336</t>
  </si>
  <si>
    <t>0,0005
0,00158</t>
  </si>
  <si>
    <t>0,00006
0,0001896</t>
  </si>
  <si>
    <t>1,87
5,9092</t>
  </si>
  <si>
    <t>0,04
0,000448</t>
  </si>
  <si>
    <t>Прокладка кабеля по зданию ДПД2-нг(А)-FRHFLTx-08У</t>
  </si>
  <si>
    <t>0,245
0,36995</t>
  </si>
  <si>
    <t>0,00062
0,0009362</t>
  </si>
  <si>
    <t>0,00025
0,0003775</t>
  </si>
  <si>
    <t>0,00072
0,0010872</t>
  </si>
  <si>
    <t>2,65
4,0015</t>
  </si>
  <si>
    <t>Прокладка кабеля по зданию ДПД2-нг(А)-FRHFLTx-016У</t>
  </si>
  <si>
    <t>0,245
0,343</t>
  </si>
  <si>
    <t>0,00062
0,000868</t>
  </si>
  <si>
    <t>0,00025
0,00035</t>
  </si>
  <si>
    <t>0,00072
0,001008</t>
  </si>
  <si>
    <t>2,65
3,71</t>
  </si>
  <si>
    <t>Прокладка кабеля по зданию  ParLan ARM F/UTP Cat5e PVCLS нг(А)-FRLS 4х2х0,52</t>
  </si>
  <si>
    <t>0,245
0,2744</t>
  </si>
  <si>
    <t>0,00062
0,0006944</t>
  </si>
  <si>
    <t>0,00025
0,00028</t>
  </si>
  <si>
    <t>0,00072
0,0008064</t>
  </si>
  <si>
    <t>2,65
2,968</t>
  </si>
  <si>
    <t>Прокладка кабеля по зданию ТППэпБбП-НДГ 10х2х0,5</t>
  </si>
  <si>
    <t>0,245
0,08085</t>
  </si>
  <si>
    <t>0,00062
0,0002046</t>
  </si>
  <si>
    <t>0,00025
0,0000825</t>
  </si>
  <si>
    <t>0,00072
0,0002376</t>
  </si>
  <si>
    <t>2,65
0,8745</t>
  </si>
  <si>
    <t>Прокладка кабеля по зданию КСППБ 1х4х1,2</t>
  </si>
  <si>
    <t>Прокладка кабеля по столбу КСППБ 1х4х1,2</t>
  </si>
  <si>
    <t>0,245
0,18375</t>
  </si>
  <si>
    <t>0,00062
0,000465</t>
  </si>
  <si>
    <t>0,00025
0,0001875</t>
  </si>
  <si>
    <t>0,00072
0,00054</t>
  </si>
  <si>
    <t>2,65
1,9875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</si>
  <si>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</si>
  <si>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</si>
  <si>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</si>
  <si>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участок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</si>
  <si>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</si>
  <si>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</si>
  <si>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</si>
  <si>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</si>
  <si>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</si>
  <si>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</si>
  <si>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</si>
  <si>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</si>
  <si>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</si>
  <si>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</si>
  <si>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</si>
  <si>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</si>
  <si>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</si>
  <si>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</si>
  <si>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</si>
  <si>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0,48
1,92</t>
  </si>
  <si>
    <t>Патч-корд волоконно-оптический (шнур) SM 9/125 (OS2),FC/UPC-FC/UPC, 2.0 мм, duplex, LSZH, 2 м.</t>
  </si>
  <si>
    <t>ГЭСНм11-04-028-01</t>
  </si>
  <si>
    <t>Включение в аппаратуру разъемов штепсельных, количество контактов в разъеме: до 14 шт.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</si>
  <si>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</si>
  <si>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</si>
  <si>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</si>
  <si>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</si>
  <si>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</si>
  <si>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</si>
  <si>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</si>
  <si>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</si>
  <si>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</si>
  <si>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</si>
  <si>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ФЕРм10-06-060-02</t>
  </si>
  <si>
    <t>Монтаж оптического кросса с учетом измерений на волоконно-оптическом кабеле с числом волокон: 8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</si>
  <si>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</si>
  <si>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</si>
  <si>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</si>
  <si>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</si>
  <si>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</si>
  <si>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ФЕРм11-01-001-01</t>
  </si>
  <si>
    <t>Конструкции для установки приборов, масса: до 1 кг</t>
  </si>
  <si>
    <t>0,00004
0,00012</t>
  </si>
  <si>
    <t>0,95
2,85</t>
  </si>
  <si>
    <t>0,00003
0,00009</t>
  </si>
  <si>
    <t>ТЦ_20.2.03.00_78_7842224734_06.03.2025_02_8.1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</si>
  <si>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</si>
  <si>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</si>
  <si>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</si>
  <si>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</si>
  <si>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</si>
  <si>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</si>
  <si>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</si>
  <si>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</si>
  <si>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</si>
  <si>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</si>
  <si>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</si>
  <si>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</si>
  <si>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</si>
  <si>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</si>
  <si>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ФЕРм11-04-028-01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</si>
  <si>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</si>
  <si>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</si>
  <si>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</si>
  <si>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</si>
  <si>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</si>
  <si>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</si>
  <si>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2,14
0,0214</t>
  </si>
  <si>
    <t>1,25
0,0125</t>
  </si>
  <si>
    <t>0,3
0,003</t>
  </si>
  <si>
    <t>20.1.02.14-0001</t>
  </si>
  <si>
    <t>Серьга</t>
  </si>
  <si>
    <t>30
0,3</t>
  </si>
  <si>
    <t>20.2.09.13-0011</t>
  </si>
  <si>
    <t>Муфты</t>
  </si>
  <si>
    <t>6
0,06</t>
  </si>
  <si>
    <t>1,61
0,0161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</si>
  <si>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</si>
  <si>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</si>
  <si>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</si>
  <si>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ТЦ_20.4.03.00_78_7842224734_06.03.2025_02_15.1</t>
  </si>
  <si>
    <t>Монтаж промышленного Ethernet-коммутатора</t>
  </si>
  <si>
    <t>ФЕРм10-03-013-05</t>
  </si>
  <si>
    <t>Коммутатор служебной связи</t>
  </si>
  <si>
    <t>0,0011
0,0033</t>
  </si>
  <si>
    <t>0,000003
0,000009</t>
  </si>
  <si>
    <t>21.2.03.09-0101</t>
  </si>
  <si>
    <t>Провод силовой АПРН 1х35-660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</si>
  <si>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</si>
  <si>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</si>
  <si>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</si>
  <si>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</si>
  <si>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</si>
  <si>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</si>
  <si>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0,0003
0,0003</t>
  </si>
  <si>
    <t>0,0001
0,0001</t>
  </si>
  <si>
    <t>0,00006
0,00006</t>
  </si>
  <si>
    <t>2,06
2,06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</si>
  <si>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</si>
  <si>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</si>
  <si>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</si>
  <si>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</si>
  <si>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</si>
  <si>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</si>
  <si>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</si>
  <si>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</si>
  <si>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</si>
  <si>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</si>
  <si>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</si>
  <si>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</si>
  <si>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</si>
  <si>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</si>
  <si>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</si>
  <si>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</si>
  <si>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</si>
  <si>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</si>
  <si>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</t>
  </si>
  <si>
    <t>100 перемычек</t>
  </si>
  <si>
    <t>4,62
0,7392</t>
  </si>
  <si>
    <t>ТЦ_21.9.01.02_78_7842224734_06.03.2025_02_20.1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</si>
  <si>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</si>
  <si>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</si>
  <si>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</t>
  </si>
  <si>
    <t>0,2
0,004</t>
  </si>
  <si>
    <t>25.2.01.01-0017</t>
  </si>
  <si>
    <t>Бирки маркировочные пластмассовые</t>
  </si>
  <si>
    <t>0,25
0,005</t>
  </si>
  <si>
    <t>2,06
0,0412</t>
  </si>
  <si>
    <t>ФССЦ-21.2.03.05-0072</t>
  </si>
  <si>
    <t>Провод силовой установочный с медными жилами ПуГВ 1х10-450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</si>
  <si>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</si>
  <si>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</si>
  <si>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</si>
  <si>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>3,36
0,1692096</t>
  </si>
  <si>
    <t>2,54
0,1279144</t>
  </si>
  <si>
    <t>10,15
0,511154</t>
  </si>
  <si>
    <t>ТЦ_20.2.07.03_78_7842224734_06.03.2025_02_21.1</t>
  </si>
  <si>
    <t>Лестничный лоток 100х300, L3000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</si>
  <si>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</si>
  <si>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</si>
  <si>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ТЦ_20.2.03.06_78_7842224734_06.03.2025_02_23.1</t>
  </si>
  <si>
    <t>Крышка с заземлением на лоток осн.300 L3000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</si>
  <si>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</si>
  <si>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</si>
  <si>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</si>
  <si>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</si>
  <si>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</si>
  <si>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</si>
  <si>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</si>
  <si>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</si>
  <si>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</si>
  <si>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</si>
  <si>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ФЕР01-02-013-07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</si>
  <si>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</si>
  <si>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</si>
  <si>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</si>
  <si>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</si>
  <si>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</si>
  <si>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</si>
  <si>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</si>
  <si>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</si>
  <si>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</si>
  <si>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</si>
  <si>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</si>
  <si>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Разработка грунта для устройства корыт под асфальтобетонное покрытие тротуаров (Тип 3), в т. ч.:</t>
  </si>
  <si>
    <t>Вывоз избытка грунта согласно транспортной схеме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</si>
  <si>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</si>
  <si>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</si>
  <si>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</si>
  <si>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Укладка георешётки Армостаб-Грунт Д 100/100- с учётом 10% запаса на нахлёст и раскрой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</si>
  <si>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</si>
  <si>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</si>
  <si>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</si>
  <si>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</si>
  <si>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</si>
  <si>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
13,917</t>
  </si>
  <si>
    <t>15
6,9585</t>
  </si>
  <si>
    <t>189
87,6771</t>
  </si>
  <si>
    <t>63
29,2257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</si>
  <si>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</si>
  <si>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</si>
  <si>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1,03
0,1957</t>
  </si>
  <si>
    <t>Устройство слоя из асфальтобетона пористого крупнозернистого на БНД 90/130 по ГОСТ 9128-2013, h=0,07 м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</si>
  <si>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</si>
  <si>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</si>
  <si>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</si>
  <si>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</si>
  <si>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</si>
  <si>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</si>
  <si>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</si>
  <si>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0,006
0,0027834</t>
  </si>
  <si>
    <t>2,64
1,224696</t>
  </si>
  <si>
    <t>68,4
31,73076</t>
  </si>
  <si>
    <t>Устройство слоя из асфальтобетона плотного типа Б на БНД 90/130 по ГОСТ 9128-2013, h=0,05 м</t>
  </si>
  <si>
    <t>97,4
45,18386</t>
  </si>
  <si>
    <t>0,002
0,0009278</t>
  </si>
  <si>
    <t>0,88
0,408232</t>
  </si>
  <si>
    <t>24,2
11,22638</t>
  </si>
  <si>
    <t>Установка бортовых камней БР100.30.15</t>
  </si>
  <si>
    <t>0,001
0,00152</t>
  </si>
  <si>
    <t>5,9
8,968</t>
  </si>
  <si>
    <t>0,06
0,0912</t>
  </si>
  <si>
    <t>0,17
0,2584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</si>
  <si>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</si>
  <si>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</si>
  <si>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</si>
  <si>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30
1,047</t>
  </si>
  <si>
    <t>15
0,5235</t>
  </si>
  <si>
    <t>189
6,5961</t>
  </si>
  <si>
    <t>1,03
0,0103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</si>
  <si>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</si>
  <si>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</si>
  <si>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01.2.01.01</t>
  </si>
  <si>
    <t>0,65
0,022685</t>
  </si>
  <si>
    <t>0,92
0,032108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</si>
  <si>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</si>
  <si>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</si>
  <si>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</si>
  <si>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24,2
0,84458</t>
  </si>
  <si>
    <t>Установка бортовых камней БР100.20.8</t>
  </si>
  <si>
    <t>0,001
0,00037</t>
  </si>
  <si>
    <t>5,9
2,183</t>
  </si>
  <si>
    <t>0,06
0,0222</t>
  </si>
  <si>
    <t>0,17
0,0629</t>
  </si>
  <si>
    <t>100
37</t>
  </si>
  <si>
    <t>ФССЦ-05.2.03.03-0031</t>
  </si>
  <si>
    <t>Камни бортовые БР 100.20.8, бетон B22,5 (М300), объем 0,016 м3</t>
  </si>
  <si>
    <t>Устройство асфальтобетонной отмостки зданий (Тип 4), в т. ч.: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</si>
  <si>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</si>
  <si>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30
1,854</t>
  </si>
  <si>
    <t>15
0,927</t>
  </si>
  <si>
    <t>189
11,6802</t>
  </si>
  <si>
    <t>1,03
0,0309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</si>
  <si>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</si>
  <si>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</si>
  <si>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</si>
  <si>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</si>
  <si>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</si>
  <si>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</si>
  <si>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</si>
  <si>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0,002
0,0001236</t>
  </si>
  <si>
    <t>0,88
0,054384</t>
  </si>
  <si>
    <t>24,2
1,49556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</si>
  <si>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</si>
  <si>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</si>
  <si>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15
307,47</t>
  </si>
  <si>
    <t>Посев газонов вручную</t>
  </si>
  <si>
    <t>10
204,98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</si>
  <si>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</si>
  <si>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</si>
  <si>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</si>
  <si>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</si>
  <si>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13,6
20,4544</t>
  </si>
  <si>
    <t>1,2
1,8048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</si>
  <si>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</si>
  <si>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</si>
  <si>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</si>
  <si>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</si>
  <si>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</si>
  <si>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</si>
  <si>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ФЕРп01-05-015-01</t>
  </si>
  <si>
    <t>Устройство АВР: со схемой восстановления напряжения</t>
  </si>
  <si>
    <t>ФЕРп01-11-013-01</t>
  </si>
  <si>
    <t>Замер полного сопротивления цепи "фаза-нуль"</t>
  </si>
  <si>
    <t xml:space="preserve">на Благоустройство и озеленение. Территория проезда вдоль 9 железнодорожного пути., </t>
  </si>
  <si>
    <t>30
1,521</t>
  </si>
  <si>
    <t>15
0,7605</t>
  </si>
  <si>
    <t>189
9,5823</t>
  </si>
  <si>
    <t>1,03
0,0206</t>
  </si>
  <si>
    <t>0,65
0,032955</t>
  </si>
  <si>
    <t>0,92
0,046644</t>
  </si>
  <si>
    <t>97,4
4,93818</t>
  </si>
  <si>
    <t>24,2
1,22694</t>
  </si>
  <si>
    <t>0,001
0,00047</t>
  </si>
  <si>
    <t>5,9
2,773</t>
  </si>
  <si>
    <t>0,06
0,0282</t>
  </si>
  <si>
    <t>0,17
0,0799</t>
  </si>
  <si>
    <t>100
47</t>
  </si>
  <si>
    <t>15
63,825</t>
  </si>
  <si>
    <t>10
42,55</t>
  </si>
  <si>
    <t>2
8,51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</si>
  <si>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</si>
  <si>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</si>
  <si>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</si>
  <si>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</si>
  <si>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</si>
  <si>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</si>
  <si>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ТЦ_71_7104023630_03.03.2025_3.1</t>
  </si>
  <si>
    <t>Настройка оборудования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</si>
  <si>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</si>
  <si>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</si>
  <si>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</si>
  <si>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</si>
  <si>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</si>
  <si>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</si>
  <si>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</si>
  <si>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</si>
  <si>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Доработка траншеи вручную, грунт II группы</t>
  </si>
  <si>
    <t>Устройство песчаного основания из песка строительного средней крупности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</si>
  <si>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</si>
  <si>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</si>
  <si>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</si>
  <si>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</si>
  <si>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01.3.02.03-0012</t>
  </si>
  <si>
    <t>Ацетилен растворенный технический, марка Б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</si>
  <si>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</si>
  <si>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</si>
  <si>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</si>
  <si>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</si>
  <si>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</si>
  <si>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</t>
  </si>
  <si>
    <t>0,0004
0,0001088</t>
  </si>
  <si>
    <t>0,0099
0,0026928</t>
  </si>
  <si>
    <t>0,54
0,14688</t>
  </si>
  <si>
    <t>0,00062
0,0001686</t>
  </si>
  <si>
    <t>18.2.07.01</t>
  </si>
  <si>
    <t>Трубопроводы с гильзами</t>
  </si>
  <si>
    <t>100
27,2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</si>
  <si>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</si>
  <si>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</si>
  <si>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</si>
  <si>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</si>
  <si>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</si>
  <si>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0,007
0,0006222</t>
  </si>
  <si>
    <t>07.3.02.11</t>
  </si>
  <si>
    <t>1
0,088881</t>
  </si>
  <si>
    <t>241,896468
21,5</t>
  </si>
  <si>
    <t>Монтаж ПНД труб d=50мм в траншее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</si>
  <si>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</si>
  <si>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</si>
  <si>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</si>
  <si>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Обратная засыпка песком строительным средней крупности</t>
  </si>
  <si>
    <t>Укладка сигнальной ленты в траншею</t>
  </si>
  <si>
    <t>0,08
0,06728</t>
  </si>
  <si>
    <t>Обратная засыпка грунтом группы II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</si>
  <si>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</si>
  <si>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</si>
  <si>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</si>
  <si>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</si>
  <si>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</si>
  <si>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</si>
  <si>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</si>
  <si>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</si>
  <si>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</si>
  <si>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</si>
  <si>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0,0356
0,0356</t>
  </si>
  <si>
    <t>01.7.15.03-0033</t>
  </si>
  <si>
    <t>Болты с гайками и шайбами оцинкованные, диаметр 10 мм</t>
  </si>
  <si>
    <t>0,584
0,584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</si>
  <si>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</si>
  <si>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</si>
  <si>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</si>
  <si>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</si>
  <si>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</si>
  <si>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</si>
  <si>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
3,32</t>
  </si>
  <si>
    <t>18
О</t>
  </si>
  <si>
    <t>ТЦ_61.3.05.00_78_7810143306_04.12.2024_01_3.1</t>
  </si>
  <si>
    <t>АРМ ССД-04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</si>
  <si>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</si>
  <si>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</si>
  <si>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</si>
  <si>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</si>
  <si>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</si>
  <si>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0,18
0,72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</si>
  <si>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</si>
  <si>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</si>
  <si>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</si>
  <si>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</si>
  <si>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</si>
  <si>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</si>
  <si>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0,0011
0,0011</t>
  </si>
  <si>
    <t>0,000003
0,000003</t>
  </si>
  <si>
    <t>0,0007
0,0007</t>
  </si>
  <si>
    <t>1,19
1,19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</si>
  <si>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</si>
  <si>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</si>
  <si>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</si>
  <si>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</si>
  <si>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</si>
  <si>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</si>
  <si>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</si>
  <si>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</si>
  <si>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</si>
  <si>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</si>
  <si>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</si>
  <si>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</si>
  <si>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</si>
  <si>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</si>
  <si>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</si>
  <si>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</si>
  <si>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</si>
  <si>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0,048
0,048</t>
  </si>
  <si>
    <t>0,77
0,77</t>
  </si>
  <si>
    <t>20.2.10.03-0002</t>
  </si>
  <si>
    <t>Наконечники кабельные медные для электротехнических установок</t>
  </si>
  <si>
    <t>0,0204
0,0204</t>
  </si>
  <si>
    <t>24.3.01.01-0001</t>
  </si>
  <si>
    <t>Трубка ХВТ</t>
  </si>
  <si>
    <t>0,016
0,016</t>
  </si>
  <si>
    <t>2,58
2,58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</si>
  <si>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</si>
  <si>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</si>
  <si>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</si>
  <si>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</si>
  <si>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</si>
  <si>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</si>
  <si>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</si>
  <si>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</si>
  <si>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</si>
  <si>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</si>
  <si>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</si>
  <si>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</si>
  <si>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0,00003
0,00006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</si>
  <si>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</si>
  <si>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</si>
  <si>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</si>
  <si>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</si>
  <si>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</si>
  <si>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ТЦ_09.3.01.01_78_7842224734_25.02.2025_01_17.1</t>
  </si>
  <si>
    <t>Комплект проводов заземления для шкафа ШТК-М, универсальный ПЗ-ШТК-М</t>
  </si>
  <si>
    <t>ТЦ_09.3.01.01_78_7842224734_25.02.2025_01_18.1</t>
  </si>
  <si>
    <t>Комплект монтажный № 2 (винт, шайба, гайка с защелкой), упаковка 25 шт. КМ-2-25</t>
  </si>
  <si>
    <t>ТЦ_20.2.00.00_78_7804413561_21.02.2025_01_19.2</t>
  </si>
  <si>
    <t>19″ панель с DIN-рейкой PS-3U КП-АВ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</si>
  <si>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</si>
  <si>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</si>
  <si>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</si>
  <si>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</si>
  <si>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</si>
  <si>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</si>
  <si>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</t>
  </si>
  <si>
    <t>ТЦ_20.4.03.00_50_5001112612_25.02.2025_01_21.1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</si>
  <si>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</si>
  <si>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</si>
  <si>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</si>
  <si>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0,04
0,12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</si>
  <si>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</si>
  <si>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</si>
  <si>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</si>
  <si>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0,04
0,16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</si>
  <si>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</si>
  <si>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</si>
  <si>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</si>
  <si>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</si>
  <si>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</si>
  <si>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</si>
  <si>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</si>
  <si>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</si>
  <si>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</si>
  <si>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</si>
  <si>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</si>
  <si>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0,001
0,00004</t>
  </si>
  <si>
    <t>3,1
0,124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</si>
  <si>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</si>
  <si>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</si>
  <si>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</si>
  <si>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</si>
  <si>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</si>
  <si>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0,3
0,009</t>
  </si>
  <si>
    <t>0,001
0,00003</t>
  </si>
  <si>
    <t>3,5
0,105</t>
  </si>
  <si>
    <t>ФССЦ-20.2.05.04-0030</t>
  </si>
  <si>
    <t>Кабель-канал (короб) 60х40 мм</t>
  </si>
  <si>
    <t>Монтаж трубы ПВХ гибкой гофр. д.20мм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</si>
  <si>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</si>
  <si>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</si>
  <si>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</si>
  <si>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</si>
  <si>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</si>
  <si>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</si>
  <si>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</si>
  <si>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</si>
  <si>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01.7.17.09</t>
  </si>
  <si>
    <t>Сверла, буры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</si>
  <si>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</si>
  <si>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</si>
  <si>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</si>
  <si>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</si>
  <si>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</si>
  <si>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</si>
  <si>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</si>
  <si>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</si>
  <si>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</si>
  <si>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100
0,5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</si>
  <si>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</si>
  <si>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</si>
  <si>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Раздел 4. Прокладка кабельных линий</t>
  </si>
  <si>
    <t>Прокладка кабелей в ПВХ коробе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</si>
  <si>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</si>
  <si>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</si>
  <si>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</si>
  <si>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</si>
  <si>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</si>
  <si>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</t>
  </si>
  <si>
    <t>ТЦ_21.1.01.01_50_5001112612_25.02.2025_01_26.1</t>
  </si>
  <si>
    <t>Кабель волоконно-оптический, SM, 4 волокна ДПС-Н-04У (1х4)-7кН</t>
  </si>
  <si>
    <t>Прокладка кабелей в трубе</t>
  </si>
  <si>
    <t>0,096
0,04512</t>
  </si>
  <si>
    <t>0,0005
0,000235</t>
  </si>
  <si>
    <t>0,00006
0,0000282</t>
  </si>
  <si>
    <t>1,87
0,8789</t>
  </si>
  <si>
    <t>ТЦ_21.1.04.00_50_5001112612_25.02.2025_01_27.1</t>
  </si>
  <si>
    <t>Кабель телефонный бронированный с 20 медными жилами ТППэпБбШп 10х2х0,5</t>
  </si>
  <si>
    <t>ТЦ_21.1.05.00_50_5001112612_25.02.2025_01_28.1</t>
  </si>
  <si>
    <t>Кабель силовой с резиновой изоляцией ВРБГ 3х1,5</t>
  </si>
  <si>
    <t>ФЕРм10-06-048-06</t>
  </si>
  <si>
    <t>Прокладка волоконно-оптических кабелей в канализации: в трубопроводе по свободному каналу</t>
  </si>
  <si>
    <t>0,001
0,00043</t>
  </si>
  <si>
    <t>0,01
0,0043</t>
  </si>
  <si>
    <t>2,48
1,0664</t>
  </si>
  <si>
    <t>Прокладка кабелей в шкафу</t>
  </si>
  <si>
    <t>ФЕРм11-06-002-02</t>
  </si>
  <si>
    <t>Электрические проводки в щитах и пультах: малогабаритных</t>
  </si>
  <si>
    <t>0,1
0,032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</si>
  <si>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</si>
  <si>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</si>
  <si>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</si>
  <si>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</si>
  <si>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</si>
  <si>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</si>
  <si>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8,49
1,14615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</si>
  <si>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</si>
  <si>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</si>
  <si>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</si>
  <si>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</si>
  <si>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</si>
  <si>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</si>
  <si>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</si>
  <si>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</si>
  <si>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</si>
  <si>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</si>
  <si>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</si>
  <si>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</si>
  <si>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</si>
  <si>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</si>
  <si>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Измерение сопротивления шлейфа, сопротивления изоляции и омической асимметрии</t>
  </si>
  <si>
    <t>ФЕРм10-06-079-01</t>
  </si>
  <si>
    <t>1,63
6,52</t>
  </si>
  <si>
    <t>Сварка оптических волокон</t>
  </si>
  <si>
    <t>ФЕРм10-06-058-01</t>
  </si>
  <si>
    <t>Сварка волокон оптического кабеля</t>
  </si>
  <si>
    <t>1 стык</t>
  </si>
  <si>
    <t>0,004
0,064</t>
  </si>
  <si>
    <t>01.7.20.08-0123</t>
  </si>
  <si>
    <t>Салфетка безворсовая сухая, размер 110х210 мм</t>
  </si>
  <si>
    <t>1
16</t>
  </si>
  <si>
    <t>20.2.01.09-0011</t>
  </si>
  <si>
    <t>Гильза защитная КДЗС термоусаживаемая для защиты сварных стыков оптоволоконного кабеля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</si>
  <si>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</si>
  <si>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</si>
  <si>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</si>
  <si>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</si>
  <si>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</si>
  <si>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</si>
  <si>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</si>
  <si>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</si>
  <si>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</si>
  <si>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</si>
  <si>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</si>
  <si>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</si>
  <si>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</si>
  <si>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</si>
  <si>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</si>
  <si>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</si>
  <si>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</si>
  <si>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0,00003
0,00018</t>
  </si>
  <si>
    <t>08.4.03.02-0004</t>
  </si>
  <si>
    <t>Сталь арматурная, горячекатаная, гладкая, класс А-I, диаметр 12 мм</t>
  </si>
  <si>
    <t>0,005
0,03</t>
  </si>
  <si>
    <t>0,9
0,117</t>
  </si>
  <si>
    <t>3,7
0,481</t>
  </si>
  <si>
    <t>2,71
0,3523</t>
  </si>
  <si>
    <t>ФССЦ-08.3.07.01-0041</t>
  </si>
  <si>
    <t>Обратная засыпка траншеи под горизонтальный заземлитель грунта группы I</t>
  </si>
  <si>
    <t xml:space="preserve">на Наружное электроснабжение и освещение.Пусконаладочные работы., </t>
  </si>
  <si>
    <t>1146-ТКР3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</si>
  <si>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</si>
  <si>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</si>
  <si>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30
3,09</t>
  </si>
  <si>
    <t>15
1,545</t>
  </si>
  <si>
    <t>189
19,467</t>
  </si>
  <si>
    <t>1,03
0,0412</t>
  </si>
  <si>
    <t>0,65
0,06695</t>
  </si>
  <si>
    <t>0,92
0,09476</t>
  </si>
  <si>
    <t>97,4
10,0322</t>
  </si>
  <si>
    <t>24,2
2,4926</t>
  </si>
  <si>
    <t>0,001
0,00136</t>
  </si>
  <si>
    <t>5,9
8,024</t>
  </si>
  <si>
    <t>0,06
0,0816</t>
  </si>
  <si>
    <t>0,17
0,2312</t>
  </si>
  <si>
    <t>100
136</t>
  </si>
  <si>
    <t>15
170,835</t>
  </si>
  <si>
    <t>10
113,89</t>
  </si>
  <si>
    <t>2
22,778</t>
  </si>
  <si>
    <t xml:space="preserve">
0,039024</t>
  </si>
  <si>
    <t xml:space="preserve">
0,004</t>
  </si>
  <si>
    <t xml:space="preserve">  ВСЕГО </t>
  </si>
  <si>
    <t>01-01-01</t>
  </si>
  <si>
    <t>01-01-02</t>
  </si>
  <si>
    <t xml:space="preserve">
4,47678</t>
  </si>
  <si>
    <t xml:space="preserve">
0,0076755</t>
  </si>
  <si>
    <t xml:space="preserve">
280,245</t>
  </si>
  <si>
    <t xml:space="preserve">
0,027489</t>
  </si>
  <si>
    <t xml:space="preserve">
0,49266</t>
  </si>
  <si>
    <t xml:space="preserve">
7,5327</t>
  </si>
  <si>
    <t xml:space="preserve">
0,3213</t>
  </si>
  <si>
    <t xml:space="preserve">
6,960915</t>
  </si>
  <si>
    <t xml:space="preserve">
0,011826</t>
  </si>
  <si>
    <t xml:space="preserve">
440,19</t>
  </si>
  <si>
    <t xml:space="preserve">
0,042705</t>
  </si>
  <si>
    <t xml:space="preserve">
0,77526</t>
  </si>
  <si>
    <t xml:space="preserve">
11,7603</t>
  </si>
  <si>
    <t xml:space="preserve">
0,49275</t>
  </si>
  <si>
    <t xml:space="preserve">
3,845985</t>
  </si>
  <si>
    <t xml:space="preserve">
0,006534</t>
  </si>
  <si>
    <t xml:space="preserve">
243,21</t>
  </si>
  <si>
    <t xml:space="preserve">
0,023595</t>
  </si>
  <si>
    <t xml:space="preserve">
0,42834</t>
  </si>
  <si>
    <t xml:space="preserve">
6,4977</t>
  </si>
  <si>
    <t xml:space="preserve">
0,27225</t>
  </si>
  <si>
    <t>02-03-01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</si>
  <si>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</si>
  <si>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</si>
  <si>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</si>
  <si>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</si>
  <si>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</si>
  <si>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</si>
  <si>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</si>
  <si>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</si>
  <si>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1,23375</t>
  </si>
  <si>
    <t xml:space="preserve">
176,25</t>
  </si>
  <si>
    <t xml:space="preserve">
71,91</t>
  </si>
  <si>
    <t xml:space="preserve">
0,0595</t>
  </si>
  <si>
    <t xml:space="preserve">
8,5</t>
  </si>
  <si>
    <t xml:space="preserve">
3,468</t>
  </si>
  <si>
    <t xml:space="preserve">
1,074</t>
  </si>
  <si>
    <t xml:space="preserve">
116,5</t>
  </si>
  <si>
    <t xml:space="preserve">
2,38825</t>
  </si>
  <si>
    <t xml:space="preserve">
3</t>
  </si>
  <si>
    <t xml:space="preserve">
2</t>
  </si>
  <si>
    <t xml:space="preserve">
7</t>
  </si>
  <si>
    <t xml:space="preserve">
0,82505</t>
  </si>
  <si>
    <t xml:space="preserve">
0,46658</t>
  </si>
  <si>
    <t xml:space="preserve">
0,06828</t>
  </si>
  <si>
    <t xml:space="preserve">
2,9588</t>
  </si>
  <si>
    <t xml:space="preserve">
0,003983</t>
  </si>
  <si>
    <t xml:space="preserve">
0,010811</t>
  </si>
  <si>
    <t xml:space="preserve">
0,1734</t>
  </si>
  <si>
    <t xml:space="preserve">
0,425</t>
  </si>
  <si>
    <t xml:space="preserve">
0,002975</t>
  </si>
  <si>
    <t xml:space="preserve">
1,887</t>
  </si>
  <si>
    <t xml:space="preserve">
8,1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</si>
  <si>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</si>
  <si>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</si>
  <si>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</si>
  <si>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</si>
  <si>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</si>
  <si>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0,045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</si>
  <si>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</si>
  <si>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</si>
  <si>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</si>
  <si>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</si>
  <si>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</si>
  <si>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</si>
  <si>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</si>
  <si>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</si>
  <si>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</si>
  <si>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</si>
  <si>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</si>
  <si>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</si>
  <si>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</si>
  <si>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</si>
  <si>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</si>
  <si>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</si>
  <si>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</si>
  <si>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</si>
  <si>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</si>
  <si>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</si>
  <si>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</si>
  <si>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</si>
  <si>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</si>
  <si>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</si>
  <si>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</si>
  <si>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</si>
  <si>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11,25</t>
  </si>
  <si>
    <t xml:space="preserve">
0,0714</t>
  </si>
  <si>
    <t xml:space="preserve">
51</t>
  </si>
  <si>
    <t>02-05-03</t>
  </si>
  <si>
    <t>01-02-05</t>
  </si>
  <si>
    <t>02-04-02</t>
  </si>
  <si>
    <t>02-04-03</t>
  </si>
  <si>
    <t>02-05-01</t>
  </si>
  <si>
    <t>01-02-01</t>
  </si>
  <si>
    <t>Демонтаж пролетных строений галерей с опорами: горизонтального типа</t>
  </si>
  <si>
    <t>Демонтаж лестниц прямолинейных и криволинейных, пожарных с ограждением</t>
  </si>
  <si>
    <t>01-02-02</t>
  </si>
  <si>
    <t>02-04-01</t>
  </si>
  <si>
    <t>02-05-02</t>
  </si>
  <si>
    <t>02-02-01</t>
  </si>
  <si>
    <t>02-01-01</t>
  </si>
  <si>
    <t>01-02-03</t>
  </si>
  <si>
    <t>02-06-02</t>
  </si>
  <si>
    <t>03-01-06</t>
  </si>
  <si>
    <t>04-02-01</t>
  </si>
  <si>
    <t>03-01-04</t>
  </si>
  <si>
    <t>03-01-07</t>
  </si>
  <si>
    <t>07-01-02</t>
  </si>
  <si>
    <t>09-01-02</t>
  </si>
  <si>
    <t>09-01-04</t>
  </si>
  <si>
    <t>05-02-01</t>
  </si>
  <si>
    <t>05-04-01</t>
  </si>
  <si>
    <t>07-01-01</t>
  </si>
  <si>
    <t>07-01-03</t>
  </si>
  <si>
    <t>05-01-01</t>
  </si>
  <si>
    <t>09-01-01</t>
  </si>
  <si>
    <t>04-02-03</t>
  </si>
  <si>
    <t>05-01-02</t>
  </si>
  <si>
    <t>05-02-02</t>
  </si>
  <si>
    <t>02-06-03</t>
  </si>
  <si>
    <t>03-01-03</t>
  </si>
  <si>
    <t>04-01-01</t>
  </si>
  <si>
    <t>03-01-05</t>
  </si>
  <si>
    <t>03-03-01</t>
  </si>
  <si>
    <t>03-02-02</t>
  </si>
  <si>
    <t>03-01-02</t>
  </si>
  <si>
    <t>02-06-01</t>
  </si>
  <si>
    <t>04-02-02</t>
  </si>
  <si>
    <t>03-01-01</t>
  </si>
  <si>
    <t>ПРИЛОЖЕНИЕ 1 к заявке от ___.__.2025г.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</si>
  <si>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</si>
  <si>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</si>
  <si>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</si>
  <si>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__________от __.__.2025 г.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</si>
  <si>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</si>
  <si>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</si>
  <si>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</si>
  <si>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</si>
  <si>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</si>
  <si>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</si>
  <si>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</si>
  <si>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</si>
  <si>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</si>
  <si>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</si>
  <si>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</si>
  <si>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</si>
  <si>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</si>
  <si>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</si>
  <si>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</si>
  <si>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</si>
  <si>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</si>
  <si>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</si>
  <si>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</si>
  <si>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</si>
  <si>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</si>
  <si>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</si>
  <si>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</si>
  <si>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</si>
  <si>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</si>
  <si>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</si>
  <si>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</si>
  <si>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</si>
  <si>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</si>
  <si>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</si>
  <si>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</si>
  <si>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</si>
  <si>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</si>
  <si>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</si>
  <si>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</si>
  <si>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</si>
  <si>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</si>
  <si>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</si>
  <si>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</si>
  <si>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</si>
  <si>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</si>
  <si>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</si>
  <si>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</si>
  <si>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</si>
  <si>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</si>
  <si>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</si>
  <si>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</si>
  <si>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</si>
  <si>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</si>
  <si>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</si>
  <si>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</si>
  <si>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</si>
  <si>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</si>
  <si>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</si>
  <si>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</si>
  <si>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</si>
  <si>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</si>
  <si>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</si>
  <si>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</si>
  <si>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</si>
  <si>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</si>
  <si>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</si>
  <si>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</si>
  <si>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</si>
  <si>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</si>
  <si>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</si>
  <si>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</si>
  <si>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</si>
  <si>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</si>
  <si>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</si>
  <si>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</si>
  <si>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</si>
  <si>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</si>
  <si>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</si>
  <si>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</si>
  <si>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</si>
  <si>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</si>
  <si>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</si>
  <si>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</si>
  <si>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</si>
  <si>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Контактное лицо (ФИО, должность, телефон, e-mail)</t>
  </si>
  <si>
    <t>Настоящее Предложение имеет правовой статус оферты и действует до 30.08.2025г.</t>
  </si>
  <si>
    <t>_________________________________________________________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</si>
  <si>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</si>
  <si>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</si>
  <si>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</si>
  <si>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</si>
  <si>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</si>
  <si>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</si>
  <si>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</si>
  <si>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</si>
  <si>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</si>
  <si>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</si>
  <si>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</si>
  <si>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</si>
  <si>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</si>
  <si>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</si>
  <si>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</si>
  <si>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</si>
  <si>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</si>
  <si>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</si>
  <si>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</si>
  <si>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</si>
  <si>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</si>
  <si>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</si>
  <si>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</si>
  <si>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</si>
  <si>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</si>
  <si>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</si>
  <si>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</si>
  <si>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</si>
  <si>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</si>
  <si>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</si>
  <si>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</si>
  <si>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</si>
  <si>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</si>
  <si>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</si>
  <si>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</si>
  <si>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</si>
  <si>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</si>
  <si>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</si>
  <si>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</si>
  <si>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</si>
  <si>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</si>
  <si>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</si>
  <si>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</si>
  <si>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</si>
  <si>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</si>
  <si>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</si>
  <si>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</si>
  <si>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</si>
  <si>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</si>
  <si>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</si>
  <si>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</si>
  <si>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</si>
  <si>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+</t>
  </si>
  <si>
    <t>5,586
3,79848</t>
  </si>
  <si>
    <t>0,476
0,32368</t>
  </si>
  <si>
    <t>0,283
0,19244</t>
  </si>
  <si>
    <t>0,337
0,22916</t>
  </si>
  <si>
    <t>0,121
0,08228</t>
  </si>
  <si>
    <t>Цена за ед.изм. работ, руб. без НДС</t>
  </si>
  <si>
    <t>Стоимость работ, всего, руб., без НДС</t>
  </si>
  <si>
    <t>Цена за ед.изм. материала, руб. без НДС</t>
  </si>
  <si>
    <t>Стоимость материалов, всего,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</si>
</sst>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44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2" fillId="0" borderId="0"/>
    <xf numFmtId="0" fontId="3" fillId="0" borderId="0"/>
    <xf numFmtId="0" fontId="39" fillId="0" borderId="0"/>
  </cellStyleXfs>
  <cellXfs count="483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6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17" fillId="0" borderId="3" xfId="0" applyNumberFormat="1" applyFont="1" applyFill="1" applyBorder="1" applyAlignment="1" applyProtection="1">
      <alignment horizontal="center" vertical="top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left" wrapText="1"/>
    </xf>
    <xf numFmtId="4" fontId="3" fillId="0" borderId="0" xfId="0" applyNumberFormat="1" applyFont="1" applyFill="1" applyBorder="1" applyAlignment="1" applyProtection="1"/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7" fillId="3" borderId="3" xfId="0" applyNumberFormat="1" applyFont="1" applyFill="1" applyBorder="1" applyAlignment="1" applyProtection="1">
      <alignment vertical="center" wrapText="1"/>
    </xf>
    <xf numFmtId="49" fontId="7" fillId="3" borderId="6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" fontId="10" fillId="3" borderId="4" xfId="0" applyNumberFormat="1" applyFont="1" applyFill="1" applyBorder="1" applyAlignment="1" applyProtection="1">
      <alignment horizontal="center" vertical="top" wrapText="1"/>
    </xf>
    <xf numFmtId="49" fontId="7" fillId="3" borderId="6" xfId="0" applyNumberFormat="1" applyFont="1" applyFill="1" applyBorder="1" applyAlignment="1" applyProtection="1">
      <alignment horizontal="left" vertical="center" wrapText="1"/>
    </xf>
    <xf numFmtId="4" fontId="10" fillId="4" borderId="3" xfId="0" applyNumberFormat="1" applyFont="1" applyFill="1" applyBorder="1" applyAlignment="1" applyProtection="1">
      <alignment horizontal="left" vertical="top" wrapText="1"/>
    </xf>
    <xf numFmtId="4" fontId="10" fillId="4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" fontId="10" fillId="4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8" xfId="0" applyNumberFormat="1" applyFont="1" applyFill="1" applyBorder="1" applyAlignment="1" applyProtection="1">
      <alignment vertical="center" wrapText="1"/>
    </xf>
    <xf numFmtId="49" fontId="7" fillId="0" borderId="9" xfId="0" applyNumberFormat="1" applyFont="1" applyFill="1" applyBorder="1" applyAlignment="1" applyProtection="1">
      <alignment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" fontId="15" fillId="0" borderId="13" xfId="0" applyNumberFormat="1" applyFont="1" applyFill="1" applyBorder="1" applyAlignment="1" applyProtection="1">
      <alignment horizontal="center" vertical="center" wrapText="1"/>
    </xf>
    <xf numFmtId="49" fontId="7" fillId="3" borderId="18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top" wrapText="1"/>
    </xf>
    <xf numFmtId="4" fontId="10" fillId="0" borderId="16" xfId="0" applyNumberFormat="1" applyFont="1" applyFill="1" applyBorder="1" applyAlignment="1" applyProtection="1">
      <alignment horizontal="center" vertical="top" wrapText="1"/>
    </xf>
    <xf numFmtId="4" fontId="10" fillId="3" borderId="16" xfId="0" applyNumberFormat="1" applyFont="1" applyFill="1" applyBorder="1" applyAlignment="1" applyProtection="1">
      <alignment horizontal="center" vertical="top" wrapText="1"/>
    </xf>
    <xf numFmtId="49" fontId="4" fillId="0" borderId="19" xfId="0" applyNumberFormat="1" applyFont="1" applyFill="1" applyBorder="1" applyAlignment="1" applyProtection="1">
      <alignment horizontal="right" vertical="top" wrapText="1"/>
    </xf>
    <xf numFmtId="4" fontId="4" fillId="0" borderId="18" xfId="0" applyNumberFormat="1" applyFont="1" applyFill="1" applyBorder="1" applyAlignment="1" applyProtection="1">
      <alignment horizontal="center" vertical="top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4" fontId="4" fillId="0" borderId="18" xfId="0" applyNumberFormat="1" applyFont="1" applyFill="1" applyBorder="1" applyAlignment="1" applyProtection="1">
      <alignment horizontal="center" vertical="center" wrapText="1"/>
    </xf>
    <xf numFmtId="4" fontId="10" fillId="4" borderId="16" xfId="0" applyNumberFormat="1" applyFont="1" applyFill="1" applyBorder="1" applyAlignment="1" applyProtection="1">
      <alignment horizontal="center" vertical="top" wrapText="1"/>
    </xf>
    <xf numFmtId="4" fontId="10" fillId="5" borderId="21" xfId="0" applyNumberFormat="1" applyFont="1" applyFill="1" applyBorder="1" applyAlignment="1" applyProtection="1">
      <alignment horizontal="center" vertical="center" wrapText="1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8" fillId="0" borderId="28" xfId="0" applyNumberFormat="1" applyFont="1" applyFill="1" applyBorder="1" applyAlignment="1" applyProtection="1">
      <alignment horizontal="center" vertical="center" wrapText="1"/>
    </xf>
    <xf numFmtId="49" fontId="16" fillId="0" borderId="28" xfId="0" applyNumberFormat="1" applyFont="1" applyFill="1" applyBorder="1" applyAlignment="1" applyProtection="1">
      <alignment horizontal="center" vertical="center" wrapText="1"/>
    </xf>
    <xf numFmtId="49" fontId="15" fillId="0" borderId="29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vertical="center" wrapText="1"/>
    </xf>
    <xf numFmtId="49" fontId="9" fillId="2" borderId="6" xfId="0" applyNumberFormat="1" applyFont="1" applyFill="1" applyBorder="1" applyAlignment="1" applyProtection="1">
      <alignment vertical="center" wrapText="1"/>
    </xf>
    <xf numFmtId="49" fontId="7" fillId="6" borderId="3" xfId="0" applyNumberFormat="1" applyFont="1" applyFill="1" applyBorder="1" applyAlignment="1" applyProtection="1">
      <alignment vertical="center" wrapText="1"/>
    </xf>
    <xf numFmtId="49" fontId="7" fillId="6" borderId="6" xfId="0" applyNumberFormat="1" applyFont="1" applyFill="1" applyBorder="1" applyAlignment="1" applyProtection="1">
      <alignment vertical="center" wrapText="1"/>
    </xf>
    <xf numFmtId="4" fontId="13" fillId="0" borderId="3" xfId="0" applyNumberFormat="1" applyFont="1" applyFill="1" applyBorder="1" applyAlignment="1" applyProtection="1">
      <alignment horizontal="center" vertical="top" wrapText="1"/>
    </xf>
    <xf numFmtId="4" fontId="7" fillId="6" borderId="3" xfId="0" applyNumberFormat="1" applyFont="1" applyFill="1" applyBorder="1" applyAlignment="1" applyProtection="1">
      <alignment vertical="center" wrapText="1"/>
    </xf>
    <xf numFmtId="4" fontId="7" fillId="6" borderId="6" xfId="0" applyNumberFormat="1" applyFont="1" applyFill="1" applyBorder="1" applyAlignment="1" applyProtection="1">
      <alignment vertical="center" wrapText="1"/>
    </xf>
    <xf numFmtId="4" fontId="9" fillId="2" borderId="3" xfId="0" applyNumberFormat="1" applyFont="1" applyFill="1" applyBorder="1" applyAlignment="1" applyProtection="1">
      <alignment vertical="center" wrapText="1"/>
    </xf>
    <xf numFmtId="4" fontId="9" fillId="2" borderId="6" xfId="0" applyNumberFormat="1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20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>
      <alignment wrapText="1"/>
    </xf>
    <xf numFmtId="4" fontId="16" fillId="0" borderId="14" xfId="0" applyNumberFormat="1" applyFont="1" applyFill="1" applyBorder="1" applyAlignment="1" applyProtection="1">
      <alignment horizontal="center" vertical="center" wrapText="1"/>
    </xf>
    <xf numFmtId="4" fontId="7" fillId="0" borderId="27" xfId="0" applyNumberFormat="1" applyFont="1" applyFill="1" applyBorder="1" applyAlignment="1" applyProtection="1">
      <alignment horizontal="center" vertical="center"/>
    </xf>
    <xf numFmtId="4" fontId="16" fillId="0" borderId="28" xfId="0" applyNumberFormat="1" applyFont="1" applyFill="1" applyBorder="1" applyAlignment="1" applyProtection="1">
      <alignment horizontal="center" vertical="center" wrapText="1"/>
    </xf>
    <xf numFmtId="4" fontId="15" fillId="0" borderId="29" xfId="0" applyNumberFormat="1" applyFont="1" applyFill="1" applyBorder="1" applyAlignment="1" applyProtection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9" fillId="2" borderId="6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vertical="top" wrapText="1"/>
    </xf>
    <xf numFmtId="49" fontId="4" fillId="0" borderId="3" xfId="0" applyNumberFormat="1" applyFont="1" applyFill="1" applyBorder="1" applyAlignment="1" applyProtection="1">
      <alignment vertical="top" wrapText="1"/>
    </xf>
    <xf numFmtId="49" fontId="6" fillId="0" borderId="3" xfId="0" applyNumberFormat="1" applyFont="1" applyFill="1" applyBorder="1" applyAlignment="1" applyProtection="1">
      <alignment vertical="top" wrapText="1"/>
    </xf>
    <xf numFmtId="4" fontId="7" fillId="3" borderId="3" xfId="0" applyNumberFormat="1" applyFont="1" applyFill="1" applyBorder="1" applyAlignment="1" applyProtection="1">
      <alignment vertical="center" wrapText="1"/>
    </xf>
    <xf numFmtId="4" fontId="7" fillId="3" borderId="6" xfId="0" applyNumberFormat="1" applyFont="1" applyFill="1" applyBorder="1" applyAlignment="1" applyProtection="1">
      <alignment vertical="center" wrapText="1"/>
    </xf>
    <xf numFmtId="3" fontId="7" fillId="0" borderId="27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top"/>
    </xf>
    <xf numFmtId="4" fontId="10" fillId="2" borderId="4" xfId="0" applyNumberFormat="1" applyFont="1" applyFill="1" applyBorder="1" applyAlignment="1" applyProtection="1">
      <alignment horizontal="center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4" fontId="9" fillId="2" borderId="18" xfId="0" applyNumberFormat="1" applyFont="1" applyFill="1" applyBorder="1" applyAlignment="1" applyProtection="1">
      <alignment vertical="center" wrapText="1"/>
    </xf>
    <xf numFmtId="4" fontId="7" fillId="3" borderId="18" xfId="0" applyNumberFormat="1" applyFont="1" applyFill="1" applyBorder="1" applyAlignment="1" applyProtection="1">
      <alignment vertical="center" wrapText="1"/>
    </xf>
    <xf numFmtId="4" fontId="10" fillId="0" borderId="16" xfId="0" applyNumberFormat="1" applyFont="1" applyFill="1" applyBorder="1" applyAlignment="1" applyProtection="1">
      <alignment horizontal="right" vertical="top" wrapText="1"/>
    </xf>
    <xf numFmtId="4" fontId="4" fillId="0" borderId="18" xfId="0" applyNumberFormat="1" applyFont="1" applyFill="1" applyBorder="1" applyAlignment="1" applyProtection="1">
      <alignment horizontal="right" vertical="top" wrapText="1"/>
    </xf>
    <xf numFmtId="49" fontId="6" fillId="0" borderId="19" xfId="0" applyNumberFormat="1" applyFont="1" applyFill="1" applyBorder="1" applyAlignment="1" applyProtection="1">
      <alignment horizontal="right" vertical="top" wrapText="1"/>
    </xf>
    <xf numFmtId="4" fontId="6" fillId="0" borderId="18" xfId="0" applyNumberFormat="1" applyFont="1" applyFill="1" applyBorder="1" applyAlignment="1" applyProtection="1">
      <alignment horizontal="right" vertical="top" wrapText="1"/>
    </xf>
    <xf numFmtId="4" fontId="10" fillId="4" borderId="16" xfId="0" applyNumberFormat="1" applyFont="1" applyFill="1" applyBorder="1" applyAlignment="1" applyProtection="1">
      <alignment horizontal="right" vertical="top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Fill="1" applyBorder="1" applyAlignment="1" applyProtection="1">
      <alignment horizontal="center" vertical="center"/>
    </xf>
    <xf numFmtId="4" fontId="16" fillId="0" borderId="2" xfId="0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3" fontId="7" fillId="0" borderId="2" xfId="0" applyNumberFormat="1" applyFont="1" applyFill="1" applyBorder="1" applyAlignment="1" applyProtection="1">
      <alignment horizontal="center" vertical="center"/>
    </xf>
    <xf numFmtId="49" fontId="9" fillId="2" borderId="18" xfId="0" applyNumberFormat="1" applyFont="1" applyFill="1" applyBorder="1" applyAlignment="1" applyProtection="1">
      <alignment vertical="center" wrapText="1"/>
    </xf>
    <xf numFmtId="49" fontId="7" fillId="3" borderId="18" xfId="0" applyNumberFormat="1" applyFont="1" applyFill="1" applyBorder="1" applyAlignment="1" applyProtection="1">
      <alignment vertical="center" wrapText="1"/>
    </xf>
    <xf numFmtId="4" fontId="4" fillId="0" borderId="0" xfId="0" applyNumberFormat="1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/>
    <xf numFmtId="4" fontId="13" fillId="0" borderId="0" xfId="0" applyNumberFormat="1" applyFont="1" applyFill="1" applyBorder="1" applyAlignment="1" applyProtection="1"/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9" fillId="2" borderId="6" xfId="0" applyNumberFormat="1" applyFont="1" applyFill="1" applyBorder="1" applyAlignment="1" applyProtection="1">
      <alignment horizontal="left" vertical="center" wrapText="1"/>
    </xf>
    <xf numFmtId="4" fontId="9" fillId="2" borderId="18" xfId="0" applyNumberFormat="1" applyFont="1" applyFill="1" applyBorder="1" applyAlignment="1" applyProtection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center" vertical="center"/>
    </xf>
    <xf numFmtId="4" fontId="7" fillId="3" borderId="3" xfId="0" applyNumberFormat="1" applyFont="1" applyFill="1" applyBorder="1" applyAlignment="1" applyProtection="1">
      <alignment horizontal="left" vertical="center" wrapText="1"/>
    </xf>
    <xf numFmtId="4" fontId="7" fillId="3" borderId="6" xfId="0" applyNumberFormat="1" applyFont="1" applyFill="1" applyBorder="1" applyAlignment="1" applyProtection="1">
      <alignment horizontal="left" vertical="center" wrapText="1"/>
    </xf>
    <xf numFmtId="0" fontId="21" fillId="0" borderId="45" xfId="2" applyFont="1" applyBorder="1" applyAlignment="1">
      <alignment horizontal="center" vertical="center"/>
    </xf>
    <xf numFmtId="0" fontId="21" fillId="0" borderId="46" xfId="2" applyFont="1" applyBorder="1" applyAlignment="1">
      <alignment wrapText="1"/>
    </xf>
    <xf numFmtId="0" fontId="21" fillId="0" borderId="46" xfId="2" applyFont="1" applyBorder="1"/>
    <xf numFmtId="0" fontId="21" fillId="0" borderId="0" xfId="2" applyFont="1"/>
    <xf numFmtId="0" fontId="23" fillId="0" borderId="0" xfId="2" applyFont="1" applyAlignment="1">
      <alignment horizontal="left" vertical="top" wrapText="1"/>
    </xf>
    <xf numFmtId="0" fontId="27" fillId="0" borderId="0" xfId="2" applyFont="1"/>
    <xf numFmtId="0" fontId="28" fillId="0" borderId="0" xfId="2" applyFont="1"/>
    <xf numFmtId="0" fontId="28" fillId="0" borderId="44" xfId="2" applyFont="1" applyBorder="1"/>
    <xf numFmtId="0" fontId="23" fillId="0" borderId="0" xfId="2" applyFont="1" applyAlignment="1">
      <alignment wrapText="1"/>
    </xf>
    <xf numFmtId="0" fontId="21" fillId="0" borderId="0" xfId="2" applyFont="1" applyAlignment="1">
      <alignment horizontal="right"/>
    </xf>
    <xf numFmtId="0" fontId="23" fillId="0" borderId="0" xfId="2" applyFont="1" applyAlignment="1">
      <alignment horizontal="right" vertical="top" wrapText="1"/>
    </xf>
    <xf numFmtId="0" fontId="28" fillId="0" borderId="19" xfId="2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28" fillId="0" borderId="44" xfId="2" applyFont="1" applyBorder="1" applyAlignment="1">
      <alignment horizontal="center"/>
    </xf>
    <xf numFmtId="0" fontId="21" fillId="0" borderId="44" xfId="2" applyFont="1" applyBorder="1"/>
    <xf numFmtId="0" fontId="23" fillId="0" borderId="0" xfId="2" applyFont="1" applyAlignment="1">
      <alignment vertical="top" wrapText="1"/>
    </xf>
    <xf numFmtId="0" fontId="21" fillId="0" borderId="0" xfId="2" applyFont="1" applyAlignment="1">
      <alignment horizontal="left"/>
    </xf>
    <xf numFmtId="0" fontId="21" fillId="0" borderId="19" xfId="2" applyFont="1" applyBorder="1" applyAlignment="1">
      <alignment horizontal="center" vertical="center"/>
    </xf>
    <xf numFmtId="0" fontId="21" fillId="0" borderId="0" xfId="2" applyFont="1" applyAlignment="1">
      <alignment wrapText="1"/>
    </xf>
    <xf numFmtId="0" fontId="23" fillId="0" borderId="15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/>
    </xf>
    <xf numFmtId="0" fontId="25" fillId="6" borderId="16" xfId="2" applyFont="1" applyFill="1" applyBorder="1" applyAlignment="1">
      <alignment horizontal="center" vertical="center"/>
    </xf>
    <xf numFmtId="4" fontId="21" fillId="9" borderId="16" xfId="2" applyNumberFormat="1" applyFont="1" applyFill="1" applyBorder="1" applyAlignment="1">
      <alignment horizontal="center" vertical="center"/>
    </xf>
    <xf numFmtId="0" fontId="21" fillId="0" borderId="15" xfId="2" quotePrefix="1" applyFont="1" applyBorder="1" applyAlignment="1">
      <alignment horizontal="center" vertical="center"/>
    </xf>
    <xf numFmtId="4" fontId="23" fillId="10" borderId="16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25" fillId="0" borderId="4" xfId="2" applyFont="1" applyBorder="1" applyAlignment="1">
      <alignment horizontal="left" vertical="center" wrapText="1"/>
    </xf>
    <xf numFmtId="0" fontId="21" fillId="0" borderId="0" xfId="2" applyFont="1" applyAlignment="1">
      <alignment horizontal="center" vertical="top" wrapText="1"/>
    </xf>
    <xf numFmtId="0" fontId="21" fillId="0" borderId="15" xfId="2" applyFont="1" applyBorder="1" applyAlignment="1">
      <alignment horizontal="center" vertical="center"/>
    </xf>
    <xf numFmtId="0" fontId="24" fillId="0" borderId="0" xfId="2" applyFont="1" applyAlignment="1">
      <alignment horizontal="justify" vertical="center"/>
    </xf>
    <xf numFmtId="0" fontId="21" fillId="0" borderId="0" xfId="2" applyFont="1" applyAlignment="1">
      <alignment horizontal="center"/>
    </xf>
    <xf numFmtId="0" fontId="24" fillId="8" borderId="1" xfId="2" applyFont="1" applyFill="1" applyBorder="1"/>
    <xf numFmtId="0" fontId="21" fillId="0" borderId="36" xfId="2" applyFont="1" applyBorder="1" applyAlignment="1">
      <alignment horizontal="left" vertical="center"/>
    </xf>
    <xf numFmtId="0" fontId="21" fillId="0" borderId="31" xfId="2" applyFont="1" applyBorder="1" applyAlignment="1">
      <alignment wrapText="1"/>
    </xf>
    <xf numFmtId="0" fontId="21" fillId="0" borderId="31" xfId="2" applyFont="1" applyBorder="1" applyAlignment="1">
      <alignment horizontal="left"/>
    </xf>
    <xf numFmtId="0" fontId="21" fillId="0" borderId="31" xfId="2" applyFont="1" applyBorder="1" applyAlignment="1">
      <alignment horizontal="center"/>
    </xf>
    <xf numFmtId="0" fontId="21" fillId="0" borderId="37" xfId="2" applyFont="1" applyBorder="1"/>
    <xf numFmtId="0" fontId="21" fillId="0" borderId="0" xfId="2" applyFont="1" applyAlignment="1">
      <alignment horizontal="left" wrapText="1"/>
    </xf>
    <xf numFmtId="0" fontId="31" fillId="0" borderId="0" xfId="2" applyFont="1" applyAlignment="1">
      <alignment horizontal="left" vertical="center"/>
    </xf>
    <xf numFmtId="0" fontId="21" fillId="8" borderId="0" xfId="2" applyFont="1" applyFill="1" applyAlignment="1">
      <alignment horizontal="left" vertical="center"/>
    </xf>
    <xf numFmtId="0" fontId="21" fillId="0" borderId="0" xfId="2" applyFont="1" applyAlignment="1">
      <alignment horizontal="center" vertical="center"/>
    </xf>
    <xf numFmtId="0" fontId="35" fillId="7" borderId="4" xfId="2" applyFont="1" applyFill="1" applyBorder="1" applyAlignment="1">
      <alignment horizontal="center" vertical="center" wrapText="1"/>
    </xf>
    <xf numFmtId="0" fontId="35" fillId="0" borderId="4" xfId="1" applyFont="1" applyBorder="1" applyAlignment="1">
      <alignment horizontal="center" vertical="center" wrapText="1"/>
    </xf>
    <xf numFmtId="4" fontId="34" fillId="8" borderId="4" xfId="2" applyNumberFormat="1" applyFont="1" applyFill="1" applyBorder="1" applyAlignment="1">
      <alignment horizontal="center" vertical="center"/>
    </xf>
    <xf numFmtId="4" fontId="34" fillId="9" borderId="16" xfId="2" applyNumberFormat="1" applyFont="1" applyFill="1" applyBorder="1" applyAlignment="1">
      <alignment horizontal="center" vertical="center"/>
    </xf>
    <xf numFmtId="0" fontId="34" fillId="0" borderId="0" xfId="2" applyFont="1"/>
    <xf numFmtId="0" fontId="25" fillId="0" borderId="0" xfId="2" applyFont="1"/>
    <xf numFmtId="0" fontId="37" fillId="7" borderId="9" xfId="2" applyFont="1" applyFill="1" applyBorder="1" applyAlignment="1">
      <alignment horizontal="center" vertical="center" wrapText="1"/>
    </xf>
    <xf numFmtId="0" fontId="38" fillId="0" borderId="9" xfId="1" applyFont="1" applyBorder="1" applyAlignment="1">
      <alignment horizontal="center" vertical="center" wrapText="1"/>
    </xf>
    <xf numFmtId="0" fontId="35" fillId="7" borderId="27" xfId="2" applyFont="1" applyFill="1" applyBorder="1" applyAlignment="1">
      <alignment horizontal="center" vertical="center" wrapText="1"/>
    </xf>
    <xf numFmtId="0" fontId="35" fillId="0" borderId="27" xfId="1" applyFont="1" applyBorder="1" applyAlignment="1">
      <alignment horizontal="center" vertical="center" wrapText="1"/>
    </xf>
    <xf numFmtId="4" fontId="34" fillId="8" borderId="27" xfId="2" applyNumberFormat="1" applyFont="1" applyFill="1" applyBorder="1" applyAlignment="1">
      <alignment horizontal="center" vertical="center"/>
    </xf>
    <xf numFmtId="4" fontId="34" fillId="9" borderId="29" xfId="2" applyNumberFormat="1" applyFont="1" applyFill="1" applyBorder="1" applyAlignment="1">
      <alignment horizontal="center" vertical="center"/>
    </xf>
    <xf numFmtId="0" fontId="35" fillId="7" borderId="42" xfId="2" applyFont="1" applyFill="1" applyBorder="1" applyAlignment="1">
      <alignment horizontal="center" vertical="center" wrapText="1"/>
    </xf>
    <xf numFmtId="0" fontId="35" fillId="0" borderId="42" xfId="1" applyFont="1" applyBorder="1" applyAlignment="1">
      <alignment horizontal="center" vertical="center" wrapText="1"/>
    </xf>
    <xf numFmtId="4" fontId="34" fillId="8" borderId="42" xfId="2" applyNumberFormat="1" applyFont="1" applyFill="1" applyBorder="1" applyAlignment="1">
      <alignment horizontal="center" vertical="center"/>
    </xf>
    <xf numFmtId="4" fontId="34" fillId="9" borderId="43" xfId="2" applyNumberFormat="1" applyFont="1" applyFill="1" applyBorder="1" applyAlignment="1">
      <alignment horizontal="center" vertical="center"/>
    </xf>
    <xf numFmtId="0" fontId="37" fillId="7" borderId="33" xfId="2" applyFont="1" applyFill="1" applyBorder="1" applyAlignment="1">
      <alignment horizontal="center" vertical="center" wrapText="1"/>
    </xf>
    <xf numFmtId="0" fontId="38" fillId="0" borderId="33" xfId="1" applyFont="1" applyBorder="1" applyAlignment="1">
      <alignment horizontal="center" vertical="center" wrapText="1"/>
    </xf>
    <xf numFmtId="4" fontId="25" fillId="8" borderId="33" xfId="2" applyNumberFormat="1" applyFont="1" applyFill="1" applyBorder="1" applyAlignment="1">
      <alignment horizontal="center" vertical="center"/>
    </xf>
    <xf numFmtId="4" fontId="25" fillId="9" borderId="34" xfId="2" applyNumberFormat="1" applyFont="1" applyFill="1" applyBorder="1" applyAlignment="1">
      <alignment horizontal="center" vertical="center"/>
    </xf>
    <xf numFmtId="4" fontId="34" fillId="8" borderId="39" xfId="2" applyNumberFormat="1" applyFont="1" applyFill="1" applyBorder="1" applyAlignment="1">
      <alignment horizontal="center" vertical="center"/>
    </xf>
    <xf numFmtId="0" fontId="27" fillId="0" borderId="0" xfId="2" applyFont="1" applyAlignment="1">
      <alignment wrapText="1"/>
    </xf>
    <xf numFmtId="0" fontId="27" fillId="0" borderId="0" xfId="2" applyFont="1" applyAlignment="1">
      <alignment horizontal="center" wrapText="1"/>
    </xf>
    <xf numFmtId="0" fontId="21" fillId="8" borderId="1" xfId="2" applyFont="1" applyFill="1" applyBorder="1" applyAlignment="1">
      <alignment wrapText="1"/>
    </xf>
    <xf numFmtId="0" fontId="27" fillId="8" borderId="3" xfId="2" applyFont="1" applyFill="1" applyBorder="1" applyAlignment="1">
      <alignment wrapText="1"/>
    </xf>
    <xf numFmtId="0" fontId="36" fillId="0" borderId="32" xfId="2" applyFont="1" applyBorder="1" applyAlignment="1">
      <alignment wrapText="1"/>
    </xf>
    <xf numFmtId="0" fontId="35" fillId="0" borderId="38" xfId="2" applyFont="1" applyBorder="1" applyAlignment="1">
      <alignment wrapText="1"/>
    </xf>
    <xf numFmtId="0" fontId="35" fillId="0" borderId="15" xfId="2" applyFont="1" applyBorder="1" applyAlignment="1">
      <alignment wrapText="1"/>
    </xf>
    <xf numFmtId="0" fontId="35" fillId="0" borderId="26" xfId="2" applyFont="1" applyBorder="1" applyAlignment="1">
      <alignment wrapText="1"/>
    </xf>
    <xf numFmtId="0" fontId="21" fillId="0" borderId="31" xfId="2" applyFont="1" applyBorder="1" applyAlignment="1">
      <alignment horizontal="left" wrapText="1"/>
    </xf>
    <xf numFmtId="0" fontId="35" fillId="0" borderId="40" xfId="2" applyFont="1" applyBorder="1" applyAlignment="1">
      <alignment wrapText="1"/>
    </xf>
    <xf numFmtId="0" fontId="35" fillId="7" borderId="39" xfId="2" applyFont="1" applyFill="1" applyBorder="1" applyAlignment="1">
      <alignment horizontal="center" vertical="center" wrapText="1"/>
    </xf>
    <xf numFmtId="0" fontId="35" fillId="0" borderId="39" xfId="1" applyFont="1" applyBorder="1" applyAlignment="1">
      <alignment horizontal="center" vertical="center" wrapText="1"/>
    </xf>
    <xf numFmtId="4" fontId="34" fillId="9" borderId="41" xfId="2" applyNumberFormat="1" applyFont="1" applyFill="1" applyBorder="1" applyAlignment="1">
      <alignment horizontal="center" vertical="center"/>
    </xf>
    <xf numFmtId="0" fontId="25" fillId="0" borderId="8" xfId="2" applyFont="1" applyBorder="1" applyAlignment="1">
      <alignment wrapText="1"/>
    </xf>
    <xf numFmtId="0" fontId="25" fillId="0" borderId="32" xfId="2" applyFont="1" applyBorder="1" applyAlignment="1">
      <alignment wrapText="1"/>
    </xf>
    <xf numFmtId="0" fontId="34" fillId="9" borderId="0" xfId="2" applyFont="1" applyFill="1"/>
    <xf numFmtId="0" fontId="21" fillId="0" borderId="48" xfId="2" quotePrefix="1" applyFont="1" applyBorder="1" applyAlignment="1">
      <alignment vertical="center"/>
    </xf>
    <xf numFmtId="0" fontId="36" fillId="0" borderId="40" xfId="2" applyFont="1" applyBorder="1" applyAlignment="1">
      <alignment wrapText="1"/>
    </xf>
    <xf numFmtId="0" fontId="37" fillId="7" borderId="39" xfId="2" applyFont="1" applyFill="1" applyBorder="1" applyAlignment="1">
      <alignment horizontal="center" vertical="center" wrapText="1"/>
    </xf>
    <xf numFmtId="0" fontId="38" fillId="0" borderId="39" xfId="1" applyFont="1" applyBorder="1" applyAlignment="1">
      <alignment horizontal="center" vertical="center" wrapText="1"/>
    </xf>
    <xf numFmtId="0" fontId="36" fillId="0" borderId="8" xfId="2" applyFont="1" applyBorder="1" applyAlignment="1">
      <alignment wrapText="1"/>
    </xf>
    <xf numFmtId="0" fontId="25" fillId="0" borderId="40" xfId="2" applyFont="1" applyBorder="1" applyAlignment="1">
      <alignment wrapText="1"/>
    </xf>
    <xf numFmtId="0" fontId="21" fillId="0" borderId="38" xfId="2" quotePrefix="1" applyFont="1" applyBorder="1" applyAlignment="1">
      <alignment horizontal="center" vertical="center"/>
    </xf>
    <xf numFmtId="4" fontId="21" fillId="9" borderId="43" xfId="2" applyNumberFormat="1" applyFont="1" applyFill="1" applyBorder="1" applyAlignment="1">
      <alignment horizontal="center" vertical="center"/>
    </xf>
    <xf numFmtId="0" fontId="21" fillId="0" borderId="54" xfId="2" applyFont="1" applyBorder="1" applyAlignment="1">
      <alignment wrapText="1"/>
    </xf>
    <xf numFmtId="0" fontId="24" fillId="7" borderId="54" xfId="2" applyFont="1" applyFill="1" applyBorder="1" applyAlignment="1">
      <alignment horizontal="center" vertical="center" wrapText="1"/>
    </xf>
    <xf numFmtId="0" fontId="30" fillId="0" borderId="54" xfId="1" applyFont="1" applyBorder="1" applyAlignment="1">
      <alignment horizontal="center" vertical="center" wrapText="1"/>
    </xf>
    <xf numFmtId="4" fontId="21" fillId="0" borderId="55" xfId="2" applyNumberFormat="1" applyFont="1" applyBorder="1" applyAlignment="1">
      <alignment horizontal="center" vertical="center"/>
    </xf>
    <xf numFmtId="4" fontId="25" fillId="9" borderId="16" xfId="2" applyNumberFormat="1" applyFont="1" applyFill="1" applyBorder="1" applyAlignment="1">
      <alignment horizontal="center" vertical="center"/>
    </xf>
    <xf numFmtId="4" fontId="9" fillId="11" borderId="3" xfId="0" applyNumberFormat="1" applyFont="1" applyFill="1" applyBorder="1" applyAlignment="1" applyProtection="1">
      <alignment vertical="center" wrapText="1"/>
    </xf>
    <xf numFmtId="4" fontId="9" fillId="11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9" borderId="4" xfId="0" applyNumberFormat="1" applyFont="1" applyFill="1" applyBorder="1" applyAlignment="1" applyProtection="1">
      <alignment horizontal="center" vertical="top" wrapText="1"/>
    </xf>
    <xf numFmtId="49" fontId="10" fillId="9" borderId="4" xfId="0" applyNumberFormat="1" applyFont="1" applyFill="1" applyBorder="1" applyAlignment="1" applyProtection="1">
      <alignment horizontal="left" vertical="top" wrapText="1"/>
    </xf>
    <xf numFmtId="1" fontId="10" fillId="9" borderId="4" xfId="0" applyNumberFormat="1" applyFont="1" applyFill="1" applyBorder="1" applyAlignment="1" applyProtection="1">
      <alignment horizontal="center" vertical="top" wrapText="1"/>
    </xf>
    <xf numFmtId="4" fontId="10" fillId="9" borderId="4" xfId="0" applyNumberFormat="1" applyFont="1" applyFill="1" applyBorder="1" applyAlignment="1" applyProtection="1">
      <alignment horizontal="right" vertical="top" wrapText="1"/>
    </xf>
    <xf numFmtId="49" fontId="2" fillId="0" borderId="0" xfId="3" applyNumberFormat="1" applyFont="1"/>
    <xf numFmtId="0" fontId="3" fillId="0" borderId="0" xfId="3"/>
    <xf numFmtId="0" fontId="4" fillId="0" borderId="0" xfId="3" applyFont="1" applyAlignment="1">
      <alignment wrapText="1"/>
    </xf>
    <xf numFmtId="0" fontId="9" fillId="0" borderId="0" xfId="3" applyFont="1" applyAlignment="1">
      <alignment wrapText="1"/>
    </xf>
    <xf numFmtId="0" fontId="7" fillId="0" borderId="0" xfId="3" applyFont="1" applyAlignment="1">
      <alignment wrapText="1"/>
    </xf>
    <xf numFmtId="49" fontId="10" fillId="0" borderId="4" xfId="3" applyNumberFormat="1" applyFont="1" applyBorder="1" applyAlignment="1">
      <alignment horizontal="center" vertical="top" wrapText="1"/>
    </xf>
    <xf numFmtId="49" fontId="10" fillId="0" borderId="4" xfId="3" applyNumberFormat="1" applyFont="1" applyBorder="1" applyAlignment="1">
      <alignment horizontal="left" vertical="top" wrapText="1"/>
    </xf>
    <xf numFmtId="167" fontId="10" fillId="0" borderId="4" xfId="3" applyNumberFormat="1" applyFont="1" applyBorder="1" applyAlignment="1">
      <alignment horizontal="center" vertical="top" wrapText="1"/>
    </xf>
    <xf numFmtId="4" fontId="10" fillId="0" borderId="4" xfId="3" applyNumberFormat="1" applyFont="1" applyBorder="1" applyAlignment="1">
      <alignment horizontal="right" vertical="top" wrapText="1"/>
    </xf>
    <xf numFmtId="0" fontId="10" fillId="0" borderId="0" xfId="3" applyFont="1" applyAlignment="1">
      <alignment wrapText="1"/>
    </xf>
    <xf numFmtId="0" fontId="2" fillId="0" borderId="3" xfId="3" applyFont="1" applyBorder="1" applyAlignment="1">
      <alignment horizontal="center" vertical="top" wrapText="1"/>
    </xf>
    <xf numFmtId="2" fontId="10" fillId="0" borderId="4" xfId="3" applyNumberFormat="1" applyFont="1" applyBorder="1" applyAlignment="1">
      <alignment horizontal="center" vertical="top" wrapText="1"/>
    </xf>
    <xf numFmtId="166" fontId="10" fillId="0" borderId="4" xfId="3" applyNumberFormat="1" applyFont="1" applyBorder="1" applyAlignment="1">
      <alignment horizontal="center" vertical="top" wrapText="1"/>
    </xf>
    <xf numFmtId="165" fontId="10" fillId="0" borderId="4" xfId="3" applyNumberFormat="1" applyFont="1" applyBorder="1" applyAlignment="1">
      <alignment horizontal="center" vertical="top" wrapText="1"/>
    </xf>
    <xf numFmtId="49" fontId="4" fillId="0" borderId="7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left" vertical="top" wrapText="1"/>
    </xf>
    <xf numFmtId="4" fontId="4" fillId="0" borderId="3" xfId="3" applyNumberFormat="1" applyFont="1" applyBorder="1" applyAlignment="1">
      <alignment horizontal="right" vertical="top" wrapText="1"/>
    </xf>
    <xf numFmtId="4" fontId="4" fillId="0" borderId="6" xfId="3" applyNumberFormat="1" applyFont="1" applyBorder="1" applyAlignment="1">
      <alignment horizontal="right" vertical="top" wrapText="1"/>
    </xf>
    <xf numFmtId="49" fontId="6" fillId="0" borderId="7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left" vertical="top" wrapText="1"/>
    </xf>
    <xf numFmtId="0" fontId="13" fillId="0" borderId="3" xfId="3" applyFont="1" applyBorder="1" applyAlignment="1">
      <alignment horizontal="center" vertical="top" wrapText="1"/>
    </xf>
    <xf numFmtId="4" fontId="6" fillId="0" borderId="3" xfId="3" applyNumberFormat="1" applyFont="1" applyBorder="1" applyAlignment="1">
      <alignment horizontal="right" vertical="top" wrapText="1"/>
    </xf>
    <xf numFmtId="4" fontId="6" fillId="0" borderId="6" xfId="3" applyNumberFormat="1" applyFont="1" applyBorder="1" applyAlignment="1">
      <alignment horizontal="right" vertical="top" wrapText="1"/>
    </xf>
    <xf numFmtId="0" fontId="6" fillId="0" borderId="0" xfId="3" applyFont="1" applyAlignment="1">
      <alignment wrapText="1"/>
    </xf>
    <xf numFmtId="1" fontId="10" fillId="0" borderId="4" xfId="3" applyNumberFormat="1" applyFont="1" applyBorder="1" applyAlignment="1">
      <alignment horizontal="center" vertical="top" wrapText="1"/>
    </xf>
    <xf numFmtId="164" fontId="10" fillId="0" borderId="4" xfId="3" applyNumberFormat="1" applyFont="1" applyBorder="1" applyAlignment="1">
      <alignment horizontal="center" vertical="top" wrapText="1"/>
    </xf>
    <xf numFmtId="0" fontId="2" fillId="0" borderId="0" xfId="3" applyFont="1" applyAlignment="1">
      <alignment wrapText="1"/>
    </xf>
    <xf numFmtId="0" fontId="2" fillId="0" borderId="0" xfId="3" applyFont="1"/>
    <xf numFmtId="4" fontId="7" fillId="12" borderId="3" xfId="0" applyNumberFormat="1" applyFont="1" applyFill="1" applyBorder="1" applyAlignment="1" applyProtection="1">
      <alignment vertical="center" wrapText="1"/>
    </xf>
    <xf numFmtId="4" fontId="7" fillId="12" borderId="6" xfId="0" applyNumberFormat="1" applyFont="1" applyFill="1" applyBorder="1" applyAlignment="1" applyProtection="1">
      <alignment vertical="center" wrapText="1"/>
    </xf>
    <xf numFmtId="4" fontId="10" fillId="9" borderId="4" xfId="0" applyNumberFormat="1" applyFont="1" applyFill="1" applyBorder="1" applyAlignment="1" applyProtection="1">
      <alignment horizontal="center" vertical="top" wrapText="1"/>
    </xf>
    <xf numFmtId="49" fontId="7" fillId="12" borderId="51" xfId="0" applyNumberFormat="1" applyFont="1" applyFill="1" applyBorder="1" applyAlignment="1" applyProtection="1">
      <alignment vertical="center" wrapText="1"/>
    </xf>
    <xf numFmtId="49" fontId="7" fillId="12" borderId="2" xfId="0" applyNumberFormat="1" applyFont="1" applyFill="1" applyBorder="1" applyAlignment="1" applyProtection="1">
      <alignment vertical="center" wrapText="1"/>
    </xf>
    <xf numFmtId="49" fontId="7" fillId="12" borderId="56" xfId="0" applyNumberFormat="1" applyFont="1" applyFill="1" applyBorder="1" applyAlignment="1" applyProtection="1">
      <alignment vertical="center" wrapText="1"/>
    </xf>
    <xf numFmtId="49" fontId="7" fillId="12" borderId="1" xfId="0" applyNumberFormat="1" applyFont="1" applyFill="1" applyBorder="1" applyAlignment="1" applyProtection="1">
      <alignment vertical="center" wrapText="1"/>
    </xf>
    <xf numFmtId="49" fontId="18" fillId="0" borderId="4" xfId="4" applyNumberFormat="1" applyFont="1" applyFill="1" applyBorder="1" applyAlignment="1" applyProtection="1">
      <alignment horizontal="center" vertical="top" wrapText="1"/>
    </xf>
    <xf numFmtId="49" fontId="18" fillId="0" borderId="4" xfId="4" applyNumberFormat="1" applyFont="1" applyFill="1" applyBorder="1" applyAlignment="1" applyProtection="1">
      <alignment horizontal="left" vertical="top" wrapText="1"/>
    </xf>
    <xf numFmtId="166" fontId="18" fillId="0" borderId="4" xfId="4" applyNumberFormat="1" applyFont="1" applyFill="1" applyBorder="1" applyAlignment="1" applyProtection="1">
      <alignment horizontal="center" vertical="top" wrapText="1"/>
    </xf>
    <xf numFmtId="0" fontId="17" fillId="0" borderId="3" xfId="4" applyNumberFormat="1" applyFont="1" applyFill="1" applyBorder="1" applyAlignment="1" applyProtection="1">
      <alignment horizontal="center" vertical="top" wrapText="1"/>
    </xf>
    <xf numFmtId="49" fontId="41" fillId="0" borderId="7" xfId="4" applyNumberFormat="1" applyFont="1" applyFill="1" applyBorder="1" applyAlignment="1" applyProtection="1">
      <alignment horizontal="right" vertical="top" wrapText="1"/>
    </xf>
    <xf numFmtId="49" fontId="41" fillId="0" borderId="3" xfId="4" applyNumberFormat="1" applyFont="1" applyFill="1" applyBorder="1" applyAlignment="1" applyProtection="1">
      <alignment horizontal="right" vertical="top" wrapText="1"/>
    </xf>
    <xf numFmtId="49" fontId="41" fillId="0" borderId="3" xfId="4" applyNumberFormat="1" applyFont="1" applyFill="1" applyBorder="1" applyAlignment="1" applyProtection="1">
      <alignment horizontal="left" vertical="top" wrapText="1"/>
    </xf>
    <xf numFmtId="0" fontId="20" fillId="0" borderId="3" xfId="4" applyNumberFormat="1" applyFont="1" applyFill="1" applyBorder="1" applyAlignment="1" applyProtection="1">
      <alignment horizontal="center" vertical="top" wrapText="1"/>
    </xf>
    <xf numFmtId="49" fontId="40" fillId="0" borderId="7" xfId="4" applyNumberFormat="1" applyFont="1" applyFill="1" applyBorder="1" applyAlignment="1" applyProtection="1">
      <alignment horizontal="right" vertical="top" wrapText="1"/>
    </xf>
    <xf numFmtId="49" fontId="40" fillId="0" borderId="3" xfId="4" applyNumberFormat="1" applyFont="1" applyFill="1" applyBorder="1" applyAlignment="1" applyProtection="1">
      <alignment horizontal="right" vertical="top" wrapText="1"/>
    </xf>
    <xf numFmtId="49" fontId="40" fillId="0" borderId="3" xfId="4" applyNumberFormat="1" applyFont="1" applyFill="1" applyBorder="1" applyAlignment="1" applyProtection="1">
      <alignment horizontal="left" vertical="top" wrapText="1"/>
    </xf>
    <xf numFmtId="4" fontId="42" fillId="0" borderId="4" xfId="0" applyNumberFormat="1" applyFont="1" applyFill="1" applyBorder="1" applyAlignment="1" applyProtection="1">
      <alignment horizontal="right" vertical="top" wrapText="1"/>
    </xf>
    <xf numFmtId="4" fontId="17" fillId="0" borderId="3" xfId="4" applyNumberFormat="1" applyFont="1" applyFill="1" applyBorder="1" applyAlignment="1" applyProtection="1">
      <alignment horizontal="center" vertical="top" wrapText="1"/>
    </xf>
    <xf numFmtId="4" fontId="20" fillId="0" borderId="3" xfId="4" applyNumberFormat="1" applyFont="1" applyFill="1" applyBorder="1" applyAlignment="1" applyProtection="1">
      <alignment horizontal="center" vertical="top" wrapText="1"/>
    </xf>
    <xf numFmtId="4" fontId="10" fillId="3" borderId="4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/>
    </xf>
    <xf numFmtId="4" fontId="4" fillId="9" borderId="3" xfId="0" applyNumberFormat="1" applyFont="1" applyFill="1" applyBorder="1" applyAlignment="1" applyProtection="1">
      <alignment horizontal="right" vertical="top" wrapText="1"/>
    </xf>
    <xf numFmtId="14" fontId="34" fillId="0" borderId="0" xfId="2" applyNumberFormat="1" applyFont="1"/>
    <xf numFmtId="49" fontId="7" fillId="3" borderId="3" xfId="3" applyNumberFormat="1" applyFont="1" applyFill="1" applyBorder="1" applyAlignment="1">
      <alignment vertical="center" wrapText="1"/>
    </xf>
    <xf numFmtId="49" fontId="7" fillId="3" borderId="6" xfId="3" applyNumberFormat="1" applyFont="1" applyFill="1" applyBorder="1" applyAlignment="1">
      <alignment vertical="center" wrapText="1"/>
    </xf>
    <xf numFmtId="49" fontId="9" fillId="2" borderId="3" xfId="3" applyNumberFormat="1" applyFont="1" applyFill="1" applyBorder="1" applyAlignment="1">
      <alignment vertical="center" wrapText="1"/>
    </xf>
    <xf numFmtId="49" fontId="9" fillId="2" borderId="6" xfId="3" applyNumberFormat="1" applyFont="1" applyFill="1" applyBorder="1" applyAlignment="1">
      <alignment vertical="center" wrapText="1"/>
    </xf>
    <xf numFmtId="0" fontId="43" fillId="0" borderId="0" xfId="0" applyNumberFormat="1" applyFont="1" applyFill="1" applyBorder="1" applyAlignment="1" applyProtection="1"/>
    <xf numFmtId="49" fontId="10" fillId="4" borderId="15" xfId="0" applyNumberFormat="1" applyFont="1" applyFill="1" applyBorder="1" applyAlignment="1" applyProtection="1">
      <alignment horizontal="center" vertical="top" wrapText="1"/>
    </xf>
    <xf numFmtId="49" fontId="10" fillId="4" borderId="4" xfId="0" applyNumberFormat="1" applyFont="1" applyFill="1" applyBorder="1" applyAlignment="1" applyProtection="1">
      <alignment horizontal="left" vertical="top" wrapText="1"/>
    </xf>
    <xf numFmtId="49" fontId="10" fillId="4" borderId="4" xfId="0" applyNumberFormat="1" applyFont="1" applyFill="1" applyBorder="1" applyAlignment="1" applyProtection="1">
      <alignment horizontal="center" vertical="top" wrapText="1"/>
    </xf>
    <xf numFmtId="1" fontId="10" fillId="4" borderId="4" xfId="0" applyNumberFormat="1" applyFont="1" applyFill="1" applyBorder="1" applyAlignment="1" applyProtection="1">
      <alignment horizontal="center" vertical="top" wrapText="1"/>
    </xf>
    <xf numFmtId="0" fontId="35" fillId="4" borderId="40" xfId="2" applyFont="1" applyFill="1" applyBorder="1" applyAlignment="1">
      <alignment wrapText="1"/>
    </xf>
    <xf numFmtId="0" fontId="35" fillId="4" borderId="15" xfId="2" applyFont="1" applyFill="1" applyBorder="1" applyAlignment="1">
      <alignment wrapText="1"/>
    </xf>
    <xf numFmtId="0" fontId="35" fillId="4" borderId="4" xfId="2" applyFont="1" applyFill="1" applyBorder="1" applyAlignment="1">
      <alignment horizontal="center" vertical="center" wrapText="1"/>
    </xf>
    <xf numFmtId="0" fontId="35" fillId="4" borderId="4" xfId="1" applyFont="1" applyFill="1" applyBorder="1" applyAlignment="1">
      <alignment horizontal="center" vertical="center" wrapText="1"/>
    </xf>
    <xf numFmtId="4" fontId="34" fillId="4" borderId="4" xfId="2" applyNumberFormat="1" applyFont="1" applyFill="1" applyBorder="1" applyAlignment="1">
      <alignment horizontal="center" vertical="center"/>
    </xf>
    <xf numFmtId="4" fontId="34" fillId="4" borderId="42" xfId="2" applyNumberFormat="1" applyFont="1" applyFill="1" applyBorder="1" applyAlignment="1">
      <alignment horizontal="center" vertical="center"/>
    </xf>
    <xf numFmtId="4" fontId="34" fillId="4" borderId="43" xfId="2" applyNumberFormat="1" applyFont="1" applyFill="1" applyBorder="1" applyAlignment="1">
      <alignment horizontal="center" vertical="center"/>
    </xf>
    <xf numFmtId="0" fontId="35" fillId="4" borderId="39" xfId="2" applyFont="1" applyFill="1" applyBorder="1" applyAlignment="1">
      <alignment horizontal="center" vertical="center" wrapText="1"/>
    </xf>
    <xf numFmtId="0" fontId="35" fillId="4" borderId="39" xfId="1" applyFont="1" applyFill="1" applyBorder="1" applyAlignment="1">
      <alignment horizontal="center" vertical="center" wrapText="1"/>
    </xf>
    <xf numFmtId="4" fontId="34" fillId="4" borderId="39" xfId="2" applyNumberFormat="1" applyFont="1" applyFill="1" applyBorder="1" applyAlignment="1">
      <alignment horizontal="center" vertical="center"/>
    </xf>
    <xf numFmtId="4" fontId="34" fillId="4" borderId="41" xfId="2" applyNumberFormat="1" applyFont="1" applyFill="1" applyBorder="1" applyAlignment="1">
      <alignment horizontal="center" vertical="center"/>
    </xf>
    <xf numFmtId="0" fontId="32" fillId="0" borderId="42" xfId="2" applyFont="1" applyBorder="1" applyAlignment="1">
      <alignment horizontal="left" vertical="center" wrapText="1"/>
    </xf>
    <xf numFmtId="0" fontId="32" fillId="0" borderId="42" xfId="2" applyFont="1" applyBorder="1" applyAlignment="1">
      <alignment horizontal="left" wrapText="1"/>
    </xf>
    <xf numFmtId="0" fontId="32" fillId="0" borderId="4" xfId="2" applyFont="1" applyBorder="1" applyAlignment="1">
      <alignment horizontal="left" vertical="center" wrapText="1"/>
    </xf>
    <xf numFmtId="0" fontId="32" fillId="0" borderId="4" xfId="2" applyFont="1" applyBorder="1" applyAlignment="1">
      <alignment horizontal="left" wrapText="1"/>
    </xf>
    <xf numFmtId="0" fontId="23" fillId="10" borderId="4" xfId="2" applyFont="1" applyFill="1" applyBorder="1" applyAlignment="1">
      <alignment horizontal="left" vertical="center" wrapText="1"/>
    </xf>
    <xf numFmtId="0" fontId="33" fillId="10" borderId="4" xfId="2" applyFont="1" applyFill="1" applyBorder="1"/>
    <xf numFmtId="0" fontId="21" fillId="8" borderId="46" xfId="2" applyFont="1" applyFill="1" applyBorder="1" applyAlignment="1">
      <alignment horizontal="right" wrapText="1"/>
    </xf>
    <xf numFmtId="0" fontId="22" fillId="8" borderId="47" xfId="2" applyFill="1" applyBorder="1" applyAlignment="1">
      <alignment wrapText="1"/>
    </xf>
    <xf numFmtId="0" fontId="23" fillId="0" borderId="19" xfId="2" applyFont="1" applyBorder="1" applyAlignment="1">
      <alignment horizontal="center" vertical="center" wrapText="1"/>
    </xf>
    <xf numFmtId="0" fontId="22" fillId="0" borderId="0" xfId="2" applyAlignment="1">
      <alignment horizontal="center" vertical="center" wrapText="1"/>
    </xf>
    <xf numFmtId="0" fontId="22" fillId="0" borderId="44" xfId="2" applyBorder="1" applyAlignment="1">
      <alignment horizontal="center" vertical="center" wrapText="1"/>
    </xf>
    <xf numFmtId="0" fontId="24" fillId="0" borderId="19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2" fillId="0" borderId="44" xfId="2" applyBorder="1"/>
    <xf numFmtId="0" fontId="26" fillId="8" borderId="19" xfId="2" applyFont="1" applyFill="1" applyBorder="1" applyAlignment="1">
      <alignment horizontal="left" wrapText="1"/>
    </xf>
    <xf numFmtId="0" fontId="26" fillId="8" borderId="0" xfId="2" applyFont="1" applyFill="1" applyAlignment="1">
      <alignment horizontal="left" wrapText="1"/>
    </xf>
    <xf numFmtId="0" fontId="24" fillId="0" borderId="19" xfId="2" applyFont="1" applyBorder="1" applyAlignment="1">
      <alignment horizontal="left" wrapText="1"/>
    </xf>
    <xf numFmtId="0" fontId="24" fillId="0" borderId="0" xfId="2" applyFont="1" applyAlignment="1">
      <alignment horizontal="left" wrapText="1"/>
    </xf>
    <xf numFmtId="4" fontId="25" fillId="8" borderId="13" xfId="2" applyNumberFormat="1" applyFont="1" applyFill="1" applyBorder="1" applyAlignment="1">
      <alignment horizontal="center" vertical="center"/>
    </xf>
    <xf numFmtId="4" fontId="25" fillId="8" borderId="39" xfId="2" applyNumberFormat="1" applyFont="1" applyFill="1" applyBorder="1" applyAlignment="1">
      <alignment horizontal="center" vertical="center"/>
    </xf>
    <xf numFmtId="4" fontId="25" fillId="9" borderId="14" xfId="2" applyNumberFormat="1" applyFont="1" applyFill="1" applyBorder="1" applyAlignment="1">
      <alignment horizontal="center" vertical="center"/>
    </xf>
    <xf numFmtId="4" fontId="25" fillId="9" borderId="41" xfId="2" applyNumberFormat="1" applyFont="1" applyFill="1" applyBorder="1" applyAlignment="1">
      <alignment horizontal="center" vertical="center"/>
    </xf>
    <xf numFmtId="0" fontId="21" fillId="0" borderId="35" xfId="2" quotePrefix="1" applyFont="1" applyBorder="1" applyAlignment="1">
      <alignment horizontal="center" vertical="center"/>
    </xf>
    <xf numFmtId="0" fontId="21" fillId="0" borderId="52" xfId="2" quotePrefix="1" applyFont="1" applyBorder="1" applyAlignment="1">
      <alignment horizontal="center" vertical="center"/>
    </xf>
    <xf numFmtId="0" fontId="23" fillId="0" borderId="4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22" fillId="0" borderId="50" xfId="2" applyBorder="1"/>
    <xf numFmtId="4" fontId="21" fillId="8" borderId="54" xfId="2" applyNumberFormat="1" applyFont="1" applyFill="1" applyBorder="1" applyAlignment="1">
      <alignment horizontal="center" vertical="center"/>
    </xf>
    <xf numFmtId="0" fontId="22" fillId="8" borderId="54" xfId="2" applyFill="1" applyBorder="1" applyAlignment="1">
      <alignment horizontal="center" vertical="center"/>
    </xf>
    <xf numFmtId="0" fontId="24" fillId="0" borderId="51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53" xfId="2" applyFont="1" applyBorder="1" applyAlignment="1">
      <alignment horizontal="center" vertical="center"/>
    </xf>
    <xf numFmtId="9" fontId="21" fillId="0" borderId="4" xfId="2" applyNumberFormat="1" applyFont="1" applyBorder="1" applyAlignment="1">
      <alignment horizontal="center" vertical="center"/>
    </xf>
    <xf numFmtId="0" fontId="22" fillId="0" borderId="4" xfId="2" applyBorder="1" applyAlignment="1">
      <alignment horizontal="center"/>
    </xf>
    <xf numFmtId="0" fontId="25" fillId="0" borderId="4" xfId="2" applyFont="1" applyBorder="1" applyAlignment="1">
      <alignment horizontal="left" vertical="center" wrapText="1"/>
    </xf>
    <xf numFmtId="0" fontId="22" fillId="0" borderId="4" xfId="2" applyBorder="1"/>
    <xf numFmtId="0" fontId="21" fillId="0" borderId="31" xfId="2" applyFont="1" applyBorder="1" applyAlignment="1">
      <alignment horizontal="center"/>
    </xf>
    <xf numFmtId="0" fontId="22" fillId="0" borderId="31" xfId="2" applyBorder="1"/>
    <xf numFmtId="0" fontId="21" fillId="0" borderId="4" xfId="2" applyFont="1" applyBorder="1" applyAlignment="1">
      <alignment horizontal="center" vertical="center" wrapText="1"/>
    </xf>
    <xf numFmtId="0" fontId="22" fillId="0" borderId="4" xfId="2" applyBorder="1" applyAlignment="1">
      <alignment horizontal="center" vertical="center" wrapText="1"/>
    </xf>
    <xf numFmtId="0" fontId="29" fillId="8" borderId="4" xfId="2" applyFont="1" applyFill="1" applyBorder="1" applyAlignment="1">
      <alignment horizontal="center" vertical="center" wrapText="1"/>
    </xf>
    <xf numFmtId="0" fontId="22" fillId="8" borderId="16" xfId="2" applyFill="1" applyBorder="1" applyAlignment="1">
      <alignment vertical="center" wrapText="1"/>
    </xf>
    <xf numFmtId="0" fontId="21" fillId="8" borderId="4" xfId="2" applyFont="1" applyFill="1" applyBorder="1" applyAlignment="1">
      <alignment horizontal="left" vertical="center" wrapText="1"/>
    </xf>
    <xf numFmtId="0" fontId="22" fillId="8" borderId="16" xfId="2" applyFill="1" applyBorder="1" applyAlignment="1">
      <alignment horizontal="left" vertical="center" wrapText="1"/>
    </xf>
    <xf numFmtId="0" fontId="21" fillId="0" borderId="4" xfId="2" applyFont="1" applyBorder="1" applyAlignment="1">
      <alignment vertical="center" wrapText="1"/>
    </xf>
    <xf numFmtId="0" fontId="22" fillId="0" borderId="4" xfId="2" applyBorder="1" applyAlignment="1">
      <alignment vertical="center" wrapText="1"/>
    </xf>
    <xf numFmtId="0" fontId="31" fillId="0" borderId="4" xfId="2" applyFont="1" applyBorder="1" applyAlignment="1">
      <alignment wrapText="1"/>
    </xf>
    <xf numFmtId="0" fontId="22" fillId="0" borderId="4" xfId="2" applyBorder="1" applyAlignment="1">
      <alignment wrapText="1"/>
    </xf>
    <xf numFmtId="0" fontId="21" fillId="8" borderId="4" xfId="2" applyFont="1" applyFill="1" applyBorder="1" applyAlignment="1">
      <alignment horizontal="center" vertical="center" wrapText="1"/>
    </xf>
    <xf numFmtId="0" fontId="21" fillId="0" borderId="19" xfId="2" applyFont="1" applyBorder="1" applyAlignment="1">
      <alignment horizontal="left" wrapText="1"/>
    </xf>
    <xf numFmtId="0" fontId="21" fillId="0" borderId="0" xfId="2" applyFont="1" applyAlignment="1">
      <alignment horizontal="left" wrapText="1"/>
    </xf>
    <xf numFmtId="0" fontId="21" fillId="8" borderId="24" xfId="2" applyFont="1" applyFill="1" applyBorder="1" applyAlignment="1">
      <alignment horizontal="center" vertical="center"/>
    </xf>
    <xf numFmtId="0" fontId="22" fillId="8" borderId="1" xfId="2" applyFill="1" applyBorder="1"/>
    <xf numFmtId="0" fontId="21" fillId="8" borderId="0" xfId="2" applyFont="1" applyFill="1" applyAlignment="1">
      <alignment wrapText="1"/>
    </xf>
    <xf numFmtId="0" fontId="22" fillId="8" borderId="0" xfId="2" applyFill="1" applyAlignment="1">
      <alignment wrapText="1"/>
    </xf>
    <xf numFmtId="0" fontId="21" fillId="0" borderId="4" xfId="2" applyFont="1" applyBorder="1" applyAlignment="1">
      <alignment horizontal="left" vertical="top" wrapText="1"/>
    </xf>
    <xf numFmtId="0" fontId="22" fillId="0" borderId="4" xfId="2" applyBorder="1" applyAlignment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10" fillId="4" borderId="17" xfId="0" applyNumberFormat="1" applyFont="1" applyFill="1" applyBorder="1" applyAlignment="1" applyProtection="1">
      <alignment horizontal="left" vertical="top" wrapText="1"/>
    </xf>
    <xf numFmtId="49" fontId="10" fillId="4" borderId="3" xfId="0" applyNumberFormat="1" applyFont="1" applyFill="1" applyBorder="1" applyAlignment="1" applyProtection="1">
      <alignment horizontal="left" vertical="top" wrapText="1"/>
    </xf>
    <xf numFmtId="49" fontId="18" fillId="5" borderId="20" xfId="0" applyNumberFormat="1" applyFont="1" applyFill="1" applyBorder="1" applyAlignment="1" applyProtection="1">
      <alignment horizontal="left" vertical="center" wrapText="1"/>
    </xf>
    <xf numFmtId="49" fontId="10" fillId="5" borderId="21" xfId="0" applyNumberFormat="1" applyFont="1" applyFill="1" applyBorder="1" applyAlignment="1" applyProtection="1">
      <alignment horizontal="left" vertical="center" wrapText="1"/>
    </xf>
    <xf numFmtId="4" fontId="19" fillId="5" borderId="22" xfId="0" applyNumberFormat="1" applyFont="1" applyFill="1" applyBorder="1" applyAlignment="1" applyProtection="1">
      <alignment horizontal="center" vertical="center" wrapText="1"/>
    </xf>
    <xf numFmtId="4" fontId="19" fillId="5" borderId="21" xfId="0" applyNumberFormat="1" applyFont="1" applyFill="1" applyBorder="1" applyAlignment="1" applyProtection="1">
      <alignment horizontal="center" vertical="center" wrapText="1"/>
    </xf>
    <xf numFmtId="4" fontId="19" fillId="5" borderId="2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3" borderId="17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9" fillId="2" borderId="24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49" fontId="9" fillId="2" borderId="25" xfId="0" applyNumberFormat="1" applyFont="1" applyFill="1" applyBorder="1" applyAlignment="1" applyProtection="1">
      <alignment horizontal="left" vertical="center" wrapText="1"/>
    </xf>
    <xf numFmtId="49" fontId="7" fillId="0" borderId="22" xfId="0" applyNumberFormat="1" applyFont="1" applyFill="1" applyBorder="1" applyAlignment="1" applyProtection="1">
      <alignment horizontal="center" vertical="center"/>
    </xf>
    <xf numFmtId="49" fontId="7" fillId="0" borderId="21" xfId="0" applyNumberFormat="1" applyFont="1" applyFill="1" applyBorder="1" applyAlignment="1" applyProtection="1">
      <alignment horizontal="center" vertical="center"/>
    </xf>
    <xf numFmtId="49" fontId="7" fillId="0" borderId="28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7" fillId="6" borderId="5" xfId="0" applyNumberFormat="1" applyFont="1" applyFill="1" applyBorder="1" applyAlignment="1" applyProtection="1">
      <alignment horizontal="left" vertical="center" wrapText="1"/>
    </xf>
    <xf numFmtId="49" fontId="7" fillId="6" borderId="3" xfId="0" applyNumberFormat="1" applyFont="1" applyFill="1" applyBorder="1" applyAlignment="1" applyProtection="1">
      <alignment horizontal="left" vertical="center" wrapText="1"/>
    </xf>
    <xf numFmtId="49" fontId="9" fillId="2" borderId="10" xfId="0" applyNumberFormat="1" applyFont="1" applyFill="1" applyBorder="1" applyAlignment="1" applyProtection="1">
      <alignment horizontal="left" vertical="center" wrapText="1"/>
    </xf>
    <xf numFmtId="49" fontId="9" fillId="2" borderId="11" xfId="0" applyNumberFormat="1" applyFont="1" applyFill="1" applyBorder="1" applyAlignment="1" applyProtection="1">
      <alignment horizontal="left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" fontId="6" fillId="0" borderId="2" xfId="0" applyNumberFormat="1" applyFont="1" applyFill="1" applyBorder="1" applyAlignment="1" applyProtection="1">
      <alignment horizontal="center" vertical="top"/>
    </xf>
    <xf numFmtId="4" fontId="5" fillId="0" borderId="1" xfId="0" applyNumberFormat="1" applyFont="1" applyFill="1" applyBorder="1" applyAlignment="1" applyProtection="1">
      <alignment horizontal="center" wrapText="1"/>
    </xf>
    <xf numFmtId="0" fontId="10" fillId="4" borderId="4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" fontId="13" fillId="0" borderId="0" xfId="0" applyNumberFormat="1" applyFont="1" applyFill="1" applyBorder="1" applyAlignment="1" applyProtection="1">
      <alignment horizontal="center"/>
    </xf>
    <xf numFmtId="49" fontId="9" fillId="2" borderId="17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2" borderId="30" xfId="0" applyNumberFormat="1" applyFont="1" applyFill="1" applyBorder="1" applyAlignment="1" applyProtection="1">
      <alignment horizontal="left" vertical="center" wrapText="1"/>
    </xf>
    <xf numFmtId="0" fontId="18" fillId="0" borderId="5" xfId="0" applyNumberFormat="1" applyFont="1" applyFill="1" applyBorder="1" applyAlignment="1" applyProtection="1">
      <alignment horizontal="left" vertical="top" wrapText="1"/>
    </xf>
    <xf numFmtId="0" fontId="18" fillId="0" borderId="4" xfId="0" applyNumberFormat="1" applyFont="1" applyFill="1" applyBorder="1" applyAlignment="1" applyProtection="1">
      <alignment horizontal="left" vertical="top" wrapText="1"/>
    </xf>
    <xf numFmtId="49" fontId="9" fillId="11" borderId="5" xfId="0" applyNumberFormat="1" applyFont="1" applyFill="1" applyBorder="1" applyAlignment="1" applyProtection="1">
      <alignment horizontal="left" vertical="center" wrapText="1"/>
    </xf>
    <xf numFmtId="49" fontId="9" fillId="11" borderId="3" xfId="0" applyNumberFormat="1" applyFont="1" applyFill="1" applyBorder="1" applyAlignment="1" applyProtection="1">
      <alignment horizontal="left" vertical="center" wrapText="1"/>
    </xf>
    <xf numFmtId="49" fontId="7" fillId="12" borderId="5" xfId="0" applyNumberFormat="1" applyFont="1" applyFill="1" applyBorder="1" applyAlignment="1" applyProtection="1">
      <alignment horizontal="left" vertical="center" wrapText="1"/>
    </xf>
    <xf numFmtId="49" fontId="7" fillId="12" borderId="3" xfId="0" applyNumberFormat="1" applyFont="1" applyFill="1" applyBorder="1" applyAlignment="1" applyProtection="1">
      <alignment horizontal="left" vertical="center" wrapText="1"/>
    </xf>
    <xf numFmtId="0" fontId="10" fillId="9" borderId="4" xfId="0" applyNumberFormat="1" applyFont="1" applyFill="1" applyBorder="1" applyAlignment="1" applyProtection="1">
      <alignment horizontal="left" vertical="top" wrapText="1"/>
    </xf>
    <xf numFmtId="49" fontId="40" fillId="0" borderId="3" xfId="4" applyNumberFormat="1" applyFont="1" applyFill="1" applyBorder="1" applyAlignment="1" applyProtection="1">
      <alignment horizontal="left" vertical="top" wrapText="1"/>
    </xf>
    <xf numFmtId="49" fontId="41" fillId="0" borderId="3" xfId="4" applyNumberFormat="1" applyFont="1" applyFill="1" applyBorder="1" applyAlignment="1" applyProtection="1">
      <alignment horizontal="left" vertical="top" wrapText="1"/>
    </xf>
    <xf numFmtId="0" fontId="18" fillId="0" borderId="4" xfId="4" applyNumberFormat="1" applyFont="1" applyFill="1" applyBorder="1" applyAlignment="1" applyProtection="1">
      <alignment horizontal="left" vertical="top" wrapText="1"/>
    </xf>
    <xf numFmtId="4" fontId="14" fillId="0" borderId="1" xfId="0" applyNumberFormat="1" applyFont="1" applyFill="1" applyBorder="1" applyAlignment="1" applyProtection="1">
      <alignment horizontal="center" wrapText="1"/>
    </xf>
    <xf numFmtId="49" fontId="16" fillId="3" borderId="5" xfId="0" applyNumberFormat="1" applyFont="1" applyFill="1" applyBorder="1" applyAlignment="1" applyProtection="1">
      <alignment horizontal="left" vertical="center" wrapText="1"/>
    </xf>
    <xf numFmtId="49" fontId="16" fillId="3" borderId="3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6" fillId="0" borderId="3" xfId="3" applyNumberFormat="1" applyFont="1" applyBorder="1" applyAlignment="1">
      <alignment horizontal="left" vertical="top" wrapText="1"/>
    </xf>
    <xf numFmtId="49" fontId="4" fillId="0" borderId="3" xfId="3" applyNumberFormat="1" applyFont="1" applyBorder="1" applyAlignment="1">
      <alignment horizontal="left" vertical="top" wrapText="1"/>
    </xf>
    <xf numFmtId="0" fontId="10" fillId="0" borderId="4" xfId="3" applyFont="1" applyBorder="1" applyAlignment="1">
      <alignment horizontal="left" vertical="top" wrapText="1"/>
    </xf>
    <xf numFmtId="49" fontId="7" fillId="3" borderId="5" xfId="3" applyNumberFormat="1" applyFont="1" applyFill="1" applyBorder="1" applyAlignment="1">
      <alignment horizontal="left" vertical="center" wrapText="1"/>
    </xf>
    <xf numFmtId="49" fontId="7" fillId="3" borderId="3" xfId="3" applyNumberFormat="1" applyFont="1" applyFill="1" applyBorder="1" applyAlignment="1">
      <alignment horizontal="left" vertical="center" wrapText="1"/>
    </xf>
    <xf numFmtId="49" fontId="9" fillId="2" borderId="5" xfId="3" applyNumberFormat="1" applyFont="1" applyFill="1" applyBorder="1" applyAlignment="1">
      <alignment horizontal="left" vertical="center" wrapText="1"/>
    </xf>
    <xf numFmtId="49" fontId="9" fillId="2" borderId="3" xfId="3" applyNumberFormat="1" applyFont="1" applyFill="1" applyBorder="1" applyAlignment="1">
      <alignment horizontal="left" vertical="center" wrapText="1"/>
    </xf>
    <xf numFmtId="0" fontId="35" fillId="4" borderId="38" xfId="2" applyFont="1" applyFill="1" applyBorder="1" applyAlignment="1">
      <alignment wrapText="1"/>
    </xf>
    <xf numFmtId="0" fontId="35" fillId="4" borderId="42" xfId="2" applyFont="1" applyFill="1" applyBorder="1" applyAlignment="1">
      <alignment horizontal="center" vertical="center" wrapText="1"/>
    </xf>
    <xf numFmtId="0" fontId="35" fillId="4" borderId="42" xfId="1" applyFont="1" applyFill="1" applyBorder="1" applyAlignment="1">
      <alignment horizontal="center" vertical="center" wrapText="1"/>
    </xf>
    <xf numFmtId="4" fontId="34" fillId="4" borderId="16" xfId="2" applyNumberFormat="1" applyFont="1" applyFill="1" applyBorder="1" applyAlignment="1">
      <alignment horizontal="center" vertical="center"/>
    </xf>
    <xf numFmtId="0" fontId="35" fillId="4" borderId="26" xfId="2" applyFont="1" applyFill="1" applyBorder="1" applyAlignment="1">
      <alignment wrapText="1"/>
    </xf>
    <xf numFmtId="0" fontId="35" fillId="4" borderId="27" xfId="2" applyFont="1" applyFill="1" applyBorder="1" applyAlignment="1">
      <alignment horizontal="center" vertical="center" wrapText="1"/>
    </xf>
    <xf numFmtId="0" fontId="35" fillId="4" borderId="27" xfId="1" applyFont="1" applyFill="1" applyBorder="1" applyAlignment="1">
      <alignment horizontal="center" vertical="center" wrapText="1"/>
    </xf>
    <xf numFmtId="4" fontId="34" fillId="4" borderId="27" xfId="2" applyNumberFormat="1" applyFont="1" applyFill="1" applyBorder="1" applyAlignment="1">
      <alignment horizontal="center" vertical="center"/>
    </xf>
    <xf numFmtId="4" fontId="34" fillId="4" borderId="29" xfId="2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402F2F71-2156-4224-9FEC-F73E3059622D}"/>
    <cellStyle name="Обычный 3" xfId="2" xr:uid="{4C2F1B83-ECE8-430B-AF77-976C81C9884A}"/>
    <cellStyle name="Обычный 4" xfId="3" xr:uid="{6B39116E-13A3-48A4-90A4-1DADC6235A18}"/>
    <cellStyle name="Обычный 5" xfId="4" xr:uid="{2633642F-EEC6-4F7A-8D42-A8DE8C2F7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CEE2-919B-4004-82CA-985DF75D28D9}">
  <sheetPr>
    <tabColor rgb="FFFF0000"/>
  </sheetPr>
  <dimension ref="A1:O103"/>
  <sheetViews>
    <sheetView tabSelected="1" zoomScale="90" zoomScaleNormal="9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67" sqref="F67"/>
    </sheetView>
  </sheetViews>
  <sheetFormatPr defaultColWidth="8.88671875" defaultRowHeight="13.2" x14ac:dyDescent="0.25"/>
  <cols>
    <col min="1" max="1" width="6.6640625" style="201" customWidth="1"/>
    <col min="2" max="2" width="45.44140625" style="176" customWidth="1"/>
    <col min="3" max="3" width="52.6640625" style="176" customWidth="1"/>
    <col min="4" max="4" width="19" style="159" customWidth="1"/>
    <col min="5" max="5" width="14.88671875" style="159" customWidth="1"/>
    <col min="6" max="8" width="21.44140625" style="159" customWidth="1"/>
    <col min="9" max="9" width="22.88671875" style="159" customWidth="1"/>
    <col min="10" max="10" width="26" style="159" customWidth="1"/>
    <col min="11" max="11" width="8.88671875" style="159"/>
    <col min="12" max="12" width="10.44140625" style="159" bestFit="1" customWidth="1"/>
    <col min="13" max="13" width="8.88671875" style="159"/>
    <col min="14" max="14" width="43.5546875" style="159" customWidth="1"/>
    <col min="15" max="16384" width="8.88671875" style="159"/>
  </cols>
  <sheetData>
    <row r="1" spans="1:15" ht="27" customHeight="1" x14ac:dyDescent="0.25">
      <c r="A1" s="156"/>
      <c r="B1" s="157"/>
      <c r="C1" s="157"/>
      <c r="D1" s="158"/>
      <c r="E1" s="158"/>
      <c r="F1" s="158"/>
      <c r="G1" s="158"/>
      <c r="H1" s="348" t="s">
        <v>5593</v>
      </c>
      <c r="I1" s="349"/>
    </row>
    <row r="2" spans="1:15" ht="27.75" customHeight="1" x14ac:dyDescent="0.25">
      <c r="A2" s="350" t="s">
        <v>5594</v>
      </c>
      <c r="B2" s="351"/>
      <c r="C2" s="351"/>
      <c r="D2" s="351"/>
      <c r="E2" s="351"/>
      <c r="F2" s="351"/>
      <c r="G2" s="351"/>
      <c r="H2" s="351"/>
      <c r="I2" s="352"/>
      <c r="K2" s="160"/>
      <c r="L2" s="160"/>
      <c r="M2" s="160"/>
      <c r="N2" s="160"/>
    </row>
    <row r="3" spans="1:15" ht="33.75" customHeight="1" x14ac:dyDescent="0.25">
      <c r="A3" s="353" t="s">
        <v>5595</v>
      </c>
      <c r="B3" s="354"/>
      <c r="C3" s="355" t="s">
        <v>5596</v>
      </c>
      <c r="D3" s="355"/>
      <c r="E3" s="355"/>
      <c r="F3" s="355"/>
      <c r="G3" s="355"/>
      <c r="H3" s="355"/>
      <c r="I3" s="356"/>
      <c r="K3" s="160"/>
      <c r="L3" s="160"/>
      <c r="M3" s="160"/>
      <c r="N3" s="160"/>
    </row>
    <row r="4" spans="1:15" ht="18" x14ac:dyDescent="0.35">
      <c r="A4" s="357" t="s">
        <v>5597</v>
      </c>
      <c r="B4" s="358"/>
      <c r="C4" s="223"/>
      <c r="D4" s="161"/>
      <c r="E4" s="161"/>
      <c r="F4" s="162"/>
      <c r="G4" s="162"/>
      <c r="H4" s="162"/>
      <c r="I4" s="163"/>
      <c r="J4" s="164"/>
      <c r="K4" s="165"/>
      <c r="L4" s="166"/>
      <c r="M4" s="166"/>
      <c r="N4" s="166"/>
      <c r="O4" s="166"/>
    </row>
    <row r="5" spans="1:15" ht="18" x14ac:dyDescent="0.35">
      <c r="A5" s="167"/>
      <c r="B5" s="168"/>
      <c r="C5" s="224"/>
      <c r="D5" s="169"/>
      <c r="E5" s="169"/>
      <c r="F5" s="170"/>
      <c r="G5" s="170"/>
      <c r="H5" s="170"/>
      <c r="I5" s="171"/>
      <c r="J5" s="164"/>
      <c r="K5" s="165"/>
      <c r="L5" s="166"/>
      <c r="M5" s="166"/>
      <c r="N5" s="166"/>
      <c r="O5" s="166"/>
    </row>
    <row r="6" spans="1:15" ht="15.6" x14ac:dyDescent="0.3">
      <c r="A6" s="359" t="s">
        <v>5598</v>
      </c>
      <c r="B6" s="360"/>
      <c r="C6" s="225"/>
      <c r="I6" s="172"/>
      <c r="J6" s="164"/>
      <c r="K6" s="173"/>
      <c r="L6" s="173"/>
      <c r="M6" s="173"/>
      <c r="N6" s="173"/>
      <c r="O6" s="173"/>
    </row>
    <row r="7" spans="1:15" ht="18" x14ac:dyDescent="0.35">
      <c r="A7" s="359" t="s">
        <v>5599</v>
      </c>
      <c r="B7" s="360"/>
      <c r="C7" s="226"/>
      <c r="D7" s="161"/>
      <c r="E7" s="161"/>
      <c r="H7" s="174"/>
      <c r="I7" s="172"/>
      <c r="J7" s="164"/>
      <c r="K7" s="173"/>
      <c r="L7" s="173"/>
      <c r="M7" s="173"/>
      <c r="N7" s="173"/>
      <c r="O7" s="173"/>
    </row>
    <row r="8" spans="1:15" x14ac:dyDescent="0.25">
      <c r="A8" s="175"/>
      <c r="I8" s="172"/>
    </row>
    <row r="9" spans="1:15" ht="27.75" customHeight="1" x14ac:dyDescent="0.25">
      <c r="A9" s="177" t="s">
        <v>7</v>
      </c>
      <c r="B9" s="178" t="s">
        <v>5600</v>
      </c>
      <c r="C9" s="179" t="s">
        <v>5601</v>
      </c>
      <c r="D9" s="179"/>
      <c r="E9" s="179"/>
      <c r="F9" s="367" t="s">
        <v>5602</v>
      </c>
      <c r="G9" s="367"/>
      <c r="H9" s="367"/>
      <c r="I9" s="368"/>
    </row>
    <row r="10" spans="1:15" ht="30" customHeight="1" x14ac:dyDescent="0.25">
      <c r="A10" s="239">
        <v>1</v>
      </c>
      <c r="B10" s="373" t="s">
        <v>5603</v>
      </c>
      <c r="C10" s="180" t="s">
        <v>5604</v>
      </c>
      <c r="D10" s="180" t="s">
        <v>5605</v>
      </c>
      <c r="E10" s="180" t="s">
        <v>5606</v>
      </c>
      <c r="F10" s="181" t="s">
        <v>1870</v>
      </c>
      <c r="G10" s="181" t="s">
        <v>5607</v>
      </c>
      <c r="H10" s="181" t="s">
        <v>5608</v>
      </c>
      <c r="I10" s="182" t="s">
        <v>5609</v>
      </c>
    </row>
    <row r="11" spans="1:15" ht="18.75" customHeight="1" thickBot="1" x14ac:dyDescent="0.3">
      <c r="A11" s="365"/>
      <c r="B11" s="374"/>
      <c r="C11" s="369" t="s">
        <v>5610</v>
      </c>
      <c r="D11" s="369"/>
      <c r="E11" s="369"/>
      <c r="F11" s="369"/>
      <c r="G11" s="369"/>
      <c r="H11" s="369"/>
      <c r="I11" s="370"/>
    </row>
    <row r="12" spans="1:15" s="207" customFormat="1" ht="15" customHeight="1" thickBot="1" x14ac:dyDescent="0.3">
      <c r="A12" s="365"/>
      <c r="B12" s="374"/>
      <c r="C12" s="227" t="s">
        <v>5611</v>
      </c>
      <c r="D12" s="218" t="s">
        <v>5612</v>
      </c>
      <c r="E12" s="219" t="s">
        <v>5613</v>
      </c>
      <c r="F12" s="220">
        <f>SUM(F13:F18)</f>
        <v>98054140.940000013</v>
      </c>
      <c r="G12" s="220">
        <f t="shared" ref="G12:H12" si="0">SUM(G13:G18)</f>
        <v>94238460.870000005</v>
      </c>
      <c r="H12" s="220">
        <f t="shared" si="0"/>
        <v>0</v>
      </c>
      <c r="I12" s="221">
        <f>SUM(F12:H12)</f>
        <v>192292601.81</v>
      </c>
    </row>
    <row r="13" spans="1:15" s="206" customFormat="1" ht="13.8" x14ac:dyDescent="0.25">
      <c r="A13" s="365"/>
      <c r="B13" s="374"/>
      <c r="C13" s="228" t="s">
        <v>5690</v>
      </c>
      <c r="D13" s="214"/>
      <c r="E13" s="215"/>
      <c r="F13" s="216">
        <v>41.31</v>
      </c>
      <c r="G13" s="216">
        <v>4821246.4499999993</v>
      </c>
      <c r="H13" s="216">
        <v>0</v>
      </c>
      <c r="I13" s="217">
        <f>F13+G13</f>
        <v>4821287.7599999988</v>
      </c>
    </row>
    <row r="14" spans="1:15" s="206" customFormat="1" ht="13.8" x14ac:dyDescent="0.25">
      <c r="A14" s="365"/>
      <c r="B14" s="374"/>
      <c r="C14" s="229" t="s">
        <v>5691</v>
      </c>
      <c r="D14" s="202"/>
      <c r="E14" s="203"/>
      <c r="F14" s="204">
        <v>938116.74</v>
      </c>
      <c r="G14" s="204">
        <v>8847837.0500000007</v>
      </c>
      <c r="H14" s="216">
        <v>0</v>
      </c>
      <c r="I14" s="217">
        <f t="shared" ref="I14:I18" si="1">F14+G14</f>
        <v>9785953.790000001</v>
      </c>
    </row>
    <row r="15" spans="1:15" s="206" customFormat="1" ht="13.8" x14ac:dyDescent="0.25">
      <c r="A15" s="365"/>
      <c r="B15" s="374"/>
      <c r="C15" s="229" t="s">
        <v>5692</v>
      </c>
      <c r="D15" s="202"/>
      <c r="E15" s="203"/>
      <c r="F15" s="204">
        <v>3392606.95</v>
      </c>
      <c r="G15" s="204">
        <v>4036325.2700000005</v>
      </c>
      <c r="H15" s="216">
        <v>0</v>
      </c>
      <c r="I15" s="217">
        <f t="shared" si="1"/>
        <v>7428932.2200000007</v>
      </c>
    </row>
    <row r="16" spans="1:15" s="206" customFormat="1" ht="13.8" x14ac:dyDescent="0.25">
      <c r="A16" s="365"/>
      <c r="B16" s="374"/>
      <c r="C16" s="332" t="s">
        <v>5693</v>
      </c>
      <c r="D16" s="333"/>
      <c r="E16" s="334"/>
      <c r="F16" s="335">
        <v>81692576.930000007</v>
      </c>
      <c r="G16" s="335">
        <v>25330007.56000001</v>
      </c>
      <c r="H16" s="336">
        <v>0</v>
      </c>
      <c r="I16" s="337">
        <f t="shared" si="1"/>
        <v>107022584.49000001</v>
      </c>
    </row>
    <row r="17" spans="1:12" s="206" customFormat="1" ht="13.8" x14ac:dyDescent="0.25">
      <c r="A17" s="365"/>
      <c r="B17" s="374"/>
      <c r="C17" s="332" t="s">
        <v>5694</v>
      </c>
      <c r="D17" s="333"/>
      <c r="E17" s="334"/>
      <c r="F17" s="335">
        <v>12030799.010000002</v>
      </c>
      <c r="G17" s="335">
        <v>32624760.530000009</v>
      </c>
      <c r="H17" s="336">
        <v>0</v>
      </c>
      <c r="I17" s="337">
        <f t="shared" si="1"/>
        <v>44655559.540000007</v>
      </c>
    </row>
    <row r="18" spans="1:12" s="206" customFormat="1" ht="14.4" thickBot="1" x14ac:dyDescent="0.3">
      <c r="A18" s="365"/>
      <c r="B18" s="374"/>
      <c r="C18" s="230" t="s">
        <v>5695</v>
      </c>
      <c r="D18" s="210"/>
      <c r="E18" s="211"/>
      <c r="F18" s="212">
        <v>0</v>
      </c>
      <c r="G18" s="212">
        <v>18578284.009999998</v>
      </c>
      <c r="H18" s="222">
        <v>0</v>
      </c>
      <c r="I18" s="217">
        <f t="shared" si="1"/>
        <v>18578284.009999998</v>
      </c>
    </row>
    <row r="19" spans="1:12" s="207" customFormat="1" ht="15" customHeight="1" thickBot="1" x14ac:dyDescent="0.3">
      <c r="A19" s="365"/>
      <c r="B19" s="374"/>
      <c r="C19" s="227" t="s">
        <v>5614</v>
      </c>
      <c r="D19" s="218" t="s">
        <v>5615</v>
      </c>
      <c r="E19" s="219" t="s">
        <v>5613</v>
      </c>
      <c r="F19" s="220">
        <f>SUM(F20:F22)</f>
        <v>3084221.8200000003</v>
      </c>
      <c r="G19" s="220">
        <f>SUM(G20:G22)</f>
        <v>3556416.9200000009</v>
      </c>
      <c r="H19" s="220">
        <f>SUM(H20:H22)</f>
        <v>0</v>
      </c>
      <c r="I19" s="221">
        <f t="shared" ref="I19:I74" si="2">SUM(F19:H19)</f>
        <v>6640638.7400000012</v>
      </c>
    </row>
    <row r="20" spans="1:12" s="206" customFormat="1" ht="27.6" x14ac:dyDescent="0.25">
      <c r="A20" s="365"/>
      <c r="B20" s="374"/>
      <c r="C20" s="228" t="s">
        <v>5696</v>
      </c>
      <c r="D20" s="214"/>
      <c r="E20" s="215"/>
      <c r="F20" s="216">
        <v>150267.17000000001</v>
      </c>
      <c r="G20" s="216">
        <v>344973.16</v>
      </c>
      <c r="H20" s="216">
        <v>0</v>
      </c>
      <c r="I20" s="217">
        <f>F20+G20</f>
        <v>495240.32999999996</v>
      </c>
    </row>
    <row r="21" spans="1:12" s="206" customFormat="1" ht="27.6" x14ac:dyDescent="0.25">
      <c r="A21" s="365"/>
      <c r="B21" s="374"/>
      <c r="C21" s="229" t="s">
        <v>5697</v>
      </c>
      <c r="D21" s="202"/>
      <c r="E21" s="203"/>
      <c r="F21" s="204">
        <v>383621.98</v>
      </c>
      <c r="G21" s="204">
        <v>1165382.9100000001</v>
      </c>
      <c r="H21" s="204">
        <v>0</v>
      </c>
      <c r="I21" s="205">
        <f>F21+G21</f>
        <v>1549004.8900000001</v>
      </c>
    </row>
    <row r="22" spans="1:12" s="206" customFormat="1" ht="28.2" thickBot="1" x14ac:dyDescent="0.3">
      <c r="A22" s="365"/>
      <c r="B22" s="374"/>
      <c r="C22" s="230" t="s">
        <v>5698</v>
      </c>
      <c r="D22" s="210"/>
      <c r="E22" s="211"/>
      <c r="F22" s="212">
        <v>2550332.6700000004</v>
      </c>
      <c r="G22" s="212">
        <v>2046060.8500000006</v>
      </c>
      <c r="H22" s="212">
        <v>0</v>
      </c>
      <c r="I22" s="213">
        <f>F22+G22</f>
        <v>4596393.5200000014</v>
      </c>
    </row>
    <row r="23" spans="1:12" s="207" customFormat="1" ht="15" customHeight="1" thickBot="1" x14ac:dyDescent="0.3">
      <c r="A23" s="365"/>
      <c r="B23" s="374"/>
      <c r="C23" s="227" t="s">
        <v>5616</v>
      </c>
      <c r="D23" s="218" t="s">
        <v>5617</v>
      </c>
      <c r="E23" s="219" t="s">
        <v>5613</v>
      </c>
      <c r="F23" s="220">
        <f>SUM(F24:F25)</f>
        <v>6928674.6199999992</v>
      </c>
      <c r="G23" s="220">
        <f t="shared" ref="G23:H23" si="3">SUM(G24:G25)</f>
        <v>1264551.4899999998</v>
      </c>
      <c r="H23" s="220">
        <f t="shared" si="3"/>
        <v>0</v>
      </c>
      <c r="I23" s="221">
        <f t="shared" si="2"/>
        <v>8193226.1099999994</v>
      </c>
      <c r="J23" s="206"/>
    </row>
    <row r="24" spans="1:12" s="206" customFormat="1" ht="13.8" x14ac:dyDescent="0.25">
      <c r="A24" s="365"/>
      <c r="B24" s="374"/>
      <c r="C24" s="228" t="s">
        <v>5699</v>
      </c>
      <c r="D24" s="214"/>
      <c r="E24" s="215"/>
      <c r="F24" s="216">
        <v>1993901.9099999997</v>
      </c>
      <c r="G24" s="216">
        <v>906924.66999999993</v>
      </c>
      <c r="H24" s="216">
        <v>0</v>
      </c>
      <c r="I24" s="217">
        <f>F24+G24</f>
        <v>2900826.5799999996</v>
      </c>
    </row>
    <row r="25" spans="1:12" s="206" customFormat="1" ht="14.4" thickBot="1" x14ac:dyDescent="0.3">
      <c r="A25" s="365"/>
      <c r="B25" s="374"/>
      <c r="C25" s="230" t="s">
        <v>5700</v>
      </c>
      <c r="D25" s="210"/>
      <c r="E25" s="211"/>
      <c r="F25" s="212">
        <v>4934772.709999999</v>
      </c>
      <c r="G25" s="212">
        <v>357626.81999999989</v>
      </c>
      <c r="H25" s="212">
        <v>0</v>
      </c>
      <c r="I25" s="213">
        <f>F25+G25</f>
        <v>5292399.5299999993</v>
      </c>
    </row>
    <row r="26" spans="1:12" s="207" customFormat="1" ht="19.5" customHeight="1" thickBot="1" x14ac:dyDescent="0.3">
      <c r="A26" s="365"/>
      <c r="B26" s="374"/>
      <c r="C26" s="227" t="s">
        <v>5618</v>
      </c>
      <c r="D26" s="218" t="s">
        <v>5619</v>
      </c>
      <c r="E26" s="219" t="s">
        <v>5613</v>
      </c>
      <c r="F26" s="220">
        <f>F27</f>
        <v>76784882.960000023</v>
      </c>
      <c r="G26" s="220">
        <f>G27</f>
        <v>1728791.7899999993</v>
      </c>
      <c r="H26" s="220">
        <f>H27</f>
        <v>0</v>
      </c>
      <c r="I26" s="221">
        <f t="shared" si="2"/>
        <v>78513674.75000003</v>
      </c>
      <c r="J26" s="206"/>
    </row>
    <row r="27" spans="1:12" s="206" customFormat="1" ht="28.2" thickBot="1" x14ac:dyDescent="0.3">
      <c r="A27" s="365"/>
      <c r="B27" s="374"/>
      <c r="C27" s="331" t="s">
        <v>5701</v>
      </c>
      <c r="D27" s="338"/>
      <c r="E27" s="339"/>
      <c r="F27" s="340">
        <v>76784882.960000023</v>
      </c>
      <c r="G27" s="340">
        <v>1728791.7899999993</v>
      </c>
      <c r="H27" s="340">
        <v>0</v>
      </c>
      <c r="I27" s="341">
        <f>F27+G27</f>
        <v>78513674.75000003</v>
      </c>
      <c r="L27" s="321"/>
    </row>
    <row r="28" spans="1:12" s="207" customFormat="1" ht="17.25" customHeight="1" thickBot="1" x14ac:dyDescent="0.3">
      <c r="A28" s="365"/>
      <c r="B28" s="374"/>
      <c r="C28" s="227" t="s">
        <v>5620</v>
      </c>
      <c r="D28" s="218" t="s">
        <v>5621</v>
      </c>
      <c r="E28" s="219" t="s">
        <v>5613</v>
      </c>
      <c r="F28" s="220">
        <f>SUM(F29:F33)</f>
        <v>34901218.660000011</v>
      </c>
      <c r="G28" s="220">
        <f t="shared" ref="G28:H28" si="4">SUM(G29:G33)</f>
        <v>3595655.7</v>
      </c>
      <c r="H28" s="220">
        <f t="shared" si="4"/>
        <v>311800.05</v>
      </c>
      <c r="I28" s="221">
        <f t="shared" si="2"/>
        <v>38808674.410000011</v>
      </c>
      <c r="J28" s="206"/>
    </row>
    <row r="29" spans="1:12" s="206" customFormat="1" ht="13.8" x14ac:dyDescent="0.25">
      <c r="A29" s="365"/>
      <c r="B29" s="374"/>
      <c r="C29" s="228" t="s">
        <v>5702</v>
      </c>
      <c r="D29" s="214"/>
      <c r="E29" s="215"/>
      <c r="F29" s="216">
        <v>0</v>
      </c>
      <c r="G29" s="216">
        <v>35870.770000000004</v>
      </c>
      <c r="H29" s="216">
        <v>0</v>
      </c>
      <c r="I29" s="217">
        <f>F29+G29</f>
        <v>35870.770000000004</v>
      </c>
    </row>
    <row r="30" spans="1:12" s="206" customFormat="1" ht="15.75" customHeight="1" x14ac:dyDescent="0.25">
      <c r="A30" s="365"/>
      <c r="B30" s="374"/>
      <c r="C30" s="332" t="s">
        <v>5703</v>
      </c>
      <c r="D30" s="333"/>
      <c r="E30" s="334"/>
      <c r="F30" s="335">
        <v>16104576.050000006</v>
      </c>
      <c r="G30" s="335">
        <v>1585904.9000000001</v>
      </c>
      <c r="H30" s="335">
        <v>0</v>
      </c>
      <c r="I30" s="337">
        <f t="shared" ref="I30:I31" si="5">F30+G30</f>
        <v>17690480.950000007</v>
      </c>
    </row>
    <row r="31" spans="1:12" s="206" customFormat="1" ht="27.6" x14ac:dyDescent="0.25">
      <c r="A31" s="365"/>
      <c r="B31" s="374"/>
      <c r="C31" s="332" t="s">
        <v>5704</v>
      </c>
      <c r="D31" s="333"/>
      <c r="E31" s="334"/>
      <c r="F31" s="335">
        <v>18796642.610000003</v>
      </c>
      <c r="G31" s="335">
        <v>1973880.0300000003</v>
      </c>
      <c r="H31" s="335">
        <v>0</v>
      </c>
      <c r="I31" s="337">
        <f t="shared" si="5"/>
        <v>20770522.640000004</v>
      </c>
    </row>
    <row r="32" spans="1:12" s="206" customFormat="1" ht="13.8" x14ac:dyDescent="0.25">
      <c r="A32" s="365"/>
      <c r="B32" s="374"/>
      <c r="C32" s="229" t="s">
        <v>5705</v>
      </c>
      <c r="D32" s="202"/>
      <c r="E32" s="203"/>
      <c r="F32" s="204">
        <v>0</v>
      </c>
      <c r="G32" s="204">
        <v>0</v>
      </c>
      <c r="H32" s="204">
        <v>140397.56</v>
      </c>
      <c r="I32" s="217">
        <f>F32+G32+H32</f>
        <v>140397.56</v>
      </c>
    </row>
    <row r="33" spans="1:11" s="206" customFormat="1" ht="14.4" thickBot="1" x14ac:dyDescent="0.3">
      <c r="A33" s="365"/>
      <c r="B33" s="374"/>
      <c r="C33" s="230" t="s">
        <v>5706</v>
      </c>
      <c r="D33" s="210"/>
      <c r="E33" s="211"/>
      <c r="F33" s="212">
        <v>0</v>
      </c>
      <c r="G33" s="212">
        <v>0</v>
      </c>
      <c r="H33" s="212">
        <v>171402.49</v>
      </c>
      <c r="I33" s="213">
        <f>F33+G33+H33</f>
        <v>171402.49</v>
      </c>
    </row>
    <row r="34" spans="1:11" s="207" customFormat="1" ht="15" customHeight="1" thickBot="1" x14ac:dyDescent="0.3">
      <c r="A34" s="365"/>
      <c r="B34" s="374"/>
      <c r="C34" s="227" t="s">
        <v>5622</v>
      </c>
      <c r="D34" s="218" t="s">
        <v>5623</v>
      </c>
      <c r="E34" s="219" t="s">
        <v>5613</v>
      </c>
      <c r="F34" s="220">
        <f>F35</f>
        <v>21321654.25</v>
      </c>
      <c r="G34" s="220">
        <f>G35</f>
        <v>352407.2</v>
      </c>
      <c r="H34" s="220">
        <f>H35</f>
        <v>0</v>
      </c>
      <c r="I34" s="221">
        <f t="shared" si="2"/>
        <v>21674061.449999999</v>
      </c>
      <c r="J34" s="206"/>
    </row>
    <row r="35" spans="1:11" s="206" customFormat="1" ht="14.4" thickBot="1" x14ac:dyDescent="0.3">
      <c r="A35" s="365"/>
      <c r="B35" s="374"/>
      <c r="C35" s="331" t="s">
        <v>5707</v>
      </c>
      <c r="D35" s="338"/>
      <c r="E35" s="339"/>
      <c r="F35" s="340">
        <v>21321654.25</v>
      </c>
      <c r="G35" s="340">
        <v>352407.2</v>
      </c>
      <c r="H35" s="340">
        <v>0</v>
      </c>
      <c r="I35" s="341">
        <f>F35+G35</f>
        <v>21674061.449999999</v>
      </c>
    </row>
    <row r="36" spans="1:11" s="207" customFormat="1" ht="15" customHeight="1" thickBot="1" x14ac:dyDescent="0.3">
      <c r="A36" s="365"/>
      <c r="B36" s="374"/>
      <c r="C36" s="227" t="s">
        <v>5624</v>
      </c>
      <c r="D36" s="218" t="s">
        <v>5625</v>
      </c>
      <c r="E36" s="219" t="s">
        <v>5613</v>
      </c>
      <c r="F36" s="220">
        <f>SUM(F37:F39)</f>
        <v>9845465.0099999998</v>
      </c>
      <c r="G36" s="220">
        <f t="shared" ref="G36:H36" si="6">SUM(G37:G39)</f>
        <v>5903915.7000000002</v>
      </c>
      <c r="H36" s="220">
        <f t="shared" si="6"/>
        <v>0</v>
      </c>
      <c r="I36" s="221">
        <f t="shared" si="2"/>
        <v>15749380.710000001</v>
      </c>
      <c r="J36" s="206"/>
    </row>
    <row r="37" spans="1:11" s="206" customFormat="1" ht="21" customHeight="1" x14ac:dyDescent="0.25">
      <c r="A37" s="365"/>
      <c r="B37" s="374"/>
      <c r="C37" s="474" t="s">
        <v>5708</v>
      </c>
      <c r="D37" s="475"/>
      <c r="E37" s="476"/>
      <c r="F37" s="336">
        <v>6388848.6799999988</v>
      </c>
      <c r="G37" s="336">
        <v>3412537.86</v>
      </c>
      <c r="H37" s="336">
        <v>0</v>
      </c>
      <c r="I37" s="337">
        <f>F37+G37</f>
        <v>9801386.5399999991</v>
      </c>
    </row>
    <row r="38" spans="1:11" s="206" customFormat="1" ht="18" customHeight="1" x14ac:dyDescent="0.25">
      <c r="A38" s="365"/>
      <c r="B38" s="374"/>
      <c r="C38" s="332" t="s">
        <v>5709</v>
      </c>
      <c r="D38" s="333"/>
      <c r="E38" s="334"/>
      <c r="F38" s="335">
        <v>1962508.0799999998</v>
      </c>
      <c r="G38" s="335">
        <v>1375426.69</v>
      </c>
      <c r="H38" s="335">
        <v>0</v>
      </c>
      <c r="I38" s="477">
        <f>F38+G38</f>
        <v>3337934.7699999996</v>
      </c>
    </row>
    <row r="39" spans="1:11" s="206" customFormat="1" ht="18" customHeight="1" thickBot="1" x14ac:dyDescent="0.3">
      <c r="A39" s="365"/>
      <c r="B39" s="374"/>
      <c r="C39" s="478" t="s">
        <v>5710</v>
      </c>
      <c r="D39" s="479"/>
      <c r="E39" s="480"/>
      <c r="F39" s="481">
        <v>1494108.2500000002</v>
      </c>
      <c r="G39" s="481">
        <v>1115951.1500000001</v>
      </c>
      <c r="H39" s="481">
        <v>0</v>
      </c>
      <c r="I39" s="482">
        <f>F39+G39</f>
        <v>2610059.4000000004</v>
      </c>
    </row>
    <row r="40" spans="1:11" s="207" customFormat="1" ht="14.4" thickBot="1" x14ac:dyDescent="0.3">
      <c r="A40" s="365"/>
      <c r="B40" s="374"/>
      <c r="C40" s="227" t="s">
        <v>5626</v>
      </c>
      <c r="D40" s="218" t="s">
        <v>5627</v>
      </c>
      <c r="E40" s="219" t="s">
        <v>5613</v>
      </c>
      <c r="F40" s="220">
        <f>SUM(F41:F42)</f>
        <v>1271582.77</v>
      </c>
      <c r="G40" s="220">
        <f t="shared" ref="G40:H40" si="7">SUM(G41:G42)</f>
        <v>1183268.7199999997</v>
      </c>
      <c r="H40" s="220">
        <f t="shared" si="7"/>
        <v>0</v>
      </c>
      <c r="I40" s="221">
        <f t="shared" si="2"/>
        <v>2454851.4899999998</v>
      </c>
      <c r="J40" s="206"/>
    </row>
    <row r="41" spans="1:11" s="206" customFormat="1" ht="13.8" x14ac:dyDescent="0.25">
      <c r="A41" s="365"/>
      <c r="B41" s="374"/>
      <c r="C41" s="228" t="s">
        <v>5711</v>
      </c>
      <c r="D41" s="214"/>
      <c r="E41" s="215"/>
      <c r="F41" s="216">
        <v>0</v>
      </c>
      <c r="G41" s="216">
        <v>368319.08999999997</v>
      </c>
      <c r="H41" s="216">
        <v>0</v>
      </c>
      <c r="I41" s="217">
        <f>F41+G41</f>
        <v>368319.08999999997</v>
      </c>
    </row>
    <row r="42" spans="1:11" s="206" customFormat="1" ht="14.4" thickBot="1" x14ac:dyDescent="0.3">
      <c r="A42" s="365"/>
      <c r="B42" s="374"/>
      <c r="C42" s="230" t="s">
        <v>5712</v>
      </c>
      <c r="D42" s="210"/>
      <c r="E42" s="211"/>
      <c r="F42" s="212">
        <v>1271582.77</v>
      </c>
      <c r="G42" s="212">
        <v>814949.62999999966</v>
      </c>
      <c r="H42" s="212">
        <v>0</v>
      </c>
      <c r="I42" s="213">
        <f>F42+G42</f>
        <v>2086532.3999999997</v>
      </c>
      <c r="K42" s="206" t="s">
        <v>5733</v>
      </c>
    </row>
    <row r="43" spans="1:11" s="207" customFormat="1" ht="27.6" x14ac:dyDescent="0.25">
      <c r="A43" s="365"/>
      <c r="B43" s="374"/>
      <c r="C43" s="243" t="s">
        <v>5628</v>
      </c>
      <c r="D43" s="208" t="s">
        <v>5629</v>
      </c>
      <c r="E43" s="209" t="s">
        <v>5613</v>
      </c>
      <c r="F43" s="361">
        <f>F45</f>
        <v>1692888.8600000003</v>
      </c>
      <c r="G43" s="361">
        <f>G45</f>
        <v>837297.34</v>
      </c>
      <c r="H43" s="361">
        <f>H45</f>
        <v>0</v>
      </c>
      <c r="I43" s="363">
        <f>SUM(F43:H44)</f>
        <v>2530186.2000000002</v>
      </c>
      <c r="J43" s="206"/>
    </row>
    <row r="44" spans="1:11" s="207" customFormat="1" ht="30" customHeight="1" thickBot="1" x14ac:dyDescent="0.3">
      <c r="A44" s="365"/>
      <c r="B44" s="374"/>
      <c r="C44" s="240" t="s">
        <v>5630</v>
      </c>
      <c r="D44" s="241" t="s">
        <v>5631</v>
      </c>
      <c r="E44" s="242" t="s">
        <v>5613</v>
      </c>
      <c r="F44" s="362"/>
      <c r="G44" s="362"/>
      <c r="H44" s="362"/>
      <c r="I44" s="364"/>
      <c r="J44" s="206"/>
    </row>
    <row r="45" spans="1:11" s="206" customFormat="1" ht="14.4" thickBot="1" x14ac:dyDescent="0.3">
      <c r="A45" s="365"/>
      <c r="B45" s="374"/>
      <c r="C45" s="232" t="s">
        <v>5713</v>
      </c>
      <c r="D45" s="233"/>
      <c r="E45" s="234"/>
      <c r="F45" s="222">
        <v>1692888.8600000003</v>
      </c>
      <c r="G45" s="222">
        <v>837297.34</v>
      </c>
      <c r="H45" s="222">
        <v>0</v>
      </c>
      <c r="I45" s="235">
        <f>F45+G45</f>
        <v>2530186.2000000002</v>
      </c>
    </row>
    <row r="46" spans="1:11" s="207" customFormat="1" ht="28.2" thickBot="1" x14ac:dyDescent="0.3">
      <c r="A46" s="365"/>
      <c r="B46" s="374"/>
      <c r="C46" s="227" t="s">
        <v>5632</v>
      </c>
      <c r="D46" s="218" t="s">
        <v>5633</v>
      </c>
      <c r="E46" s="219" t="s">
        <v>5613</v>
      </c>
      <c r="F46" s="220">
        <f>F47</f>
        <v>304853.32</v>
      </c>
      <c r="G46" s="220">
        <f>G47</f>
        <v>86807.56</v>
      </c>
      <c r="H46" s="220">
        <f>H47</f>
        <v>0</v>
      </c>
      <c r="I46" s="221">
        <f t="shared" si="2"/>
        <v>391660.88</v>
      </c>
      <c r="J46" s="206"/>
    </row>
    <row r="47" spans="1:11" s="206" customFormat="1" ht="14.4" thickBot="1" x14ac:dyDescent="0.3">
      <c r="A47" s="365"/>
      <c r="B47" s="374"/>
      <c r="C47" s="232" t="s">
        <v>5714</v>
      </c>
      <c r="D47" s="233"/>
      <c r="E47" s="234"/>
      <c r="F47" s="222">
        <v>304853.32</v>
      </c>
      <c r="G47" s="222">
        <v>86807.56</v>
      </c>
      <c r="H47" s="222">
        <v>0</v>
      </c>
      <c r="I47" s="235">
        <f>F47+G47</f>
        <v>391660.88</v>
      </c>
    </row>
    <row r="48" spans="1:11" s="207" customFormat="1" ht="28.2" thickBot="1" x14ac:dyDescent="0.3">
      <c r="A48" s="365"/>
      <c r="B48" s="374"/>
      <c r="C48" s="227" t="s">
        <v>5716</v>
      </c>
      <c r="D48" s="218" t="s">
        <v>5634</v>
      </c>
      <c r="E48" s="219" t="s">
        <v>5613</v>
      </c>
      <c r="F48" s="220">
        <f>F49</f>
        <v>15372.749999999995</v>
      </c>
      <c r="G48" s="220">
        <f>G49</f>
        <v>9772.4500000000007</v>
      </c>
      <c r="H48" s="220">
        <f>H49</f>
        <v>0</v>
      </c>
      <c r="I48" s="221">
        <f t="shared" si="2"/>
        <v>25145.199999999997</v>
      </c>
      <c r="J48" s="206"/>
    </row>
    <row r="49" spans="1:10" s="206" customFormat="1" ht="20.25" customHeight="1" thickBot="1" x14ac:dyDescent="0.3">
      <c r="A49" s="365"/>
      <c r="B49" s="374"/>
      <c r="C49" s="232" t="s">
        <v>5715</v>
      </c>
      <c r="D49" s="233"/>
      <c r="E49" s="234"/>
      <c r="F49" s="222">
        <v>15372.749999999995</v>
      </c>
      <c r="G49" s="222">
        <v>9772.4500000000007</v>
      </c>
      <c r="H49" s="222">
        <v>0</v>
      </c>
      <c r="I49" s="235">
        <f>F49+G49</f>
        <v>25145.199999999997</v>
      </c>
    </row>
    <row r="50" spans="1:10" s="207" customFormat="1" ht="28.2" thickBot="1" x14ac:dyDescent="0.3">
      <c r="A50" s="365"/>
      <c r="B50" s="374"/>
      <c r="C50" s="227" t="s">
        <v>5635</v>
      </c>
      <c r="D50" s="218" t="s">
        <v>5636</v>
      </c>
      <c r="E50" s="219" t="s">
        <v>5613</v>
      </c>
      <c r="F50" s="220">
        <f>SUM(F51:F52)</f>
        <v>97776.58</v>
      </c>
      <c r="G50" s="220">
        <f t="shared" ref="G50:H50" si="8">SUM(G51:G52)</f>
        <v>57901.84</v>
      </c>
      <c r="H50" s="220">
        <f t="shared" si="8"/>
        <v>0</v>
      </c>
      <c r="I50" s="221">
        <f t="shared" si="2"/>
        <v>155678.41999999998</v>
      </c>
      <c r="J50" s="206"/>
    </row>
    <row r="51" spans="1:10" s="206" customFormat="1" ht="20.25" customHeight="1" x14ac:dyDescent="0.25">
      <c r="A51" s="365"/>
      <c r="B51" s="374"/>
      <c r="C51" s="228" t="s">
        <v>5717</v>
      </c>
      <c r="D51" s="214"/>
      <c r="E51" s="215"/>
      <c r="F51" s="216">
        <v>71960.509999999995</v>
      </c>
      <c r="G51" s="216">
        <v>45128.67</v>
      </c>
      <c r="H51" s="216">
        <v>0</v>
      </c>
      <c r="I51" s="217">
        <f>F51+G51</f>
        <v>117089.18</v>
      </c>
    </row>
    <row r="52" spans="1:10" s="206" customFormat="1" ht="20.25" customHeight="1" thickBot="1" x14ac:dyDescent="0.3">
      <c r="A52" s="365"/>
      <c r="B52" s="374"/>
      <c r="C52" s="230" t="s">
        <v>5718</v>
      </c>
      <c r="D52" s="210"/>
      <c r="E52" s="211"/>
      <c r="F52" s="212">
        <v>25816.070000000003</v>
      </c>
      <c r="G52" s="212">
        <v>12773.170000000002</v>
      </c>
      <c r="H52" s="212">
        <v>0</v>
      </c>
      <c r="I52" s="213">
        <f>F52+G52</f>
        <v>38589.240000000005</v>
      </c>
    </row>
    <row r="53" spans="1:10" s="207" customFormat="1" ht="42" thickBot="1" x14ac:dyDescent="0.3">
      <c r="A53" s="365"/>
      <c r="B53" s="374"/>
      <c r="C53" s="227" t="s">
        <v>5637</v>
      </c>
      <c r="D53" s="218" t="s">
        <v>5638</v>
      </c>
      <c r="E53" s="219" t="s">
        <v>5613</v>
      </c>
      <c r="F53" s="220">
        <f>SUM(F54:F55)</f>
        <v>2326463.0399999991</v>
      </c>
      <c r="G53" s="220">
        <f t="shared" ref="G53:H53" si="9">SUM(G54:G55)</f>
        <v>234326.40000000002</v>
      </c>
      <c r="H53" s="220">
        <f t="shared" si="9"/>
        <v>122964.03</v>
      </c>
      <c r="I53" s="221">
        <f t="shared" si="2"/>
        <v>2683753.4699999988</v>
      </c>
      <c r="J53" s="206"/>
    </row>
    <row r="54" spans="1:10" s="206" customFormat="1" ht="13.8" x14ac:dyDescent="0.25">
      <c r="A54" s="365"/>
      <c r="B54" s="374"/>
      <c r="C54" s="228" t="s">
        <v>5719</v>
      </c>
      <c r="D54" s="214"/>
      <c r="E54" s="215"/>
      <c r="F54" s="216">
        <v>2326463.0399999991</v>
      </c>
      <c r="G54" s="216">
        <v>234326.40000000002</v>
      </c>
      <c r="H54" s="216">
        <v>0</v>
      </c>
      <c r="I54" s="217">
        <f>F54+G54</f>
        <v>2560789.439999999</v>
      </c>
    </row>
    <row r="55" spans="1:10" s="206" customFormat="1" ht="14.4" thickBot="1" x14ac:dyDescent="0.3">
      <c r="A55" s="365"/>
      <c r="B55" s="374"/>
      <c r="C55" s="230" t="s">
        <v>5720</v>
      </c>
      <c r="D55" s="210"/>
      <c r="E55" s="211"/>
      <c r="F55" s="212">
        <v>0</v>
      </c>
      <c r="G55" s="212">
        <v>0</v>
      </c>
      <c r="H55" s="212">
        <v>122964.03</v>
      </c>
      <c r="I55" s="213">
        <f>F55+G55</f>
        <v>0</v>
      </c>
    </row>
    <row r="56" spans="1:10" s="207" customFormat="1" ht="27" thickBot="1" x14ac:dyDescent="0.3">
      <c r="A56" s="365"/>
      <c r="B56" s="374"/>
      <c r="C56" s="237" t="s">
        <v>5639</v>
      </c>
      <c r="D56" s="218" t="s">
        <v>5640</v>
      </c>
      <c r="E56" s="219" t="s">
        <v>5613</v>
      </c>
      <c r="F56" s="220">
        <f>F57</f>
        <v>414026.72</v>
      </c>
      <c r="G56" s="220">
        <f>G57</f>
        <v>156775.58999999997</v>
      </c>
      <c r="H56" s="220">
        <f>H57</f>
        <v>0</v>
      </c>
      <c r="I56" s="221">
        <f t="shared" si="2"/>
        <v>570802.30999999994</v>
      </c>
      <c r="J56" s="206"/>
    </row>
    <row r="57" spans="1:10" s="206" customFormat="1" ht="14.4" thickBot="1" x14ac:dyDescent="0.3">
      <c r="A57" s="365"/>
      <c r="B57" s="374"/>
      <c r="C57" s="232" t="s">
        <v>5721</v>
      </c>
      <c r="D57" s="233"/>
      <c r="E57" s="234"/>
      <c r="F57" s="222">
        <v>414026.72</v>
      </c>
      <c r="G57" s="222">
        <v>156775.58999999997</v>
      </c>
      <c r="H57" s="222">
        <v>0</v>
      </c>
      <c r="I57" s="235">
        <f>F57+G57</f>
        <v>570802.30999999994</v>
      </c>
      <c r="J57" s="238"/>
    </row>
    <row r="58" spans="1:10" s="207" customFormat="1" ht="27.6" x14ac:dyDescent="0.25">
      <c r="A58" s="365"/>
      <c r="B58" s="374"/>
      <c r="C58" s="243" t="s">
        <v>5641</v>
      </c>
      <c r="D58" s="208" t="s">
        <v>5642</v>
      </c>
      <c r="E58" s="209" t="s">
        <v>5613</v>
      </c>
      <c r="F58" s="361">
        <f>SUM(F60:F62)</f>
        <v>2670613.9</v>
      </c>
      <c r="G58" s="361">
        <f t="shared" ref="G58:H58" si="10">SUM(G60:G62)</f>
        <v>1986939.1799999997</v>
      </c>
      <c r="H58" s="361">
        <f t="shared" si="10"/>
        <v>0</v>
      </c>
      <c r="I58" s="363">
        <f>SUM(F58:H59)</f>
        <v>4657553.08</v>
      </c>
      <c r="J58" s="206"/>
    </row>
    <row r="59" spans="1:10" s="207" customFormat="1" ht="44.25" customHeight="1" thickBot="1" x14ac:dyDescent="0.3">
      <c r="A59" s="365"/>
      <c r="B59" s="374"/>
      <c r="C59" s="240" t="s">
        <v>5643</v>
      </c>
      <c r="D59" s="241" t="s">
        <v>5644</v>
      </c>
      <c r="E59" s="242" t="s">
        <v>5613</v>
      </c>
      <c r="F59" s="362"/>
      <c r="G59" s="362"/>
      <c r="H59" s="362"/>
      <c r="I59" s="364"/>
      <c r="J59" s="206"/>
    </row>
    <row r="60" spans="1:10" s="206" customFormat="1" ht="27.6" x14ac:dyDescent="0.25">
      <c r="A60" s="365"/>
      <c r="B60" s="374"/>
      <c r="C60" s="228" t="s">
        <v>5722</v>
      </c>
      <c r="D60" s="214"/>
      <c r="E60" s="215"/>
      <c r="F60" s="216">
        <v>2977.96</v>
      </c>
      <c r="G60" s="216">
        <v>739983.51</v>
      </c>
      <c r="H60" s="216">
        <v>0</v>
      </c>
      <c r="I60" s="217">
        <f>F60+G60</f>
        <v>742961.47</v>
      </c>
    </row>
    <row r="61" spans="1:10" s="206" customFormat="1" ht="27.6" x14ac:dyDescent="0.25">
      <c r="A61" s="365"/>
      <c r="B61" s="374"/>
      <c r="C61" s="229" t="s">
        <v>5723</v>
      </c>
      <c r="D61" s="202"/>
      <c r="E61" s="203"/>
      <c r="F61" s="204">
        <v>523235.5</v>
      </c>
      <c r="G61" s="204">
        <v>246828.50000000003</v>
      </c>
      <c r="H61" s="204">
        <v>0</v>
      </c>
      <c r="I61" s="205">
        <f>F61+G61</f>
        <v>770064</v>
      </c>
    </row>
    <row r="62" spans="1:10" s="206" customFormat="1" ht="28.2" thickBot="1" x14ac:dyDescent="0.3">
      <c r="A62" s="365"/>
      <c r="B62" s="374"/>
      <c r="C62" s="230" t="s">
        <v>5724</v>
      </c>
      <c r="D62" s="210"/>
      <c r="E62" s="211"/>
      <c r="F62" s="212">
        <v>2144400.44</v>
      </c>
      <c r="G62" s="212">
        <v>1000127.1699999997</v>
      </c>
      <c r="H62" s="212">
        <v>0</v>
      </c>
      <c r="I62" s="213">
        <f>F62+G62</f>
        <v>3144527.6099999994</v>
      </c>
    </row>
    <row r="63" spans="1:10" s="207" customFormat="1" ht="28.2" thickBot="1" x14ac:dyDescent="0.3">
      <c r="A63" s="365"/>
      <c r="B63" s="374"/>
      <c r="C63" s="227" t="s">
        <v>5645</v>
      </c>
      <c r="D63" s="218" t="s">
        <v>5646</v>
      </c>
      <c r="E63" s="219" t="s">
        <v>5613</v>
      </c>
      <c r="F63" s="220">
        <f>SUM(F64)</f>
        <v>2994069.6599999997</v>
      </c>
      <c r="G63" s="220">
        <f t="shared" ref="G63:H63" si="11">SUM(G64)</f>
        <v>1459761.3000000005</v>
      </c>
      <c r="H63" s="220">
        <f t="shared" si="11"/>
        <v>0</v>
      </c>
      <c r="I63" s="221">
        <f t="shared" si="2"/>
        <v>4453830.96</v>
      </c>
      <c r="J63" s="206"/>
    </row>
    <row r="64" spans="1:10" s="206" customFormat="1" ht="28.2" thickBot="1" x14ac:dyDescent="0.3">
      <c r="A64" s="365"/>
      <c r="B64" s="374"/>
      <c r="C64" s="331" t="s">
        <v>5725</v>
      </c>
      <c r="D64" s="338"/>
      <c r="E64" s="339"/>
      <c r="F64" s="340">
        <v>2994069.6599999997</v>
      </c>
      <c r="G64" s="340">
        <v>1459761.3000000005</v>
      </c>
      <c r="H64" s="340">
        <v>0</v>
      </c>
      <c r="I64" s="341">
        <f>F64+G64</f>
        <v>4453830.96</v>
      </c>
    </row>
    <row r="65" spans="1:10" s="207" customFormat="1" ht="27.6" x14ac:dyDescent="0.25">
      <c r="A65" s="365"/>
      <c r="B65" s="374"/>
      <c r="C65" s="243" t="s">
        <v>5647</v>
      </c>
      <c r="D65" s="208" t="s">
        <v>5648</v>
      </c>
      <c r="E65" s="209" t="s">
        <v>5613</v>
      </c>
      <c r="F65" s="361">
        <f>SUM(F67:F69)</f>
        <v>7144506.8900000015</v>
      </c>
      <c r="G65" s="361">
        <f t="shared" ref="G65:H65" si="12">SUM(G67:G69)</f>
        <v>7266430.9400000004</v>
      </c>
      <c r="H65" s="361">
        <f t="shared" si="12"/>
        <v>0</v>
      </c>
      <c r="I65" s="363">
        <f>SUM(F65:H66)</f>
        <v>14410937.830000002</v>
      </c>
      <c r="J65" s="206"/>
    </row>
    <row r="66" spans="1:10" s="207" customFormat="1" ht="30" customHeight="1" thickBot="1" x14ac:dyDescent="0.3">
      <c r="A66" s="365"/>
      <c r="B66" s="374"/>
      <c r="C66" s="240" t="s">
        <v>5649</v>
      </c>
      <c r="D66" s="241" t="s">
        <v>5650</v>
      </c>
      <c r="E66" s="242" t="s">
        <v>5613</v>
      </c>
      <c r="F66" s="362"/>
      <c r="G66" s="362"/>
      <c r="H66" s="362"/>
      <c r="I66" s="364"/>
      <c r="J66" s="206"/>
    </row>
    <row r="67" spans="1:10" s="206" customFormat="1" ht="27.6" x14ac:dyDescent="0.25">
      <c r="A67" s="365"/>
      <c r="B67" s="374"/>
      <c r="C67" s="228" t="s">
        <v>5726</v>
      </c>
      <c r="D67" s="214"/>
      <c r="E67" s="215"/>
      <c r="F67" s="216">
        <v>9139.880000000001</v>
      </c>
      <c r="G67" s="216">
        <v>3423433.3900000006</v>
      </c>
      <c r="H67" s="216">
        <v>0</v>
      </c>
      <c r="I67" s="217">
        <f>F67+G67</f>
        <v>3432573.2700000005</v>
      </c>
    </row>
    <row r="68" spans="1:10" s="206" customFormat="1" ht="27.6" x14ac:dyDescent="0.25">
      <c r="A68" s="365"/>
      <c r="B68" s="374"/>
      <c r="C68" s="229" t="s">
        <v>5727</v>
      </c>
      <c r="D68" s="202"/>
      <c r="E68" s="203"/>
      <c r="F68" s="204">
        <v>2551375.62</v>
      </c>
      <c r="G68" s="204">
        <v>1781775.8999999997</v>
      </c>
      <c r="H68" s="204">
        <v>0</v>
      </c>
      <c r="I68" s="205">
        <f>F68+G68</f>
        <v>4333151.5199999996</v>
      </c>
    </row>
    <row r="69" spans="1:10" s="206" customFormat="1" ht="28.2" thickBot="1" x14ac:dyDescent="0.3">
      <c r="A69" s="365"/>
      <c r="B69" s="374"/>
      <c r="C69" s="230" t="s">
        <v>5728</v>
      </c>
      <c r="D69" s="210"/>
      <c r="E69" s="211"/>
      <c r="F69" s="212">
        <v>4583991.3900000015</v>
      </c>
      <c r="G69" s="212">
        <v>2061221.6500000001</v>
      </c>
      <c r="H69" s="212">
        <v>0</v>
      </c>
      <c r="I69" s="213">
        <f>F69+G69</f>
        <v>6645213.0400000019</v>
      </c>
    </row>
    <row r="70" spans="1:10" s="207" customFormat="1" ht="28.2" thickBot="1" x14ac:dyDescent="0.3">
      <c r="A70" s="365"/>
      <c r="B70" s="374"/>
      <c r="C70" s="227" t="s">
        <v>5651</v>
      </c>
      <c r="D70" s="218" t="s">
        <v>5652</v>
      </c>
      <c r="E70" s="219" t="s">
        <v>5613</v>
      </c>
      <c r="F70" s="220">
        <f>F71</f>
        <v>4359741.72</v>
      </c>
      <c r="G70" s="220">
        <f>G71</f>
        <v>2602922.15</v>
      </c>
      <c r="H70" s="220">
        <f>H71</f>
        <v>0</v>
      </c>
      <c r="I70" s="221">
        <f t="shared" si="2"/>
        <v>6962663.8699999992</v>
      </c>
      <c r="J70" s="206"/>
    </row>
    <row r="71" spans="1:10" s="206" customFormat="1" ht="28.2" thickBot="1" x14ac:dyDescent="0.3">
      <c r="A71" s="365"/>
      <c r="B71" s="374"/>
      <c r="C71" s="232" t="s">
        <v>5729</v>
      </c>
      <c r="D71" s="233"/>
      <c r="E71" s="234"/>
      <c r="F71" s="222">
        <v>4359741.72</v>
      </c>
      <c r="G71" s="222">
        <v>2602922.15</v>
      </c>
      <c r="H71" s="222">
        <v>0</v>
      </c>
      <c r="I71" s="235">
        <f>F71+G71</f>
        <v>6962663.8699999992</v>
      </c>
    </row>
    <row r="72" spans="1:10" s="207" customFormat="1" ht="27" thickBot="1" x14ac:dyDescent="0.3">
      <c r="A72" s="365"/>
      <c r="B72" s="374"/>
      <c r="C72" s="237" t="s">
        <v>5653</v>
      </c>
      <c r="D72" s="218" t="s">
        <v>5654</v>
      </c>
      <c r="E72" s="219" t="s">
        <v>5613</v>
      </c>
      <c r="F72" s="220">
        <f>F73</f>
        <v>10472998.660000002</v>
      </c>
      <c r="G72" s="220">
        <f>G73</f>
        <v>484696.97</v>
      </c>
      <c r="H72" s="220">
        <f>H73</f>
        <v>0</v>
      </c>
      <c r="I72" s="221">
        <f t="shared" si="2"/>
        <v>10957695.630000003</v>
      </c>
      <c r="J72" s="206"/>
    </row>
    <row r="73" spans="1:10" s="206" customFormat="1" ht="22.5" customHeight="1" thickBot="1" x14ac:dyDescent="0.3">
      <c r="A73" s="365"/>
      <c r="B73" s="374"/>
      <c r="C73" s="232" t="s">
        <v>5730</v>
      </c>
      <c r="D73" s="233"/>
      <c r="E73" s="234"/>
      <c r="F73" s="222">
        <v>10472998.660000002</v>
      </c>
      <c r="G73" s="222">
        <v>484696.97</v>
      </c>
      <c r="H73" s="222">
        <v>0</v>
      </c>
      <c r="I73" s="235">
        <f>F73+G73</f>
        <v>10957695.630000003</v>
      </c>
    </row>
    <row r="74" spans="1:10" s="207" customFormat="1" ht="27" thickBot="1" x14ac:dyDescent="0.3">
      <c r="A74" s="365"/>
      <c r="B74" s="374"/>
      <c r="C74" s="237" t="s">
        <v>5655</v>
      </c>
      <c r="D74" s="218" t="s">
        <v>5656</v>
      </c>
      <c r="E74" s="219" t="s">
        <v>5613</v>
      </c>
      <c r="F74" s="220">
        <f>F75</f>
        <v>4572480.5100000007</v>
      </c>
      <c r="G74" s="220">
        <f>G75</f>
        <v>873518.23</v>
      </c>
      <c r="H74" s="220">
        <f>H75</f>
        <v>0</v>
      </c>
      <c r="I74" s="221">
        <f t="shared" si="2"/>
        <v>5445998.7400000002</v>
      </c>
      <c r="J74" s="206"/>
    </row>
    <row r="75" spans="1:10" s="206" customFormat="1" ht="22.5" customHeight="1" thickBot="1" x14ac:dyDescent="0.3">
      <c r="A75" s="365"/>
      <c r="B75" s="374"/>
      <c r="C75" s="232" t="s">
        <v>5731</v>
      </c>
      <c r="D75" s="233"/>
      <c r="E75" s="234"/>
      <c r="F75" s="222">
        <v>4572480.5100000007</v>
      </c>
      <c r="G75" s="222">
        <v>873518.23</v>
      </c>
      <c r="H75" s="222">
        <v>0</v>
      </c>
      <c r="I75" s="235">
        <f>F75+G75</f>
        <v>5445998.7400000002</v>
      </c>
    </row>
    <row r="76" spans="1:10" s="207" customFormat="1" ht="26.4" x14ac:dyDescent="0.25">
      <c r="A76" s="365"/>
      <c r="B76" s="374"/>
      <c r="C76" s="236" t="s">
        <v>5657</v>
      </c>
      <c r="D76" s="208" t="s">
        <v>5658</v>
      </c>
      <c r="E76" s="209" t="s">
        <v>5613</v>
      </c>
      <c r="F76" s="361">
        <f>F78</f>
        <v>6220522.6100000003</v>
      </c>
      <c r="G76" s="361">
        <f>G78</f>
        <v>1425765.3299999998</v>
      </c>
      <c r="H76" s="361">
        <f>H78</f>
        <v>0</v>
      </c>
      <c r="I76" s="363">
        <f>SUM(F76:H77)</f>
        <v>7646287.9400000004</v>
      </c>
      <c r="J76" s="206"/>
    </row>
    <row r="77" spans="1:10" s="207" customFormat="1" ht="27" customHeight="1" thickBot="1" x14ac:dyDescent="0.3">
      <c r="A77" s="365"/>
      <c r="B77" s="374"/>
      <c r="C77" s="244" t="s">
        <v>5659</v>
      </c>
      <c r="D77" s="241" t="s">
        <v>5660</v>
      </c>
      <c r="E77" s="242" t="s">
        <v>5613</v>
      </c>
      <c r="F77" s="362"/>
      <c r="G77" s="362"/>
      <c r="H77" s="362"/>
      <c r="I77" s="364"/>
      <c r="J77" s="206"/>
    </row>
    <row r="78" spans="1:10" s="206" customFormat="1" ht="20.25" customHeight="1" thickBot="1" x14ac:dyDescent="0.3">
      <c r="A78" s="365"/>
      <c r="B78" s="374"/>
      <c r="C78" s="230" t="s">
        <v>5732</v>
      </c>
      <c r="D78" s="210"/>
      <c r="E78" s="211"/>
      <c r="F78" s="212">
        <v>6220522.6100000003</v>
      </c>
      <c r="G78" s="212">
        <v>1425765.3299999998</v>
      </c>
      <c r="H78" s="212">
        <v>0</v>
      </c>
      <c r="I78" s="213">
        <f>F78+G78</f>
        <v>7646287.9400000004</v>
      </c>
    </row>
    <row r="79" spans="1:10" ht="14.4" thickBot="1" x14ac:dyDescent="0.3">
      <c r="A79" s="366"/>
      <c r="B79" s="375"/>
      <c r="C79" s="247" t="s">
        <v>5661</v>
      </c>
      <c r="D79" s="248"/>
      <c r="E79" s="249"/>
      <c r="F79" s="371"/>
      <c r="G79" s="372"/>
      <c r="H79" s="372"/>
      <c r="I79" s="250">
        <f>F79</f>
        <v>0</v>
      </c>
    </row>
    <row r="80" spans="1:10" ht="20.25" customHeight="1" thickTop="1" x14ac:dyDescent="0.25">
      <c r="A80" s="245">
        <v>2</v>
      </c>
      <c r="B80" s="342" t="s">
        <v>5662</v>
      </c>
      <c r="C80" s="343"/>
      <c r="D80" s="343"/>
      <c r="E80" s="343"/>
      <c r="F80" s="343"/>
      <c r="G80" s="343"/>
      <c r="H80" s="343"/>
      <c r="I80" s="246">
        <f>I12+I19+I23+I26+I28+I34+I36+I40+I43+I46+I48+I50+I53+I56+I58+I63+I65+I70+I72+I74+I76</f>
        <v>425219304.00000006</v>
      </c>
    </row>
    <row r="81" spans="1:10" ht="17.25" customHeight="1" x14ac:dyDescent="0.25">
      <c r="A81" s="184">
        <v>3</v>
      </c>
      <c r="B81" s="344" t="s">
        <v>5663</v>
      </c>
      <c r="C81" s="345"/>
      <c r="D81" s="345"/>
      <c r="E81" s="345"/>
      <c r="F81" s="345"/>
      <c r="G81" s="345"/>
      <c r="H81" s="345"/>
      <c r="I81" s="183">
        <f>I80*0.03</f>
        <v>12756579.120000001</v>
      </c>
    </row>
    <row r="82" spans="1:10" ht="30" customHeight="1" x14ac:dyDescent="0.25">
      <c r="A82" s="184">
        <v>4</v>
      </c>
      <c r="B82" s="346" t="s">
        <v>5664</v>
      </c>
      <c r="C82" s="347"/>
      <c r="D82" s="347"/>
      <c r="E82" s="347"/>
      <c r="F82" s="347"/>
      <c r="G82" s="347"/>
      <c r="H82" s="347"/>
      <c r="I82" s="185">
        <f>I80+I81</f>
        <v>437975883.12000006</v>
      </c>
      <c r="J82" s="186"/>
    </row>
    <row r="83" spans="1:10" ht="30" customHeight="1" x14ac:dyDescent="0.25">
      <c r="A83" s="184">
        <v>5</v>
      </c>
      <c r="B83" s="187" t="s">
        <v>5665</v>
      </c>
      <c r="C83" s="376" t="s">
        <v>5666</v>
      </c>
      <c r="D83" s="377"/>
      <c r="E83" s="377"/>
      <c r="F83" s="377"/>
      <c r="G83" s="377"/>
      <c r="H83" s="377"/>
      <c r="I83" s="183">
        <f>I82*0.2</f>
        <v>87595176.624000013</v>
      </c>
    </row>
    <row r="84" spans="1:10" ht="22.5" customHeight="1" x14ac:dyDescent="0.25">
      <c r="A84" s="184">
        <v>6</v>
      </c>
      <c r="B84" s="378" t="s">
        <v>5667</v>
      </c>
      <c r="C84" s="379"/>
      <c r="D84" s="379"/>
      <c r="E84" s="379"/>
      <c r="F84" s="379"/>
      <c r="G84" s="379"/>
      <c r="H84" s="379"/>
      <c r="I84" s="251">
        <f>I82+I83</f>
        <v>525571059.74400008</v>
      </c>
    </row>
    <row r="85" spans="1:10" ht="75.75" customHeight="1" x14ac:dyDescent="0.25">
      <c r="A85" s="184">
        <v>7</v>
      </c>
      <c r="B85" s="187" t="s">
        <v>5668</v>
      </c>
      <c r="C85" s="399" t="s">
        <v>5669</v>
      </c>
      <c r="D85" s="400"/>
      <c r="E85" s="400"/>
      <c r="F85" s="392"/>
      <c r="G85" s="392"/>
      <c r="H85" s="392"/>
      <c r="I85" s="385"/>
      <c r="J85" s="188"/>
    </row>
    <row r="86" spans="1:10" ht="27" customHeight="1" x14ac:dyDescent="0.25">
      <c r="A86" s="184">
        <v>8</v>
      </c>
      <c r="B86" s="187" t="s">
        <v>5670</v>
      </c>
      <c r="C86" s="382" t="s">
        <v>5671</v>
      </c>
      <c r="D86" s="383"/>
      <c r="E86" s="383"/>
      <c r="F86" s="384" t="s">
        <v>5672</v>
      </c>
      <c r="G86" s="384"/>
      <c r="H86" s="384"/>
      <c r="I86" s="385"/>
    </row>
    <row r="87" spans="1:10" ht="66.75" customHeight="1" x14ac:dyDescent="0.25">
      <c r="A87" s="189">
        <v>9</v>
      </c>
      <c r="B87" s="187" t="s">
        <v>5673</v>
      </c>
      <c r="C87" s="382" t="s">
        <v>5674</v>
      </c>
      <c r="D87" s="383"/>
      <c r="E87" s="383"/>
      <c r="F87" s="386" t="s">
        <v>5675</v>
      </c>
      <c r="G87" s="386"/>
      <c r="H87" s="386"/>
      <c r="I87" s="387"/>
      <c r="J87" s="190"/>
    </row>
    <row r="88" spans="1:10" ht="31.5" customHeight="1" x14ac:dyDescent="0.25">
      <c r="A88" s="189">
        <v>10</v>
      </c>
      <c r="B88" s="187" t="s">
        <v>5676</v>
      </c>
      <c r="C88" s="388" t="s">
        <v>5677</v>
      </c>
      <c r="D88" s="389"/>
      <c r="E88" s="389"/>
      <c r="F88" s="384" t="s">
        <v>5672</v>
      </c>
      <c r="G88" s="384"/>
      <c r="H88" s="384"/>
      <c r="I88" s="385"/>
    </row>
    <row r="89" spans="1:10" ht="29.25" customHeight="1" x14ac:dyDescent="0.25">
      <c r="A89" s="189">
        <v>11</v>
      </c>
      <c r="B89" s="187" t="s">
        <v>5678</v>
      </c>
      <c r="C89" s="390"/>
      <c r="D89" s="391"/>
      <c r="E89" s="391"/>
      <c r="F89" s="392"/>
      <c r="G89" s="392"/>
      <c r="H89" s="392"/>
      <c r="I89" s="385"/>
    </row>
    <row r="90" spans="1:10" x14ac:dyDescent="0.25">
      <c r="A90" s="175"/>
      <c r="F90" s="191"/>
      <c r="G90" s="191"/>
      <c r="H90" s="191"/>
      <c r="I90" s="172"/>
    </row>
    <row r="91" spans="1:10" x14ac:dyDescent="0.25">
      <c r="A91" s="393" t="s">
        <v>5679</v>
      </c>
      <c r="B91" s="394"/>
      <c r="C91" s="394"/>
      <c r="D91" s="394"/>
      <c r="E91" s="394"/>
      <c r="F91" s="394"/>
      <c r="G91" s="394"/>
      <c r="H91" s="394"/>
      <c r="I91" s="172"/>
    </row>
    <row r="92" spans="1:10" x14ac:dyDescent="0.25">
      <c r="A92" s="175"/>
      <c r="I92" s="172"/>
    </row>
    <row r="93" spans="1:10" x14ac:dyDescent="0.25">
      <c r="A93" s="175"/>
      <c r="I93" s="172"/>
    </row>
    <row r="94" spans="1:10" ht="13.8" x14ac:dyDescent="0.25">
      <c r="A94" s="395"/>
      <c r="B94" s="396"/>
      <c r="D94" s="397" t="s">
        <v>5680</v>
      </c>
      <c r="E94" s="398"/>
      <c r="F94" s="398"/>
      <c r="H94" s="192"/>
      <c r="I94" s="172"/>
    </row>
    <row r="95" spans="1:10" ht="13.8" thickBot="1" x14ac:dyDescent="0.3">
      <c r="A95" s="193" t="s">
        <v>5681</v>
      </c>
      <c r="B95" s="194"/>
      <c r="C95" s="231"/>
      <c r="D95" s="380" t="s">
        <v>5682</v>
      </c>
      <c r="E95" s="381"/>
      <c r="F95" s="381"/>
      <c r="G95" s="195"/>
      <c r="H95" s="196" t="s">
        <v>5683</v>
      </c>
      <c r="I95" s="197"/>
    </row>
    <row r="96" spans="1:10" x14ac:dyDescent="0.25">
      <c r="A96" s="186"/>
      <c r="B96" s="198"/>
      <c r="C96" s="198"/>
      <c r="D96" s="174"/>
      <c r="E96" s="174"/>
      <c r="F96" s="174"/>
      <c r="G96" s="174"/>
    </row>
    <row r="97" spans="1:7" x14ac:dyDescent="0.25">
      <c r="A97" s="186"/>
      <c r="B97" s="198"/>
      <c r="C97" s="198"/>
      <c r="D97" s="174"/>
      <c r="E97" s="174"/>
      <c r="F97" s="174"/>
      <c r="G97" s="174"/>
    </row>
    <row r="98" spans="1:7" x14ac:dyDescent="0.25">
      <c r="A98" s="199" t="s">
        <v>5684</v>
      </c>
      <c r="B98" s="198"/>
      <c r="C98" s="198"/>
      <c r="D98" s="174"/>
      <c r="E98" s="174"/>
      <c r="F98" s="174"/>
      <c r="G98" s="174"/>
    </row>
    <row r="99" spans="1:7" x14ac:dyDescent="0.25">
      <c r="A99" s="199" t="s">
        <v>5685</v>
      </c>
      <c r="B99" s="198"/>
      <c r="C99" s="198"/>
      <c r="D99" s="174"/>
      <c r="E99" s="174"/>
      <c r="F99" s="174"/>
      <c r="G99" s="174"/>
    </row>
    <row r="100" spans="1:7" x14ac:dyDescent="0.25">
      <c r="A100" s="199" t="s">
        <v>5686</v>
      </c>
      <c r="B100" s="198"/>
      <c r="C100" s="198"/>
      <c r="D100" s="174"/>
      <c r="E100" s="174"/>
      <c r="F100" s="174"/>
      <c r="G100" s="174"/>
    </row>
    <row r="101" spans="1:7" x14ac:dyDescent="0.25">
      <c r="A101" s="199" t="s">
        <v>5687</v>
      </c>
      <c r="B101" s="198"/>
      <c r="C101" s="198"/>
      <c r="D101" s="174"/>
      <c r="E101" s="174"/>
      <c r="F101" s="174"/>
      <c r="G101" s="174"/>
    </row>
    <row r="102" spans="1:7" x14ac:dyDescent="0.25">
      <c r="A102" s="199" t="s">
        <v>5688</v>
      </c>
      <c r="B102" s="198"/>
      <c r="C102" s="198"/>
      <c r="D102" s="174"/>
      <c r="E102" s="174"/>
      <c r="F102" s="174"/>
      <c r="G102" s="174"/>
    </row>
    <row r="103" spans="1:7" x14ac:dyDescent="0.25">
      <c r="A103" s="200"/>
      <c r="B103" s="198" t="s">
        <v>5689</v>
      </c>
      <c r="C103" s="198"/>
      <c r="D103" s="174"/>
      <c r="E103" s="174"/>
      <c r="F103" s="174"/>
      <c r="G103" s="174"/>
    </row>
  </sheetData>
  <autoFilter ref="A10:O89" xr:uid="{FB5ECEE2-919B-4004-82CA-985DF75D28D9}"/>
  <mergeCells count="47">
    <mergeCell ref="C83:H83"/>
    <mergeCell ref="B84:H84"/>
    <mergeCell ref="D95:F95"/>
    <mergeCell ref="C86:E86"/>
    <mergeCell ref="F86:I86"/>
    <mergeCell ref="C87:E87"/>
    <mergeCell ref="F87:I87"/>
    <mergeCell ref="C88:E88"/>
    <mergeCell ref="F88:I88"/>
    <mergeCell ref="C89:E89"/>
    <mergeCell ref="F89:I89"/>
    <mergeCell ref="A91:H91"/>
    <mergeCell ref="A94:B94"/>
    <mergeCell ref="D94:F94"/>
    <mergeCell ref="C85:E85"/>
    <mergeCell ref="F85:I85"/>
    <mergeCell ref="A7:B7"/>
    <mergeCell ref="F9:I9"/>
    <mergeCell ref="C11:I11"/>
    <mergeCell ref="F79:H79"/>
    <mergeCell ref="F58:F59"/>
    <mergeCell ref="G58:G59"/>
    <mergeCell ref="H58:H59"/>
    <mergeCell ref="I58:I59"/>
    <mergeCell ref="F65:F66"/>
    <mergeCell ref="G65:G66"/>
    <mergeCell ref="H65:H66"/>
    <mergeCell ref="I65:I66"/>
    <mergeCell ref="H76:H77"/>
    <mergeCell ref="I76:I77"/>
    <mergeCell ref="B10:B79"/>
    <mergeCell ref="B80:H80"/>
    <mergeCell ref="B81:H81"/>
    <mergeCell ref="B82:H82"/>
    <mergeCell ref="H1:I1"/>
    <mergeCell ref="A2:I2"/>
    <mergeCell ref="A3:B3"/>
    <mergeCell ref="C3:I3"/>
    <mergeCell ref="A4:B4"/>
    <mergeCell ref="A6:B6"/>
    <mergeCell ref="F43:F44"/>
    <mergeCell ref="G43:G44"/>
    <mergeCell ref="H43:H44"/>
    <mergeCell ref="I43:I44"/>
    <mergeCell ref="A11:A79"/>
    <mergeCell ref="F76:F77"/>
    <mergeCell ref="G76:G77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K91"/>
  <sheetViews>
    <sheetView workbookViewId="0">
      <selection activeCell="K17" sqref="K1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33203125" style="1" customWidth="1"/>
    <col min="6" max="7" width="10.6640625" style="1" customWidth="1"/>
    <col min="8" max="10" width="15.5546875" style="54" customWidth="1"/>
    <col min="11" max="11" width="18.4414062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5554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33.7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611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611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30.75" customHeight="1" x14ac:dyDescent="0.3">
      <c r="A7" s="4"/>
      <c r="B7" s="8" t="s">
        <v>5</v>
      </c>
      <c r="C7" s="402" t="s">
        <v>612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13"/>
      <c r="H8" s="56"/>
      <c r="I8" s="56"/>
      <c r="J8" s="56"/>
      <c r="K8" s="56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5" customHeight="1" x14ac:dyDescent="0.3">
      <c r="A11" s="449" t="s">
        <v>613</v>
      </c>
      <c r="B11" s="434"/>
      <c r="C11" s="434"/>
      <c r="D11" s="434"/>
      <c r="E11" s="434"/>
      <c r="F11" s="434"/>
      <c r="G11" s="434"/>
      <c r="H11" s="103"/>
      <c r="I11" s="103"/>
      <c r="J11" s="103"/>
      <c r="K11" s="129"/>
      <c r="BC11" s="14" t="s">
        <v>613</v>
      </c>
    </row>
    <row r="12" spans="1:57" s="3" customFormat="1" ht="15" customHeight="1" x14ac:dyDescent="0.3">
      <c r="A12" s="417" t="s">
        <v>614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30"/>
      <c r="BC12" s="14"/>
      <c r="BD12" s="15" t="s">
        <v>614</v>
      </c>
    </row>
    <row r="13" spans="1:57" s="3" customFormat="1" ht="31.8" x14ac:dyDescent="0.3">
      <c r="A13" s="80" t="s">
        <v>15</v>
      </c>
      <c r="B13" s="17" t="s">
        <v>615</v>
      </c>
      <c r="C13" s="405" t="s">
        <v>616</v>
      </c>
      <c r="D13" s="405"/>
      <c r="E13" s="405"/>
      <c r="F13" s="16" t="s">
        <v>43</v>
      </c>
      <c r="G13" s="44">
        <v>0.41766999999999999</v>
      </c>
      <c r="H13" s="57">
        <f>I13/G13</f>
        <v>7694.1365192616186</v>
      </c>
      <c r="I13" s="19">
        <v>3213.61</v>
      </c>
      <c r="J13" s="19">
        <f>K13/G13</f>
        <v>0</v>
      </c>
      <c r="K13" s="131">
        <v>0</v>
      </c>
      <c r="BC13" s="14"/>
      <c r="BD13" s="15"/>
      <c r="BE13" s="21" t="s">
        <v>616</v>
      </c>
    </row>
    <row r="14" spans="1:57" s="3" customFormat="1" ht="42" x14ac:dyDescent="0.3">
      <c r="A14" s="80" t="s">
        <v>20</v>
      </c>
      <c r="B14" s="17" t="s">
        <v>617</v>
      </c>
      <c r="C14" s="405" t="s">
        <v>618</v>
      </c>
      <c r="D14" s="405"/>
      <c r="E14" s="405"/>
      <c r="F14" s="16" t="s">
        <v>43</v>
      </c>
      <c r="G14" s="44">
        <v>0.41766999999999999</v>
      </c>
      <c r="H14" s="57">
        <f t="shared" ref="H14:H74" si="0">I14/G14</f>
        <v>46988.62738525631</v>
      </c>
      <c r="I14" s="19">
        <v>19625.740000000002</v>
      </c>
      <c r="J14" s="19">
        <f t="shared" ref="J14:J74" si="1">K14/G14</f>
        <v>0</v>
      </c>
      <c r="K14" s="131">
        <v>0</v>
      </c>
      <c r="BC14" s="14"/>
      <c r="BD14" s="15"/>
      <c r="BE14" s="21" t="s">
        <v>618</v>
      </c>
    </row>
    <row r="15" spans="1:57" s="3" customFormat="1" ht="42" x14ac:dyDescent="0.3">
      <c r="A15" s="80" t="s">
        <v>22</v>
      </c>
      <c r="B15" s="17" t="s">
        <v>48</v>
      </c>
      <c r="C15" s="405" t="s">
        <v>49</v>
      </c>
      <c r="D15" s="405"/>
      <c r="E15" s="405"/>
      <c r="F15" s="16" t="s">
        <v>50</v>
      </c>
      <c r="G15" s="31">
        <v>835.34</v>
      </c>
      <c r="H15" s="57">
        <f t="shared" si="0"/>
        <v>598.3757990758254</v>
      </c>
      <c r="I15" s="19">
        <v>499847.24</v>
      </c>
      <c r="J15" s="19">
        <f t="shared" si="1"/>
        <v>0</v>
      </c>
      <c r="K15" s="131">
        <v>0</v>
      </c>
      <c r="BC15" s="14"/>
      <c r="BD15" s="15"/>
      <c r="BE15" s="21" t="s">
        <v>49</v>
      </c>
    </row>
    <row r="16" spans="1:57" s="3" customFormat="1" ht="15" customHeight="1" x14ac:dyDescent="0.3">
      <c r="A16" s="417" t="s">
        <v>619</v>
      </c>
      <c r="B16" s="418"/>
      <c r="C16" s="418"/>
      <c r="D16" s="418"/>
      <c r="E16" s="418"/>
      <c r="F16" s="418"/>
      <c r="G16" s="418"/>
      <c r="H16" s="123"/>
      <c r="I16" s="123"/>
      <c r="J16" s="123"/>
      <c r="K16" s="130"/>
      <c r="BC16" s="14"/>
      <c r="BD16" s="15" t="s">
        <v>619</v>
      </c>
      <c r="BE16" s="21"/>
    </row>
    <row r="17" spans="1:60" s="3" customFormat="1" ht="21.6" x14ac:dyDescent="0.3">
      <c r="A17" s="80" t="s">
        <v>27</v>
      </c>
      <c r="B17" s="17" t="s">
        <v>620</v>
      </c>
      <c r="C17" s="405" t="s">
        <v>621</v>
      </c>
      <c r="D17" s="405"/>
      <c r="E17" s="405"/>
      <c r="F17" s="16" t="s">
        <v>189</v>
      </c>
      <c r="G17" s="44">
        <v>0.79339000000000004</v>
      </c>
      <c r="H17" s="57">
        <f t="shared" si="0"/>
        <v>443.61537201124287</v>
      </c>
      <c r="I17" s="19">
        <v>351.96</v>
      </c>
      <c r="J17" s="19">
        <f t="shared" si="1"/>
        <v>0</v>
      </c>
      <c r="K17" s="131">
        <v>0</v>
      </c>
      <c r="BC17" s="14"/>
      <c r="BD17" s="15"/>
      <c r="BE17" s="21" t="s">
        <v>621</v>
      </c>
    </row>
    <row r="18" spans="1:60" s="3" customFormat="1" ht="15" customHeight="1" x14ac:dyDescent="0.3">
      <c r="A18" s="417" t="s">
        <v>622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30"/>
      <c r="BC18" s="14"/>
      <c r="BD18" s="15" t="s">
        <v>622</v>
      </c>
      <c r="BE18" s="21"/>
    </row>
    <row r="19" spans="1:60" s="3" customFormat="1" ht="42" x14ac:dyDescent="0.3">
      <c r="A19" s="80" t="s">
        <v>35</v>
      </c>
      <c r="B19" s="17" t="s">
        <v>623</v>
      </c>
      <c r="C19" s="405" t="s">
        <v>624</v>
      </c>
      <c r="D19" s="405"/>
      <c r="E19" s="405"/>
      <c r="F19" s="16" t="s">
        <v>43</v>
      </c>
      <c r="G19" s="45">
        <v>0.19834750000000001</v>
      </c>
      <c r="H19" s="57">
        <f t="shared" si="0"/>
        <v>30270.762172449868</v>
      </c>
      <c r="I19" s="19">
        <v>6004.13</v>
      </c>
      <c r="J19" s="19">
        <f t="shared" si="1"/>
        <v>0</v>
      </c>
      <c r="K19" s="131">
        <v>0</v>
      </c>
      <c r="BC19" s="14"/>
      <c r="BD19" s="15"/>
      <c r="BE19" s="21" t="s">
        <v>624</v>
      </c>
    </row>
    <row r="20" spans="1:60" s="3" customFormat="1" ht="21.6" x14ac:dyDescent="0.3">
      <c r="A20" s="80" t="s">
        <v>40</v>
      </c>
      <c r="B20" s="17" t="s">
        <v>625</v>
      </c>
      <c r="C20" s="405" t="s">
        <v>626</v>
      </c>
      <c r="D20" s="405"/>
      <c r="E20" s="405"/>
      <c r="F20" s="16" t="s">
        <v>43</v>
      </c>
      <c r="G20" s="45">
        <v>0.19834750000000001</v>
      </c>
      <c r="H20" s="57">
        <f t="shared" si="0"/>
        <v>31148.968351000134</v>
      </c>
      <c r="I20" s="19">
        <v>6178.32</v>
      </c>
      <c r="J20" s="19">
        <f t="shared" si="1"/>
        <v>0</v>
      </c>
      <c r="K20" s="131">
        <v>0</v>
      </c>
      <c r="BC20" s="14"/>
      <c r="BD20" s="15"/>
      <c r="BE20" s="21" t="s">
        <v>626</v>
      </c>
    </row>
    <row r="21" spans="1:60" s="3" customFormat="1" ht="15" customHeight="1" x14ac:dyDescent="0.3">
      <c r="A21" s="445" t="s">
        <v>627</v>
      </c>
      <c r="B21" s="436"/>
      <c r="C21" s="436"/>
      <c r="D21" s="436"/>
      <c r="E21" s="436"/>
      <c r="F21" s="436"/>
      <c r="G21" s="436"/>
      <c r="H21" s="127"/>
      <c r="I21" s="103"/>
      <c r="J21" s="128"/>
      <c r="K21" s="129"/>
      <c r="BC21" s="14" t="s">
        <v>627</v>
      </c>
      <c r="BD21" s="15"/>
      <c r="BE21" s="21"/>
    </row>
    <row r="22" spans="1:60" s="3" customFormat="1" ht="15" customHeight="1" x14ac:dyDescent="0.3">
      <c r="A22" s="417" t="s">
        <v>628</v>
      </c>
      <c r="B22" s="418"/>
      <c r="C22" s="418"/>
      <c r="D22" s="418"/>
      <c r="E22" s="418"/>
      <c r="F22" s="418"/>
      <c r="G22" s="418"/>
      <c r="H22" s="123"/>
      <c r="I22" s="123"/>
      <c r="J22" s="123"/>
      <c r="K22" s="130"/>
      <c r="BC22" s="14"/>
      <c r="BD22" s="15" t="s">
        <v>628</v>
      </c>
      <c r="BE22" s="21"/>
    </row>
    <row r="23" spans="1:60" s="3" customFormat="1" ht="42" x14ac:dyDescent="0.3">
      <c r="A23" s="80" t="s">
        <v>47</v>
      </c>
      <c r="B23" s="17" t="s">
        <v>629</v>
      </c>
      <c r="C23" s="405" t="s">
        <v>630</v>
      </c>
      <c r="D23" s="405"/>
      <c r="E23" s="405"/>
      <c r="F23" s="16" t="s">
        <v>189</v>
      </c>
      <c r="G23" s="44">
        <v>0.64514000000000005</v>
      </c>
      <c r="H23" s="57">
        <f t="shared" si="0"/>
        <v>159882.01010633344</v>
      </c>
      <c r="I23" s="19">
        <f>381193.54-K23</f>
        <v>103146.27999999997</v>
      </c>
      <c r="J23" s="19">
        <f t="shared" si="1"/>
        <v>430987.47558669432</v>
      </c>
      <c r="K23" s="131">
        <v>278047.26</v>
      </c>
      <c r="BC23" s="14"/>
      <c r="BD23" s="15"/>
      <c r="BE23" s="21" t="s">
        <v>630</v>
      </c>
    </row>
    <row r="24" spans="1:60" s="3" customFormat="1" ht="20.399999999999999" x14ac:dyDescent="0.3">
      <c r="A24" s="83"/>
      <c r="B24" s="26" t="s">
        <v>631</v>
      </c>
      <c r="C24" s="419" t="s">
        <v>632</v>
      </c>
      <c r="D24" s="419"/>
      <c r="E24" s="419"/>
      <c r="F24" s="27" t="s">
        <v>70</v>
      </c>
      <c r="G24" s="22" t="s">
        <v>633</v>
      </c>
      <c r="H24" s="57"/>
      <c r="I24" s="28"/>
      <c r="J24" s="19"/>
      <c r="K24" s="132"/>
      <c r="BC24" s="14"/>
      <c r="BD24" s="15"/>
      <c r="BE24" s="21"/>
      <c r="BF24" s="12" t="s">
        <v>632</v>
      </c>
    </row>
    <row r="25" spans="1:60" s="3" customFormat="1" ht="20.399999999999999" x14ac:dyDescent="0.3">
      <c r="A25" s="83"/>
      <c r="B25" s="26" t="s">
        <v>634</v>
      </c>
      <c r="C25" s="419" t="s">
        <v>635</v>
      </c>
      <c r="D25" s="419"/>
      <c r="E25" s="419"/>
      <c r="F25" s="27" t="s">
        <v>46</v>
      </c>
      <c r="G25" s="22" t="s">
        <v>636</v>
      </c>
      <c r="H25" s="57"/>
      <c r="I25" s="28"/>
      <c r="J25" s="19"/>
      <c r="K25" s="132"/>
      <c r="BC25" s="14"/>
      <c r="BD25" s="15"/>
      <c r="BE25" s="21"/>
      <c r="BF25" s="12" t="s">
        <v>635</v>
      </c>
    </row>
    <row r="26" spans="1:60" s="3" customFormat="1" ht="20.399999999999999" x14ac:dyDescent="0.3">
      <c r="A26" s="83"/>
      <c r="B26" s="26" t="s">
        <v>637</v>
      </c>
      <c r="C26" s="419" t="s">
        <v>638</v>
      </c>
      <c r="D26" s="419"/>
      <c r="E26" s="419"/>
      <c r="F26" s="27" t="s">
        <v>70</v>
      </c>
      <c r="G26" s="22" t="s">
        <v>639</v>
      </c>
      <c r="H26" s="57"/>
      <c r="I26" s="28"/>
      <c r="J26" s="19"/>
      <c r="K26" s="132"/>
      <c r="BC26" s="14"/>
      <c r="BD26" s="15"/>
      <c r="BE26" s="21"/>
      <c r="BF26" s="12" t="s">
        <v>638</v>
      </c>
    </row>
    <row r="27" spans="1:60" s="3" customFormat="1" ht="20.399999999999999" x14ac:dyDescent="0.3">
      <c r="A27" s="83"/>
      <c r="B27" s="26" t="s">
        <v>640</v>
      </c>
      <c r="C27" s="419" t="s">
        <v>641</v>
      </c>
      <c r="D27" s="419"/>
      <c r="E27" s="419"/>
      <c r="F27" s="27" t="s">
        <v>70</v>
      </c>
      <c r="G27" s="22" t="s">
        <v>642</v>
      </c>
      <c r="H27" s="57"/>
      <c r="I27" s="28"/>
      <c r="J27" s="19"/>
      <c r="K27" s="132"/>
      <c r="BC27" s="14"/>
      <c r="BD27" s="15"/>
      <c r="BE27" s="21"/>
      <c r="BF27" s="12" t="s">
        <v>641</v>
      </c>
    </row>
    <row r="28" spans="1:60" s="3" customFormat="1" ht="21.6" x14ac:dyDescent="0.3">
      <c r="A28" s="83"/>
      <c r="B28" s="26" t="s">
        <v>643</v>
      </c>
      <c r="C28" s="419" t="s">
        <v>644</v>
      </c>
      <c r="D28" s="419"/>
      <c r="E28" s="419"/>
      <c r="F28" s="27" t="s">
        <v>38</v>
      </c>
      <c r="G28" s="22" t="s">
        <v>645</v>
      </c>
      <c r="H28" s="57"/>
      <c r="I28" s="28"/>
      <c r="J28" s="19"/>
      <c r="K28" s="132"/>
      <c r="BC28" s="14"/>
      <c r="BD28" s="15"/>
      <c r="BE28" s="21"/>
      <c r="BF28" s="12" t="s">
        <v>644</v>
      </c>
    </row>
    <row r="29" spans="1:60" s="3" customFormat="1" ht="20.399999999999999" x14ac:dyDescent="0.3">
      <c r="A29" s="133" t="s">
        <v>78</v>
      </c>
      <c r="B29" s="38" t="s">
        <v>646</v>
      </c>
      <c r="C29" s="430" t="s">
        <v>647</v>
      </c>
      <c r="D29" s="430"/>
      <c r="E29" s="430"/>
      <c r="F29" s="39" t="s">
        <v>70</v>
      </c>
      <c r="G29" s="40" t="s">
        <v>33</v>
      </c>
      <c r="H29" s="57"/>
      <c r="I29" s="41"/>
      <c r="J29" s="19"/>
      <c r="K29" s="134"/>
      <c r="BC29" s="14"/>
      <c r="BD29" s="15"/>
      <c r="BE29" s="21"/>
      <c r="BF29" s="12"/>
      <c r="BG29" s="43" t="s">
        <v>647</v>
      </c>
    </row>
    <row r="30" spans="1:60" s="3" customFormat="1" ht="20.399999999999999" x14ac:dyDescent="0.3">
      <c r="A30" s="83"/>
      <c r="B30" s="26" t="s">
        <v>648</v>
      </c>
      <c r="C30" s="419" t="s">
        <v>649</v>
      </c>
      <c r="D30" s="419"/>
      <c r="E30" s="419"/>
      <c r="F30" s="27" t="s">
        <v>70</v>
      </c>
      <c r="G30" s="22" t="s">
        <v>650</v>
      </c>
      <c r="H30" s="57"/>
      <c r="I30" s="28"/>
      <c r="J30" s="19"/>
      <c r="K30" s="132"/>
      <c r="BC30" s="14"/>
      <c r="BD30" s="15"/>
      <c r="BE30" s="21"/>
      <c r="BF30" s="12" t="s">
        <v>649</v>
      </c>
      <c r="BG30" s="43"/>
    </row>
    <row r="31" spans="1:60" s="3" customFormat="1" ht="21.6" x14ac:dyDescent="0.3">
      <c r="A31" s="83"/>
      <c r="B31" s="26" t="s">
        <v>651</v>
      </c>
      <c r="C31" s="419" t="s">
        <v>652</v>
      </c>
      <c r="D31" s="419"/>
      <c r="E31" s="419"/>
      <c r="F31" s="27" t="s">
        <v>70</v>
      </c>
      <c r="G31" s="22" t="s">
        <v>650</v>
      </c>
      <c r="H31" s="57"/>
      <c r="I31" s="28"/>
      <c r="J31" s="19"/>
      <c r="K31" s="132"/>
      <c r="BC31" s="14"/>
      <c r="BD31" s="15"/>
      <c r="BE31" s="21"/>
      <c r="BF31" s="12" t="s">
        <v>652</v>
      </c>
      <c r="BG31" s="43"/>
    </row>
    <row r="32" spans="1:60" s="3" customFormat="1" ht="21.6" x14ac:dyDescent="0.3">
      <c r="A32" s="83" t="s">
        <v>129</v>
      </c>
      <c r="B32" s="26" t="s">
        <v>653</v>
      </c>
      <c r="C32" s="419" t="s">
        <v>654</v>
      </c>
      <c r="D32" s="419"/>
      <c r="E32" s="419"/>
      <c r="F32" s="27" t="s">
        <v>70</v>
      </c>
      <c r="G32" s="22" t="s">
        <v>655</v>
      </c>
      <c r="H32" s="57"/>
      <c r="I32" s="28"/>
      <c r="J32" s="19"/>
      <c r="K32" s="132"/>
      <c r="BC32" s="14"/>
      <c r="BD32" s="15"/>
      <c r="BE32" s="21"/>
      <c r="BF32" s="12"/>
      <c r="BG32" s="43"/>
      <c r="BH32" s="12" t="s">
        <v>654</v>
      </c>
    </row>
    <row r="33" spans="1:60" s="3" customFormat="1" ht="31.8" x14ac:dyDescent="0.3">
      <c r="A33" s="80" t="s">
        <v>52</v>
      </c>
      <c r="B33" s="17" t="s">
        <v>656</v>
      </c>
      <c r="C33" s="405" t="s">
        <v>657</v>
      </c>
      <c r="D33" s="405"/>
      <c r="E33" s="405"/>
      <c r="F33" s="16" t="s">
        <v>189</v>
      </c>
      <c r="G33" s="44">
        <v>0.64514000000000005</v>
      </c>
      <c r="H33" s="57">
        <f t="shared" si="0"/>
        <v>9456.7690733794243</v>
      </c>
      <c r="I33" s="19">
        <f>73977.17-K33</f>
        <v>6100.9400000000023</v>
      </c>
      <c r="J33" s="19">
        <f t="shared" si="1"/>
        <v>105211.62848373994</v>
      </c>
      <c r="K33" s="131">
        <v>67876.23</v>
      </c>
      <c r="BC33" s="14"/>
      <c r="BD33" s="15"/>
      <c r="BE33" s="21" t="s">
        <v>657</v>
      </c>
      <c r="BF33" s="12"/>
      <c r="BG33" s="43"/>
      <c r="BH33" s="12"/>
    </row>
    <row r="34" spans="1:60" s="3" customFormat="1" ht="20.399999999999999" x14ac:dyDescent="0.3">
      <c r="A34" s="83"/>
      <c r="B34" s="26" t="s">
        <v>631</v>
      </c>
      <c r="C34" s="419" t="s">
        <v>632</v>
      </c>
      <c r="D34" s="419"/>
      <c r="E34" s="419"/>
      <c r="F34" s="27" t="s">
        <v>70</v>
      </c>
      <c r="G34" s="22" t="s">
        <v>658</v>
      </c>
      <c r="H34" s="57"/>
      <c r="I34" s="28"/>
      <c r="J34" s="19"/>
      <c r="K34" s="132"/>
      <c r="BC34" s="14"/>
      <c r="BD34" s="15"/>
      <c r="BE34" s="21"/>
      <c r="BF34" s="12" t="s">
        <v>632</v>
      </c>
      <c r="BG34" s="43"/>
      <c r="BH34" s="12"/>
    </row>
    <row r="35" spans="1:60" s="3" customFormat="1" ht="20.399999999999999" x14ac:dyDescent="0.3">
      <c r="A35" s="83"/>
      <c r="B35" s="26" t="s">
        <v>634</v>
      </c>
      <c r="C35" s="419" t="s">
        <v>635</v>
      </c>
      <c r="D35" s="419"/>
      <c r="E35" s="419"/>
      <c r="F35" s="27" t="s">
        <v>46</v>
      </c>
      <c r="G35" s="22" t="s">
        <v>659</v>
      </c>
      <c r="H35" s="57"/>
      <c r="I35" s="28"/>
      <c r="J35" s="19"/>
      <c r="K35" s="132"/>
      <c r="BC35" s="14"/>
      <c r="BD35" s="15"/>
      <c r="BE35" s="21"/>
      <c r="BF35" s="12" t="s">
        <v>635</v>
      </c>
      <c r="BG35" s="43"/>
      <c r="BH35" s="12"/>
    </row>
    <row r="36" spans="1:60" s="3" customFormat="1" ht="20.399999999999999" x14ac:dyDescent="0.3">
      <c r="A36" s="133" t="s">
        <v>78</v>
      </c>
      <c r="B36" s="38" t="s">
        <v>646</v>
      </c>
      <c r="C36" s="430" t="s">
        <v>647</v>
      </c>
      <c r="D36" s="430"/>
      <c r="E36" s="430"/>
      <c r="F36" s="39" t="s">
        <v>70</v>
      </c>
      <c r="G36" s="40" t="s">
        <v>33</v>
      </c>
      <c r="H36" s="57"/>
      <c r="I36" s="41"/>
      <c r="J36" s="19"/>
      <c r="K36" s="134"/>
      <c r="BC36" s="14"/>
      <c r="BD36" s="15"/>
      <c r="BE36" s="21"/>
      <c r="BF36" s="12"/>
      <c r="BG36" s="43" t="s">
        <v>647</v>
      </c>
      <c r="BH36" s="12"/>
    </row>
    <row r="37" spans="1:60" s="3" customFormat="1" ht="21.6" x14ac:dyDescent="0.3">
      <c r="A37" s="83" t="s">
        <v>129</v>
      </c>
      <c r="B37" s="26" t="s">
        <v>653</v>
      </c>
      <c r="C37" s="419" t="s">
        <v>654</v>
      </c>
      <c r="D37" s="419"/>
      <c r="E37" s="419"/>
      <c r="F37" s="27" t="s">
        <v>70</v>
      </c>
      <c r="G37" s="22" t="s">
        <v>660</v>
      </c>
      <c r="H37" s="57"/>
      <c r="I37" s="28"/>
      <c r="J37" s="19"/>
      <c r="K37" s="132"/>
      <c r="BC37" s="14"/>
      <c r="BD37" s="15"/>
      <c r="BE37" s="21"/>
      <c r="BF37" s="12"/>
      <c r="BG37" s="43"/>
      <c r="BH37" s="12" t="s">
        <v>654</v>
      </c>
    </row>
    <row r="38" spans="1:60" s="3" customFormat="1" ht="15" customHeight="1" x14ac:dyDescent="0.3">
      <c r="A38" s="417" t="s">
        <v>661</v>
      </c>
      <c r="B38" s="418"/>
      <c r="C38" s="418"/>
      <c r="D38" s="418"/>
      <c r="E38" s="418"/>
      <c r="F38" s="418"/>
      <c r="G38" s="418"/>
      <c r="H38" s="123"/>
      <c r="I38" s="123"/>
      <c r="J38" s="123"/>
      <c r="K38" s="130"/>
      <c r="BC38" s="14"/>
      <c r="BD38" s="15" t="s">
        <v>661</v>
      </c>
      <c r="BE38" s="21"/>
      <c r="BF38" s="12"/>
      <c r="BG38" s="43"/>
      <c r="BH38" s="12"/>
    </row>
    <row r="39" spans="1:60" s="3" customFormat="1" ht="31.8" x14ac:dyDescent="0.3">
      <c r="A39" s="80" t="s">
        <v>55</v>
      </c>
      <c r="B39" s="17" t="s">
        <v>662</v>
      </c>
      <c r="C39" s="405" t="s">
        <v>663</v>
      </c>
      <c r="D39" s="405"/>
      <c r="E39" s="405"/>
      <c r="F39" s="16" t="s">
        <v>70</v>
      </c>
      <c r="G39" s="31">
        <v>0.27</v>
      </c>
      <c r="H39" s="57">
        <f t="shared" si="0"/>
        <v>2160.8148148148166</v>
      </c>
      <c r="I39" s="19">
        <f>4408.6-K39</f>
        <v>583.42000000000053</v>
      </c>
      <c r="J39" s="19">
        <f t="shared" si="1"/>
        <v>14167.333333333332</v>
      </c>
      <c r="K39" s="131">
        <v>3825.18</v>
      </c>
      <c r="BC39" s="14"/>
      <c r="BD39" s="15"/>
      <c r="BE39" s="21" t="s">
        <v>663</v>
      </c>
      <c r="BF39" s="12"/>
      <c r="BG39" s="43"/>
      <c r="BH39" s="12"/>
    </row>
    <row r="40" spans="1:60" s="3" customFormat="1" ht="20.399999999999999" x14ac:dyDescent="0.3">
      <c r="A40" s="83"/>
      <c r="B40" s="26" t="s">
        <v>631</v>
      </c>
      <c r="C40" s="419" t="s">
        <v>632</v>
      </c>
      <c r="D40" s="419"/>
      <c r="E40" s="419"/>
      <c r="F40" s="27" t="s">
        <v>70</v>
      </c>
      <c r="G40" s="22" t="s">
        <v>664</v>
      </c>
      <c r="H40" s="57"/>
      <c r="I40" s="28"/>
      <c r="J40" s="19"/>
      <c r="K40" s="132"/>
      <c r="BC40" s="14"/>
      <c r="BD40" s="15"/>
      <c r="BE40" s="21"/>
      <c r="BF40" s="12" t="s">
        <v>632</v>
      </c>
      <c r="BG40" s="43"/>
      <c r="BH40" s="12"/>
    </row>
    <row r="41" spans="1:60" s="3" customFormat="1" ht="28.5" customHeight="1" x14ac:dyDescent="0.3">
      <c r="A41" s="417" t="s">
        <v>665</v>
      </c>
      <c r="B41" s="418"/>
      <c r="C41" s="418"/>
      <c r="D41" s="418"/>
      <c r="E41" s="418"/>
      <c r="F41" s="418"/>
      <c r="G41" s="418"/>
      <c r="H41" s="123"/>
      <c r="I41" s="123"/>
      <c r="J41" s="123"/>
      <c r="K41" s="130"/>
      <c r="BC41" s="14"/>
      <c r="BD41" s="15" t="s">
        <v>665</v>
      </c>
      <c r="BE41" s="21"/>
      <c r="BF41" s="12"/>
      <c r="BG41" s="43"/>
      <c r="BH41" s="12"/>
    </row>
    <row r="42" spans="1:60" s="3" customFormat="1" ht="42" x14ac:dyDescent="0.3">
      <c r="A42" s="80" t="s">
        <v>56</v>
      </c>
      <c r="B42" s="17" t="s">
        <v>629</v>
      </c>
      <c r="C42" s="405" t="s">
        <v>630</v>
      </c>
      <c r="D42" s="405"/>
      <c r="E42" s="405"/>
      <c r="F42" s="16" t="s">
        <v>189</v>
      </c>
      <c r="G42" s="44">
        <v>0.64514000000000005</v>
      </c>
      <c r="H42" s="57">
        <f t="shared" si="0"/>
        <v>159882.0101063335</v>
      </c>
      <c r="I42" s="19">
        <f>342752.69-K42</f>
        <v>103146.28</v>
      </c>
      <c r="J42" s="19">
        <f t="shared" si="1"/>
        <v>371402.19177232846</v>
      </c>
      <c r="K42" s="131">
        <v>239606.41</v>
      </c>
      <c r="BC42" s="14"/>
      <c r="BD42" s="15"/>
      <c r="BE42" s="21" t="s">
        <v>630</v>
      </c>
      <c r="BF42" s="12"/>
      <c r="BG42" s="43"/>
      <c r="BH42" s="12"/>
    </row>
    <row r="43" spans="1:60" s="3" customFormat="1" ht="20.399999999999999" x14ac:dyDescent="0.3">
      <c r="A43" s="83"/>
      <c r="B43" s="26" t="s">
        <v>631</v>
      </c>
      <c r="C43" s="419" t="s">
        <v>632</v>
      </c>
      <c r="D43" s="419"/>
      <c r="E43" s="419"/>
      <c r="F43" s="27" t="s">
        <v>70</v>
      </c>
      <c r="G43" s="22" t="s">
        <v>633</v>
      </c>
      <c r="H43" s="57"/>
      <c r="I43" s="28"/>
      <c r="J43" s="19"/>
      <c r="K43" s="132"/>
      <c r="BC43" s="14"/>
      <c r="BD43" s="15"/>
      <c r="BE43" s="21"/>
      <c r="BF43" s="12" t="s">
        <v>632</v>
      </c>
      <c r="BG43" s="43"/>
      <c r="BH43" s="12"/>
    </row>
    <row r="44" spans="1:60" s="3" customFormat="1" ht="20.399999999999999" x14ac:dyDescent="0.3">
      <c r="A44" s="83"/>
      <c r="B44" s="26" t="s">
        <v>634</v>
      </c>
      <c r="C44" s="419" t="s">
        <v>635</v>
      </c>
      <c r="D44" s="419"/>
      <c r="E44" s="419"/>
      <c r="F44" s="27" t="s">
        <v>46</v>
      </c>
      <c r="G44" s="22" t="s">
        <v>636</v>
      </c>
      <c r="H44" s="57"/>
      <c r="I44" s="28"/>
      <c r="J44" s="19"/>
      <c r="K44" s="132"/>
      <c r="BC44" s="14"/>
      <c r="BD44" s="15"/>
      <c r="BE44" s="21"/>
      <c r="BF44" s="12" t="s">
        <v>635</v>
      </c>
      <c r="BG44" s="43"/>
      <c r="BH44" s="12"/>
    </row>
    <row r="45" spans="1:60" s="3" customFormat="1" ht="20.399999999999999" x14ac:dyDescent="0.3">
      <c r="A45" s="83"/>
      <c r="B45" s="26" t="s">
        <v>637</v>
      </c>
      <c r="C45" s="419" t="s">
        <v>638</v>
      </c>
      <c r="D45" s="419"/>
      <c r="E45" s="419"/>
      <c r="F45" s="27" t="s">
        <v>70</v>
      </c>
      <c r="G45" s="22" t="s">
        <v>639</v>
      </c>
      <c r="H45" s="57"/>
      <c r="I45" s="28"/>
      <c r="J45" s="19"/>
      <c r="K45" s="132"/>
      <c r="BC45" s="14"/>
      <c r="BD45" s="15"/>
      <c r="BE45" s="21"/>
      <c r="BF45" s="12" t="s">
        <v>638</v>
      </c>
      <c r="BG45" s="43"/>
      <c r="BH45" s="12"/>
    </row>
    <row r="46" spans="1:60" s="3" customFormat="1" ht="20.399999999999999" x14ac:dyDescent="0.3">
      <c r="A46" s="83"/>
      <c r="B46" s="26" t="s">
        <v>640</v>
      </c>
      <c r="C46" s="419" t="s">
        <v>641</v>
      </c>
      <c r="D46" s="419"/>
      <c r="E46" s="419"/>
      <c r="F46" s="27" t="s">
        <v>70</v>
      </c>
      <c r="G46" s="22" t="s">
        <v>642</v>
      </c>
      <c r="H46" s="57"/>
      <c r="I46" s="28"/>
      <c r="J46" s="19"/>
      <c r="K46" s="132"/>
      <c r="BC46" s="14"/>
      <c r="BD46" s="15"/>
      <c r="BE46" s="21"/>
      <c r="BF46" s="12" t="s">
        <v>641</v>
      </c>
      <c r="BG46" s="43"/>
      <c r="BH46" s="12"/>
    </row>
    <row r="47" spans="1:60" s="3" customFormat="1" ht="21.6" x14ac:dyDescent="0.3">
      <c r="A47" s="83"/>
      <c r="B47" s="26" t="s">
        <v>643</v>
      </c>
      <c r="C47" s="419" t="s">
        <v>644</v>
      </c>
      <c r="D47" s="419"/>
      <c r="E47" s="419"/>
      <c r="F47" s="27" t="s">
        <v>38</v>
      </c>
      <c r="G47" s="22" t="s">
        <v>645</v>
      </c>
      <c r="H47" s="57"/>
      <c r="I47" s="28"/>
      <c r="J47" s="19"/>
      <c r="K47" s="132"/>
      <c r="BC47" s="14"/>
      <c r="BD47" s="15"/>
      <c r="BE47" s="21"/>
      <c r="BF47" s="12" t="s">
        <v>644</v>
      </c>
      <c r="BG47" s="43"/>
      <c r="BH47" s="12"/>
    </row>
    <row r="48" spans="1:60" s="3" customFormat="1" ht="20.399999999999999" x14ac:dyDescent="0.3">
      <c r="A48" s="133" t="s">
        <v>78</v>
      </c>
      <c r="B48" s="38" t="s">
        <v>646</v>
      </c>
      <c r="C48" s="430" t="s">
        <v>647</v>
      </c>
      <c r="D48" s="430"/>
      <c r="E48" s="430"/>
      <c r="F48" s="39" t="s">
        <v>70</v>
      </c>
      <c r="G48" s="40" t="s">
        <v>33</v>
      </c>
      <c r="H48" s="57"/>
      <c r="I48" s="41"/>
      <c r="J48" s="19"/>
      <c r="K48" s="134"/>
      <c r="BC48" s="14"/>
      <c r="BD48" s="15"/>
      <c r="BE48" s="21"/>
      <c r="BF48" s="12"/>
      <c r="BG48" s="43" t="s">
        <v>647</v>
      </c>
      <c r="BH48" s="12"/>
    </row>
    <row r="49" spans="1:60" s="3" customFormat="1" ht="20.399999999999999" x14ac:dyDescent="0.3">
      <c r="A49" s="83"/>
      <c r="B49" s="26" t="s">
        <v>648</v>
      </c>
      <c r="C49" s="419" t="s">
        <v>649</v>
      </c>
      <c r="D49" s="419"/>
      <c r="E49" s="419"/>
      <c r="F49" s="27" t="s">
        <v>70</v>
      </c>
      <c r="G49" s="22" t="s">
        <v>650</v>
      </c>
      <c r="H49" s="57"/>
      <c r="I49" s="28"/>
      <c r="J49" s="19"/>
      <c r="K49" s="132"/>
      <c r="BC49" s="14"/>
      <c r="BD49" s="15"/>
      <c r="BE49" s="21"/>
      <c r="BF49" s="12" t="s">
        <v>649</v>
      </c>
      <c r="BG49" s="43"/>
      <c r="BH49" s="12"/>
    </row>
    <row r="50" spans="1:60" s="3" customFormat="1" ht="21.6" x14ac:dyDescent="0.3">
      <c r="A50" s="83"/>
      <c r="B50" s="26" t="s">
        <v>651</v>
      </c>
      <c r="C50" s="419" t="s">
        <v>652</v>
      </c>
      <c r="D50" s="419"/>
      <c r="E50" s="419"/>
      <c r="F50" s="27" t="s">
        <v>70</v>
      </c>
      <c r="G50" s="22" t="s">
        <v>650</v>
      </c>
      <c r="H50" s="57"/>
      <c r="I50" s="28"/>
      <c r="J50" s="19"/>
      <c r="K50" s="132"/>
      <c r="BC50" s="14"/>
      <c r="BD50" s="15"/>
      <c r="BE50" s="21"/>
      <c r="BF50" s="12" t="s">
        <v>652</v>
      </c>
      <c r="BG50" s="43"/>
      <c r="BH50" s="12"/>
    </row>
    <row r="51" spans="1:60" s="3" customFormat="1" ht="21.6" x14ac:dyDescent="0.3">
      <c r="A51" s="83" t="s">
        <v>129</v>
      </c>
      <c r="B51" s="26" t="s">
        <v>666</v>
      </c>
      <c r="C51" s="419" t="s">
        <v>667</v>
      </c>
      <c r="D51" s="419"/>
      <c r="E51" s="419"/>
      <c r="F51" s="27" t="s">
        <v>70</v>
      </c>
      <c r="G51" s="22" t="s">
        <v>668</v>
      </c>
      <c r="H51" s="57"/>
      <c r="I51" s="28"/>
      <c r="J51" s="19"/>
      <c r="K51" s="132"/>
      <c r="BC51" s="14"/>
      <c r="BD51" s="15"/>
      <c r="BE51" s="21"/>
      <c r="BF51" s="12"/>
      <c r="BG51" s="43"/>
      <c r="BH51" s="12" t="s">
        <v>667</v>
      </c>
    </row>
    <row r="52" spans="1:60" s="3" customFormat="1" ht="31.8" x14ac:dyDescent="0.3">
      <c r="A52" s="80" t="s">
        <v>166</v>
      </c>
      <c r="B52" s="17" t="s">
        <v>656</v>
      </c>
      <c r="C52" s="405" t="s">
        <v>657</v>
      </c>
      <c r="D52" s="405"/>
      <c r="E52" s="405"/>
      <c r="F52" s="16" t="s">
        <v>189</v>
      </c>
      <c r="G52" s="44">
        <v>0.64514000000000005</v>
      </c>
      <c r="H52" s="57">
        <f t="shared" si="0"/>
        <v>28370.46222525345</v>
      </c>
      <c r="I52" s="19">
        <f>194555.53-K52</f>
        <v>18302.920000000013</v>
      </c>
      <c r="J52" s="19">
        <f t="shared" si="1"/>
        <v>273200.5611185169</v>
      </c>
      <c r="K52" s="131">
        <v>176252.61</v>
      </c>
      <c r="BC52" s="14"/>
      <c r="BD52" s="15"/>
      <c r="BE52" s="21" t="s">
        <v>657</v>
      </c>
      <c r="BF52" s="12"/>
      <c r="BG52" s="43"/>
      <c r="BH52" s="12"/>
    </row>
    <row r="53" spans="1:60" s="3" customFormat="1" ht="20.399999999999999" x14ac:dyDescent="0.3">
      <c r="A53" s="83"/>
      <c r="B53" s="26" t="s">
        <v>631</v>
      </c>
      <c r="C53" s="419" t="s">
        <v>632</v>
      </c>
      <c r="D53" s="419"/>
      <c r="E53" s="419"/>
      <c r="F53" s="27" t="s">
        <v>70</v>
      </c>
      <c r="G53" s="22" t="s">
        <v>669</v>
      </c>
      <c r="H53" s="57"/>
      <c r="I53" s="28"/>
      <c r="J53" s="19"/>
      <c r="K53" s="132"/>
      <c r="BC53" s="14"/>
      <c r="BD53" s="15"/>
      <c r="BE53" s="21"/>
      <c r="BF53" s="12" t="s">
        <v>632</v>
      </c>
      <c r="BG53" s="43"/>
      <c r="BH53" s="12"/>
    </row>
    <row r="54" spans="1:60" s="3" customFormat="1" ht="20.399999999999999" x14ac:dyDescent="0.3">
      <c r="A54" s="83"/>
      <c r="B54" s="26" t="s">
        <v>634</v>
      </c>
      <c r="C54" s="419" t="s">
        <v>635</v>
      </c>
      <c r="D54" s="419"/>
      <c r="E54" s="419"/>
      <c r="F54" s="27" t="s">
        <v>46</v>
      </c>
      <c r="G54" s="22" t="s">
        <v>670</v>
      </c>
      <c r="H54" s="57"/>
      <c r="I54" s="28"/>
      <c r="J54" s="19"/>
      <c r="K54" s="132"/>
      <c r="BC54" s="14"/>
      <c r="BD54" s="15"/>
      <c r="BE54" s="21"/>
      <c r="BF54" s="12" t="s">
        <v>635</v>
      </c>
      <c r="BG54" s="43"/>
      <c r="BH54" s="12"/>
    </row>
    <row r="55" spans="1:60" s="3" customFormat="1" ht="20.399999999999999" x14ac:dyDescent="0.3">
      <c r="A55" s="133" t="s">
        <v>78</v>
      </c>
      <c r="B55" s="38" t="s">
        <v>646</v>
      </c>
      <c r="C55" s="430" t="s">
        <v>647</v>
      </c>
      <c r="D55" s="430"/>
      <c r="E55" s="430"/>
      <c r="F55" s="39" t="s">
        <v>70</v>
      </c>
      <c r="G55" s="40" t="s">
        <v>33</v>
      </c>
      <c r="H55" s="57"/>
      <c r="I55" s="41"/>
      <c r="J55" s="19"/>
      <c r="K55" s="134"/>
      <c r="BC55" s="14"/>
      <c r="BD55" s="15"/>
      <c r="BE55" s="21"/>
      <c r="BF55" s="12"/>
      <c r="BG55" s="43" t="s">
        <v>647</v>
      </c>
      <c r="BH55" s="12"/>
    </row>
    <row r="56" spans="1:60" s="3" customFormat="1" ht="21.6" x14ac:dyDescent="0.3">
      <c r="A56" s="83" t="s">
        <v>129</v>
      </c>
      <c r="B56" s="26" t="s">
        <v>666</v>
      </c>
      <c r="C56" s="419" t="s">
        <v>667</v>
      </c>
      <c r="D56" s="419"/>
      <c r="E56" s="419"/>
      <c r="F56" s="27" t="s">
        <v>70</v>
      </c>
      <c r="G56" s="22" t="s">
        <v>671</v>
      </c>
      <c r="H56" s="57"/>
      <c r="I56" s="28"/>
      <c r="J56" s="19"/>
      <c r="K56" s="132"/>
      <c r="BC56" s="14"/>
      <c r="BD56" s="15"/>
      <c r="BE56" s="21"/>
      <c r="BF56" s="12"/>
      <c r="BG56" s="43"/>
      <c r="BH56" s="12" t="s">
        <v>667</v>
      </c>
    </row>
    <row r="57" spans="1:60" s="3" customFormat="1" ht="15" customHeight="1" x14ac:dyDescent="0.3">
      <c r="A57" s="417" t="s">
        <v>672</v>
      </c>
      <c r="B57" s="418"/>
      <c r="C57" s="418"/>
      <c r="D57" s="418"/>
      <c r="E57" s="418"/>
      <c r="F57" s="418"/>
      <c r="G57" s="418"/>
      <c r="H57" s="123"/>
      <c r="I57" s="123"/>
      <c r="J57" s="123"/>
      <c r="K57" s="130"/>
      <c r="BC57" s="14"/>
      <c r="BD57" s="15" t="s">
        <v>672</v>
      </c>
      <c r="BE57" s="21"/>
      <c r="BF57" s="12"/>
      <c r="BG57" s="43"/>
      <c r="BH57" s="12"/>
    </row>
    <row r="58" spans="1:60" s="3" customFormat="1" ht="31.8" x14ac:dyDescent="0.3">
      <c r="A58" s="80" t="s">
        <v>169</v>
      </c>
      <c r="B58" s="17" t="s">
        <v>662</v>
      </c>
      <c r="C58" s="405" t="s">
        <v>663</v>
      </c>
      <c r="D58" s="405"/>
      <c r="E58" s="405"/>
      <c r="F58" s="16" t="s">
        <v>70</v>
      </c>
      <c r="G58" s="31">
        <v>0.27</v>
      </c>
      <c r="H58" s="57">
        <f t="shared" si="0"/>
        <v>2160.8148148148166</v>
      </c>
      <c r="I58" s="19">
        <f>4408.6-K58</f>
        <v>583.42000000000053</v>
      </c>
      <c r="J58" s="19">
        <f t="shared" si="1"/>
        <v>14167.333333333332</v>
      </c>
      <c r="K58" s="131">
        <v>3825.18</v>
      </c>
      <c r="BC58" s="14"/>
      <c r="BD58" s="15"/>
      <c r="BE58" s="21" t="s">
        <v>663</v>
      </c>
      <c r="BF58" s="12"/>
      <c r="BG58" s="43"/>
      <c r="BH58" s="12"/>
    </row>
    <row r="59" spans="1:60" s="3" customFormat="1" ht="20.399999999999999" x14ac:dyDescent="0.3">
      <c r="A59" s="83"/>
      <c r="B59" s="26" t="s">
        <v>631</v>
      </c>
      <c r="C59" s="419" t="s">
        <v>632</v>
      </c>
      <c r="D59" s="419"/>
      <c r="E59" s="419"/>
      <c r="F59" s="27" t="s">
        <v>70</v>
      </c>
      <c r="G59" s="22" t="s">
        <v>664</v>
      </c>
      <c r="H59" s="57"/>
      <c r="I59" s="28"/>
      <c r="J59" s="19"/>
      <c r="K59" s="132"/>
      <c r="BC59" s="14"/>
      <c r="BD59" s="15"/>
      <c r="BE59" s="21"/>
      <c r="BF59" s="12" t="s">
        <v>632</v>
      </c>
      <c r="BG59" s="43"/>
      <c r="BH59" s="12"/>
    </row>
    <row r="60" spans="1:60" s="3" customFormat="1" ht="22.5" customHeight="1" x14ac:dyDescent="0.3">
      <c r="A60" s="417" t="s">
        <v>673</v>
      </c>
      <c r="B60" s="418"/>
      <c r="C60" s="418"/>
      <c r="D60" s="418"/>
      <c r="E60" s="418"/>
      <c r="F60" s="418"/>
      <c r="G60" s="418"/>
      <c r="H60" s="123"/>
      <c r="I60" s="123"/>
      <c r="J60" s="123"/>
      <c r="K60" s="130"/>
      <c r="BC60" s="14"/>
      <c r="BD60" s="15" t="s">
        <v>673</v>
      </c>
      <c r="BE60" s="21"/>
      <c r="BF60" s="12"/>
      <c r="BG60" s="43"/>
      <c r="BH60" s="12"/>
    </row>
    <row r="61" spans="1:60" s="3" customFormat="1" ht="62.4" x14ac:dyDescent="0.3">
      <c r="A61" s="80" t="s">
        <v>170</v>
      </c>
      <c r="B61" s="17" t="s">
        <v>674</v>
      </c>
      <c r="C61" s="405" t="s">
        <v>675</v>
      </c>
      <c r="D61" s="405"/>
      <c r="E61" s="405"/>
      <c r="F61" s="16" t="s">
        <v>189</v>
      </c>
      <c r="G61" s="44">
        <v>0.70038</v>
      </c>
      <c r="H61" s="57">
        <f t="shared" si="0"/>
        <v>205546.9744995574</v>
      </c>
      <c r="I61" s="19">
        <f>282324.26-K61</f>
        <v>143960.99000000002</v>
      </c>
      <c r="J61" s="19">
        <f t="shared" si="1"/>
        <v>197554.57037608154</v>
      </c>
      <c r="K61" s="131">
        <v>138363.26999999999</v>
      </c>
      <c r="BC61" s="14"/>
      <c r="BD61" s="15"/>
      <c r="BE61" s="21" t="s">
        <v>675</v>
      </c>
      <c r="BF61" s="12"/>
      <c r="BG61" s="43"/>
      <c r="BH61" s="12"/>
    </row>
    <row r="62" spans="1:60" s="3" customFormat="1" ht="20.399999999999999" x14ac:dyDescent="0.3">
      <c r="A62" s="83"/>
      <c r="B62" s="26" t="s">
        <v>154</v>
      </c>
      <c r="C62" s="419" t="s">
        <v>155</v>
      </c>
      <c r="D62" s="419"/>
      <c r="E62" s="419"/>
      <c r="F62" s="27" t="s">
        <v>46</v>
      </c>
      <c r="G62" s="22" t="s">
        <v>676</v>
      </c>
      <c r="H62" s="57"/>
      <c r="I62" s="28"/>
      <c r="J62" s="19"/>
      <c r="K62" s="132"/>
      <c r="BC62" s="14"/>
      <c r="BD62" s="15"/>
      <c r="BE62" s="21"/>
      <c r="BF62" s="12" t="s">
        <v>155</v>
      </c>
      <c r="BG62" s="43"/>
      <c r="BH62" s="12"/>
    </row>
    <row r="63" spans="1:60" s="3" customFormat="1" ht="20.399999999999999" x14ac:dyDescent="0.3">
      <c r="A63" s="83"/>
      <c r="B63" s="26" t="s">
        <v>677</v>
      </c>
      <c r="C63" s="419" t="s">
        <v>678</v>
      </c>
      <c r="D63" s="419"/>
      <c r="E63" s="419"/>
      <c r="F63" s="27" t="s">
        <v>46</v>
      </c>
      <c r="G63" s="22" t="s">
        <v>679</v>
      </c>
      <c r="H63" s="57"/>
      <c r="I63" s="28"/>
      <c r="J63" s="19"/>
      <c r="K63" s="132"/>
      <c r="BC63" s="14"/>
      <c r="BD63" s="15"/>
      <c r="BE63" s="21"/>
      <c r="BF63" s="12" t="s">
        <v>678</v>
      </c>
      <c r="BG63" s="43"/>
      <c r="BH63" s="12"/>
    </row>
    <row r="64" spans="1:60" s="3" customFormat="1" ht="20.399999999999999" x14ac:dyDescent="0.3">
      <c r="A64" s="83"/>
      <c r="B64" s="26" t="s">
        <v>680</v>
      </c>
      <c r="C64" s="419" t="s">
        <v>681</v>
      </c>
      <c r="D64" s="419"/>
      <c r="E64" s="419"/>
      <c r="F64" s="27" t="s">
        <v>46</v>
      </c>
      <c r="G64" s="22" t="s">
        <v>682</v>
      </c>
      <c r="H64" s="57"/>
      <c r="I64" s="28"/>
      <c r="J64" s="19"/>
      <c r="K64" s="132"/>
      <c r="BC64" s="14"/>
      <c r="BD64" s="15"/>
      <c r="BE64" s="21"/>
      <c r="BF64" s="12" t="s">
        <v>681</v>
      </c>
      <c r="BG64" s="43"/>
      <c r="BH64" s="12"/>
    </row>
    <row r="65" spans="1:60" s="3" customFormat="1" ht="15" customHeight="1" x14ac:dyDescent="0.3">
      <c r="A65" s="417" t="s">
        <v>683</v>
      </c>
      <c r="B65" s="418"/>
      <c r="C65" s="418"/>
      <c r="D65" s="418"/>
      <c r="E65" s="418"/>
      <c r="F65" s="418"/>
      <c r="G65" s="418"/>
      <c r="H65" s="123"/>
      <c r="I65" s="123"/>
      <c r="J65" s="123"/>
      <c r="K65" s="130"/>
      <c r="BC65" s="14"/>
      <c r="BD65" s="15" t="s">
        <v>683</v>
      </c>
      <c r="BE65" s="21"/>
      <c r="BF65" s="12"/>
      <c r="BG65" s="43"/>
      <c r="BH65" s="12"/>
    </row>
    <row r="66" spans="1:60" s="3" customFormat="1" ht="21.6" x14ac:dyDescent="0.3">
      <c r="A66" s="80" t="s">
        <v>173</v>
      </c>
      <c r="B66" s="17" t="s">
        <v>684</v>
      </c>
      <c r="C66" s="405" t="s">
        <v>685</v>
      </c>
      <c r="D66" s="405"/>
      <c r="E66" s="405"/>
      <c r="F66" s="16" t="s">
        <v>189</v>
      </c>
      <c r="G66" s="44">
        <v>0.72452000000000005</v>
      </c>
      <c r="H66" s="57">
        <f t="shared" si="0"/>
        <v>12474.106994975982</v>
      </c>
      <c r="I66" s="19">
        <f>9469.08-K66</f>
        <v>9037.74</v>
      </c>
      <c r="J66" s="19">
        <f t="shared" si="1"/>
        <v>595.34588417158943</v>
      </c>
      <c r="K66" s="131">
        <v>431.34</v>
      </c>
      <c r="BC66" s="14"/>
      <c r="BD66" s="15"/>
      <c r="BE66" s="21" t="s">
        <v>685</v>
      </c>
      <c r="BF66" s="12"/>
      <c r="BG66" s="43"/>
      <c r="BH66" s="12"/>
    </row>
    <row r="67" spans="1:60" s="3" customFormat="1" ht="20.399999999999999" x14ac:dyDescent="0.3">
      <c r="A67" s="133" t="s">
        <v>78</v>
      </c>
      <c r="B67" s="38" t="s">
        <v>686</v>
      </c>
      <c r="C67" s="430" t="s">
        <v>687</v>
      </c>
      <c r="D67" s="430"/>
      <c r="E67" s="430"/>
      <c r="F67" s="39" t="s">
        <v>158</v>
      </c>
      <c r="G67" s="40" t="s">
        <v>33</v>
      </c>
      <c r="H67" s="57"/>
      <c r="I67" s="41"/>
      <c r="J67" s="19"/>
      <c r="K67" s="134"/>
      <c r="BC67" s="14"/>
      <c r="BD67" s="15"/>
      <c r="BE67" s="21"/>
      <c r="BF67" s="12"/>
      <c r="BG67" s="43" t="s">
        <v>687</v>
      </c>
      <c r="BH67" s="12"/>
    </row>
    <row r="68" spans="1:60" s="3" customFormat="1" ht="21.6" x14ac:dyDescent="0.3">
      <c r="A68" s="83"/>
      <c r="B68" s="26" t="s">
        <v>688</v>
      </c>
      <c r="C68" s="419" t="s">
        <v>689</v>
      </c>
      <c r="D68" s="419"/>
      <c r="E68" s="419"/>
      <c r="F68" s="27" t="s">
        <v>75</v>
      </c>
      <c r="G68" s="22" t="s">
        <v>690</v>
      </c>
      <c r="H68" s="57"/>
      <c r="I68" s="28"/>
      <c r="J68" s="19"/>
      <c r="K68" s="132"/>
      <c r="BC68" s="14"/>
      <c r="BD68" s="15"/>
      <c r="BE68" s="21"/>
      <c r="BF68" s="12" t="s">
        <v>689</v>
      </c>
      <c r="BG68" s="43"/>
      <c r="BH68" s="12"/>
    </row>
    <row r="69" spans="1:60" s="3" customFormat="1" ht="31.8" x14ac:dyDescent="0.3">
      <c r="A69" s="80" t="s">
        <v>176</v>
      </c>
      <c r="B69" s="17" t="s">
        <v>691</v>
      </c>
      <c r="C69" s="405" t="s">
        <v>692</v>
      </c>
      <c r="D69" s="405"/>
      <c r="E69" s="405"/>
      <c r="F69" s="16" t="s">
        <v>158</v>
      </c>
      <c r="G69" s="31">
        <v>796.97</v>
      </c>
      <c r="H69" s="57">
        <f t="shared" si="0"/>
        <v>0</v>
      </c>
      <c r="I69" s="19">
        <v>0</v>
      </c>
      <c r="J69" s="19">
        <f t="shared" si="1"/>
        <v>364.35450518840105</v>
      </c>
      <c r="K69" s="131">
        <v>290379.61</v>
      </c>
      <c r="BC69" s="14"/>
      <c r="BD69" s="15"/>
      <c r="BE69" s="21" t="s">
        <v>692</v>
      </c>
      <c r="BF69" s="12"/>
      <c r="BG69" s="43"/>
      <c r="BH69" s="12"/>
    </row>
    <row r="70" spans="1:60" s="3" customFormat="1" ht="15" customHeight="1" x14ac:dyDescent="0.3">
      <c r="A70" s="417" t="s">
        <v>693</v>
      </c>
      <c r="B70" s="418"/>
      <c r="C70" s="418"/>
      <c r="D70" s="418"/>
      <c r="E70" s="418"/>
      <c r="F70" s="418"/>
      <c r="G70" s="418"/>
      <c r="H70" s="123"/>
      <c r="I70" s="123"/>
      <c r="J70" s="123"/>
      <c r="K70" s="130"/>
      <c r="BC70" s="14"/>
      <c r="BD70" s="15" t="s">
        <v>693</v>
      </c>
      <c r="BE70" s="21"/>
      <c r="BF70" s="12"/>
      <c r="BG70" s="43"/>
      <c r="BH70" s="12"/>
    </row>
    <row r="71" spans="1:60" s="3" customFormat="1" ht="62.4" x14ac:dyDescent="0.3">
      <c r="A71" s="80" t="s">
        <v>177</v>
      </c>
      <c r="B71" s="17" t="s">
        <v>694</v>
      </c>
      <c r="C71" s="405" t="s">
        <v>695</v>
      </c>
      <c r="D71" s="405"/>
      <c r="E71" s="405"/>
      <c r="F71" s="16" t="s">
        <v>189</v>
      </c>
      <c r="G71" s="44">
        <v>0.76241999999999999</v>
      </c>
      <c r="H71" s="57">
        <f t="shared" si="0"/>
        <v>143073.18800661055</v>
      </c>
      <c r="I71" s="19">
        <f>240763.1-K71</f>
        <v>109081.86000000002</v>
      </c>
      <c r="J71" s="19">
        <f t="shared" si="1"/>
        <v>172714.82909682326</v>
      </c>
      <c r="K71" s="131">
        <v>131681.24</v>
      </c>
      <c r="BC71" s="14"/>
      <c r="BD71" s="15"/>
      <c r="BE71" s="21" t="s">
        <v>695</v>
      </c>
      <c r="BF71" s="12"/>
      <c r="BG71" s="43"/>
      <c r="BH71" s="12"/>
    </row>
    <row r="72" spans="1:60" s="3" customFormat="1" ht="20.399999999999999" x14ac:dyDescent="0.3">
      <c r="A72" s="83"/>
      <c r="B72" s="26" t="s">
        <v>154</v>
      </c>
      <c r="C72" s="419" t="s">
        <v>155</v>
      </c>
      <c r="D72" s="419"/>
      <c r="E72" s="419"/>
      <c r="F72" s="27" t="s">
        <v>46</v>
      </c>
      <c r="G72" s="22" t="s">
        <v>696</v>
      </c>
      <c r="H72" s="57"/>
      <c r="I72" s="28"/>
      <c r="J72" s="19"/>
      <c r="K72" s="132"/>
      <c r="BC72" s="14"/>
      <c r="BD72" s="15"/>
      <c r="BE72" s="21"/>
      <c r="BF72" s="12" t="s">
        <v>155</v>
      </c>
      <c r="BG72" s="43"/>
      <c r="BH72" s="12"/>
    </row>
    <row r="73" spans="1:60" s="3" customFormat="1" ht="20.399999999999999" x14ac:dyDescent="0.3">
      <c r="A73" s="83"/>
      <c r="B73" s="26" t="s">
        <v>680</v>
      </c>
      <c r="C73" s="419" t="s">
        <v>681</v>
      </c>
      <c r="D73" s="419"/>
      <c r="E73" s="419"/>
      <c r="F73" s="27" t="s">
        <v>46</v>
      </c>
      <c r="G73" s="22" t="s">
        <v>697</v>
      </c>
      <c r="H73" s="57"/>
      <c r="I73" s="28"/>
      <c r="J73" s="19"/>
      <c r="K73" s="132"/>
      <c r="BC73" s="14"/>
      <c r="BD73" s="15"/>
      <c r="BE73" s="21"/>
      <c r="BF73" s="12" t="s">
        <v>681</v>
      </c>
      <c r="BG73" s="43"/>
      <c r="BH73" s="12"/>
    </row>
    <row r="74" spans="1:60" s="3" customFormat="1" ht="31.8" x14ac:dyDescent="0.3">
      <c r="A74" s="80" t="s">
        <v>180</v>
      </c>
      <c r="B74" s="17" t="s">
        <v>698</v>
      </c>
      <c r="C74" s="405" t="s">
        <v>699</v>
      </c>
      <c r="D74" s="405"/>
      <c r="E74" s="405"/>
      <c r="F74" s="16" t="s">
        <v>189</v>
      </c>
      <c r="G74" s="44">
        <v>0.76241999999999999</v>
      </c>
      <c r="H74" s="57">
        <f t="shared" si="0"/>
        <v>48703.929592612993</v>
      </c>
      <c r="I74" s="19">
        <f>80916.84-K74</f>
        <v>37132.85</v>
      </c>
      <c r="J74" s="19">
        <f t="shared" si="1"/>
        <v>57427.65142572335</v>
      </c>
      <c r="K74" s="131">
        <v>43783.99</v>
      </c>
      <c r="BC74" s="14"/>
      <c r="BD74" s="15"/>
      <c r="BE74" s="21" t="s">
        <v>699</v>
      </c>
      <c r="BF74" s="12"/>
      <c r="BG74" s="43"/>
      <c r="BH74" s="12"/>
    </row>
    <row r="75" spans="1:60" s="3" customFormat="1" ht="20.399999999999999" x14ac:dyDescent="0.3">
      <c r="A75" s="83"/>
      <c r="B75" s="26" t="s">
        <v>680</v>
      </c>
      <c r="C75" s="419" t="s">
        <v>681</v>
      </c>
      <c r="D75" s="419"/>
      <c r="E75" s="419"/>
      <c r="F75" s="27" t="s">
        <v>46</v>
      </c>
      <c r="G75" s="22" t="s">
        <v>700</v>
      </c>
      <c r="H75" s="57"/>
      <c r="I75" s="28"/>
      <c r="J75" s="19"/>
      <c r="K75" s="132"/>
      <c r="BC75" s="14"/>
      <c r="BD75" s="15"/>
      <c r="BE75" s="21"/>
      <c r="BF75" s="12" t="s">
        <v>681</v>
      </c>
      <c r="BG75" s="43"/>
      <c r="BH75" s="12"/>
    </row>
    <row r="76" spans="1:60" s="3" customFormat="1" ht="15" customHeight="1" x14ac:dyDescent="0.3">
      <c r="A76" s="417" t="s">
        <v>701</v>
      </c>
      <c r="B76" s="418"/>
      <c r="C76" s="418"/>
      <c r="D76" s="418"/>
      <c r="E76" s="418"/>
      <c r="F76" s="418"/>
      <c r="G76" s="418"/>
      <c r="H76" s="123"/>
      <c r="I76" s="123"/>
      <c r="J76" s="123"/>
      <c r="K76" s="130"/>
      <c r="BC76" s="14"/>
      <c r="BD76" s="15" t="s">
        <v>701</v>
      </c>
      <c r="BE76" s="21"/>
      <c r="BF76" s="12"/>
      <c r="BG76" s="43"/>
      <c r="BH76" s="12"/>
    </row>
    <row r="77" spans="1:60" s="3" customFormat="1" ht="15" customHeight="1" x14ac:dyDescent="0.3">
      <c r="A77" s="417" t="s">
        <v>683</v>
      </c>
      <c r="B77" s="418"/>
      <c r="C77" s="418"/>
      <c r="D77" s="418"/>
      <c r="E77" s="418"/>
      <c r="F77" s="418"/>
      <c r="G77" s="418"/>
      <c r="H77" s="123"/>
      <c r="I77" s="123"/>
      <c r="J77" s="123"/>
      <c r="K77" s="130"/>
      <c r="BC77" s="14"/>
      <c r="BD77" s="15" t="s">
        <v>683</v>
      </c>
      <c r="BE77" s="21"/>
      <c r="BF77" s="12"/>
      <c r="BG77" s="43"/>
      <c r="BH77" s="12"/>
    </row>
    <row r="78" spans="1:60" s="3" customFormat="1" ht="21.6" x14ac:dyDescent="0.3">
      <c r="A78" s="80" t="s">
        <v>182</v>
      </c>
      <c r="B78" s="17" t="s">
        <v>684</v>
      </c>
      <c r="C78" s="405" t="s">
        <v>685</v>
      </c>
      <c r="D78" s="405"/>
      <c r="E78" s="405"/>
      <c r="F78" s="16" t="s">
        <v>189</v>
      </c>
      <c r="G78" s="44">
        <v>0.79339000000000004</v>
      </c>
      <c r="H78" s="57">
        <f t="shared" ref="H78:H83" si="2">I78/G78</f>
        <v>12474.092186692555</v>
      </c>
      <c r="I78" s="19">
        <f>328352.25-K78</f>
        <v>9896.820000000007</v>
      </c>
      <c r="J78" s="19">
        <f t="shared" ref="J78:J83" si="3">K78/G78</f>
        <v>401385.73715322855</v>
      </c>
      <c r="K78" s="131">
        <v>318455.43</v>
      </c>
      <c r="BC78" s="14"/>
      <c r="BD78" s="15"/>
      <c r="BE78" s="21" t="s">
        <v>685</v>
      </c>
      <c r="BF78" s="12"/>
      <c r="BG78" s="43"/>
      <c r="BH78" s="12"/>
    </row>
    <row r="79" spans="1:60" s="3" customFormat="1" ht="20.399999999999999" x14ac:dyDescent="0.3">
      <c r="A79" s="133" t="s">
        <v>78</v>
      </c>
      <c r="B79" s="38" t="s">
        <v>686</v>
      </c>
      <c r="C79" s="430" t="s">
        <v>687</v>
      </c>
      <c r="D79" s="430"/>
      <c r="E79" s="430"/>
      <c r="F79" s="39" t="s">
        <v>158</v>
      </c>
      <c r="G79" s="40" t="s">
        <v>33</v>
      </c>
      <c r="H79" s="57"/>
      <c r="I79" s="41"/>
      <c r="J79" s="19"/>
      <c r="K79" s="134"/>
      <c r="BC79" s="14"/>
      <c r="BD79" s="15"/>
      <c r="BE79" s="21"/>
      <c r="BF79" s="12"/>
      <c r="BG79" s="43" t="s">
        <v>687</v>
      </c>
      <c r="BH79" s="12"/>
    </row>
    <row r="80" spans="1:60" s="3" customFormat="1" ht="21.6" x14ac:dyDescent="0.3">
      <c r="A80" s="83"/>
      <c r="B80" s="26" t="s">
        <v>688</v>
      </c>
      <c r="C80" s="419" t="s">
        <v>689</v>
      </c>
      <c r="D80" s="419"/>
      <c r="E80" s="419"/>
      <c r="F80" s="27" t="s">
        <v>75</v>
      </c>
      <c r="G80" s="22" t="s">
        <v>702</v>
      </c>
      <c r="H80" s="57"/>
      <c r="I80" s="28"/>
      <c r="J80" s="19"/>
      <c r="K80" s="132"/>
      <c r="BC80" s="14"/>
      <c r="BD80" s="15"/>
      <c r="BE80" s="21"/>
      <c r="BF80" s="12" t="s">
        <v>689</v>
      </c>
      <c r="BG80" s="43"/>
      <c r="BH80" s="12"/>
    </row>
    <row r="81" spans="1:60" s="3" customFormat="1" ht="21.6" x14ac:dyDescent="0.3">
      <c r="A81" s="83" t="s">
        <v>129</v>
      </c>
      <c r="B81" s="26" t="s">
        <v>691</v>
      </c>
      <c r="C81" s="419" t="s">
        <v>692</v>
      </c>
      <c r="D81" s="419"/>
      <c r="E81" s="419"/>
      <c r="F81" s="27" t="s">
        <v>158</v>
      </c>
      <c r="G81" s="22" t="s">
        <v>703</v>
      </c>
      <c r="H81" s="57"/>
      <c r="I81" s="28"/>
      <c r="J81" s="19"/>
      <c r="K81" s="132"/>
      <c r="BC81" s="14"/>
      <c r="BD81" s="15"/>
      <c r="BE81" s="21"/>
      <c r="BF81" s="12"/>
      <c r="BG81" s="43"/>
      <c r="BH81" s="12" t="s">
        <v>692</v>
      </c>
    </row>
    <row r="82" spans="1:60" s="3" customFormat="1" ht="15" customHeight="1" x14ac:dyDescent="0.3">
      <c r="A82" s="417" t="s">
        <v>704</v>
      </c>
      <c r="B82" s="418"/>
      <c r="C82" s="418"/>
      <c r="D82" s="418"/>
      <c r="E82" s="418"/>
      <c r="F82" s="418"/>
      <c r="G82" s="418"/>
      <c r="H82" s="123"/>
      <c r="I82" s="123"/>
      <c r="J82" s="123"/>
      <c r="K82" s="130"/>
      <c r="BC82" s="14"/>
      <c r="BD82" s="15" t="s">
        <v>704</v>
      </c>
      <c r="BE82" s="21"/>
      <c r="BF82" s="12"/>
      <c r="BG82" s="43"/>
      <c r="BH82" s="12"/>
    </row>
    <row r="83" spans="1:60" s="3" customFormat="1" ht="21.6" x14ac:dyDescent="0.3">
      <c r="A83" s="80" t="s">
        <v>186</v>
      </c>
      <c r="B83" s="17" t="s">
        <v>705</v>
      </c>
      <c r="C83" s="405" t="s">
        <v>706</v>
      </c>
      <c r="D83" s="405"/>
      <c r="E83" s="405"/>
      <c r="F83" s="16" t="s">
        <v>67</v>
      </c>
      <c r="G83" s="31">
        <v>3.05</v>
      </c>
      <c r="H83" s="57">
        <f t="shared" si="2"/>
        <v>98108.908196721313</v>
      </c>
      <c r="I83" s="19">
        <f>569212.5-K83</f>
        <v>299232.17</v>
      </c>
      <c r="J83" s="19">
        <f t="shared" si="3"/>
        <v>88518.140983606572</v>
      </c>
      <c r="K83" s="131">
        <v>269980.33</v>
      </c>
      <c r="BC83" s="14"/>
      <c r="BD83" s="15"/>
      <c r="BE83" s="21" t="s">
        <v>706</v>
      </c>
      <c r="BF83" s="12"/>
      <c r="BG83" s="43"/>
      <c r="BH83" s="12"/>
    </row>
    <row r="84" spans="1:60" s="3" customFormat="1" ht="20.399999999999999" x14ac:dyDescent="0.3">
      <c r="A84" s="83"/>
      <c r="B84" s="26" t="s">
        <v>76</v>
      </c>
      <c r="C84" s="419" t="s">
        <v>77</v>
      </c>
      <c r="D84" s="419"/>
      <c r="E84" s="419"/>
      <c r="F84" s="27" t="s">
        <v>70</v>
      </c>
      <c r="G84" s="22" t="s">
        <v>707</v>
      </c>
      <c r="H84" s="58"/>
      <c r="I84" s="28"/>
      <c r="J84" s="19"/>
      <c r="K84" s="132"/>
      <c r="BC84" s="14"/>
      <c r="BD84" s="15"/>
      <c r="BE84" s="21"/>
      <c r="BF84" s="12" t="s">
        <v>77</v>
      </c>
      <c r="BG84" s="43"/>
      <c r="BH84" s="12"/>
    </row>
    <row r="85" spans="1:60" s="3" customFormat="1" ht="21.6" x14ac:dyDescent="0.3">
      <c r="A85" s="83"/>
      <c r="B85" s="26" t="s">
        <v>107</v>
      </c>
      <c r="C85" s="419" t="s">
        <v>108</v>
      </c>
      <c r="D85" s="419"/>
      <c r="E85" s="419"/>
      <c r="F85" s="27" t="s">
        <v>46</v>
      </c>
      <c r="G85" s="22" t="s">
        <v>708</v>
      </c>
      <c r="H85" s="58"/>
      <c r="I85" s="28"/>
      <c r="J85" s="19"/>
      <c r="K85" s="132"/>
      <c r="BC85" s="14"/>
      <c r="BD85" s="15"/>
      <c r="BE85" s="21"/>
      <c r="BF85" s="12" t="s">
        <v>108</v>
      </c>
      <c r="BG85" s="43"/>
      <c r="BH85" s="12"/>
    </row>
    <row r="86" spans="1:60" s="3" customFormat="1" ht="20.399999999999999" x14ac:dyDescent="0.3">
      <c r="A86" s="83"/>
      <c r="B86" s="26" t="s">
        <v>709</v>
      </c>
      <c r="C86" s="419" t="s">
        <v>710</v>
      </c>
      <c r="D86" s="419"/>
      <c r="E86" s="419"/>
      <c r="F86" s="27" t="s">
        <v>46</v>
      </c>
      <c r="G86" s="22" t="s">
        <v>711</v>
      </c>
      <c r="H86" s="58"/>
      <c r="I86" s="28"/>
      <c r="J86" s="19"/>
      <c r="K86" s="132"/>
      <c r="BC86" s="14"/>
      <c r="BD86" s="15"/>
      <c r="BE86" s="21"/>
      <c r="BF86" s="12" t="s">
        <v>710</v>
      </c>
      <c r="BG86" s="43"/>
      <c r="BH86" s="12"/>
    </row>
    <row r="87" spans="1:60" s="3" customFormat="1" ht="31.8" x14ac:dyDescent="0.3">
      <c r="A87" s="83"/>
      <c r="B87" s="26" t="s">
        <v>712</v>
      </c>
      <c r="C87" s="419" t="s">
        <v>713</v>
      </c>
      <c r="D87" s="419"/>
      <c r="E87" s="419"/>
      <c r="F87" s="27" t="s">
        <v>46</v>
      </c>
      <c r="G87" s="22" t="s">
        <v>714</v>
      </c>
      <c r="H87" s="58"/>
      <c r="I87" s="28"/>
      <c r="J87" s="19"/>
      <c r="K87" s="132"/>
      <c r="BC87" s="14"/>
      <c r="BD87" s="15"/>
      <c r="BE87" s="21"/>
      <c r="BF87" s="12" t="s">
        <v>713</v>
      </c>
      <c r="BG87" s="43"/>
      <c r="BH87" s="12"/>
    </row>
    <row r="88" spans="1:60" s="3" customFormat="1" ht="20.399999999999999" x14ac:dyDescent="0.3">
      <c r="A88" s="133" t="s">
        <v>143</v>
      </c>
      <c r="B88" s="38" t="s">
        <v>715</v>
      </c>
      <c r="C88" s="430" t="s">
        <v>716</v>
      </c>
      <c r="D88" s="430"/>
      <c r="E88" s="430"/>
      <c r="F88" s="39" t="s">
        <v>115</v>
      </c>
      <c r="G88" s="40" t="s">
        <v>717</v>
      </c>
      <c r="H88" s="100"/>
      <c r="I88" s="41"/>
      <c r="J88" s="19"/>
      <c r="K88" s="134"/>
      <c r="BC88" s="14"/>
      <c r="BD88" s="15"/>
      <c r="BE88" s="21"/>
      <c r="BF88" s="12"/>
      <c r="BG88" s="43" t="s">
        <v>716</v>
      </c>
      <c r="BH88" s="12"/>
    </row>
    <row r="89" spans="1:60" s="3" customFormat="1" ht="21.6" x14ac:dyDescent="0.3">
      <c r="A89" s="83" t="s">
        <v>129</v>
      </c>
      <c r="B89" s="26" t="s">
        <v>718</v>
      </c>
      <c r="C89" s="419" t="s">
        <v>719</v>
      </c>
      <c r="D89" s="419"/>
      <c r="E89" s="419"/>
      <c r="F89" s="27" t="s">
        <v>38</v>
      </c>
      <c r="G89" s="22" t="s">
        <v>717</v>
      </c>
      <c r="H89" s="58"/>
      <c r="I89" s="28"/>
      <c r="J89" s="19"/>
      <c r="K89" s="132"/>
      <c r="M89" s="56"/>
      <c r="BC89" s="14"/>
      <c r="BD89" s="15"/>
      <c r="BE89" s="21"/>
      <c r="BF89" s="12"/>
      <c r="BG89" s="43"/>
      <c r="BH89" s="12" t="s">
        <v>719</v>
      </c>
    </row>
    <row r="90" spans="1:60" s="3" customFormat="1" ht="20.25" customHeight="1" x14ac:dyDescent="0.3">
      <c r="A90" s="406" t="s">
        <v>57</v>
      </c>
      <c r="B90" s="407"/>
      <c r="C90" s="407"/>
      <c r="D90" s="407"/>
      <c r="E90" s="407"/>
      <c r="F90" s="407"/>
      <c r="G90" s="407"/>
      <c r="H90" s="66"/>
      <c r="I90" s="67">
        <f>SUM(I13:I89)</f>
        <v>1375426.69</v>
      </c>
      <c r="J90" s="72"/>
      <c r="K90" s="135">
        <f>SUM(K13:K89)</f>
        <v>1962508.0799999998</v>
      </c>
    </row>
    <row r="91" spans="1:60" s="53" customFormat="1" ht="20.25" customHeight="1" thickBot="1" x14ac:dyDescent="0.35">
      <c r="A91" s="408" t="s">
        <v>5461</v>
      </c>
      <c r="B91" s="409"/>
      <c r="C91" s="409"/>
      <c r="D91" s="409"/>
      <c r="E91" s="409"/>
      <c r="F91" s="409"/>
      <c r="G91" s="409"/>
      <c r="H91" s="88"/>
      <c r="I91" s="410">
        <f>I90+K90</f>
        <v>3337934.7699999996</v>
      </c>
      <c r="J91" s="411"/>
      <c r="K91" s="412"/>
    </row>
  </sheetData>
  <autoFilter ref="A10:BQ91" xr:uid="{00000000-0001-0000-0500-000000000000}">
    <filterColumn colId="2" showButton="0"/>
    <filterColumn colId="3" showButton="0"/>
  </autoFilter>
  <mergeCells count="89">
    <mergeCell ref="C80:E80"/>
    <mergeCell ref="C81:E81"/>
    <mergeCell ref="C83:E83"/>
    <mergeCell ref="C84:E84"/>
    <mergeCell ref="A82:G82"/>
    <mergeCell ref="A90:G90"/>
    <mergeCell ref="A91:G91"/>
    <mergeCell ref="I91:K91"/>
    <mergeCell ref="C85:E85"/>
    <mergeCell ref="C86:E86"/>
    <mergeCell ref="C87:E87"/>
    <mergeCell ref="C88:E88"/>
    <mergeCell ref="C89:E89"/>
    <mergeCell ref="C79:E79"/>
    <mergeCell ref="A77:G77"/>
    <mergeCell ref="A76:G76"/>
    <mergeCell ref="C71:E71"/>
    <mergeCell ref="C72:E72"/>
    <mergeCell ref="C73:E73"/>
    <mergeCell ref="C74:E74"/>
    <mergeCell ref="C75:E75"/>
    <mergeCell ref="C78:E78"/>
    <mergeCell ref="A70:G70"/>
    <mergeCell ref="C66:E66"/>
    <mergeCell ref="C67:E67"/>
    <mergeCell ref="C68:E68"/>
    <mergeCell ref="C69:E69"/>
    <mergeCell ref="A65:G65"/>
    <mergeCell ref="C61:E61"/>
    <mergeCell ref="C62:E62"/>
    <mergeCell ref="C63:E63"/>
    <mergeCell ref="C64:E64"/>
    <mergeCell ref="A60:G60"/>
    <mergeCell ref="C55:E55"/>
    <mergeCell ref="C56:E56"/>
    <mergeCell ref="C58:E58"/>
    <mergeCell ref="C59:E59"/>
    <mergeCell ref="A57:G57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2:E42"/>
    <mergeCell ref="C43:E43"/>
    <mergeCell ref="C44:E44"/>
    <mergeCell ref="A41:G41"/>
    <mergeCell ref="C35:E35"/>
    <mergeCell ref="C36:E36"/>
    <mergeCell ref="C37:E37"/>
    <mergeCell ref="C39:E39"/>
    <mergeCell ref="A38:G38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C23:E23"/>
    <mergeCell ref="C24:E24"/>
    <mergeCell ref="A21:G21"/>
    <mergeCell ref="A22:G22"/>
    <mergeCell ref="C15:E15"/>
    <mergeCell ref="C17:E17"/>
    <mergeCell ref="C19:E19"/>
    <mergeCell ref="A18:G18"/>
    <mergeCell ref="A16:G16"/>
    <mergeCell ref="C14:E14"/>
    <mergeCell ref="C9:E9"/>
    <mergeCell ref="C10:E10"/>
    <mergeCell ref="A11:G11"/>
    <mergeCell ref="A12:G12"/>
    <mergeCell ref="A6:K6"/>
    <mergeCell ref="C7:G7"/>
    <mergeCell ref="A2:K2"/>
    <mergeCell ref="A3:K3"/>
    <mergeCell ref="C13:E13"/>
    <mergeCell ref="A5:K5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BK128"/>
  <sheetViews>
    <sheetView workbookViewId="0">
      <selection activeCell="H10" sqref="H1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5.44140625" style="1" customWidth="1"/>
    <col min="6" max="7" width="10.6640625" style="1" customWidth="1"/>
    <col min="8" max="11" width="17.44140625" style="54" customWidth="1"/>
    <col min="12" max="12" width="10.6640625" style="1" customWidth="1"/>
    <col min="13" max="13" width="15.109375" style="1" customWidth="1"/>
    <col min="14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5555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36.7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720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720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4.4" x14ac:dyDescent="0.3">
      <c r="A7" s="4"/>
      <c r="B7" s="8" t="s">
        <v>5</v>
      </c>
      <c r="C7" s="402" t="s">
        <v>612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13"/>
      <c r="H8" s="56"/>
      <c r="I8" s="56"/>
      <c r="J8" s="56"/>
      <c r="K8" s="56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7" s="3" customFormat="1" ht="15" customHeight="1" x14ac:dyDescent="0.3">
      <c r="A12" s="435" t="s">
        <v>613</v>
      </c>
      <c r="B12" s="436"/>
      <c r="C12" s="436"/>
      <c r="D12" s="436"/>
      <c r="E12" s="436"/>
      <c r="F12" s="436"/>
      <c r="G12" s="436"/>
      <c r="H12" s="103"/>
      <c r="I12" s="103"/>
      <c r="J12" s="103"/>
      <c r="K12" s="104"/>
      <c r="BC12" s="14" t="s">
        <v>613</v>
      </c>
    </row>
    <row r="13" spans="1:57" s="3" customFormat="1" ht="15" customHeight="1" x14ac:dyDescent="0.3">
      <c r="A13" s="437" t="s">
        <v>614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C13" s="14"/>
      <c r="BD13" s="15" t="s">
        <v>614</v>
      </c>
    </row>
    <row r="14" spans="1:57" s="3" customFormat="1" ht="31.8" x14ac:dyDescent="0.3">
      <c r="A14" s="16" t="s">
        <v>15</v>
      </c>
      <c r="B14" s="17" t="s">
        <v>615</v>
      </c>
      <c r="C14" s="405" t="s">
        <v>616</v>
      </c>
      <c r="D14" s="405"/>
      <c r="E14" s="405"/>
      <c r="F14" s="16" t="s">
        <v>43</v>
      </c>
      <c r="G14" s="30">
        <v>0.38850000000000001</v>
      </c>
      <c r="H14" s="57">
        <f>I14/G14</f>
        <v>7694.131274131274</v>
      </c>
      <c r="I14" s="19">
        <v>2989.17</v>
      </c>
      <c r="J14" s="19">
        <f>K14/G14</f>
        <v>0</v>
      </c>
      <c r="K14" s="19">
        <v>0</v>
      </c>
      <c r="BC14" s="14"/>
      <c r="BD14" s="15"/>
      <c r="BE14" s="21" t="s">
        <v>616</v>
      </c>
    </row>
    <row r="15" spans="1:57" s="3" customFormat="1" ht="42" x14ac:dyDescent="0.3">
      <c r="A15" s="16" t="s">
        <v>20</v>
      </c>
      <c r="B15" s="17" t="s">
        <v>617</v>
      </c>
      <c r="C15" s="405" t="s">
        <v>618</v>
      </c>
      <c r="D15" s="405"/>
      <c r="E15" s="405"/>
      <c r="F15" s="16" t="s">
        <v>43</v>
      </c>
      <c r="G15" s="30">
        <v>0.38850000000000001</v>
      </c>
      <c r="H15" s="57">
        <f t="shared" ref="H15:H75" si="0">I15/G15</f>
        <v>46988.622908622914</v>
      </c>
      <c r="I15" s="19">
        <v>18255.080000000002</v>
      </c>
      <c r="J15" s="19">
        <f t="shared" ref="J15:J75" si="1">K15/G15</f>
        <v>0</v>
      </c>
      <c r="K15" s="19">
        <v>0</v>
      </c>
      <c r="BC15" s="14"/>
      <c r="BD15" s="15"/>
      <c r="BE15" s="21" t="s">
        <v>618</v>
      </c>
    </row>
    <row r="16" spans="1:57" s="3" customFormat="1" ht="42" x14ac:dyDescent="0.3">
      <c r="A16" s="16" t="s">
        <v>22</v>
      </c>
      <c r="B16" s="17" t="s">
        <v>48</v>
      </c>
      <c r="C16" s="405" t="s">
        <v>49</v>
      </c>
      <c r="D16" s="405"/>
      <c r="E16" s="405"/>
      <c r="F16" s="16" t="s">
        <v>50</v>
      </c>
      <c r="G16" s="23">
        <v>777</v>
      </c>
      <c r="H16" s="57">
        <f t="shared" si="0"/>
        <v>598.37580437580436</v>
      </c>
      <c r="I16" s="19">
        <v>464938</v>
      </c>
      <c r="J16" s="19">
        <f t="shared" si="1"/>
        <v>0</v>
      </c>
      <c r="K16" s="19">
        <v>0</v>
      </c>
      <c r="BC16" s="14"/>
      <c r="BD16" s="15"/>
      <c r="BE16" s="21" t="s">
        <v>49</v>
      </c>
    </row>
    <row r="17" spans="1:59" s="3" customFormat="1" ht="15" customHeight="1" x14ac:dyDescent="0.3">
      <c r="A17" s="437" t="s">
        <v>619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24"/>
      <c r="BC17" s="14"/>
      <c r="BD17" s="15" t="s">
        <v>619</v>
      </c>
      <c r="BE17" s="21"/>
    </row>
    <row r="18" spans="1:59" s="3" customFormat="1" ht="21.6" x14ac:dyDescent="0.3">
      <c r="A18" s="16" t="s">
        <v>27</v>
      </c>
      <c r="B18" s="17" t="s">
        <v>620</v>
      </c>
      <c r="C18" s="405" t="s">
        <v>621</v>
      </c>
      <c r="D18" s="405"/>
      <c r="E18" s="405"/>
      <c r="F18" s="16" t="s">
        <v>189</v>
      </c>
      <c r="G18" s="44">
        <v>0.69421999999999995</v>
      </c>
      <c r="H18" s="57">
        <f t="shared" si="0"/>
        <v>443.62017804154311</v>
      </c>
      <c r="I18" s="19">
        <v>307.97000000000003</v>
      </c>
      <c r="J18" s="19">
        <f t="shared" si="1"/>
        <v>0</v>
      </c>
      <c r="K18" s="19">
        <v>0</v>
      </c>
      <c r="BC18" s="14"/>
      <c r="BD18" s="15"/>
      <c r="BE18" s="21" t="s">
        <v>621</v>
      </c>
    </row>
    <row r="19" spans="1:59" s="3" customFormat="1" ht="15" customHeight="1" x14ac:dyDescent="0.3">
      <c r="A19" s="437" t="s">
        <v>622</v>
      </c>
      <c r="B19" s="418"/>
      <c r="C19" s="418"/>
      <c r="D19" s="418"/>
      <c r="E19" s="418"/>
      <c r="F19" s="418"/>
      <c r="G19" s="418"/>
      <c r="H19" s="123"/>
      <c r="I19" s="123"/>
      <c r="J19" s="123"/>
      <c r="K19" s="124"/>
      <c r="BC19" s="14"/>
      <c r="BD19" s="15" t="s">
        <v>622</v>
      </c>
      <c r="BE19" s="21"/>
    </row>
    <row r="20" spans="1:59" s="3" customFormat="1" ht="42" x14ac:dyDescent="0.3">
      <c r="A20" s="16" t="s">
        <v>35</v>
      </c>
      <c r="B20" s="17" t="s">
        <v>623</v>
      </c>
      <c r="C20" s="405" t="s">
        <v>624</v>
      </c>
      <c r="D20" s="405"/>
      <c r="E20" s="405"/>
      <c r="F20" s="16" t="s">
        <v>43</v>
      </c>
      <c r="G20" s="46">
        <v>0.17355499999999999</v>
      </c>
      <c r="H20" s="57">
        <f t="shared" si="0"/>
        <v>30270.692287747403</v>
      </c>
      <c r="I20" s="19">
        <v>5253.63</v>
      </c>
      <c r="J20" s="19">
        <f t="shared" si="1"/>
        <v>0</v>
      </c>
      <c r="K20" s="19">
        <v>0</v>
      </c>
      <c r="BC20" s="14"/>
      <c r="BD20" s="15"/>
      <c r="BE20" s="21" t="s">
        <v>624</v>
      </c>
    </row>
    <row r="21" spans="1:59" s="3" customFormat="1" ht="21.6" x14ac:dyDescent="0.3">
      <c r="A21" s="16" t="s">
        <v>40</v>
      </c>
      <c r="B21" s="17" t="s">
        <v>625</v>
      </c>
      <c r="C21" s="405" t="s">
        <v>626</v>
      </c>
      <c r="D21" s="405"/>
      <c r="E21" s="405"/>
      <c r="F21" s="16" t="s">
        <v>43</v>
      </c>
      <c r="G21" s="46">
        <v>0.17355499999999999</v>
      </c>
      <c r="H21" s="57">
        <f t="shared" si="0"/>
        <v>31148.972948056817</v>
      </c>
      <c r="I21" s="19">
        <v>5406.06</v>
      </c>
      <c r="J21" s="19">
        <f t="shared" si="1"/>
        <v>0</v>
      </c>
      <c r="K21" s="19">
        <v>0</v>
      </c>
      <c r="BC21" s="14"/>
      <c r="BD21" s="15"/>
      <c r="BE21" s="21" t="s">
        <v>626</v>
      </c>
    </row>
    <row r="22" spans="1:59" s="3" customFormat="1" ht="15" customHeight="1" x14ac:dyDescent="0.3">
      <c r="A22" s="435" t="s">
        <v>627</v>
      </c>
      <c r="B22" s="436"/>
      <c r="C22" s="436"/>
      <c r="D22" s="436"/>
      <c r="E22" s="436"/>
      <c r="F22" s="436"/>
      <c r="G22" s="436"/>
      <c r="H22" s="103"/>
      <c r="I22" s="103"/>
      <c r="J22" s="103"/>
      <c r="K22" s="104"/>
      <c r="BC22" s="14" t="s">
        <v>627</v>
      </c>
      <c r="BD22" s="15"/>
      <c r="BE22" s="21"/>
    </row>
    <row r="23" spans="1:59" s="3" customFormat="1" ht="51" customHeight="1" x14ac:dyDescent="0.3">
      <c r="A23" s="437" t="s">
        <v>628</v>
      </c>
      <c r="B23" s="418"/>
      <c r="C23" s="418"/>
      <c r="D23" s="418"/>
      <c r="E23" s="418"/>
      <c r="F23" s="418"/>
      <c r="G23" s="418"/>
      <c r="H23" s="123"/>
      <c r="I23" s="123"/>
      <c r="J23" s="123"/>
      <c r="K23" s="124"/>
      <c r="BC23" s="14"/>
      <c r="BD23" s="15" t="s">
        <v>628</v>
      </c>
      <c r="BE23" s="21"/>
    </row>
    <row r="24" spans="1:59" s="3" customFormat="1" ht="42" x14ac:dyDescent="0.3">
      <c r="A24" s="16" t="s">
        <v>47</v>
      </c>
      <c r="B24" s="17" t="s">
        <v>629</v>
      </c>
      <c r="C24" s="405" t="s">
        <v>630</v>
      </c>
      <c r="D24" s="405"/>
      <c r="E24" s="405"/>
      <c r="F24" s="16" t="s">
        <v>189</v>
      </c>
      <c r="G24" s="44">
        <v>0.56552000000000002</v>
      </c>
      <c r="H24" s="57">
        <f t="shared" si="0"/>
        <v>159882.02008770691</v>
      </c>
      <c r="I24" s="19">
        <f>334148.52-K24</f>
        <v>90416.48000000001</v>
      </c>
      <c r="J24" s="19">
        <f t="shared" si="1"/>
        <v>430987.48054887535</v>
      </c>
      <c r="K24" s="19">
        <v>243732.04</v>
      </c>
      <c r="BC24" s="14"/>
      <c r="BD24" s="15"/>
      <c r="BE24" s="21" t="s">
        <v>630</v>
      </c>
    </row>
    <row r="25" spans="1:59" s="3" customFormat="1" ht="20.399999999999999" x14ac:dyDescent="0.3">
      <c r="A25" s="25"/>
      <c r="B25" s="26" t="s">
        <v>631</v>
      </c>
      <c r="C25" s="419" t="s">
        <v>632</v>
      </c>
      <c r="D25" s="419"/>
      <c r="E25" s="419"/>
      <c r="F25" s="27" t="s">
        <v>70</v>
      </c>
      <c r="G25" s="22" t="s">
        <v>721</v>
      </c>
      <c r="H25" s="57"/>
      <c r="I25" s="28"/>
      <c r="J25" s="19"/>
      <c r="K25" s="29"/>
      <c r="BC25" s="14"/>
      <c r="BD25" s="15"/>
      <c r="BE25" s="21"/>
      <c r="BF25" s="12" t="s">
        <v>632</v>
      </c>
    </row>
    <row r="26" spans="1:59" s="3" customFormat="1" ht="20.399999999999999" x14ac:dyDescent="0.3">
      <c r="A26" s="25"/>
      <c r="B26" s="26" t="s">
        <v>634</v>
      </c>
      <c r="C26" s="419" t="s">
        <v>635</v>
      </c>
      <c r="D26" s="419"/>
      <c r="E26" s="419"/>
      <c r="F26" s="27" t="s">
        <v>46</v>
      </c>
      <c r="G26" s="22" t="s">
        <v>722</v>
      </c>
      <c r="H26" s="57"/>
      <c r="I26" s="28"/>
      <c r="J26" s="19"/>
      <c r="K26" s="29"/>
      <c r="BC26" s="14"/>
      <c r="BD26" s="15"/>
      <c r="BE26" s="21"/>
      <c r="BF26" s="12" t="s">
        <v>635</v>
      </c>
    </row>
    <row r="27" spans="1:59" s="3" customFormat="1" ht="20.399999999999999" x14ac:dyDescent="0.3">
      <c r="A27" s="25"/>
      <c r="B27" s="26" t="s">
        <v>637</v>
      </c>
      <c r="C27" s="419" t="s">
        <v>638</v>
      </c>
      <c r="D27" s="419"/>
      <c r="E27" s="419"/>
      <c r="F27" s="27" t="s">
        <v>70</v>
      </c>
      <c r="G27" s="22" t="s">
        <v>723</v>
      </c>
      <c r="H27" s="57"/>
      <c r="I27" s="28"/>
      <c r="J27" s="19"/>
      <c r="K27" s="29"/>
      <c r="BC27" s="14"/>
      <c r="BD27" s="15"/>
      <c r="BE27" s="21"/>
      <c r="BF27" s="12" t="s">
        <v>638</v>
      </c>
    </row>
    <row r="28" spans="1:59" s="3" customFormat="1" ht="20.399999999999999" x14ac:dyDescent="0.3">
      <c r="A28" s="25"/>
      <c r="B28" s="26" t="s">
        <v>640</v>
      </c>
      <c r="C28" s="419" t="s">
        <v>641</v>
      </c>
      <c r="D28" s="419"/>
      <c r="E28" s="419"/>
      <c r="F28" s="27" t="s">
        <v>70</v>
      </c>
      <c r="G28" s="22" t="s">
        <v>724</v>
      </c>
      <c r="H28" s="57"/>
      <c r="I28" s="28"/>
      <c r="J28" s="19"/>
      <c r="K28" s="29"/>
      <c r="BC28" s="14"/>
      <c r="BD28" s="15"/>
      <c r="BE28" s="21"/>
      <c r="BF28" s="12" t="s">
        <v>641</v>
      </c>
    </row>
    <row r="29" spans="1:59" s="3" customFormat="1" ht="21.6" x14ac:dyDescent="0.3">
      <c r="A29" s="25"/>
      <c r="B29" s="26" t="s">
        <v>643</v>
      </c>
      <c r="C29" s="419" t="s">
        <v>644</v>
      </c>
      <c r="D29" s="419"/>
      <c r="E29" s="419"/>
      <c r="F29" s="27" t="s">
        <v>38</v>
      </c>
      <c r="G29" s="22" t="s">
        <v>725</v>
      </c>
      <c r="H29" s="57"/>
      <c r="I29" s="28"/>
      <c r="J29" s="19"/>
      <c r="K29" s="29"/>
      <c r="BC29" s="14"/>
      <c r="BD29" s="15"/>
      <c r="BE29" s="21"/>
      <c r="BF29" s="12" t="s">
        <v>644</v>
      </c>
    </row>
    <row r="30" spans="1:59" s="3" customFormat="1" ht="20.399999999999999" x14ac:dyDescent="0.3">
      <c r="A30" s="37" t="s">
        <v>78</v>
      </c>
      <c r="B30" s="38" t="s">
        <v>646</v>
      </c>
      <c r="C30" s="430" t="s">
        <v>647</v>
      </c>
      <c r="D30" s="430"/>
      <c r="E30" s="430"/>
      <c r="F30" s="39" t="s">
        <v>70</v>
      </c>
      <c r="G30" s="40" t="s">
        <v>33</v>
      </c>
      <c r="H30" s="57"/>
      <c r="I30" s="41"/>
      <c r="J30" s="19"/>
      <c r="K30" s="42"/>
      <c r="BC30" s="14"/>
      <c r="BD30" s="15"/>
      <c r="BE30" s="21"/>
      <c r="BF30" s="12"/>
      <c r="BG30" s="43" t="s">
        <v>647</v>
      </c>
    </row>
    <row r="31" spans="1:59" s="3" customFormat="1" ht="20.399999999999999" x14ac:dyDescent="0.3">
      <c r="A31" s="25"/>
      <c r="B31" s="26" t="s">
        <v>648</v>
      </c>
      <c r="C31" s="419" t="s">
        <v>649</v>
      </c>
      <c r="D31" s="419"/>
      <c r="E31" s="419"/>
      <c r="F31" s="27" t="s">
        <v>70</v>
      </c>
      <c r="G31" s="22" t="s">
        <v>726</v>
      </c>
      <c r="H31" s="57"/>
      <c r="I31" s="28"/>
      <c r="J31" s="19"/>
      <c r="K31" s="29"/>
      <c r="BC31" s="14"/>
      <c r="BD31" s="15"/>
      <c r="BE31" s="21"/>
      <c r="BF31" s="12" t="s">
        <v>649</v>
      </c>
      <c r="BG31" s="43"/>
    </row>
    <row r="32" spans="1:59" s="3" customFormat="1" ht="21.6" x14ac:dyDescent="0.3">
      <c r="A32" s="25"/>
      <c r="B32" s="26" t="s">
        <v>651</v>
      </c>
      <c r="C32" s="419" t="s">
        <v>652</v>
      </c>
      <c r="D32" s="419"/>
      <c r="E32" s="419"/>
      <c r="F32" s="27" t="s">
        <v>70</v>
      </c>
      <c r="G32" s="22" t="s">
        <v>726</v>
      </c>
      <c r="H32" s="57"/>
      <c r="I32" s="28"/>
      <c r="J32" s="19"/>
      <c r="K32" s="29"/>
      <c r="BC32" s="14"/>
      <c r="BD32" s="15"/>
      <c r="BE32" s="21"/>
      <c r="BF32" s="12" t="s">
        <v>652</v>
      </c>
      <c r="BG32" s="43"/>
    </row>
    <row r="33" spans="1:60" s="3" customFormat="1" ht="21.6" x14ac:dyDescent="0.3">
      <c r="A33" s="25" t="s">
        <v>129</v>
      </c>
      <c r="B33" s="26" t="s">
        <v>653</v>
      </c>
      <c r="C33" s="419" t="s">
        <v>654</v>
      </c>
      <c r="D33" s="419"/>
      <c r="E33" s="419"/>
      <c r="F33" s="27" t="s">
        <v>70</v>
      </c>
      <c r="G33" s="22" t="s">
        <v>727</v>
      </c>
      <c r="H33" s="57"/>
      <c r="I33" s="28"/>
      <c r="J33" s="19"/>
      <c r="K33" s="29"/>
      <c r="BC33" s="14"/>
      <c r="BD33" s="15"/>
      <c r="BE33" s="21"/>
      <c r="BF33" s="12"/>
      <c r="BG33" s="43"/>
      <c r="BH33" s="12" t="s">
        <v>654</v>
      </c>
    </row>
    <row r="34" spans="1:60" s="3" customFormat="1" ht="31.8" x14ac:dyDescent="0.3">
      <c r="A34" s="16" t="s">
        <v>52</v>
      </c>
      <c r="B34" s="17" t="s">
        <v>656</v>
      </c>
      <c r="C34" s="405" t="s">
        <v>657</v>
      </c>
      <c r="D34" s="405"/>
      <c r="E34" s="405"/>
      <c r="F34" s="16" t="s">
        <v>189</v>
      </c>
      <c r="G34" s="44">
        <v>0.56552000000000002</v>
      </c>
      <c r="H34" s="57">
        <f t="shared" si="0"/>
        <v>9456.8361861649428</v>
      </c>
      <c r="I34" s="19">
        <f>64847.31-K34</f>
        <v>5348.0299999999988</v>
      </c>
      <c r="J34" s="19">
        <f t="shared" si="1"/>
        <v>105211.62823595981</v>
      </c>
      <c r="K34" s="19">
        <v>59499.28</v>
      </c>
      <c r="BC34" s="14"/>
      <c r="BD34" s="15"/>
      <c r="BE34" s="21" t="s">
        <v>657</v>
      </c>
      <c r="BF34" s="12"/>
      <c r="BG34" s="43"/>
      <c r="BH34" s="12"/>
    </row>
    <row r="35" spans="1:60" s="3" customFormat="1" ht="20.399999999999999" x14ac:dyDescent="0.3">
      <c r="A35" s="25"/>
      <c r="B35" s="26" t="s">
        <v>631</v>
      </c>
      <c r="C35" s="419" t="s">
        <v>632</v>
      </c>
      <c r="D35" s="419"/>
      <c r="E35" s="419"/>
      <c r="F35" s="27" t="s">
        <v>70</v>
      </c>
      <c r="G35" s="22" t="s">
        <v>728</v>
      </c>
      <c r="H35" s="57"/>
      <c r="I35" s="28"/>
      <c r="J35" s="19"/>
      <c r="K35" s="29"/>
      <c r="BC35" s="14"/>
      <c r="BD35" s="15"/>
      <c r="BE35" s="21"/>
      <c r="BF35" s="12" t="s">
        <v>632</v>
      </c>
      <c r="BG35" s="43"/>
      <c r="BH35" s="12"/>
    </row>
    <row r="36" spans="1:60" s="3" customFormat="1" ht="20.399999999999999" x14ac:dyDescent="0.3">
      <c r="A36" s="25"/>
      <c r="B36" s="26" t="s">
        <v>634</v>
      </c>
      <c r="C36" s="419" t="s">
        <v>635</v>
      </c>
      <c r="D36" s="419"/>
      <c r="E36" s="419"/>
      <c r="F36" s="27" t="s">
        <v>46</v>
      </c>
      <c r="G36" s="22" t="s">
        <v>729</v>
      </c>
      <c r="H36" s="57"/>
      <c r="I36" s="28"/>
      <c r="J36" s="19"/>
      <c r="K36" s="29"/>
      <c r="BC36" s="14"/>
      <c r="BD36" s="15"/>
      <c r="BE36" s="21"/>
      <c r="BF36" s="12" t="s">
        <v>635</v>
      </c>
      <c r="BG36" s="43"/>
      <c r="BH36" s="12"/>
    </row>
    <row r="37" spans="1:60" s="3" customFormat="1" ht="20.399999999999999" x14ac:dyDescent="0.3">
      <c r="A37" s="37" t="s">
        <v>78</v>
      </c>
      <c r="B37" s="38" t="s">
        <v>646</v>
      </c>
      <c r="C37" s="430" t="s">
        <v>647</v>
      </c>
      <c r="D37" s="430"/>
      <c r="E37" s="430"/>
      <c r="F37" s="39" t="s">
        <v>70</v>
      </c>
      <c r="G37" s="40" t="s">
        <v>33</v>
      </c>
      <c r="H37" s="57"/>
      <c r="I37" s="41"/>
      <c r="J37" s="19"/>
      <c r="K37" s="42"/>
      <c r="BC37" s="14"/>
      <c r="BD37" s="15"/>
      <c r="BE37" s="21"/>
      <c r="BF37" s="12"/>
      <c r="BG37" s="43" t="s">
        <v>647</v>
      </c>
      <c r="BH37" s="12"/>
    </row>
    <row r="38" spans="1:60" s="3" customFormat="1" ht="21.6" x14ac:dyDescent="0.3">
      <c r="A38" s="25" t="s">
        <v>129</v>
      </c>
      <c r="B38" s="26" t="s">
        <v>653</v>
      </c>
      <c r="C38" s="419" t="s">
        <v>654</v>
      </c>
      <c r="D38" s="419"/>
      <c r="E38" s="419"/>
      <c r="F38" s="27" t="s">
        <v>70</v>
      </c>
      <c r="G38" s="22" t="s">
        <v>730</v>
      </c>
      <c r="H38" s="57"/>
      <c r="I38" s="28"/>
      <c r="J38" s="19"/>
      <c r="K38" s="29"/>
      <c r="BC38" s="14"/>
      <c r="BD38" s="15"/>
      <c r="BE38" s="21"/>
      <c r="BF38" s="12"/>
      <c r="BG38" s="43"/>
      <c r="BH38" s="12" t="s">
        <v>654</v>
      </c>
    </row>
    <row r="39" spans="1:60" s="3" customFormat="1" ht="15" customHeight="1" x14ac:dyDescent="0.3">
      <c r="A39" s="437" t="s">
        <v>661</v>
      </c>
      <c r="B39" s="418"/>
      <c r="C39" s="418"/>
      <c r="D39" s="418"/>
      <c r="E39" s="418"/>
      <c r="F39" s="418"/>
      <c r="G39" s="418"/>
      <c r="H39" s="123"/>
      <c r="I39" s="123"/>
      <c r="J39" s="123"/>
      <c r="K39" s="124"/>
      <c r="BC39" s="14"/>
      <c r="BD39" s="15" t="s">
        <v>661</v>
      </c>
      <c r="BE39" s="21"/>
      <c r="BF39" s="12"/>
      <c r="BG39" s="43"/>
      <c r="BH39" s="12"/>
    </row>
    <row r="40" spans="1:60" s="3" customFormat="1" ht="31.8" x14ac:dyDescent="0.3">
      <c r="A40" s="16" t="s">
        <v>55</v>
      </c>
      <c r="B40" s="17" t="s">
        <v>662</v>
      </c>
      <c r="C40" s="405" t="s">
        <v>663</v>
      </c>
      <c r="D40" s="405"/>
      <c r="E40" s="405"/>
      <c r="F40" s="16" t="s">
        <v>70</v>
      </c>
      <c r="G40" s="31">
        <v>0.23</v>
      </c>
      <c r="H40" s="57">
        <f t="shared" si="0"/>
        <v>2160.782608695652</v>
      </c>
      <c r="I40" s="19">
        <f>3755.47-K40</f>
        <v>496.98</v>
      </c>
      <c r="J40" s="19">
        <f t="shared" si="1"/>
        <v>14167.347826086954</v>
      </c>
      <c r="K40" s="19">
        <v>3258.49</v>
      </c>
      <c r="BC40" s="14"/>
      <c r="BD40" s="15"/>
      <c r="BE40" s="21" t="s">
        <v>663</v>
      </c>
      <c r="BF40" s="12"/>
      <c r="BG40" s="43"/>
      <c r="BH40" s="12"/>
    </row>
    <row r="41" spans="1:60" s="3" customFormat="1" ht="20.399999999999999" x14ac:dyDescent="0.3">
      <c r="A41" s="25"/>
      <c r="B41" s="26" t="s">
        <v>631</v>
      </c>
      <c r="C41" s="419" t="s">
        <v>632</v>
      </c>
      <c r="D41" s="419"/>
      <c r="E41" s="419"/>
      <c r="F41" s="27" t="s">
        <v>70</v>
      </c>
      <c r="G41" s="22" t="s">
        <v>731</v>
      </c>
      <c r="H41" s="57"/>
      <c r="I41" s="28"/>
      <c r="J41" s="19"/>
      <c r="K41" s="29"/>
      <c r="BC41" s="14"/>
      <c r="BD41" s="15"/>
      <c r="BE41" s="21"/>
      <c r="BF41" s="12" t="s">
        <v>632</v>
      </c>
      <c r="BG41" s="43"/>
      <c r="BH41" s="12"/>
    </row>
    <row r="42" spans="1:60" s="3" customFormat="1" ht="15" customHeight="1" x14ac:dyDescent="0.3">
      <c r="A42" s="437" t="s">
        <v>665</v>
      </c>
      <c r="B42" s="418"/>
      <c r="C42" s="418"/>
      <c r="D42" s="418"/>
      <c r="E42" s="418"/>
      <c r="F42" s="418"/>
      <c r="G42" s="418"/>
      <c r="H42" s="123"/>
      <c r="I42" s="123"/>
      <c r="J42" s="123"/>
      <c r="K42" s="124"/>
      <c r="BC42" s="14"/>
      <c r="BD42" s="15" t="s">
        <v>665</v>
      </c>
      <c r="BE42" s="21"/>
      <c r="BF42" s="12"/>
      <c r="BG42" s="43"/>
      <c r="BH42" s="12"/>
    </row>
    <row r="43" spans="1:60" s="3" customFormat="1" ht="42" x14ac:dyDescent="0.3">
      <c r="A43" s="16" t="s">
        <v>56</v>
      </c>
      <c r="B43" s="17" t="s">
        <v>629</v>
      </c>
      <c r="C43" s="405" t="s">
        <v>630</v>
      </c>
      <c r="D43" s="405"/>
      <c r="E43" s="405"/>
      <c r="F43" s="16" t="s">
        <v>189</v>
      </c>
      <c r="G43" s="44">
        <v>0.56552000000000002</v>
      </c>
      <c r="H43" s="57">
        <f t="shared" si="0"/>
        <v>159882.02008770686</v>
      </c>
      <c r="I43" s="19">
        <f>300451.85-K43</f>
        <v>90416.479999999981</v>
      </c>
      <c r="J43" s="19">
        <f t="shared" si="1"/>
        <v>371402.19620879897</v>
      </c>
      <c r="K43" s="19">
        <v>210035.37</v>
      </c>
      <c r="BC43" s="14"/>
      <c r="BD43" s="15"/>
      <c r="BE43" s="21" t="s">
        <v>630</v>
      </c>
      <c r="BF43" s="12"/>
      <c r="BG43" s="43"/>
      <c r="BH43" s="12"/>
    </row>
    <row r="44" spans="1:60" s="3" customFormat="1" ht="20.399999999999999" x14ac:dyDescent="0.3">
      <c r="A44" s="25"/>
      <c r="B44" s="26" t="s">
        <v>631</v>
      </c>
      <c r="C44" s="419" t="s">
        <v>632</v>
      </c>
      <c r="D44" s="419"/>
      <c r="E44" s="419"/>
      <c r="F44" s="27" t="s">
        <v>70</v>
      </c>
      <c r="G44" s="22" t="s">
        <v>721</v>
      </c>
      <c r="H44" s="57"/>
      <c r="I44" s="28"/>
      <c r="J44" s="19"/>
      <c r="K44" s="29"/>
      <c r="BC44" s="14"/>
      <c r="BD44" s="15"/>
      <c r="BE44" s="21"/>
      <c r="BF44" s="12" t="s">
        <v>632</v>
      </c>
      <c r="BG44" s="43"/>
      <c r="BH44" s="12"/>
    </row>
    <row r="45" spans="1:60" s="3" customFormat="1" ht="20.399999999999999" x14ac:dyDescent="0.3">
      <c r="A45" s="25"/>
      <c r="B45" s="26" t="s">
        <v>634</v>
      </c>
      <c r="C45" s="419" t="s">
        <v>635</v>
      </c>
      <c r="D45" s="419"/>
      <c r="E45" s="419"/>
      <c r="F45" s="27" t="s">
        <v>46</v>
      </c>
      <c r="G45" s="22" t="s">
        <v>722</v>
      </c>
      <c r="H45" s="57"/>
      <c r="I45" s="28"/>
      <c r="J45" s="19"/>
      <c r="K45" s="29"/>
      <c r="BC45" s="14"/>
      <c r="BD45" s="15"/>
      <c r="BE45" s="21"/>
      <c r="BF45" s="12" t="s">
        <v>635</v>
      </c>
      <c r="BG45" s="43"/>
      <c r="BH45" s="12"/>
    </row>
    <row r="46" spans="1:60" s="3" customFormat="1" ht="20.399999999999999" x14ac:dyDescent="0.3">
      <c r="A46" s="25"/>
      <c r="B46" s="26" t="s">
        <v>637</v>
      </c>
      <c r="C46" s="419" t="s">
        <v>638</v>
      </c>
      <c r="D46" s="419"/>
      <c r="E46" s="419"/>
      <c r="F46" s="27" t="s">
        <v>70</v>
      </c>
      <c r="G46" s="22" t="s">
        <v>723</v>
      </c>
      <c r="H46" s="57"/>
      <c r="I46" s="28"/>
      <c r="J46" s="19"/>
      <c r="K46" s="29"/>
      <c r="BC46" s="14"/>
      <c r="BD46" s="15"/>
      <c r="BE46" s="21"/>
      <c r="BF46" s="12" t="s">
        <v>638</v>
      </c>
      <c r="BG46" s="43"/>
      <c r="BH46" s="12"/>
    </row>
    <row r="47" spans="1:60" s="3" customFormat="1" ht="20.399999999999999" x14ac:dyDescent="0.3">
      <c r="A47" s="25"/>
      <c r="B47" s="26" t="s">
        <v>640</v>
      </c>
      <c r="C47" s="419" t="s">
        <v>641</v>
      </c>
      <c r="D47" s="419"/>
      <c r="E47" s="419"/>
      <c r="F47" s="27" t="s">
        <v>70</v>
      </c>
      <c r="G47" s="22" t="s">
        <v>724</v>
      </c>
      <c r="H47" s="57"/>
      <c r="I47" s="28"/>
      <c r="J47" s="19"/>
      <c r="K47" s="29"/>
      <c r="BC47" s="14"/>
      <c r="BD47" s="15"/>
      <c r="BE47" s="21"/>
      <c r="BF47" s="12" t="s">
        <v>641</v>
      </c>
      <c r="BG47" s="43"/>
      <c r="BH47" s="12"/>
    </row>
    <row r="48" spans="1:60" s="3" customFormat="1" ht="21.6" x14ac:dyDescent="0.3">
      <c r="A48" s="25"/>
      <c r="B48" s="26" t="s">
        <v>643</v>
      </c>
      <c r="C48" s="419" t="s">
        <v>644</v>
      </c>
      <c r="D48" s="419"/>
      <c r="E48" s="419"/>
      <c r="F48" s="27" t="s">
        <v>38</v>
      </c>
      <c r="G48" s="22" t="s">
        <v>725</v>
      </c>
      <c r="H48" s="57"/>
      <c r="I48" s="28"/>
      <c r="J48" s="19"/>
      <c r="K48" s="29"/>
      <c r="BC48" s="14"/>
      <c r="BD48" s="15"/>
      <c r="BE48" s="21"/>
      <c r="BF48" s="12" t="s">
        <v>644</v>
      </c>
      <c r="BG48" s="43"/>
      <c r="BH48" s="12"/>
    </row>
    <row r="49" spans="1:60" s="3" customFormat="1" ht="20.399999999999999" x14ac:dyDescent="0.3">
      <c r="A49" s="37" t="s">
        <v>78</v>
      </c>
      <c r="B49" s="38" t="s">
        <v>646</v>
      </c>
      <c r="C49" s="430" t="s">
        <v>647</v>
      </c>
      <c r="D49" s="430"/>
      <c r="E49" s="430"/>
      <c r="F49" s="39" t="s">
        <v>70</v>
      </c>
      <c r="G49" s="40" t="s">
        <v>33</v>
      </c>
      <c r="H49" s="57"/>
      <c r="I49" s="41"/>
      <c r="J49" s="19"/>
      <c r="K49" s="42"/>
      <c r="BC49" s="14"/>
      <c r="BD49" s="15"/>
      <c r="BE49" s="21"/>
      <c r="BF49" s="12"/>
      <c r="BG49" s="43" t="s">
        <v>647</v>
      </c>
      <c r="BH49" s="12"/>
    </row>
    <row r="50" spans="1:60" s="3" customFormat="1" ht="20.399999999999999" x14ac:dyDescent="0.3">
      <c r="A50" s="25"/>
      <c r="B50" s="26" t="s">
        <v>648</v>
      </c>
      <c r="C50" s="419" t="s">
        <v>649</v>
      </c>
      <c r="D50" s="419"/>
      <c r="E50" s="419"/>
      <c r="F50" s="27" t="s">
        <v>70</v>
      </c>
      <c r="G50" s="22" t="s">
        <v>726</v>
      </c>
      <c r="H50" s="57"/>
      <c r="I50" s="28"/>
      <c r="J50" s="19"/>
      <c r="K50" s="29"/>
      <c r="BC50" s="14"/>
      <c r="BD50" s="15"/>
      <c r="BE50" s="21"/>
      <c r="BF50" s="12" t="s">
        <v>649</v>
      </c>
      <c r="BG50" s="43"/>
      <c r="BH50" s="12"/>
    </row>
    <row r="51" spans="1:60" s="3" customFormat="1" ht="21.6" x14ac:dyDescent="0.3">
      <c r="A51" s="25"/>
      <c r="B51" s="26" t="s">
        <v>651</v>
      </c>
      <c r="C51" s="419" t="s">
        <v>652</v>
      </c>
      <c r="D51" s="419"/>
      <c r="E51" s="419"/>
      <c r="F51" s="27" t="s">
        <v>70</v>
      </c>
      <c r="G51" s="22" t="s">
        <v>726</v>
      </c>
      <c r="H51" s="57"/>
      <c r="I51" s="28"/>
      <c r="J51" s="19"/>
      <c r="K51" s="29"/>
      <c r="BC51" s="14"/>
      <c r="BD51" s="15"/>
      <c r="BE51" s="21"/>
      <c r="BF51" s="12" t="s">
        <v>652</v>
      </c>
      <c r="BG51" s="43"/>
      <c r="BH51" s="12"/>
    </row>
    <row r="52" spans="1:60" s="3" customFormat="1" ht="21.6" x14ac:dyDescent="0.3">
      <c r="A52" s="25" t="s">
        <v>129</v>
      </c>
      <c r="B52" s="26" t="s">
        <v>666</v>
      </c>
      <c r="C52" s="419" t="s">
        <v>667</v>
      </c>
      <c r="D52" s="419"/>
      <c r="E52" s="419"/>
      <c r="F52" s="27" t="s">
        <v>70</v>
      </c>
      <c r="G52" s="22" t="s">
        <v>732</v>
      </c>
      <c r="H52" s="57"/>
      <c r="I52" s="28"/>
      <c r="J52" s="19"/>
      <c r="K52" s="29"/>
      <c r="BC52" s="14"/>
      <c r="BD52" s="15"/>
      <c r="BE52" s="21"/>
      <c r="BF52" s="12"/>
      <c r="BG52" s="43"/>
      <c r="BH52" s="12" t="s">
        <v>667</v>
      </c>
    </row>
    <row r="53" spans="1:60" s="3" customFormat="1" ht="31.8" x14ac:dyDescent="0.3">
      <c r="A53" s="16" t="s">
        <v>166</v>
      </c>
      <c r="B53" s="17" t="s">
        <v>656</v>
      </c>
      <c r="C53" s="405" t="s">
        <v>657</v>
      </c>
      <c r="D53" s="405"/>
      <c r="E53" s="405"/>
      <c r="F53" s="16" t="s">
        <v>189</v>
      </c>
      <c r="G53" s="44">
        <v>0.56552000000000002</v>
      </c>
      <c r="H53" s="57">
        <f t="shared" si="0"/>
        <v>28370.490875654243</v>
      </c>
      <c r="I53" s="19">
        <f>170544.46-K53</f>
        <v>16044.079999999987</v>
      </c>
      <c r="J53" s="19">
        <f t="shared" si="1"/>
        <v>273200.55877776205</v>
      </c>
      <c r="K53" s="19">
        <v>154500.38</v>
      </c>
      <c r="BC53" s="14"/>
      <c r="BD53" s="15"/>
      <c r="BE53" s="21" t="s">
        <v>657</v>
      </c>
      <c r="BF53" s="12"/>
      <c r="BG53" s="43"/>
      <c r="BH53" s="12"/>
    </row>
    <row r="54" spans="1:60" s="3" customFormat="1" ht="20.399999999999999" x14ac:dyDescent="0.3">
      <c r="A54" s="25"/>
      <c r="B54" s="26" t="s">
        <v>631</v>
      </c>
      <c r="C54" s="419" t="s">
        <v>632</v>
      </c>
      <c r="D54" s="419"/>
      <c r="E54" s="419"/>
      <c r="F54" s="27" t="s">
        <v>70</v>
      </c>
      <c r="G54" s="22" t="s">
        <v>733</v>
      </c>
      <c r="H54" s="57"/>
      <c r="I54" s="28"/>
      <c r="J54" s="19"/>
      <c r="K54" s="29"/>
      <c r="BC54" s="14"/>
      <c r="BD54" s="15"/>
      <c r="BE54" s="21"/>
      <c r="BF54" s="12" t="s">
        <v>632</v>
      </c>
      <c r="BG54" s="43"/>
      <c r="BH54" s="12"/>
    </row>
    <row r="55" spans="1:60" s="3" customFormat="1" ht="20.399999999999999" x14ac:dyDescent="0.3">
      <c r="A55" s="25"/>
      <c r="B55" s="26" t="s">
        <v>634</v>
      </c>
      <c r="C55" s="419" t="s">
        <v>635</v>
      </c>
      <c r="D55" s="419"/>
      <c r="E55" s="419"/>
      <c r="F55" s="27" t="s">
        <v>46</v>
      </c>
      <c r="G55" s="22" t="s">
        <v>734</v>
      </c>
      <c r="H55" s="57"/>
      <c r="I55" s="28"/>
      <c r="J55" s="19"/>
      <c r="K55" s="29"/>
      <c r="BC55" s="14"/>
      <c r="BD55" s="15"/>
      <c r="BE55" s="21"/>
      <c r="BF55" s="12" t="s">
        <v>635</v>
      </c>
      <c r="BG55" s="43"/>
      <c r="BH55" s="12"/>
    </row>
    <row r="56" spans="1:60" s="3" customFormat="1" ht="20.399999999999999" x14ac:dyDescent="0.3">
      <c r="A56" s="37" t="s">
        <v>78</v>
      </c>
      <c r="B56" s="38" t="s">
        <v>646</v>
      </c>
      <c r="C56" s="430" t="s">
        <v>647</v>
      </c>
      <c r="D56" s="430"/>
      <c r="E56" s="430"/>
      <c r="F56" s="39" t="s">
        <v>70</v>
      </c>
      <c r="G56" s="40" t="s">
        <v>33</v>
      </c>
      <c r="H56" s="57"/>
      <c r="I56" s="41"/>
      <c r="J56" s="19"/>
      <c r="K56" s="42"/>
      <c r="BC56" s="14"/>
      <c r="BD56" s="15"/>
      <c r="BE56" s="21"/>
      <c r="BF56" s="12"/>
      <c r="BG56" s="43" t="s">
        <v>647</v>
      </c>
      <c r="BH56" s="12"/>
    </row>
    <row r="57" spans="1:60" s="3" customFormat="1" ht="21.6" x14ac:dyDescent="0.3">
      <c r="A57" s="25" t="s">
        <v>129</v>
      </c>
      <c r="B57" s="26" t="s">
        <v>666</v>
      </c>
      <c r="C57" s="419" t="s">
        <v>667</v>
      </c>
      <c r="D57" s="419"/>
      <c r="E57" s="419"/>
      <c r="F57" s="27" t="s">
        <v>70</v>
      </c>
      <c r="G57" s="22" t="s">
        <v>735</v>
      </c>
      <c r="H57" s="57" t="e">
        <f t="shared" si="0"/>
        <v>#VALUE!</v>
      </c>
      <c r="I57" s="28"/>
      <c r="J57" s="19" t="e">
        <f t="shared" si="1"/>
        <v>#VALUE!</v>
      </c>
      <c r="K57" s="29"/>
      <c r="BC57" s="14"/>
      <c r="BD57" s="15"/>
      <c r="BE57" s="21"/>
      <c r="BF57" s="12"/>
      <c r="BG57" s="43"/>
      <c r="BH57" s="12" t="s">
        <v>667</v>
      </c>
    </row>
    <row r="58" spans="1:60" s="3" customFormat="1" ht="15" customHeight="1" x14ac:dyDescent="0.3">
      <c r="A58" s="437" t="s">
        <v>672</v>
      </c>
      <c r="B58" s="418"/>
      <c r="C58" s="418"/>
      <c r="D58" s="418"/>
      <c r="E58" s="418"/>
      <c r="F58" s="418"/>
      <c r="G58" s="418"/>
      <c r="H58" s="123"/>
      <c r="I58" s="123"/>
      <c r="J58" s="123"/>
      <c r="K58" s="124"/>
      <c r="BC58" s="14"/>
      <c r="BD58" s="15" t="s">
        <v>672</v>
      </c>
      <c r="BE58" s="21"/>
      <c r="BF58" s="12"/>
      <c r="BG58" s="43"/>
      <c r="BH58" s="12"/>
    </row>
    <row r="59" spans="1:60" s="3" customFormat="1" ht="31.8" x14ac:dyDescent="0.3">
      <c r="A59" s="16" t="s">
        <v>169</v>
      </c>
      <c r="B59" s="17" t="s">
        <v>662</v>
      </c>
      <c r="C59" s="405" t="s">
        <v>663</v>
      </c>
      <c r="D59" s="405"/>
      <c r="E59" s="405"/>
      <c r="F59" s="16" t="s">
        <v>70</v>
      </c>
      <c r="G59" s="31">
        <v>0.23</v>
      </c>
      <c r="H59" s="57">
        <f t="shared" si="0"/>
        <v>2160.782608695652</v>
      </c>
      <c r="I59" s="19">
        <f>3755.47-K59</f>
        <v>496.98</v>
      </c>
      <c r="J59" s="19">
        <f t="shared" si="1"/>
        <v>14167.347826086954</v>
      </c>
      <c r="K59" s="19">
        <v>3258.49</v>
      </c>
      <c r="BC59" s="14"/>
      <c r="BD59" s="15"/>
      <c r="BE59" s="21" t="s">
        <v>663</v>
      </c>
      <c r="BF59" s="12"/>
      <c r="BG59" s="43"/>
      <c r="BH59" s="12"/>
    </row>
    <row r="60" spans="1:60" s="3" customFormat="1" ht="20.399999999999999" x14ac:dyDescent="0.3">
      <c r="A60" s="25"/>
      <c r="B60" s="26" t="s">
        <v>631</v>
      </c>
      <c r="C60" s="419" t="s">
        <v>632</v>
      </c>
      <c r="D60" s="419"/>
      <c r="E60" s="419"/>
      <c r="F60" s="27" t="s">
        <v>70</v>
      </c>
      <c r="G60" s="22" t="s">
        <v>731</v>
      </c>
      <c r="H60" s="57"/>
      <c r="I60" s="28"/>
      <c r="J60" s="19"/>
      <c r="K60" s="29"/>
      <c r="BC60" s="14"/>
      <c r="BD60" s="15"/>
      <c r="BE60" s="21"/>
      <c r="BF60" s="12" t="s">
        <v>632</v>
      </c>
      <c r="BG60" s="43"/>
      <c r="BH60" s="12"/>
    </row>
    <row r="61" spans="1:60" s="3" customFormat="1" ht="15" customHeight="1" x14ac:dyDescent="0.3">
      <c r="A61" s="437" t="s">
        <v>673</v>
      </c>
      <c r="B61" s="418"/>
      <c r="C61" s="418"/>
      <c r="D61" s="418"/>
      <c r="E61" s="418"/>
      <c r="F61" s="418"/>
      <c r="G61" s="418"/>
      <c r="H61" s="123"/>
      <c r="I61" s="123"/>
      <c r="J61" s="123"/>
      <c r="K61" s="124"/>
      <c r="BC61" s="14"/>
      <c r="BD61" s="15" t="s">
        <v>673</v>
      </c>
      <c r="BE61" s="21"/>
      <c r="BF61" s="12"/>
      <c r="BG61" s="43"/>
      <c r="BH61" s="12"/>
    </row>
    <row r="62" spans="1:60" s="3" customFormat="1" ht="62.4" x14ac:dyDescent="0.3">
      <c r="A62" s="16" t="s">
        <v>170</v>
      </c>
      <c r="B62" s="17" t="s">
        <v>674</v>
      </c>
      <c r="C62" s="405" t="s">
        <v>675</v>
      </c>
      <c r="D62" s="405"/>
      <c r="E62" s="405"/>
      <c r="F62" s="16" t="s">
        <v>189</v>
      </c>
      <c r="G62" s="44">
        <v>0.58696999999999999</v>
      </c>
      <c r="H62" s="57">
        <f t="shared" si="0"/>
        <v>205546.96151421708</v>
      </c>
      <c r="I62" s="19">
        <f>236608.5-K62</f>
        <v>120649.9</v>
      </c>
      <c r="J62" s="19">
        <f t="shared" si="1"/>
        <v>197554.55985825512</v>
      </c>
      <c r="K62" s="19">
        <v>115958.6</v>
      </c>
      <c r="BC62" s="14"/>
      <c r="BD62" s="15"/>
      <c r="BE62" s="21" t="s">
        <v>675</v>
      </c>
      <c r="BF62" s="12"/>
      <c r="BG62" s="43"/>
      <c r="BH62" s="12"/>
    </row>
    <row r="63" spans="1:60" s="3" customFormat="1" ht="20.399999999999999" x14ac:dyDescent="0.3">
      <c r="A63" s="25"/>
      <c r="B63" s="26" t="s">
        <v>154</v>
      </c>
      <c r="C63" s="419" t="s">
        <v>155</v>
      </c>
      <c r="D63" s="419"/>
      <c r="E63" s="419"/>
      <c r="F63" s="27" t="s">
        <v>46</v>
      </c>
      <c r="G63" s="22" t="s">
        <v>736</v>
      </c>
      <c r="H63" s="57"/>
      <c r="I63" s="28"/>
      <c r="J63" s="19"/>
      <c r="K63" s="29"/>
      <c r="BC63" s="14"/>
      <c r="BD63" s="15"/>
      <c r="BE63" s="21"/>
      <c r="BF63" s="12" t="s">
        <v>155</v>
      </c>
      <c r="BG63" s="43"/>
      <c r="BH63" s="12"/>
    </row>
    <row r="64" spans="1:60" s="3" customFormat="1" ht="20.399999999999999" x14ac:dyDescent="0.3">
      <c r="A64" s="25"/>
      <c r="B64" s="26" t="s">
        <v>677</v>
      </c>
      <c r="C64" s="419" t="s">
        <v>678</v>
      </c>
      <c r="D64" s="419"/>
      <c r="E64" s="419"/>
      <c r="F64" s="27" t="s">
        <v>46</v>
      </c>
      <c r="G64" s="22" t="s">
        <v>737</v>
      </c>
      <c r="H64" s="57"/>
      <c r="I64" s="28"/>
      <c r="J64" s="19"/>
      <c r="K64" s="29"/>
      <c r="BC64" s="14"/>
      <c r="BD64" s="15"/>
      <c r="BE64" s="21"/>
      <c r="BF64" s="12" t="s">
        <v>678</v>
      </c>
      <c r="BG64" s="43"/>
      <c r="BH64" s="12"/>
    </row>
    <row r="65" spans="1:60" s="3" customFormat="1" ht="20.399999999999999" x14ac:dyDescent="0.3">
      <c r="A65" s="25"/>
      <c r="B65" s="26" t="s">
        <v>680</v>
      </c>
      <c r="C65" s="419" t="s">
        <v>681</v>
      </c>
      <c r="D65" s="419"/>
      <c r="E65" s="419"/>
      <c r="F65" s="27" t="s">
        <v>46</v>
      </c>
      <c r="G65" s="22" t="s">
        <v>738</v>
      </c>
      <c r="H65" s="57"/>
      <c r="I65" s="28"/>
      <c r="J65" s="19"/>
      <c r="K65" s="29"/>
      <c r="BC65" s="14"/>
      <c r="BD65" s="15"/>
      <c r="BE65" s="21"/>
      <c r="BF65" s="12" t="s">
        <v>681</v>
      </c>
      <c r="BG65" s="43"/>
      <c r="BH65" s="12"/>
    </row>
    <row r="66" spans="1:60" s="3" customFormat="1" ht="15" customHeight="1" x14ac:dyDescent="0.3">
      <c r="A66" s="437" t="s">
        <v>683</v>
      </c>
      <c r="B66" s="418"/>
      <c r="C66" s="418"/>
      <c r="D66" s="418"/>
      <c r="E66" s="418"/>
      <c r="F66" s="418"/>
      <c r="G66" s="418"/>
      <c r="H66" s="123"/>
      <c r="I66" s="123"/>
      <c r="J66" s="123"/>
      <c r="K66" s="124"/>
      <c r="BC66" s="14"/>
      <c r="BD66" s="15" t="s">
        <v>683</v>
      </c>
      <c r="BE66" s="21"/>
      <c r="BF66" s="12"/>
      <c r="BG66" s="43"/>
      <c r="BH66" s="12"/>
    </row>
    <row r="67" spans="1:60" s="3" customFormat="1" ht="21.6" x14ac:dyDescent="0.3">
      <c r="A67" s="16" t="s">
        <v>173</v>
      </c>
      <c r="B67" s="17" t="s">
        <v>684</v>
      </c>
      <c r="C67" s="405" t="s">
        <v>685</v>
      </c>
      <c r="D67" s="405"/>
      <c r="E67" s="405"/>
      <c r="F67" s="16" t="s">
        <v>189</v>
      </c>
      <c r="G67" s="44">
        <v>0.58696999999999999</v>
      </c>
      <c r="H67" s="57">
        <f t="shared" si="0"/>
        <v>12474.06170673118</v>
      </c>
      <c r="I67" s="19">
        <f>7671.35-K67</f>
        <v>7321.9000000000005</v>
      </c>
      <c r="J67" s="19">
        <f t="shared" si="1"/>
        <v>595.34558836056351</v>
      </c>
      <c r="K67" s="19">
        <v>349.45</v>
      </c>
      <c r="BC67" s="14"/>
      <c r="BD67" s="15"/>
      <c r="BE67" s="21" t="s">
        <v>685</v>
      </c>
      <c r="BF67" s="12"/>
      <c r="BG67" s="43"/>
      <c r="BH67" s="12"/>
    </row>
    <row r="68" spans="1:60" s="3" customFormat="1" ht="20.399999999999999" x14ac:dyDescent="0.3">
      <c r="A68" s="37" t="s">
        <v>78</v>
      </c>
      <c r="B68" s="38" t="s">
        <v>686</v>
      </c>
      <c r="C68" s="430" t="s">
        <v>687</v>
      </c>
      <c r="D68" s="430"/>
      <c r="E68" s="430"/>
      <c r="F68" s="39" t="s">
        <v>158</v>
      </c>
      <c r="G68" s="40" t="s">
        <v>33</v>
      </c>
      <c r="H68" s="57"/>
      <c r="I68" s="41"/>
      <c r="J68" s="19"/>
      <c r="K68" s="42"/>
      <c r="BC68" s="14"/>
      <c r="BD68" s="15"/>
      <c r="BE68" s="21"/>
      <c r="BF68" s="12"/>
      <c r="BG68" s="43" t="s">
        <v>687</v>
      </c>
      <c r="BH68" s="12"/>
    </row>
    <row r="69" spans="1:60" s="3" customFormat="1" ht="21.6" x14ac:dyDescent="0.3">
      <c r="A69" s="25"/>
      <c r="B69" s="26" t="s">
        <v>688</v>
      </c>
      <c r="C69" s="419" t="s">
        <v>689</v>
      </c>
      <c r="D69" s="419"/>
      <c r="E69" s="419"/>
      <c r="F69" s="27" t="s">
        <v>75</v>
      </c>
      <c r="G69" s="22" t="s">
        <v>739</v>
      </c>
      <c r="H69" s="57"/>
      <c r="I69" s="28"/>
      <c r="J69" s="19"/>
      <c r="K69" s="29"/>
      <c r="BC69" s="14"/>
      <c r="BD69" s="15"/>
      <c r="BE69" s="21"/>
      <c r="BF69" s="12" t="s">
        <v>689</v>
      </c>
      <c r="BG69" s="43"/>
      <c r="BH69" s="12"/>
    </row>
    <row r="70" spans="1:60" s="3" customFormat="1" ht="31.8" x14ac:dyDescent="0.3">
      <c r="A70" s="16" t="s">
        <v>176</v>
      </c>
      <c r="B70" s="17" t="s">
        <v>691</v>
      </c>
      <c r="C70" s="405" t="s">
        <v>692</v>
      </c>
      <c r="D70" s="405"/>
      <c r="E70" s="405"/>
      <c r="F70" s="16" t="s">
        <v>158</v>
      </c>
      <c r="G70" s="31">
        <v>645.66999999999996</v>
      </c>
      <c r="H70" s="57">
        <f t="shared" si="0"/>
        <v>0</v>
      </c>
      <c r="I70" s="19"/>
      <c r="J70" s="19">
        <f t="shared" si="1"/>
        <v>364.35449997676835</v>
      </c>
      <c r="K70" s="19">
        <v>235252.77</v>
      </c>
      <c r="BC70" s="14"/>
      <c r="BD70" s="15"/>
      <c r="BE70" s="21" t="s">
        <v>692</v>
      </c>
      <c r="BF70" s="12"/>
      <c r="BG70" s="43"/>
      <c r="BH70" s="12"/>
    </row>
    <row r="71" spans="1:60" s="3" customFormat="1" ht="15" customHeight="1" x14ac:dyDescent="0.3">
      <c r="A71" s="437" t="s">
        <v>693</v>
      </c>
      <c r="B71" s="418"/>
      <c r="C71" s="418"/>
      <c r="D71" s="418"/>
      <c r="E71" s="418"/>
      <c r="F71" s="418"/>
      <c r="G71" s="418"/>
      <c r="H71" s="123"/>
      <c r="I71" s="123"/>
      <c r="J71" s="123"/>
      <c r="K71" s="124"/>
      <c r="BC71" s="14"/>
      <c r="BD71" s="15" t="s">
        <v>693</v>
      </c>
      <c r="BE71" s="21"/>
      <c r="BF71" s="12"/>
      <c r="BG71" s="43"/>
      <c r="BH71" s="12"/>
    </row>
    <row r="72" spans="1:60" s="3" customFormat="1" ht="62.4" x14ac:dyDescent="0.3">
      <c r="A72" s="16" t="s">
        <v>177</v>
      </c>
      <c r="B72" s="17" t="s">
        <v>694</v>
      </c>
      <c r="C72" s="405" t="s">
        <v>695</v>
      </c>
      <c r="D72" s="405"/>
      <c r="E72" s="405"/>
      <c r="F72" s="16" t="s">
        <v>189</v>
      </c>
      <c r="G72" s="44">
        <v>0.61506000000000005</v>
      </c>
      <c r="H72" s="57">
        <f t="shared" si="0"/>
        <v>143073.2123695249</v>
      </c>
      <c r="I72" s="19">
        <f>194228.59-K72</f>
        <v>87998.61</v>
      </c>
      <c r="J72" s="19">
        <f t="shared" si="1"/>
        <v>172714.82456996062</v>
      </c>
      <c r="K72" s="19">
        <v>106229.98</v>
      </c>
      <c r="BC72" s="14"/>
      <c r="BD72" s="15"/>
      <c r="BE72" s="21" t="s">
        <v>695</v>
      </c>
      <c r="BF72" s="12"/>
      <c r="BG72" s="43"/>
      <c r="BH72" s="12"/>
    </row>
    <row r="73" spans="1:60" s="3" customFormat="1" ht="20.399999999999999" x14ac:dyDescent="0.3">
      <c r="A73" s="25"/>
      <c r="B73" s="26" t="s">
        <v>154</v>
      </c>
      <c r="C73" s="419" t="s">
        <v>155</v>
      </c>
      <c r="D73" s="419"/>
      <c r="E73" s="419"/>
      <c r="F73" s="27" t="s">
        <v>46</v>
      </c>
      <c r="G73" s="22" t="s">
        <v>740</v>
      </c>
      <c r="H73" s="57"/>
      <c r="I73" s="28"/>
      <c r="J73" s="19"/>
      <c r="K73" s="29"/>
      <c r="BC73" s="14"/>
      <c r="BD73" s="15"/>
      <c r="BE73" s="21"/>
      <c r="BF73" s="12" t="s">
        <v>155</v>
      </c>
      <c r="BG73" s="43"/>
      <c r="BH73" s="12"/>
    </row>
    <row r="74" spans="1:60" s="3" customFormat="1" ht="20.399999999999999" x14ac:dyDescent="0.3">
      <c r="A74" s="25"/>
      <c r="B74" s="26" t="s">
        <v>680</v>
      </c>
      <c r="C74" s="419" t="s">
        <v>681</v>
      </c>
      <c r="D74" s="419"/>
      <c r="E74" s="419"/>
      <c r="F74" s="27" t="s">
        <v>46</v>
      </c>
      <c r="G74" s="22" t="s">
        <v>741</v>
      </c>
      <c r="H74" s="57"/>
      <c r="I74" s="28"/>
      <c r="J74" s="19"/>
      <c r="K74" s="29"/>
      <c r="BC74" s="14"/>
      <c r="BD74" s="15"/>
      <c r="BE74" s="21"/>
      <c r="BF74" s="12" t="s">
        <v>681</v>
      </c>
      <c r="BG74" s="43"/>
      <c r="BH74" s="12"/>
    </row>
    <row r="75" spans="1:60" s="3" customFormat="1" ht="31.8" x14ac:dyDescent="0.3">
      <c r="A75" s="16" t="s">
        <v>180</v>
      </c>
      <c r="B75" s="17" t="s">
        <v>698</v>
      </c>
      <c r="C75" s="405" t="s">
        <v>699</v>
      </c>
      <c r="D75" s="405"/>
      <c r="E75" s="405"/>
      <c r="F75" s="16" t="s">
        <v>189</v>
      </c>
      <c r="G75" s="44">
        <v>0.61506000000000005</v>
      </c>
      <c r="H75" s="57">
        <f t="shared" si="0"/>
        <v>48703.947582349698</v>
      </c>
      <c r="I75" s="19">
        <f>65277.3-K75</f>
        <v>29955.850000000006</v>
      </c>
      <c r="J75" s="19">
        <f t="shared" si="1"/>
        <v>57427.649335024216</v>
      </c>
      <c r="K75" s="19">
        <v>35321.449999999997</v>
      </c>
      <c r="BC75" s="14"/>
      <c r="BD75" s="15"/>
      <c r="BE75" s="21" t="s">
        <v>699</v>
      </c>
      <c r="BF75" s="12"/>
      <c r="BG75" s="43"/>
      <c r="BH75" s="12"/>
    </row>
    <row r="76" spans="1:60" s="3" customFormat="1" ht="20.399999999999999" x14ac:dyDescent="0.3">
      <c r="A76" s="25"/>
      <c r="B76" s="26" t="s">
        <v>680</v>
      </c>
      <c r="C76" s="419" t="s">
        <v>681</v>
      </c>
      <c r="D76" s="419"/>
      <c r="E76" s="419"/>
      <c r="F76" s="27" t="s">
        <v>46</v>
      </c>
      <c r="G76" s="22" t="s">
        <v>742</v>
      </c>
      <c r="H76" s="57"/>
      <c r="I76" s="28"/>
      <c r="J76" s="19"/>
      <c r="K76" s="29"/>
      <c r="BC76" s="14"/>
      <c r="BD76" s="15"/>
      <c r="BE76" s="21"/>
      <c r="BF76" s="12" t="s">
        <v>681</v>
      </c>
      <c r="BG76" s="43"/>
      <c r="BH76" s="12"/>
    </row>
    <row r="77" spans="1:60" s="3" customFormat="1" ht="15" customHeight="1" x14ac:dyDescent="0.3">
      <c r="A77" s="437" t="s">
        <v>701</v>
      </c>
      <c r="B77" s="418"/>
      <c r="C77" s="418"/>
      <c r="D77" s="418"/>
      <c r="E77" s="418"/>
      <c r="F77" s="418"/>
      <c r="G77" s="418"/>
      <c r="H77" s="123"/>
      <c r="I77" s="123"/>
      <c r="J77" s="123"/>
      <c r="K77" s="124"/>
      <c r="BC77" s="14"/>
      <c r="BD77" s="15" t="s">
        <v>701</v>
      </c>
      <c r="BE77" s="21"/>
      <c r="BF77" s="12"/>
      <c r="BG77" s="43"/>
      <c r="BH77" s="12"/>
    </row>
    <row r="78" spans="1:60" s="3" customFormat="1" ht="15" customHeight="1" x14ac:dyDescent="0.3">
      <c r="A78" s="437" t="s">
        <v>683</v>
      </c>
      <c r="B78" s="418"/>
      <c r="C78" s="418"/>
      <c r="D78" s="418"/>
      <c r="E78" s="418"/>
      <c r="F78" s="418"/>
      <c r="G78" s="418"/>
      <c r="H78" s="123"/>
      <c r="I78" s="123"/>
      <c r="J78" s="123"/>
      <c r="K78" s="124"/>
      <c r="BC78" s="14"/>
      <c r="BD78" s="15" t="s">
        <v>683</v>
      </c>
      <c r="BE78" s="21"/>
      <c r="BF78" s="12"/>
      <c r="BG78" s="43"/>
      <c r="BH78" s="12"/>
    </row>
    <row r="79" spans="1:60" s="3" customFormat="1" ht="21.6" x14ac:dyDescent="0.3">
      <c r="A79" s="16" t="s">
        <v>182</v>
      </c>
      <c r="B79" s="17" t="s">
        <v>684</v>
      </c>
      <c r="C79" s="405" t="s">
        <v>685</v>
      </c>
      <c r="D79" s="405"/>
      <c r="E79" s="405"/>
      <c r="F79" s="16" t="s">
        <v>189</v>
      </c>
      <c r="G79" s="44">
        <v>0.63110999999999995</v>
      </c>
      <c r="H79" s="57">
        <f t="shared" ref="H79:H122" si="2">I79/G79</f>
        <v>12474.101186797863</v>
      </c>
      <c r="I79" s="19">
        <f>261191.08-K79</f>
        <v>7872.5299999999988</v>
      </c>
      <c r="J79" s="19">
        <f t="shared" ref="J79:J122" si="3">K79/G79</f>
        <v>401385.73307347373</v>
      </c>
      <c r="K79" s="19">
        <v>253318.55</v>
      </c>
      <c r="BC79" s="14"/>
      <c r="BD79" s="15"/>
      <c r="BE79" s="21" t="s">
        <v>685</v>
      </c>
      <c r="BF79" s="12"/>
      <c r="BG79" s="43"/>
      <c r="BH79" s="12"/>
    </row>
    <row r="80" spans="1:60" s="3" customFormat="1" ht="20.399999999999999" x14ac:dyDescent="0.3">
      <c r="A80" s="37" t="s">
        <v>78</v>
      </c>
      <c r="B80" s="38" t="s">
        <v>686</v>
      </c>
      <c r="C80" s="430" t="s">
        <v>687</v>
      </c>
      <c r="D80" s="430"/>
      <c r="E80" s="430"/>
      <c r="F80" s="39" t="s">
        <v>158</v>
      </c>
      <c r="G80" s="40" t="s">
        <v>33</v>
      </c>
      <c r="H80" s="57"/>
      <c r="I80" s="41"/>
      <c r="J80" s="19"/>
      <c r="K80" s="42"/>
      <c r="BC80" s="14"/>
      <c r="BD80" s="15"/>
      <c r="BE80" s="21"/>
      <c r="BF80" s="12"/>
      <c r="BG80" s="43" t="s">
        <v>687</v>
      </c>
      <c r="BH80" s="12"/>
    </row>
    <row r="81" spans="1:60" s="3" customFormat="1" ht="21.6" x14ac:dyDescent="0.3">
      <c r="A81" s="25"/>
      <c r="B81" s="26" t="s">
        <v>688</v>
      </c>
      <c r="C81" s="419" t="s">
        <v>689</v>
      </c>
      <c r="D81" s="419"/>
      <c r="E81" s="419"/>
      <c r="F81" s="27" t="s">
        <v>75</v>
      </c>
      <c r="G81" s="22" t="s">
        <v>743</v>
      </c>
      <c r="H81" s="57"/>
      <c r="I81" s="28"/>
      <c r="J81" s="19"/>
      <c r="K81" s="29"/>
      <c r="BC81" s="14"/>
      <c r="BD81" s="15"/>
      <c r="BE81" s="21"/>
      <c r="BF81" s="12" t="s">
        <v>689</v>
      </c>
      <c r="BG81" s="43"/>
      <c r="BH81" s="12"/>
    </row>
    <row r="82" spans="1:60" s="3" customFormat="1" ht="21.6" x14ac:dyDescent="0.3">
      <c r="A82" s="25" t="s">
        <v>129</v>
      </c>
      <c r="B82" s="26" t="s">
        <v>691</v>
      </c>
      <c r="C82" s="419" t="s">
        <v>692</v>
      </c>
      <c r="D82" s="419"/>
      <c r="E82" s="419"/>
      <c r="F82" s="27" t="s">
        <v>158</v>
      </c>
      <c r="G82" s="22" t="s">
        <v>744</v>
      </c>
      <c r="H82" s="57"/>
      <c r="I82" s="28"/>
      <c r="J82" s="19"/>
      <c r="K82" s="29"/>
      <c r="BC82" s="14"/>
      <c r="BD82" s="15"/>
      <c r="BE82" s="21"/>
      <c r="BF82" s="12"/>
      <c r="BG82" s="43"/>
      <c r="BH82" s="12" t="s">
        <v>692</v>
      </c>
    </row>
    <row r="83" spans="1:60" s="3" customFormat="1" ht="15" customHeight="1" x14ac:dyDescent="0.3">
      <c r="A83" s="437" t="s">
        <v>745</v>
      </c>
      <c r="B83" s="418"/>
      <c r="C83" s="418"/>
      <c r="D83" s="418"/>
      <c r="E83" s="418"/>
      <c r="F83" s="418"/>
      <c r="G83" s="418"/>
      <c r="H83" s="123"/>
      <c r="I83" s="123"/>
      <c r="J83" s="123"/>
      <c r="K83" s="124"/>
      <c r="BC83" s="14"/>
      <c r="BD83" s="15" t="s">
        <v>745</v>
      </c>
      <c r="BE83" s="21"/>
      <c r="BF83" s="12"/>
      <c r="BG83" s="43"/>
      <c r="BH83" s="12"/>
    </row>
    <row r="84" spans="1:60" s="3" customFormat="1" ht="21.6" x14ac:dyDescent="0.3">
      <c r="A84" s="16" t="s">
        <v>186</v>
      </c>
      <c r="B84" s="17" t="s">
        <v>746</v>
      </c>
      <c r="C84" s="405" t="s">
        <v>747</v>
      </c>
      <c r="D84" s="405"/>
      <c r="E84" s="405"/>
      <c r="F84" s="16" t="s">
        <v>189</v>
      </c>
      <c r="G84" s="18">
        <v>7.3999999999999996E-2</v>
      </c>
      <c r="H84" s="57">
        <f t="shared" si="2"/>
        <v>148172.97297297296</v>
      </c>
      <c r="I84" s="19">
        <f>30788.88-K84</f>
        <v>10964.8</v>
      </c>
      <c r="J84" s="19">
        <f t="shared" si="3"/>
        <v>267892.97297297302</v>
      </c>
      <c r="K84" s="19">
        <v>19824.080000000002</v>
      </c>
      <c r="BC84" s="14"/>
      <c r="BD84" s="15"/>
      <c r="BE84" s="21" t="s">
        <v>747</v>
      </c>
      <c r="BF84" s="12"/>
      <c r="BG84" s="43"/>
      <c r="BH84" s="12"/>
    </row>
    <row r="85" spans="1:60" s="3" customFormat="1" ht="20.399999999999999" x14ac:dyDescent="0.3">
      <c r="A85" s="25"/>
      <c r="B85" s="26" t="s">
        <v>154</v>
      </c>
      <c r="C85" s="419" t="s">
        <v>155</v>
      </c>
      <c r="D85" s="419"/>
      <c r="E85" s="419"/>
      <c r="F85" s="27" t="s">
        <v>46</v>
      </c>
      <c r="G85" s="22" t="s">
        <v>748</v>
      </c>
      <c r="H85" s="57"/>
      <c r="I85" s="28"/>
      <c r="J85" s="19"/>
      <c r="K85" s="29"/>
      <c r="BC85" s="14"/>
      <c r="BD85" s="15"/>
      <c r="BE85" s="21"/>
      <c r="BF85" s="12" t="s">
        <v>155</v>
      </c>
      <c r="BG85" s="43"/>
      <c r="BH85" s="12"/>
    </row>
    <row r="86" spans="1:60" s="3" customFormat="1" ht="21.6" x14ac:dyDescent="0.3">
      <c r="A86" s="37" t="s">
        <v>143</v>
      </c>
      <c r="B86" s="38" t="s">
        <v>79</v>
      </c>
      <c r="C86" s="430" t="s">
        <v>749</v>
      </c>
      <c r="D86" s="430"/>
      <c r="E86" s="430"/>
      <c r="F86" s="39" t="s">
        <v>46</v>
      </c>
      <c r="G86" s="40" t="s">
        <v>750</v>
      </c>
      <c r="H86" s="57"/>
      <c r="I86" s="41"/>
      <c r="J86" s="19"/>
      <c r="K86" s="42"/>
      <c r="BC86" s="14"/>
      <c r="BD86" s="15"/>
      <c r="BE86" s="21"/>
      <c r="BF86" s="12"/>
      <c r="BG86" s="43" t="s">
        <v>749</v>
      </c>
      <c r="BH86" s="12"/>
    </row>
    <row r="87" spans="1:60" s="3" customFormat="1" ht="21.6" x14ac:dyDescent="0.3">
      <c r="A87" s="37" t="s">
        <v>143</v>
      </c>
      <c r="B87" s="38" t="s">
        <v>79</v>
      </c>
      <c r="C87" s="430" t="s">
        <v>751</v>
      </c>
      <c r="D87" s="430"/>
      <c r="E87" s="430"/>
      <c r="F87" s="39" t="s">
        <v>46</v>
      </c>
      <c r="G87" s="40" t="s">
        <v>752</v>
      </c>
      <c r="H87" s="57"/>
      <c r="I87" s="41"/>
      <c r="J87" s="19"/>
      <c r="K87" s="42"/>
      <c r="BC87" s="14"/>
      <c r="BD87" s="15"/>
      <c r="BE87" s="21"/>
      <c r="BF87" s="12"/>
      <c r="BG87" s="43" t="s">
        <v>751</v>
      </c>
      <c r="BH87" s="12"/>
    </row>
    <row r="88" spans="1:60" s="3" customFormat="1" ht="21.6" x14ac:dyDescent="0.3">
      <c r="A88" s="37" t="s">
        <v>143</v>
      </c>
      <c r="B88" s="38" t="s">
        <v>79</v>
      </c>
      <c r="C88" s="430" t="s">
        <v>753</v>
      </c>
      <c r="D88" s="430"/>
      <c r="E88" s="430"/>
      <c r="F88" s="39" t="s">
        <v>46</v>
      </c>
      <c r="G88" s="40" t="s">
        <v>754</v>
      </c>
      <c r="H88" s="57"/>
      <c r="I88" s="41"/>
      <c r="J88" s="19"/>
      <c r="K88" s="42"/>
      <c r="BC88" s="14"/>
      <c r="BD88" s="15"/>
      <c r="BE88" s="21"/>
      <c r="BF88" s="12"/>
      <c r="BG88" s="43" t="s">
        <v>753</v>
      </c>
      <c r="BH88" s="12"/>
    </row>
    <row r="89" spans="1:60" s="3" customFormat="1" ht="20.399999999999999" x14ac:dyDescent="0.3">
      <c r="A89" s="25" t="s">
        <v>129</v>
      </c>
      <c r="B89" s="26" t="s">
        <v>755</v>
      </c>
      <c r="C89" s="419" t="s">
        <v>678</v>
      </c>
      <c r="D89" s="419"/>
      <c r="E89" s="419"/>
      <c r="F89" s="27" t="s">
        <v>46</v>
      </c>
      <c r="G89" s="22" t="s">
        <v>750</v>
      </c>
      <c r="H89" s="57"/>
      <c r="I89" s="28"/>
      <c r="J89" s="19"/>
      <c r="K89" s="29"/>
      <c r="BC89" s="14"/>
      <c r="BD89" s="15"/>
      <c r="BE89" s="21"/>
      <c r="BF89" s="12"/>
      <c r="BG89" s="43"/>
      <c r="BH89" s="12" t="s">
        <v>678</v>
      </c>
    </row>
    <row r="90" spans="1:60" s="3" customFormat="1" ht="20.399999999999999" x14ac:dyDescent="0.3">
      <c r="A90" s="25" t="s">
        <v>129</v>
      </c>
      <c r="B90" s="26" t="s">
        <v>756</v>
      </c>
      <c r="C90" s="419" t="s">
        <v>681</v>
      </c>
      <c r="D90" s="419"/>
      <c r="E90" s="419"/>
      <c r="F90" s="27" t="s">
        <v>46</v>
      </c>
      <c r="G90" s="22" t="s">
        <v>752</v>
      </c>
      <c r="H90" s="57"/>
      <c r="I90" s="28"/>
      <c r="J90" s="19"/>
      <c r="K90" s="29"/>
      <c r="BC90" s="14"/>
      <c r="BD90" s="15"/>
      <c r="BE90" s="21"/>
      <c r="BF90" s="12"/>
      <c r="BG90" s="43"/>
      <c r="BH90" s="12" t="s">
        <v>681</v>
      </c>
    </row>
    <row r="91" spans="1:60" s="3" customFormat="1" ht="20.399999999999999" x14ac:dyDescent="0.3">
      <c r="A91" s="25" t="s">
        <v>129</v>
      </c>
      <c r="B91" s="26" t="s">
        <v>757</v>
      </c>
      <c r="C91" s="419" t="s">
        <v>758</v>
      </c>
      <c r="D91" s="419"/>
      <c r="E91" s="419"/>
      <c r="F91" s="27" t="s">
        <v>46</v>
      </c>
      <c r="G91" s="22" t="s">
        <v>754</v>
      </c>
      <c r="H91" s="57"/>
      <c r="I91" s="28"/>
      <c r="J91" s="19"/>
      <c r="K91" s="29"/>
      <c r="BC91" s="14"/>
      <c r="BD91" s="15"/>
      <c r="BE91" s="21"/>
      <c r="BF91" s="12"/>
      <c r="BG91" s="43"/>
      <c r="BH91" s="12" t="s">
        <v>758</v>
      </c>
    </row>
    <row r="92" spans="1:60" s="3" customFormat="1" ht="31.8" x14ac:dyDescent="0.3">
      <c r="A92" s="16" t="s">
        <v>192</v>
      </c>
      <c r="B92" s="17" t="s">
        <v>759</v>
      </c>
      <c r="C92" s="405" t="s">
        <v>760</v>
      </c>
      <c r="D92" s="405"/>
      <c r="E92" s="405"/>
      <c r="F92" s="16" t="s">
        <v>189</v>
      </c>
      <c r="G92" s="18">
        <v>-7.3999999999999996E-2</v>
      </c>
      <c r="H92" s="57">
        <f t="shared" si="2"/>
        <v>65212.972972972981</v>
      </c>
      <c r="I92" s="19">
        <f>-4825.76</f>
        <v>-4825.76</v>
      </c>
      <c r="J92" s="19">
        <f t="shared" si="3"/>
        <v>0</v>
      </c>
      <c r="K92" s="19">
        <v>0</v>
      </c>
      <c r="BC92" s="14"/>
      <c r="BD92" s="15"/>
      <c r="BE92" s="21" t="s">
        <v>760</v>
      </c>
      <c r="BF92" s="12"/>
      <c r="BG92" s="43"/>
      <c r="BH92" s="12"/>
    </row>
    <row r="93" spans="1:60" s="3" customFormat="1" ht="21.6" x14ac:dyDescent="0.3">
      <c r="A93" s="37" t="s">
        <v>143</v>
      </c>
      <c r="B93" s="38" t="s">
        <v>79</v>
      </c>
      <c r="C93" s="430" t="s">
        <v>751</v>
      </c>
      <c r="D93" s="430"/>
      <c r="E93" s="430"/>
      <c r="F93" s="39" t="s">
        <v>46</v>
      </c>
      <c r="G93" s="40" t="s">
        <v>761</v>
      </c>
      <c r="H93" s="57"/>
      <c r="I93" s="41"/>
      <c r="J93" s="19"/>
      <c r="K93" s="42"/>
      <c r="BC93" s="14"/>
      <c r="BD93" s="15"/>
      <c r="BE93" s="21"/>
      <c r="BF93" s="12"/>
      <c r="BG93" s="43" t="s">
        <v>751</v>
      </c>
      <c r="BH93" s="12"/>
    </row>
    <row r="94" spans="1:60" s="3" customFormat="1" ht="20.399999999999999" x14ac:dyDescent="0.3">
      <c r="A94" s="25" t="s">
        <v>129</v>
      </c>
      <c r="B94" s="26" t="s">
        <v>756</v>
      </c>
      <c r="C94" s="419" t="s">
        <v>681</v>
      </c>
      <c r="D94" s="419"/>
      <c r="E94" s="419"/>
      <c r="F94" s="27" t="s">
        <v>46</v>
      </c>
      <c r="G94" s="22" t="s">
        <v>761</v>
      </c>
      <c r="H94" s="57"/>
      <c r="I94" s="28"/>
      <c r="J94" s="19"/>
      <c r="K94" s="29"/>
      <c r="BC94" s="14"/>
      <c r="BD94" s="15"/>
      <c r="BE94" s="21"/>
      <c r="BF94" s="12"/>
      <c r="BG94" s="43"/>
      <c r="BH94" s="12" t="s">
        <v>681</v>
      </c>
    </row>
    <row r="95" spans="1:60" s="3" customFormat="1" ht="15" customHeight="1" x14ac:dyDescent="0.3">
      <c r="A95" s="437" t="s">
        <v>762</v>
      </c>
      <c r="B95" s="418"/>
      <c r="C95" s="418"/>
      <c r="D95" s="418"/>
      <c r="E95" s="418"/>
      <c r="F95" s="418"/>
      <c r="G95" s="418"/>
      <c r="H95" s="123"/>
      <c r="I95" s="123"/>
      <c r="J95" s="123"/>
      <c r="K95" s="124"/>
      <c r="BC95" s="14"/>
      <c r="BD95" s="15" t="s">
        <v>762</v>
      </c>
      <c r="BE95" s="21"/>
      <c r="BF95" s="12"/>
      <c r="BG95" s="43"/>
      <c r="BH95" s="12"/>
    </row>
    <row r="96" spans="1:60" s="3" customFormat="1" ht="15" customHeight="1" x14ac:dyDescent="0.3">
      <c r="A96" s="437" t="s">
        <v>763</v>
      </c>
      <c r="B96" s="418"/>
      <c r="C96" s="418"/>
      <c r="D96" s="418"/>
      <c r="E96" s="418"/>
      <c r="F96" s="418"/>
      <c r="G96" s="418"/>
      <c r="H96" s="123"/>
      <c r="I96" s="123"/>
      <c r="J96" s="123"/>
      <c r="K96" s="124"/>
      <c r="BC96" s="14"/>
      <c r="BD96" s="15" t="s">
        <v>763</v>
      </c>
      <c r="BE96" s="21"/>
      <c r="BF96" s="12"/>
      <c r="BG96" s="43"/>
      <c r="BH96" s="12"/>
    </row>
    <row r="97" spans="1:60" s="3" customFormat="1" ht="31.8" x14ac:dyDescent="0.3">
      <c r="A97" s="16" t="s">
        <v>196</v>
      </c>
      <c r="B97" s="17" t="s">
        <v>764</v>
      </c>
      <c r="C97" s="405" t="s">
        <v>765</v>
      </c>
      <c r="D97" s="405"/>
      <c r="E97" s="405"/>
      <c r="F97" s="16" t="s">
        <v>125</v>
      </c>
      <c r="G97" s="30">
        <v>0.1671</v>
      </c>
      <c r="H97" s="57">
        <f t="shared" si="2"/>
        <v>83869.898264512274</v>
      </c>
      <c r="I97" s="19">
        <f>23791.39-K97</f>
        <v>14014.66</v>
      </c>
      <c r="J97" s="19">
        <f t="shared" si="3"/>
        <v>58508.258527827646</v>
      </c>
      <c r="K97" s="19">
        <v>9776.73</v>
      </c>
      <c r="BC97" s="14"/>
      <c r="BD97" s="15"/>
      <c r="BE97" s="21" t="s">
        <v>765</v>
      </c>
      <c r="BF97" s="12"/>
      <c r="BG97" s="43"/>
      <c r="BH97" s="12"/>
    </row>
    <row r="98" spans="1:60" s="3" customFormat="1" ht="20.399999999999999" x14ac:dyDescent="0.3">
      <c r="A98" s="25"/>
      <c r="B98" s="26" t="s">
        <v>154</v>
      </c>
      <c r="C98" s="419" t="s">
        <v>155</v>
      </c>
      <c r="D98" s="419"/>
      <c r="E98" s="419"/>
      <c r="F98" s="27" t="s">
        <v>46</v>
      </c>
      <c r="G98" s="22" t="s">
        <v>766</v>
      </c>
      <c r="H98" s="57"/>
      <c r="I98" s="28"/>
      <c r="J98" s="19"/>
      <c r="K98" s="29"/>
      <c r="BC98" s="14"/>
      <c r="BD98" s="15"/>
      <c r="BE98" s="21"/>
      <c r="BF98" s="12" t="s">
        <v>155</v>
      </c>
      <c r="BG98" s="43"/>
      <c r="BH98" s="12"/>
    </row>
    <row r="99" spans="1:60" s="3" customFormat="1" ht="20.399999999999999" x14ac:dyDescent="0.3">
      <c r="A99" s="37" t="s">
        <v>78</v>
      </c>
      <c r="B99" s="38" t="s">
        <v>767</v>
      </c>
      <c r="C99" s="430" t="s">
        <v>768</v>
      </c>
      <c r="D99" s="430"/>
      <c r="E99" s="430"/>
      <c r="F99" s="39" t="s">
        <v>46</v>
      </c>
      <c r="G99" s="40" t="s">
        <v>33</v>
      </c>
      <c r="H99" s="57"/>
      <c r="I99" s="41"/>
      <c r="J99" s="19"/>
      <c r="K99" s="42"/>
      <c r="BC99" s="14"/>
      <c r="BD99" s="15"/>
      <c r="BE99" s="21"/>
      <c r="BF99" s="12"/>
      <c r="BG99" s="43" t="s">
        <v>768</v>
      </c>
      <c r="BH99" s="12"/>
    </row>
    <row r="100" spans="1:60" s="3" customFormat="1" ht="21.6" x14ac:dyDescent="0.3">
      <c r="A100" s="25" t="s">
        <v>129</v>
      </c>
      <c r="B100" s="26" t="s">
        <v>205</v>
      </c>
      <c r="C100" s="419" t="s">
        <v>82</v>
      </c>
      <c r="D100" s="419"/>
      <c r="E100" s="419"/>
      <c r="F100" s="27" t="s">
        <v>46</v>
      </c>
      <c r="G100" s="22" t="s">
        <v>769</v>
      </c>
      <c r="H100" s="57"/>
      <c r="I100" s="28"/>
      <c r="J100" s="19"/>
      <c r="K100" s="29"/>
      <c r="BC100" s="14"/>
      <c r="BD100" s="15"/>
      <c r="BE100" s="21"/>
      <c r="BF100" s="12"/>
      <c r="BG100" s="43"/>
      <c r="BH100" s="12" t="s">
        <v>82</v>
      </c>
    </row>
    <row r="101" spans="1:60" s="3" customFormat="1" ht="15" customHeight="1" x14ac:dyDescent="0.3">
      <c r="A101" s="437" t="s">
        <v>770</v>
      </c>
      <c r="B101" s="418"/>
      <c r="C101" s="418"/>
      <c r="D101" s="418"/>
      <c r="E101" s="418"/>
      <c r="F101" s="418"/>
      <c r="G101" s="418"/>
      <c r="H101" s="123"/>
      <c r="I101" s="123"/>
      <c r="J101" s="123"/>
      <c r="K101" s="124"/>
      <c r="BC101" s="14"/>
      <c r="BD101" s="15" t="s">
        <v>770</v>
      </c>
      <c r="BE101" s="21"/>
      <c r="BF101" s="12"/>
      <c r="BG101" s="43"/>
      <c r="BH101" s="12"/>
    </row>
    <row r="102" spans="1:60" s="3" customFormat="1" ht="15" customHeight="1" x14ac:dyDescent="0.3">
      <c r="A102" s="435" t="s">
        <v>771</v>
      </c>
      <c r="B102" s="436"/>
      <c r="C102" s="436"/>
      <c r="D102" s="436"/>
      <c r="E102" s="436"/>
      <c r="F102" s="436"/>
      <c r="G102" s="436"/>
      <c r="H102" s="103"/>
      <c r="I102" s="103"/>
      <c r="J102" s="103"/>
      <c r="K102" s="104"/>
      <c r="BC102" s="14" t="s">
        <v>771</v>
      </c>
      <c r="BD102" s="15"/>
      <c r="BE102" s="21"/>
      <c r="BF102" s="12"/>
      <c r="BG102" s="43"/>
      <c r="BH102" s="12"/>
    </row>
    <row r="103" spans="1:60" s="3" customFormat="1" ht="15" customHeight="1" x14ac:dyDescent="0.3">
      <c r="A103" s="437" t="s">
        <v>772</v>
      </c>
      <c r="B103" s="418"/>
      <c r="C103" s="418"/>
      <c r="D103" s="418"/>
      <c r="E103" s="418"/>
      <c r="F103" s="418"/>
      <c r="G103" s="418"/>
      <c r="H103" s="123"/>
      <c r="I103" s="123"/>
      <c r="J103" s="123"/>
      <c r="K103" s="124"/>
      <c r="BC103" s="14"/>
      <c r="BD103" s="15" t="s">
        <v>772</v>
      </c>
      <c r="BE103" s="21"/>
      <c r="BF103" s="12"/>
      <c r="BG103" s="43"/>
      <c r="BH103" s="12"/>
    </row>
    <row r="104" spans="1:60" s="3" customFormat="1" ht="15" customHeight="1" x14ac:dyDescent="0.3">
      <c r="A104" s="437" t="s">
        <v>773</v>
      </c>
      <c r="B104" s="418"/>
      <c r="C104" s="418"/>
      <c r="D104" s="418"/>
      <c r="E104" s="418"/>
      <c r="F104" s="418"/>
      <c r="G104" s="418"/>
      <c r="H104" s="123"/>
      <c r="I104" s="123"/>
      <c r="J104" s="123"/>
      <c r="K104" s="124"/>
      <c r="BC104" s="14"/>
      <c r="BD104" s="15" t="s">
        <v>773</v>
      </c>
      <c r="BE104" s="21"/>
      <c r="BF104" s="12"/>
      <c r="BG104" s="43"/>
      <c r="BH104" s="12"/>
    </row>
    <row r="105" spans="1:60" s="3" customFormat="1" ht="21.6" x14ac:dyDescent="0.3">
      <c r="A105" s="16" t="s">
        <v>198</v>
      </c>
      <c r="B105" s="17" t="s">
        <v>774</v>
      </c>
      <c r="C105" s="405" t="s">
        <v>775</v>
      </c>
      <c r="D105" s="405"/>
      <c r="E105" s="405"/>
      <c r="F105" s="16" t="s">
        <v>43</v>
      </c>
      <c r="G105" s="18">
        <v>6.4000000000000001E-2</v>
      </c>
      <c r="H105" s="57">
        <f t="shared" si="2"/>
        <v>624064.6875</v>
      </c>
      <c r="I105" s="19">
        <v>39940.14</v>
      </c>
      <c r="J105" s="19">
        <f t="shared" si="3"/>
        <v>0</v>
      </c>
      <c r="K105" s="19">
        <v>0</v>
      </c>
      <c r="BC105" s="14"/>
      <c r="BD105" s="15"/>
      <c r="BE105" s="21" t="s">
        <v>775</v>
      </c>
      <c r="BF105" s="12"/>
      <c r="BG105" s="43"/>
      <c r="BH105" s="12"/>
    </row>
    <row r="106" spans="1:60" s="3" customFormat="1" ht="15" customHeight="1" x14ac:dyDescent="0.3">
      <c r="A106" s="437" t="s">
        <v>776</v>
      </c>
      <c r="B106" s="418"/>
      <c r="C106" s="418"/>
      <c r="D106" s="418"/>
      <c r="E106" s="418"/>
      <c r="F106" s="418"/>
      <c r="G106" s="418"/>
      <c r="H106" s="123"/>
      <c r="I106" s="123"/>
      <c r="J106" s="123"/>
      <c r="K106" s="124"/>
      <c r="BC106" s="14"/>
      <c r="BD106" s="15" t="s">
        <v>776</v>
      </c>
      <c r="BE106" s="21"/>
      <c r="BF106" s="12"/>
      <c r="BG106" s="43"/>
      <c r="BH106" s="12"/>
    </row>
    <row r="107" spans="1:60" s="3" customFormat="1" ht="21.6" x14ac:dyDescent="0.3">
      <c r="A107" s="16" t="s">
        <v>201</v>
      </c>
      <c r="B107" s="17" t="s">
        <v>777</v>
      </c>
      <c r="C107" s="405" t="s">
        <v>778</v>
      </c>
      <c r="D107" s="405"/>
      <c r="E107" s="405"/>
      <c r="F107" s="16" t="s">
        <v>329</v>
      </c>
      <c r="G107" s="31">
        <v>0.36</v>
      </c>
      <c r="H107" s="57">
        <f t="shared" si="2"/>
        <v>212010.97222222222</v>
      </c>
      <c r="I107" s="19">
        <f>80468.3-K107</f>
        <v>76323.95</v>
      </c>
      <c r="J107" s="19">
        <f t="shared" si="3"/>
        <v>11512.083333333334</v>
      </c>
      <c r="K107" s="19">
        <v>4144.3500000000004</v>
      </c>
      <c r="BC107" s="14"/>
      <c r="BD107" s="15"/>
      <c r="BE107" s="21" t="s">
        <v>778</v>
      </c>
      <c r="BF107" s="12"/>
      <c r="BG107" s="43"/>
      <c r="BH107" s="12"/>
    </row>
    <row r="108" spans="1:60" s="3" customFormat="1" ht="20.399999999999999" x14ac:dyDescent="0.3">
      <c r="A108" s="37" t="s">
        <v>143</v>
      </c>
      <c r="B108" s="38" t="s">
        <v>79</v>
      </c>
      <c r="C108" s="430" t="s">
        <v>264</v>
      </c>
      <c r="D108" s="430"/>
      <c r="E108" s="430"/>
      <c r="F108" s="39" t="s">
        <v>46</v>
      </c>
      <c r="G108" s="40" t="s">
        <v>779</v>
      </c>
      <c r="H108" s="57"/>
      <c r="I108" s="41"/>
      <c r="J108" s="19"/>
      <c r="K108" s="42"/>
      <c r="BC108" s="14"/>
      <c r="BD108" s="15"/>
      <c r="BE108" s="21"/>
      <c r="BF108" s="12"/>
      <c r="BG108" s="43" t="s">
        <v>264</v>
      </c>
      <c r="BH108" s="12"/>
    </row>
    <row r="109" spans="1:60" s="3" customFormat="1" ht="20.399999999999999" x14ac:dyDescent="0.3">
      <c r="A109" s="37" t="s">
        <v>143</v>
      </c>
      <c r="B109" s="38" t="s">
        <v>780</v>
      </c>
      <c r="C109" s="430" t="s">
        <v>781</v>
      </c>
      <c r="D109" s="430"/>
      <c r="E109" s="430"/>
      <c r="F109" s="39" t="s">
        <v>46</v>
      </c>
      <c r="G109" s="40" t="s">
        <v>782</v>
      </c>
      <c r="H109" s="57"/>
      <c r="I109" s="41"/>
      <c r="J109" s="19"/>
      <c r="K109" s="42"/>
      <c r="BC109" s="14"/>
      <c r="BD109" s="15"/>
      <c r="BE109" s="21"/>
      <c r="BF109" s="12"/>
      <c r="BG109" s="43" t="s">
        <v>781</v>
      </c>
      <c r="BH109" s="12"/>
    </row>
    <row r="110" spans="1:60" s="3" customFormat="1" ht="20.399999999999999" x14ac:dyDescent="0.3">
      <c r="A110" s="25" t="s">
        <v>129</v>
      </c>
      <c r="B110" s="26" t="s">
        <v>149</v>
      </c>
      <c r="C110" s="419" t="s">
        <v>45</v>
      </c>
      <c r="D110" s="419"/>
      <c r="E110" s="419"/>
      <c r="F110" s="27" t="s">
        <v>46</v>
      </c>
      <c r="G110" s="22" t="s">
        <v>779</v>
      </c>
      <c r="H110" s="57"/>
      <c r="I110" s="28"/>
      <c r="J110" s="19"/>
      <c r="K110" s="29"/>
      <c r="BC110" s="14"/>
      <c r="BD110" s="15"/>
      <c r="BE110" s="21"/>
      <c r="BF110" s="12"/>
      <c r="BG110" s="43"/>
      <c r="BH110" s="12" t="s">
        <v>45</v>
      </c>
    </row>
    <row r="111" spans="1:60" s="3" customFormat="1" ht="15" customHeight="1" x14ac:dyDescent="0.3">
      <c r="A111" s="437" t="s">
        <v>783</v>
      </c>
      <c r="B111" s="418"/>
      <c r="C111" s="418"/>
      <c r="D111" s="418"/>
      <c r="E111" s="418"/>
      <c r="F111" s="418"/>
      <c r="G111" s="418"/>
      <c r="H111" s="123"/>
      <c r="I111" s="123"/>
      <c r="J111" s="123"/>
      <c r="K111" s="124"/>
      <c r="BC111" s="14"/>
      <c r="BD111" s="15" t="s">
        <v>783</v>
      </c>
      <c r="BE111" s="21"/>
      <c r="BF111" s="12"/>
      <c r="BG111" s="43"/>
      <c r="BH111" s="12"/>
    </row>
    <row r="112" spans="1:60" s="3" customFormat="1" ht="31.8" x14ac:dyDescent="0.3">
      <c r="A112" s="16" t="s">
        <v>219</v>
      </c>
      <c r="B112" s="17" t="s">
        <v>784</v>
      </c>
      <c r="C112" s="405" t="s">
        <v>785</v>
      </c>
      <c r="D112" s="405"/>
      <c r="E112" s="405"/>
      <c r="F112" s="16" t="s">
        <v>329</v>
      </c>
      <c r="G112" s="31">
        <v>1.42</v>
      </c>
      <c r="H112" s="57">
        <f t="shared" si="2"/>
        <v>5095.7676056338014</v>
      </c>
      <c r="I112" s="19">
        <f>39186.21-K112</f>
        <v>7235.989999999998</v>
      </c>
      <c r="J112" s="19">
        <f t="shared" si="3"/>
        <v>22500.154929577468</v>
      </c>
      <c r="K112" s="19">
        <v>31950.22</v>
      </c>
      <c r="BC112" s="14"/>
      <c r="BD112" s="15"/>
      <c r="BE112" s="21" t="s">
        <v>785</v>
      </c>
      <c r="BF112" s="12"/>
      <c r="BG112" s="43"/>
      <c r="BH112" s="12"/>
    </row>
    <row r="113" spans="1:60" s="3" customFormat="1" ht="20.399999999999999" x14ac:dyDescent="0.3">
      <c r="A113" s="37" t="s">
        <v>143</v>
      </c>
      <c r="B113" s="38" t="s">
        <v>786</v>
      </c>
      <c r="C113" s="430" t="s">
        <v>787</v>
      </c>
      <c r="D113" s="430"/>
      <c r="E113" s="430"/>
      <c r="F113" s="39" t="s">
        <v>46</v>
      </c>
      <c r="G113" s="40" t="s">
        <v>788</v>
      </c>
      <c r="H113" s="57"/>
      <c r="I113" s="41"/>
      <c r="J113" s="19"/>
      <c r="K113" s="42"/>
      <c r="BC113" s="14"/>
      <c r="BD113" s="15"/>
      <c r="BE113" s="21"/>
      <c r="BF113" s="12"/>
      <c r="BG113" s="43" t="s">
        <v>787</v>
      </c>
      <c r="BH113" s="12"/>
    </row>
    <row r="114" spans="1:60" s="3" customFormat="1" ht="20.399999999999999" x14ac:dyDescent="0.3">
      <c r="A114" s="37" t="s">
        <v>143</v>
      </c>
      <c r="B114" s="38" t="s">
        <v>789</v>
      </c>
      <c r="C114" s="430" t="s">
        <v>790</v>
      </c>
      <c r="D114" s="430"/>
      <c r="E114" s="430"/>
      <c r="F114" s="39" t="s">
        <v>75</v>
      </c>
      <c r="G114" s="40" t="s">
        <v>791</v>
      </c>
      <c r="H114" s="57"/>
      <c r="I114" s="41"/>
      <c r="J114" s="19"/>
      <c r="K114" s="42"/>
      <c r="BC114" s="14"/>
      <c r="BD114" s="15"/>
      <c r="BE114" s="21"/>
      <c r="BF114" s="12"/>
      <c r="BG114" s="43" t="s">
        <v>790</v>
      </c>
      <c r="BH114" s="12"/>
    </row>
    <row r="115" spans="1:60" s="3" customFormat="1" ht="21.6" x14ac:dyDescent="0.3">
      <c r="A115" s="25"/>
      <c r="B115" s="26" t="s">
        <v>792</v>
      </c>
      <c r="C115" s="419" t="s">
        <v>793</v>
      </c>
      <c r="D115" s="419"/>
      <c r="E115" s="419"/>
      <c r="F115" s="27" t="s">
        <v>70</v>
      </c>
      <c r="G115" s="22" t="s">
        <v>794</v>
      </c>
      <c r="H115" s="57"/>
      <c r="I115" s="28"/>
      <c r="J115" s="19"/>
      <c r="K115" s="29"/>
      <c r="BC115" s="14"/>
      <c r="BD115" s="15"/>
      <c r="BE115" s="21"/>
      <c r="BF115" s="12" t="s">
        <v>793</v>
      </c>
      <c r="BG115" s="43"/>
      <c r="BH115" s="12"/>
    </row>
    <row r="116" spans="1:60" s="3" customFormat="1" ht="20.399999999999999" x14ac:dyDescent="0.3">
      <c r="A116" s="25" t="s">
        <v>129</v>
      </c>
      <c r="B116" s="26" t="s">
        <v>795</v>
      </c>
      <c r="C116" s="419" t="s">
        <v>787</v>
      </c>
      <c r="D116" s="419"/>
      <c r="E116" s="419"/>
      <c r="F116" s="27" t="s">
        <v>46</v>
      </c>
      <c r="G116" s="22" t="s">
        <v>788</v>
      </c>
      <c r="H116" s="57"/>
      <c r="I116" s="28"/>
      <c r="J116" s="19"/>
      <c r="K116" s="29"/>
      <c r="BC116" s="14"/>
      <c r="BD116" s="15"/>
      <c r="BE116" s="21"/>
      <c r="BF116" s="12"/>
      <c r="BG116" s="43"/>
      <c r="BH116" s="12" t="s">
        <v>787</v>
      </c>
    </row>
    <row r="117" spans="1:60" s="3" customFormat="1" ht="20.399999999999999" x14ac:dyDescent="0.3">
      <c r="A117" s="25" t="s">
        <v>129</v>
      </c>
      <c r="B117" s="26" t="s">
        <v>796</v>
      </c>
      <c r="C117" s="419" t="s">
        <v>797</v>
      </c>
      <c r="D117" s="419"/>
      <c r="E117" s="419"/>
      <c r="F117" s="27" t="s">
        <v>75</v>
      </c>
      <c r="G117" s="22" t="s">
        <v>791</v>
      </c>
      <c r="H117" s="57"/>
      <c r="I117" s="28"/>
      <c r="J117" s="19"/>
      <c r="K117" s="29"/>
      <c r="BC117" s="14"/>
      <c r="BD117" s="15"/>
      <c r="BE117" s="21"/>
      <c r="BF117" s="12"/>
      <c r="BG117" s="43"/>
      <c r="BH117" s="12" t="s">
        <v>797</v>
      </c>
    </row>
    <row r="118" spans="1:60" s="3" customFormat="1" ht="15" customHeight="1" x14ac:dyDescent="0.3">
      <c r="A118" s="435" t="s">
        <v>798</v>
      </c>
      <c r="B118" s="436"/>
      <c r="C118" s="436"/>
      <c r="D118" s="436"/>
      <c r="E118" s="436"/>
      <c r="F118" s="436"/>
      <c r="G118" s="436"/>
      <c r="H118" s="103"/>
      <c r="I118" s="103"/>
      <c r="J118" s="103"/>
      <c r="K118" s="104"/>
      <c r="BC118" s="14" t="s">
        <v>798</v>
      </c>
      <c r="BD118" s="15"/>
      <c r="BE118" s="21"/>
      <c r="BF118" s="12"/>
      <c r="BG118" s="43"/>
      <c r="BH118" s="12"/>
    </row>
    <row r="119" spans="1:60" s="3" customFormat="1" ht="15" customHeight="1" x14ac:dyDescent="0.3">
      <c r="A119" s="437" t="s">
        <v>799</v>
      </c>
      <c r="B119" s="418"/>
      <c r="C119" s="418"/>
      <c r="D119" s="418"/>
      <c r="E119" s="418"/>
      <c r="F119" s="418"/>
      <c r="G119" s="418"/>
      <c r="H119" s="123"/>
      <c r="I119" s="123"/>
      <c r="J119" s="123"/>
      <c r="K119" s="124"/>
      <c r="BC119" s="14"/>
      <c r="BD119" s="15" t="s">
        <v>799</v>
      </c>
      <c r="BE119" s="21"/>
      <c r="BF119" s="12"/>
      <c r="BG119" s="43"/>
      <c r="BH119" s="12"/>
    </row>
    <row r="120" spans="1:60" s="3" customFormat="1" ht="42" x14ac:dyDescent="0.3">
      <c r="A120" s="16" t="s">
        <v>222</v>
      </c>
      <c r="B120" s="17" t="s">
        <v>800</v>
      </c>
      <c r="C120" s="405" t="s">
        <v>801</v>
      </c>
      <c r="D120" s="405"/>
      <c r="E120" s="405"/>
      <c r="F120" s="16" t="s">
        <v>329</v>
      </c>
      <c r="G120" s="31">
        <v>0.37</v>
      </c>
      <c r="H120" s="57">
        <f t="shared" si="2"/>
        <v>37294.16216216216</v>
      </c>
      <c r="I120" s="19">
        <f>20459.17-K120</f>
        <v>13798.839999999998</v>
      </c>
      <c r="J120" s="19">
        <f t="shared" si="3"/>
        <v>18000.891891891893</v>
      </c>
      <c r="K120" s="19">
        <v>6660.33</v>
      </c>
      <c r="BC120" s="14"/>
      <c r="BD120" s="15"/>
      <c r="BE120" s="21" t="s">
        <v>801</v>
      </c>
      <c r="BF120" s="12"/>
      <c r="BG120" s="43"/>
      <c r="BH120" s="12"/>
    </row>
    <row r="121" spans="1:60" s="3" customFormat="1" ht="20.399999999999999" x14ac:dyDescent="0.3">
      <c r="A121" s="25"/>
      <c r="B121" s="26" t="s">
        <v>802</v>
      </c>
      <c r="C121" s="419" t="s">
        <v>787</v>
      </c>
      <c r="D121" s="419"/>
      <c r="E121" s="419"/>
      <c r="F121" s="27" t="s">
        <v>46</v>
      </c>
      <c r="G121" s="22" t="s">
        <v>803</v>
      </c>
      <c r="H121" s="57"/>
      <c r="I121" s="28"/>
      <c r="J121" s="19"/>
      <c r="K121" s="29"/>
      <c r="BC121" s="14"/>
      <c r="BD121" s="15"/>
      <c r="BE121" s="21"/>
      <c r="BF121" s="12" t="s">
        <v>787</v>
      </c>
      <c r="BG121" s="43"/>
      <c r="BH121" s="12"/>
    </row>
    <row r="122" spans="1:60" s="3" customFormat="1" ht="21.6" x14ac:dyDescent="0.3">
      <c r="A122" s="16" t="s">
        <v>225</v>
      </c>
      <c r="B122" s="17" t="s">
        <v>804</v>
      </c>
      <c r="C122" s="405" t="s">
        <v>805</v>
      </c>
      <c r="D122" s="405"/>
      <c r="E122" s="405"/>
      <c r="F122" s="16" t="s">
        <v>329</v>
      </c>
      <c r="G122" s="31">
        <v>0.37</v>
      </c>
      <c r="H122" s="57">
        <f t="shared" si="2"/>
        <v>11704.864864864863</v>
      </c>
      <c r="I122" s="19">
        <f>5368.49-K122</f>
        <v>4330.7999999999993</v>
      </c>
      <c r="J122" s="19">
        <f t="shared" si="3"/>
        <v>2804.5675675675679</v>
      </c>
      <c r="K122" s="19">
        <v>1037.69</v>
      </c>
      <c r="M122" s="60">
        <v>2610059</v>
      </c>
      <c r="BC122" s="14"/>
      <c r="BD122" s="15"/>
      <c r="BE122" s="21" t="s">
        <v>805</v>
      </c>
      <c r="BF122" s="12"/>
      <c r="BG122" s="43"/>
      <c r="BH122" s="12"/>
    </row>
    <row r="123" spans="1:60" s="3" customFormat="1" ht="20.399999999999999" x14ac:dyDescent="0.3">
      <c r="A123" s="25"/>
      <c r="B123" s="26" t="s">
        <v>154</v>
      </c>
      <c r="C123" s="419" t="s">
        <v>155</v>
      </c>
      <c r="D123" s="419"/>
      <c r="E123" s="419"/>
      <c r="F123" s="27" t="s">
        <v>46</v>
      </c>
      <c r="G123" s="22" t="s">
        <v>806</v>
      </c>
      <c r="H123" s="57"/>
      <c r="I123" s="28"/>
      <c r="J123" s="19"/>
      <c r="K123" s="29"/>
      <c r="M123" s="56">
        <f>I127</f>
        <v>2610059.4000000004</v>
      </c>
      <c r="BC123" s="14"/>
      <c r="BD123" s="15"/>
      <c r="BE123" s="21"/>
      <c r="BF123" s="12" t="s">
        <v>155</v>
      </c>
      <c r="BG123" s="43"/>
      <c r="BH123" s="12"/>
    </row>
    <row r="124" spans="1:60" s="3" customFormat="1" ht="20.399999999999999" x14ac:dyDescent="0.3">
      <c r="A124" s="37" t="s">
        <v>143</v>
      </c>
      <c r="B124" s="38" t="s">
        <v>789</v>
      </c>
      <c r="C124" s="430" t="s">
        <v>807</v>
      </c>
      <c r="D124" s="430"/>
      <c r="E124" s="430"/>
      <c r="F124" s="39" t="s">
        <v>75</v>
      </c>
      <c r="G124" s="40" t="s">
        <v>808</v>
      </c>
      <c r="H124" s="57"/>
      <c r="I124" s="41"/>
      <c r="J124" s="19"/>
      <c r="K124" s="42"/>
      <c r="M124" s="56">
        <f>M122-M123</f>
        <v>-0.40000000037252903</v>
      </c>
      <c r="BC124" s="14"/>
      <c r="BD124" s="15"/>
      <c r="BE124" s="21"/>
      <c r="BF124" s="12"/>
      <c r="BG124" s="43" t="s">
        <v>807</v>
      </c>
      <c r="BH124" s="12"/>
    </row>
    <row r="125" spans="1:60" s="3" customFormat="1" ht="20.399999999999999" x14ac:dyDescent="0.3">
      <c r="A125" s="25" t="s">
        <v>129</v>
      </c>
      <c r="B125" s="26" t="s">
        <v>796</v>
      </c>
      <c r="C125" s="419" t="s">
        <v>797</v>
      </c>
      <c r="D125" s="419"/>
      <c r="E125" s="419"/>
      <c r="F125" s="27" t="s">
        <v>75</v>
      </c>
      <c r="G125" s="22" t="s">
        <v>808</v>
      </c>
      <c r="H125" s="57"/>
      <c r="I125" s="28"/>
      <c r="J125" s="19"/>
      <c r="K125" s="29"/>
      <c r="BC125" s="14"/>
      <c r="BD125" s="15"/>
      <c r="BE125" s="21"/>
      <c r="BF125" s="12"/>
      <c r="BG125" s="43"/>
      <c r="BH125" s="12" t="s">
        <v>797</v>
      </c>
    </row>
    <row r="126" spans="1:60" s="3" customFormat="1" ht="20.25" customHeight="1" x14ac:dyDescent="0.3">
      <c r="A126" s="406" t="s">
        <v>57</v>
      </c>
      <c r="B126" s="407"/>
      <c r="C126" s="407"/>
      <c r="D126" s="407"/>
      <c r="E126" s="407"/>
      <c r="F126" s="407"/>
      <c r="G126" s="407"/>
      <c r="H126" s="66"/>
      <c r="I126" s="67">
        <f>SUM(I14:I125)</f>
        <v>1115951.1500000001</v>
      </c>
      <c r="J126" s="72"/>
      <c r="K126" s="67">
        <f>SUM(K14:K125)</f>
        <v>1494108.2500000002</v>
      </c>
    </row>
    <row r="127" spans="1:60" s="53" customFormat="1" ht="20.25" customHeight="1" thickBot="1" x14ac:dyDescent="0.35">
      <c r="A127" s="408" t="s">
        <v>5461</v>
      </c>
      <c r="B127" s="409"/>
      <c r="C127" s="409"/>
      <c r="D127" s="409"/>
      <c r="E127" s="409"/>
      <c r="F127" s="409"/>
      <c r="G127" s="409"/>
      <c r="H127" s="88"/>
      <c r="I127" s="410">
        <f>I126+K126</f>
        <v>2610059.4000000004</v>
      </c>
      <c r="J127" s="411"/>
      <c r="K127" s="412"/>
    </row>
    <row r="128" spans="1:60" s="3" customFormat="1" ht="14.4" x14ac:dyDescent="0.3">
      <c r="A128" s="4"/>
      <c r="B128" s="4"/>
      <c r="C128" s="4"/>
      <c r="D128" s="4"/>
      <c r="E128" s="4"/>
      <c r="F128" s="4"/>
      <c r="G128" s="4"/>
      <c r="H128" s="54"/>
      <c r="I128" s="141"/>
      <c r="J128" s="141"/>
      <c r="K128" s="54"/>
    </row>
  </sheetData>
  <autoFilter ref="A11:BQ127" xr:uid="{00000000-0001-0000-0600-000000000000}"/>
  <mergeCells count="124">
    <mergeCell ref="I127:K127"/>
    <mergeCell ref="A118:G118"/>
    <mergeCell ref="A102:G102"/>
    <mergeCell ref="A22:G22"/>
    <mergeCell ref="A12:G12"/>
    <mergeCell ref="A119:G119"/>
    <mergeCell ref="A111:G111"/>
    <mergeCell ref="A106:G106"/>
    <mergeCell ref="A104:G104"/>
    <mergeCell ref="A103:G103"/>
    <mergeCell ref="A101:G101"/>
    <mergeCell ref="A126:G126"/>
    <mergeCell ref="A127:G127"/>
    <mergeCell ref="C121:E121"/>
    <mergeCell ref="C122:E122"/>
    <mergeCell ref="C123:E123"/>
    <mergeCell ref="C124:E124"/>
    <mergeCell ref="C125:E125"/>
    <mergeCell ref="C116:E116"/>
    <mergeCell ref="C117:E117"/>
    <mergeCell ref="C120:E120"/>
    <mergeCell ref="C112:E112"/>
    <mergeCell ref="C113:E113"/>
    <mergeCell ref="C114:E114"/>
    <mergeCell ref="C115:E115"/>
    <mergeCell ref="C107:E107"/>
    <mergeCell ref="C108:E108"/>
    <mergeCell ref="C109:E109"/>
    <mergeCell ref="C110:E110"/>
    <mergeCell ref="C105:E105"/>
    <mergeCell ref="C97:E97"/>
    <mergeCell ref="C98:E98"/>
    <mergeCell ref="C99:E99"/>
    <mergeCell ref="C100:E100"/>
    <mergeCell ref="A96:G96"/>
    <mergeCell ref="C91:E91"/>
    <mergeCell ref="C92:E92"/>
    <mergeCell ref="C93:E93"/>
    <mergeCell ref="C94:E94"/>
    <mergeCell ref="A95:G95"/>
    <mergeCell ref="C86:E86"/>
    <mergeCell ref="C87:E87"/>
    <mergeCell ref="C88:E88"/>
    <mergeCell ref="C89:E89"/>
    <mergeCell ref="C90:E90"/>
    <mergeCell ref="C81:E81"/>
    <mergeCell ref="C82:E82"/>
    <mergeCell ref="C84:E84"/>
    <mergeCell ref="C85:E85"/>
    <mergeCell ref="A83:G83"/>
    <mergeCell ref="C76:E76"/>
    <mergeCell ref="C79:E79"/>
    <mergeCell ref="C80:E80"/>
    <mergeCell ref="A78:G78"/>
    <mergeCell ref="A77:G77"/>
    <mergeCell ref="C72:E72"/>
    <mergeCell ref="C73:E73"/>
    <mergeCell ref="C74:E74"/>
    <mergeCell ref="C75:E75"/>
    <mergeCell ref="A71:G71"/>
    <mergeCell ref="C67:E67"/>
    <mergeCell ref="C68:E68"/>
    <mergeCell ref="C69:E69"/>
    <mergeCell ref="C70:E70"/>
    <mergeCell ref="A66:G66"/>
    <mergeCell ref="C62:E62"/>
    <mergeCell ref="C63:E63"/>
    <mergeCell ref="C64:E64"/>
    <mergeCell ref="C65:E65"/>
    <mergeCell ref="A61:G61"/>
    <mergeCell ref="C56:E56"/>
    <mergeCell ref="C57:E57"/>
    <mergeCell ref="C59:E59"/>
    <mergeCell ref="C60:E60"/>
    <mergeCell ref="A58:G58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1:E41"/>
    <mergeCell ref="C43:E43"/>
    <mergeCell ref="C44:E44"/>
    <mergeCell ref="C45:E45"/>
    <mergeCell ref="A42:G42"/>
    <mergeCell ref="C36:E36"/>
    <mergeCell ref="C37:E37"/>
    <mergeCell ref="C38:E38"/>
    <mergeCell ref="C40:E40"/>
    <mergeCell ref="A39:G39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24:E24"/>
    <mergeCell ref="C25:E25"/>
    <mergeCell ref="A23:G23"/>
    <mergeCell ref="C16:E16"/>
    <mergeCell ref="C18:E18"/>
    <mergeCell ref="C20:E20"/>
    <mergeCell ref="A19:G19"/>
    <mergeCell ref="A17:G17"/>
    <mergeCell ref="C31:E31"/>
    <mergeCell ref="C14:E14"/>
    <mergeCell ref="C15:E15"/>
    <mergeCell ref="A13:G13"/>
    <mergeCell ref="A6:K6"/>
    <mergeCell ref="C7:G7"/>
    <mergeCell ref="A2:K2"/>
    <mergeCell ref="A3:K3"/>
    <mergeCell ref="A5:K5"/>
    <mergeCell ref="C21:E21"/>
    <mergeCell ref="C9:E9"/>
    <mergeCell ref="C10:E10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BG20"/>
  <sheetViews>
    <sheetView workbookViewId="0">
      <selection activeCell="M6" sqref="M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1" width="18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5" width="172.5546875" style="2" hidden="1" customWidth="1"/>
    <col min="56" max="56" width="34.109375" style="2" hidden="1" customWidth="1"/>
    <col min="57" max="59" width="127.5546875" style="2" hidden="1" customWidth="1"/>
    <col min="60" max="16384" width="9.109375" style="1"/>
  </cols>
  <sheetData>
    <row r="1" spans="1:56" s="3" customFormat="1" ht="14.4" x14ac:dyDescent="0.3">
      <c r="A1" s="95" t="s">
        <v>5565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6" s="3" customFormat="1" ht="31.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14.4" x14ac:dyDescent="0.3">
      <c r="A5" s="404" t="s">
        <v>1332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1332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14.4" x14ac:dyDescent="0.3">
      <c r="A7" s="4"/>
      <c r="B7" s="8" t="s">
        <v>5</v>
      </c>
      <c r="C7" s="402" t="s">
        <v>1333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13"/>
      <c r="H8" s="56"/>
      <c r="I8" s="56"/>
      <c r="J8" s="56"/>
      <c r="K8" s="56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6" s="3" customFormat="1" ht="14.4" x14ac:dyDescent="0.3">
      <c r="A12" s="446" t="s">
        <v>1334</v>
      </c>
      <c r="B12" s="447"/>
      <c r="C12" s="447"/>
      <c r="D12" s="447"/>
      <c r="E12" s="447"/>
      <c r="F12" s="447"/>
      <c r="G12" s="447"/>
      <c r="H12" s="447"/>
      <c r="I12" s="447"/>
      <c r="J12" s="447"/>
      <c r="K12" s="448"/>
      <c r="BC12" s="14" t="s">
        <v>1334</v>
      </c>
    </row>
    <row r="13" spans="1:56" s="3" customFormat="1" ht="51" x14ac:dyDescent="0.3">
      <c r="A13" s="16" t="s">
        <v>15</v>
      </c>
      <c r="B13" s="17" t="s">
        <v>1335</v>
      </c>
      <c r="C13" s="405" t="s">
        <v>1336</v>
      </c>
      <c r="D13" s="405"/>
      <c r="E13" s="405"/>
      <c r="F13" s="16" t="s">
        <v>1337</v>
      </c>
      <c r="G13" s="31">
        <v>1.72</v>
      </c>
      <c r="H13" s="57">
        <f>I13/G13</f>
        <v>88313.866279069771</v>
      </c>
      <c r="I13" s="19">
        <v>151899.85</v>
      </c>
      <c r="J13" s="19">
        <f>K13/G13</f>
        <v>0</v>
      </c>
      <c r="K13" s="19">
        <v>0</v>
      </c>
      <c r="BC13" s="14"/>
      <c r="BD13" s="21" t="s">
        <v>1336</v>
      </c>
    </row>
    <row r="14" spans="1:56" s="3" customFormat="1" ht="31.8" x14ac:dyDescent="0.3">
      <c r="A14" s="16" t="s">
        <v>20</v>
      </c>
      <c r="B14" s="17" t="s">
        <v>96</v>
      </c>
      <c r="C14" s="405" t="s">
        <v>97</v>
      </c>
      <c r="D14" s="405"/>
      <c r="E14" s="405"/>
      <c r="F14" s="16" t="s">
        <v>50</v>
      </c>
      <c r="G14" s="24">
        <v>336.5</v>
      </c>
      <c r="H14" s="57">
        <f t="shared" ref="H14:H15" si="0">I14/G14</f>
        <v>44.772005943536406</v>
      </c>
      <c r="I14" s="19">
        <v>15065.78</v>
      </c>
      <c r="J14" s="19">
        <f t="shared" ref="J14:J15" si="1">K14/G14</f>
        <v>0</v>
      </c>
      <c r="K14" s="19">
        <v>0</v>
      </c>
      <c r="BC14" s="14"/>
      <c r="BD14" s="21" t="s">
        <v>97</v>
      </c>
    </row>
    <row r="15" spans="1:56" s="3" customFormat="1" ht="42" x14ac:dyDescent="0.3">
      <c r="A15" s="16" t="s">
        <v>22</v>
      </c>
      <c r="B15" s="17" t="s">
        <v>48</v>
      </c>
      <c r="C15" s="405" t="s">
        <v>49</v>
      </c>
      <c r="D15" s="405"/>
      <c r="E15" s="405"/>
      <c r="F15" s="16" t="s">
        <v>50</v>
      </c>
      <c r="G15" s="24">
        <v>336.5</v>
      </c>
      <c r="H15" s="57">
        <f t="shared" si="0"/>
        <v>598.37580980683504</v>
      </c>
      <c r="I15" s="19">
        <v>201353.46</v>
      </c>
      <c r="J15" s="19">
        <f t="shared" si="1"/>
        <v>0</v>
      </c>
      <c r="K15" s="19">
        <v>0</v>
      </c>
      <c r="BC15" s="14"/>
      <c r="BD15" s="21" t="s">
        <v>49</v>
      </c>
    </row>
    <row r="16" spans="1:56" s="3" customFormat="1" ht="20.25" customHeight="1" x14ac:dyDescent="0.3">
      <c r="A16" s="406" t="s">
        <v>57</v>
      </c>
      <c r="B16" s="407"/>
      <c r="C16" s="407"/>
      <c r="D16" s="407"/>
      <c r="E16" s="407"/>
      <c r="F16" s="407"/>
      <c r="G16" s="407"/>
      <c r="H16" s="66"/>
      <c r="I16" s="67">
        <f>SUM(I13:I15)</f>
        <v>368319.08999999997</v>
      </c>
      <c r="J16" s="72"/>
      <c r="K16" s="67">
        <f>SUM('01-02-05'!K12:K18)</f>
        <v>0</v>
      </c>
    </row>
    <row r="17" spans="1:13" s="53" customFormat="1" ht="20.25" customHeight="1" thickBot="1" x14ac:dyDescent="0.35">
      <c r="A17" s="408" t="s">
        <v>5461</v>
      </c>
      <c r="B17" s="409"/>
      <c r="C17" s="409"/>
      <c r="D17" s="409"/>
      <c r="E17" s="409"/>
      <c r="F17" s="409"/>
      <c r="G17" s="409"/>
      <c r="H17" s="88"/>
      <c r="I17" s="410">
        <f>I16+K16</f>
        <v>368319.08999999997</v>
      </c>
      <c r="J17" s="411"/>
      <c r="K17" s="412"/>
    </row>
    <row r="18" spans="1:13" s="3" customFormat="1" ht="53.25" customHeight="1" x14ac:dyDescent="0.3">
      <c r="A18" s="4"/>
      <c r="B18" s="4"/>
      <c r="C18" s="4"/>
      <c r="D18" s="4"/>
      <c r="E18" s="4"/>
      <c r="F18" s="4"/>
      <c r="G18" s="4"/>
      <c r="H18" s="54"/>
      <c r="I18" s="54"/>
      <c r="J18" s="54"/>
      <c r="K18" s="54"/>
    </row>
    <row r="19" spans="1:13" s="3" customFormat="1" ht="14.4" x14ac:dyDescent="0.3">
      <c r="A19" s="4"/>
      <c r="B19" s="4"/>
      <c r="C19" s="4"/>
      <c r="D19" s="4"/>
      <c r="E19" s="4"/>
      <c r="F19" s="4"/>
      <c r="G19" s="4"/>
      <c r="H19" s="54"/>
      <c r="I19" s="141"/>
      <c r="J19" s="141"/>
      <c r="K19" s="54"/>
      <c r="M19" s="56"/>
    </row>
    <row r="20" spans="1:13" ht="11.25" customHeight="1" x14ac:dyDescent="0.2">
      <c r="M20" s="54"/>
    </row>
  </sheetData>
  <autoFilter ref="A11:BM11" xr:uid="{00000000-0001-0000-0E00-000000000000}"/>
  <mergeCells count="14">
    <mergeCell ref="I17:K17"/>
    <mergeCell ref="A16:G16"/>
    <mergeCell ref="A17:G17"/>
    <mergeCell ref="A12:K12"/>
    <mergeCell ref="C13:E13"/>
    <mergeCell ref="C14:E14"/>
    <mergeCell ref="C15:E15"/>
    <mergeCell ref="C9:E9"/>
    <mergeCell ref="C10:E10"/>
    <mergeCell ref="A6:K6"/>
    <mergeCell ref="C7:G7"/>
    <mergeCell ref="A2:K2"/>
    <mergeCell ref="A3:K3"/>
    <mergeCell ref="A5:K5"/>
  </mergeCells>
  <printOptions horizontalCentered="1"/>
  <pageMargins left="0.39370077848434498" right="0.39370077848434498" top="0.35433071851730302" bottom="0.31496062874794001" header="0.118110239505768" footer="0.118110239505768"/>
  <pageSetup paperSize="9" scale="9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BL163"/>
  <sheetViews>
    <sheetView workbookViewId="0">
      <selection activeCell="M12" sqref="M12:M13"/>
    </sheetView>
  </sheetViews>
  <sheetFormatPr defaultColWidth="9.109375" defaultRowHeight="11.25" customHeight="1" x14ac:dyDescent="0.2"/>
  <cols>
    <col min="1" max="1" width="7" style="1" customWidth="1"/>
    <col min="2" max="2" width="20.109375" style="1" customWidth="1"/>
    <col min="3" max="3" width="25.5546875" style="1" customWidth="1"/>
    <col min="4" max="4" width="10.44140625" style="1" customWidth="1"/>
    <col min="5" max="5" width="13.33203125" style="1" customWidth="1"/>
    <col min="6" max="6" width="10.6640625" style="1" customWidth="1"/>
    <col min="7" max="7" width="10.6640625" style="54" customWidth="1"/>
    <col min="8" max="11" width="19.664062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5" t="s">
        <v>5567</v>
      </c>
      <c r="B1" s="4"/>
      <c r="C1" s="4"/>
      <c r="D1" s="4"/>
      <c r="E1" s="4"/>
      <c r="F1" s="4"/>
      <c r="G1" s="54"/>
      <c r="H1" s="54"/>
      <c r="I1" s="54"/>
      <c r="J1" s="108"/>
      <c r="K1" s="54"/>
    </row>
    <row r="2" spans="1:58" s="3" customFormat="1" ht="14.4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2" customHeight="1" x14ac:dyDescent="0.3">
      <c r="A4" s="7"/>
      <c r="B4" s="7"/>
      <c r="C4" s="7"/>
      <c r="D4" s="7"/>
      <c r="E4" s="7"/>
      <c r="F4" s="7"/>
      <c r="G4" s="126"/>
      <c r="H4" s="126"/>
      <c r="I4" s="126"/>
      <c r="J4" s="126"/>
      <c r="K4" s="54"/>
    </row>
    <row r="5" spans="1:58" s="3" customFormat="1" ht="14.4" x14ac:dyDescent="0.3">
      <c r="A5" s="404" t="s">
        <v>1386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1386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8" s="3" customFormat="1" ht="14.4" x14ac:dyDescent="0.3">
      <c r="A7" s="4"/>
      <c r="B7" s="8" t="s">
        <v>5</v>
      </c>
      <c r="C7" s="402" t="s">
        <v>1387</v>
      </c>
      <c r="D7" s="402"/>
      <c r="E7" s="402"/>
      <c r="F7" s="402"/>
      <c r="G7" s="402"/>
      <c r="H7" s="55"/>
      <c r="I7" s="109"/>
      <c r="J7" s="109"/>
      <c r="K7" s="109"/>
    </row>
    <row r="8" spans="1:58" s="3" customFormat="1" ht="15" thickBot="1" x14ac:dyDescent="0.35">
      <c r="A8" s="13"/>
      <c r="G8" s="56"/>
      <c r="H8" s="56"/>
      <c r="I8" s="56"/>
      <c r="J8" s="56"/>
      <c r="K8" s="56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125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4.4" x14ac:dyDescent="0.3">
      <c r="A11" s="136"/>
      <c r="B11" s="136"/>
      <c r="C11" s="136"/>
      <c r="D11" s="136"/>
      <c r="E11" s="136"/>
      <c r="F11" s="137"/>
      <c r="G11" s="138"/>
      <c r="H11" s="138"/>
      <c r="I11" s="139"/>
      <c r="J11" s="139"/>
      <c r="K11" s="140"/>
    </row>
    <row r="12" spans="1:58" s="3" customFormat="1" ht="14.4" x14ac:dyDescent="0.3">
      <c r="A12" s="435" t="s">
        <v>1388</v>
      </c>
      <c r="B12" s="436"/>
      <c r="C12" s="436"/>
      <c r="D12" s="436"/>
      <c r="E12" s="436"/>
      <c r="F12" s="436"/>
      <c r="G12" s="436"/>
      <c r="H12" s="103"/>
      <c r="I12" s="103"/>
      <c r="J12" s="103"/>
      <c r="K12" s="104"/>
      <c r="BC12" s="14" t="s">
        <v>1388</v>
      </c>
    </row>
    <row r="13" spans="1:58" s="3" customFormat="1" ht="14.4" x14ac:dyDescent="0.3">
      <c r="A13" s="437" t="s">
        <v>1389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C13" s="14"/>
      <c r="BD13" s="15" t="s">
        <v>1389</v>
      </c>
    </row>
    <row r="14" spans="1:58" s="3" customFormat="1" ht="21.6" x14ac:dyDescent="0.3">
      <c r="A14" s="16" t="s">
        <v>15</v>
      </c>
      <c r="B14" s="17" t="s">
        <v>1390</v>
      </c>
      <c r="C14" s="120" t="s">
        <v>1391</v>
      </c>
      <c r="D14" s="120"/>
      <c r="E14" s="120"/>
      <c r="F14" s="16" t="s">
        <v>38</v>
      </c>
      <c r="G14" s="57">
        <v>2</v>
      </c>
      <c r="H14" s="57">
        <f>I14/G14</f>
        <v>516.70499999999993</v>
      </c>
      <c r="I14" s="19">
        <v>1033.4099999999999</v>
      </c>
      <c r="J14" s="20">
        <f>K14/G14</f>
        <v>267.98</v>
      </c>
      <c r="K14" s="19">
        <v>535.96</v>
      </c>
      <c r="BC14" s="14"/>
      <c r="BD14" s="15"/>
      <c r="BE14" s="21" t="s">
        <v>1391</v>
      </c>
    </row>
    <row r="15" spans="1:58" s="3" customFormat="1" ht="20.399999999999999" x14ac:dyDescent="0.3">
      <c r="A15" s="25"/>
      <c r="B15" s="26" t="s">
        <v>277</v>
      </c>
      <c r="C15" s="121" t="s">
        <v>278</v>
      </c>
      <c r="D15" s="121"/>
      <c r="E15" s="121"/>
      <c r="F15" s="27" t="s">
        <v>70</v>
      </c>
      <c r="G15" s="58"/>
      <c r="H15" s="58"/>
      <c r="I15" s="28"/>
      <c r="J15" s="28"/>
      <c r="K15" s="29"/>
      <c r="BC15" s="14"/>
      <c r="BD15" s="15"/>
      <c r="BE15" s="21"/>
      <c r="BF15" s="12" t="s">
        <v>278</v>
      </c>
    </row>
    <row r="16" spans="1:58" s="3" customFormat="1" ht="21.6" x14ac:dyDescent="0.3">
      <c r="A16" s="25"/>
      <c r="B16" s="26" t="s">
        <v>1392</v>
      </c>
      <c r="C16" s="121" t="s">
        <v>1393</v>
      </c>
      <c r="D16" s="121"/>
      <c r="E16" s="121"/>
      <c r="F16" s="27" t="s">
        <v>75</v>
      </c>
      <c r="G16" s="58"/>
      <c r="H16" s="58"/>
      <c r="I16" s="28"/>
      <c r="J16" s="28"/>
      <c r="K16" s="29"/>
      <c r="BC16" s="14"/>
      <c r="BD16" s="15"/>
      <c r="BE16" s="21"/>
      <c r="BF16" s="12" t="s">
        <v>1393</v>
      </c>
    </row>
    <row r="17" spans="1:59" s="3" customFormat="1" ht="20.399999999999999" x14ac:dyDescent="0.3">
      <c r="A17" s="25"/>
      <c r="B17" s="26" t="s">
        <v>1395</v>
      </c>
      <c r="C17" s="121" t="s">
        <v>1396</v>
      </c>
      <c r="D17" s="121"/>
      <c r="E17" s="121"/>
      <c r="F17" s="27" t="s">
        <v>142</v>
      </c>
      <c r="G17" s="58"/>
      <c r="H17" s="58"/>
      <c r="I17" s="28"/>
      <c r="J17" s="28"/>
      <c r="K17" s="29"/>
      <c r="BC17" s="14"/>
      <c r="BD17" s="15"/>
      <c r="BE17" s="21"/>
      <c r="BF17" s="12" t="s">
        <v>1396</v>
      </c>
    </row>
    <row r="18" spans="1:59" s="3" customFormat="1" ht="30.6" x14ac:dyDescent="0.3">
      <c r="A18" s="25"/>
      <c r="B18" s="26" t="s">
        <v>1397</v>
      </c>
      <c r="C18" s="121" t="s">
        <v>1398</v>
      </c>
      <c r="D18" s="121"/>
      <c r="E18" s="121"/>
      <c r="F18" s="27" t="s">
        <v>70</v>
      </c>
      <c r="G18" s="58"/>
      <c r="H18" s="58"/>
      <c r="I18" s="28"/>
      <c r="J18" s="28"/>
      <c r="K18" s="29"/>
      <c r="BC18" s="14"/>
      <c r="BD18" s="15"/>
      <c r="BE18" s="21"/>
      <c r="BF18" s="12" t="s">
        <v>1398</v>
      </c>
    </row>
    <row r="19" spans="1:59" s="3" customFormat="1" ht="40.799999999999997" x14ac:dyDescent="0.3">
      <c r="A19" s="25"/>
      <c r="B19" s="26" t="s">
        <v>1400</v>
      </c>
      <c r="C19" s="121" t="s">
        <v>1401</v>
      </c>
      <c r="D19" s="121"/>
      <c r="E19" s="121"/>
      <c r="F19" s="27" t="s">
        <v>70</v>
      </c>
      <c r="G19" s="58"/>
      <c r="H19" s="58"/>
      <c r="I19" s="28"/>
      <c r="J19" s="28"/>
      <c r="K19" s="29"/>
      <c r="BC19" s="14"/>
      <c r="BD19" s="15"/>
      <c r="BE19" s="21"/>
      <c r="BF19" s="12" t="s">
        <v>1401</v>
      </c>
    </row>
    <row r="20" spans="1:59" s="3" customFormat="1" ht="21.6" x14ac:dyDescent="0.3">
      <c r="A20" s="25"/>
      <c r="B20" s="26" t="s">
        <v>1402</v>
      </c>
      <c r="C20" s="121" t="s">
        <v>1403</v>
      </c>
      <c r="D20" s="121"/>
      <c r="E20" s="121"/>
      <c r="F20" s="27" t="s">
        <v>115</v>
      </c>
      <c r="G20" s="58"/>
      <c r="H20" s="58"/>
      <c r="I20" s="28"/>
      <c r="J20" s="28"/>
      <c r="K20" s="29"/>
      <c r="BC20" s="14"/>
      <c r="BD20" s="15"/>
      <c r="BE20" s="21"/>
      <c r="BF20" s="12" t="s">
        <v>1403</v>
      </c>
    </row>
    <row r="21" spans="1:59" s="3" customFormat="1" ht="14.4" x14ac:dyDescent="0.3">
      <c r="A21" s="25"/>
      <c r="B21" s="26" t="s">
        <v>415</v>
      </c>
      <c r="C21" s="121" t="s">
        <v>416</v>
      </c>
      <c r="D21" s="121"/>
      <c r="E21" s="121"/>
      <c r="F21" s="27" t="s">
        <v>70</v>
      </c>
      <c r="G21" s="58"/>
      <c r="H21" s="58"/>
      <c r="I21" s="28"/>
      <c r="J21" s="28"/>
      <c r="K21" s="29"/>
      <c r="BC21" s="14"/>
      <c r="BD21" s="15"/>
      <c r="BE21" s="21"/>
      <c r="BF21" s="12" t="s">
        <v>416</v>
      </c>
    </row>
    <row r="22" spans="1:59" s="3" customFormat="1" ht="14.4" x14ac:dyDescent="0.3">
      <c r="A22" s="25"/>
      <c r="B22" s="26" t="s">
        <v>1406</v>
      </c>
      <c r="C22" s="121" t="s">
        <v>1407</v>
      </c>
      <c r="D22" s="121"/>
      <c r="E22" s="121"/>
      <c r="F22" s="27" t="s">
        <v>70</v>
      </c>
      <c r="G22" s="58"/>
      <c r="H22" s="58"/>
      <c r="I22" s="28"/>
      <c r="J22" s="28"/>
      <c r="K22" s="29"/>
      <c r="BC22" s="14"/>
      <c r="BD22" s="15"/>
      <c r="BE22" s="21"/>
      <c r="BF22" s="12" t="s">
        <v>1407</v>
      </c>
    </row>
    <row r="23" spans="1:59" s="3" customFormat="1" ht="14.4" x14ac:dyDescent="0.3">
      <c r="A23" s="25"/>
      <c r="B23" s="26" t="s">
        <v>370</v>
      </c>
      <c r="C23" s="121" t="s">
        <v>371</v>
      </c>
      <c r="D23" s="121"/>
      <c r="E23" s="121"/>
      <c r="F23" s="27" t="s">
        <v>75</v>
      </c>
      <c r="G23" s="58"/>
      <c r="H23" s="58"/>
      <c r="I23" s="28"/>
      <c r="J23" s="28"/>
      <c r="K23" s="29"/>
      <c r="BC23" s="14"/>
      <c r="BD23" s="15"/>
      <c r="BE23" s="21"/>
      <c r="BF23" s="12" t="s">
        <v>371</v>
      </c>
    </row>
    <row r="24" spans="1:59" s="3" customFormat="1" ht="14.4" x14ac:dyDescent="0.3">
      <c r="A24" s="25"/>
      <c r="B24" s="26" t="s">
        <v>353</v>
      </c>
      <c r="C24" s="121" t="s">
        <v>354</v>
      </c>
      <c r="D24" s="121"/>
      <c r="E24" s="121"/>
      <c r="F24" s="27" t="s">
        <v>75</v>
      </c>
      <c r="G24" s="58"/>
      <c r="H24" s="58"/>
      <c r="I24" s="28"/>
      <c r="J24" s="28"/>
      <c r="K24" s="29"/>
      <c r="BC24" s="14"/>
      <c r="BD24" s="15"/>
      <c r="BE24" s="21"/>
      <c r="BF24" s="12" t="s">
        <v>354</v>
      </c>
    </row>
    <row r="25" spans="1:59" s="3" customFormat="1" ht="30.6" x14ac:dyDescent="0.3">
      <c r="A25" s="25"/>
      <c r="B25" s="26" t="s">
        <v>607</v>
      </c>
      <c r="C25" s="121" t="s">
        <v>608</v>
      </c>
      <c r="D25" s="121"/>
      <c r="E25" s="121"/>
      <c r="F25" s="27" t="s">
        <v>609</v>
      </c>
      <c r="G25" s="58"/>
      <c r="H25" s="58"/>
      <c r="I25" s="28"/>
      <c r="J25" s="28"/>
      <c r="K25" s="29"/>
      <c r="BC25" s="14"/>
      <c r="BD25" s="15"/>
      <c r="BE25" s="21"/>
      <c r="BF25" s="12" t="s">
        <v>608</v>
      </c>
    </row>
    <row r="26" spans="1:59" s="3" customFormat="1" ht="51" x14ac:dyDescent="0.3">
      <c r="A26" s="16" t="s">
        <v>20</v>
      </c>
      <c r="B26" s="17" t="s">
        <v>1409</v>
      </c>
      <c r="C26" s="120" t="s">
        <v>1410</v>
      </c>
      <c r="D26" s="120"/>
      <c r="E26" s="120"/>
      <c r="F26" s="16" t="s">
        <v>25</v>
      </c>
      <c r="G26" s="57">
        <v>2</v>
      </c>
      <c r="H26" s="57">
        <f>I26/G26</f>
        <v>0</v>
      </c>
      <c r="I26" s="19">
        <v>0</v>
      </c>
      <c r="J26" s="20">
        <f>K26/G26</f>
        <v>798.89</v>
      </c>
      <c r="K26" s="19">
        <v>1597.78</v>
      </c>
      <c r="BC26" s="14"/>
      <c r="BD26" s="15"/>
      <c r="BE26" s="21" t="s">
        <v>1410</v>
      </c>
      <c r="BF26" s="12"/>
    </row>
    <row r="27" spans="1:59" s="3" customFormat="1" ht="14.4" x14ac:dyDescent="0.3">
      <c r="A27" s="437" t="s">
        <v>1411</v>
      </c>
      <c r="B27" s="418"/>
      <c r="C27" s="418"/>
      <c r="D27" s="418"/>
      <c r="E27" s="418"/>
      <c r="F27" s="418"/>
      <c r="G27" s="418"/>
      <c r="H27" s="123"/>
      <c r="I27" s="123"/>
      <c r="J27" s="123"/>
      <c r="K27" s="124"/>
      <c r="BC27" s="14"/>
      <c r="BD27" s="15" t="s">
        <v>1411</v>
      </c>
      <c r="BE27" s="21"/>
      <c r="BF27" s="12"/>
    </row>
    <row r="28" spans="1:59" s="3" customFormat="1" ht="31.8" x14ac:dyDescent="0.3">
      <c r="A28" s="16" t="s">
        <v>22</v>
      </c>
      <c r="B28" s="17" t="s">
        <v>1412</v>
      </c>
      <c r="C28" s="120" t="s">
        <v>1413</v>
      </c>
      <c r="D28" s="120"/>
      <c r="E28" s="120"/>
      <c r="F28" s="16" t="s">
        <v>25</v>
      </c>
      <c r="G28" s="57">
        <v>2</v>
      </c>
      <c r="H28" s="57">
        <f>I28/G28</f>
        <v>5328.4850000000006</v>
      </c>
      <c r="I28" s="19">
        <v>10656.970000000001</v>
      </c>
      <c r="J28" s="20">
        <f>K28/G28</f>
        <v>4256.41</v>
      </c>
      <c r="K28" s="19">
        <v>8512.82</v>
      </c>
      <c r="BC28" s="14"/>
      <c r="BD28" s="15"/>
      <c r="BE28" s="21" t="s">
        <v>1413</v>
      </c>
      <c r="BF28" s="12"/>
    </row>
    <row r="29" spans="1:59" s="3" customFormat="1" ht="21.6" x14ac:dyDescent="0.3">
      <c r="A29" s="37" t="s">
        <v>78</v>
      </c>
      <c r="B29" s="38" t="s">
        <v>1414</v>
      </c>
      <c r="C29" s="122" t="s">
        <v>1415</v>
      </c>
      <c r="D29" s="122"/>
      <c r="E29" s="122"/>
      <c r="F29" s="39" t="s">
        <v>75</v>
      </c>
      <c r="G29" s="100"/>
      <c r="H29" s="100"/>
      <c r="I29" s="41"/>
      <c r="J29" s="41"/>
      <c r="K29" s="42"/>
      <c r="BC29" s="14"/>
      <c r="BD29" s="15"/>
      <c r="BE29" s="21"/>
      <c r="BF29" s="12"/>
      <c r="BG29" s="43" t="s">
        <v>1415</v>
      </c>
    </row>
    <row r="30" spans="1:59" s="3" customFormat="1" ht="21.6" x14ac:dyDescent="0.3">
      <c r="A30" s="25"/>
      <c r="B30" s="26" t="s">
        <v>1416</v>
      </c>
      <c r="C30" s="121" t="s">
        <v>1417</v>
      </c>
      <c r="D30" s="121"/>
      <c r="E30" s="121"/>
      <c r="F30" s="27" t="s">
        <v>70</v>
      </c>
      <c r="G30" s="58"/>
      <c r="H30" s="58"/>
      <c r="I30" s="28"/>
      <c r="J30" s="28"/>
      <c r="K30" s="29"/>
      <c r="BC30" s="14"/>
      <c r="BD30" s="15"/>
      <c r="BE30" s="21"/>
      <c r="BF30" s="12" t="s">
        <v>1417</v>
      </c>
      <c r="BG30" s="43"/>
    </row>
    <row r="31" spans="1:59" s="3" customFormat="1" ht="21.6" x14ac:dyDescent="0.3">
      <c r="A31" s="25"/>
      <c r="B31" s="26" t="s">
        <v>1419</v>
      </c>
      <c r="C31" s="121" t="s">
        <v>1420</v>
      </c>
      <c r="D31" s="121"/>
      <c r="E31" s="121"/>
      <c r="F31" s="27" t="s">
        <v>1086</v>
      </c>
      <c r="G31" s="58"/>
      <c r="H31" s="58"/>
      <c r="I31" s="28"/>
      <c r="J31" s="28"/>
      <c r="K31" s="29"/>
      <c r="BC31" s="14"/>
      <c r="BD31" s="15"/>
      <c r="BE31" s="21"/>
      <c r="BF31" s="12" t="s">
        <v>1420</v>
      </c>
      <c r="BG31" s="43"/>
    </row>
    <row r="32" spans="1:59" s="3" customFormat="1" ht="20.399999999999999" x14ac:dyDescent="0.3">
      <c r="A32" s="37" t="s">
        <v>78</v>
      </c>
      <c r="B32" s="38" t="s">
        <v>1421</v>
      </c>
      <c r="C32" s="122" t="s">
        <v>1422</v>
      </c>
      <c r="D32" s="122"/>
      <c r="E32" s="122"/>
      <c r="F32" s="39" t="s">
        <v>115</v>
      </c>
      <c r="G32" s="100"/>
      <c r="H32" s="100"/>
      <c r="I32" s="41"/>
      <c r="J32" s="41"/>
      <c r="K32" s="42"/>
      <c r="BC32" s="14"/>
      <c r="BD32" s="15"/>
      <c r="BE32" s="21"/>
      <c r="BF32" s="12"/>
      <c r="BG32" s="43" t="s">
        <v>1422</v>
      </c>
    </row>
    <row r="33" spans="1:60" s="3" customFormat="1" ht="14.4" x14ac:dyDescent="0.3">
      <c r="A33" s="37" t="s">
        <v>78</v>
      </c>
      <c r="B33" s="38" t="s">
        <v>1423</v>
      </c>
      <c r="C33" s="122" t="s">
        <v>1424</v>
      </c>
      <c r="D33" s="122"/>
      <c r="E33" s="122"/>
      <c r="F33" s="39" t="s">
        <v>430</v>
      </c>
      <c r="G33" s="100"/>
      <c r="H33" s="100"/>
      <c r="I33" s="41"/>
      <c r="J33" s="41"/>
      <c r="K33" s="42"/>
      <c r="BC33" s="14"/>
      <c r="BD33" s="15"/>
      <c r="BE33" s="21"/>
      <c r="BF33" s="12"/>
      <c r="BG33" s="43" t="s">
        <v>1424</v>
      </c>
    </row>
    <row r="34" spans="1:60" s="3" customFormat="1" ht="51" x14ac:dyDescent="0.3">
      <c r="A34" s="25"/>
      <c r="B34" s="26" t="s">
        <v>1425</v>
      </c>
      <c r="C34" s="121" t="s">
        <v>1410</v>
      </c>
      <c r="D34" s="121"/>
      <c r="E34" s="121"/>
      <c r="F34" s="27" t="s">
        <v>25</v>
      </c>
      <c r="G34" s="58"/>
      <c r="H34" s="58"/>
      <c r="I34" s="28"/>
      <c r="J34" s="28"/>
      <c r="K34" s="29"/>
      <c r="BC34" s="14"/>
      <c r="BD34" s="15"/>
      <c r="BE34" s="21"/>
      <c r="BF34" s="12" t="s">
        <v>1410</v>
      </c>
      <c r="BG34" s="43"/>
    </row>
    <row r="35" spans="1:60" s="3" customFormat="1" ht="40.799999999999997" x14ac:dyDescent="0.3">
      <c r="A35" s="37" t="s">
        <v>78</v>
      </c>
      <c r="B35" s="38" t="s">
        <v>1427</v>
      </c>
      <c r="C35" s="122" t="s">
        <v>1428</v>
      </c>
      <c r="D35" s="122"/>
      <c r="E35" s="122"/>
      <c r="F35" s="39" t="s">
        <v>406</v>
      </c>
      <c r="G35" s="100"/>
      <c r="H35" s="100"/>
      <c r="I35" s="41"/>
      <c r="J35" s="41"/>
      <c r="K35" s="42"/>
      <c r="BC35" s="14"/>
      <c r="BD35" s="15"/>
      <c r="BE35" s="21"/>
      <c r="BF35" s="12"/>
      <c r="BG35" s="43" t="s">
        <v>1428</v>
      </c>
    </row>
    <row r="36" spans="1:60" s="3" customFormat="1" ht="20.399999999999999" x14ac:dyDescent="0.3">
      <c r="A36" s="37" t="s">
        <v>78</v>
      </c>
      <c r="B36" s="38" t="s">
        <v>1429</v>
      </c>
      <c r="C36" s="122" t="s">
        <v>1430</v>
      </c>
      <c r="D36" s="122"/>
      <c r="E36" s="122"/>
      <c r="F36" s="39" t="s">
        <v>1049</v>
      </c>
      <c r="G36" s="100"/>
      <c r="H36" s="100"/>
      <c r="I36" s="41"/>
      <c r="J36" s="41"/>
      <c r="K36" s="42"/>
      <c r="BC36" s="14"/>
      <c r="BD36" s="15"/>
      <c r="BE36" s="21"/>
      <c r="BF36" s="12"/>
      <c r="BG36" s="43" t="s">
        <v>1430</v>
      </c>
    </row>
    <row r="37" spans="1:60" s="3" customFormat="1" ht="20.399999999999999" x14ac:dyDescent="0.3">
      <c r="A37" s="37" t="s">
        <v>78</v>
      </c>
      <c r="B37" s="38" t="s">
        <v>1431</v>
      </c>
      <c r="C37" s="122" t="s">
        <v>1432</v>
      </c>
      <c r="D37" s="122"/>
      <c r="E37" s="122"/>
      <c r="F37" s="39" t="s">
        <v>115</v>
      </c>
      <c r="G37" s="100"/>
      <c r="H37" s="100"/>
      <c r="I37" s="41"/>
      <c r="J37" s="41"/>
      <c r="K37" s="42"/>
      <c r="BC37" s="14"/>
      <c r="BD37" s="15"/>
      <c r="BE37" s="21"/>
      <c r="BF37" s="12"/>
      <c r="BG37" s="43" t="s">
        <v>1432</v>
      </c>
    </row>
    <row r="38" spans="1:60" s="3" customFormat="1" ht="30.6" x14ac:dyDescent="0.3">
      <c r="A38" s="25" t="s">
        <v>129</v>
      </c>
      <c r="B38" s="26" t="s">
        <v>1433</v>
      </c>
      <c r="C38" s="121" t="s">
        <v>1434</v>
      </c>
      <c r="D38" s="121"/>
      <c r="E38" s="121"/>
      <c r="F38" s="27" t="s">
        <v>115</v>
      </c>
      <c r="G38" s="58"/>
      <c r="H38" s="58"/>
      <c r="I38" s="28"/>
      <c r="J38" s="28"/>
      <c r="K38" s="29"/>
      <c r="BC38" s="14"/>
      <c r="BD38" s="15"/>
      <c r="BE38" s="21"/>
      <c r="BF38" s="12"/>
      <c r="BG38" s="43"/>
      <c r="BH38" s="12" t="s">
        <v>1434</v>
      </c>
    </row>
    <row r="39" spans="1:60" s="3" customFormat="1" ht="30.6" x14ac:dyDescent="0.3">
      <c r="A39" s="25" t="s">
        <v>129</v>
      </c>
      <c r="B39" s="26" t="s">
        <v>1435</v>
      </c>
      <c r="C39" s="121" t="s">
        <v>1436</v>
      </c>
      <c r="D39" s="121"/>
      <c r="E39" s="121"/>
      <c r="F39" s="27" t="s">
        <v>115</v>
      </c>
      <c r="G39" s="58"/>
      <c r="H39" s="58"/>
      <c r="I39" s="28"/>
      <c r="J39" s="28"/>
      <c r="K39" s="29"/>
      <c r="BC39" s="14"/>
      <c r="BD39" s="15"/>
      <c r="BE39" s="21"/>
      <c r="BF39" s="12"/>
      <c r="BG39" s="43"/>
      <c r="BH39" s="12" t="s">
        <v>1436</v>
      </c>
    </row>
    <row r="40" spans="1:60" s="3" customFormat="1" ht="21.6" x14ac:dyDescent="0.3">
      <c r="A40" s="25" t="s">
        <v>129</v>
      </c>
      <c r="B40" s="26" t="s">
        <v>1437</v>
      </c>
      <c r="C40" s="121" t="s">
        <v>1438</v>
      </c>
      <c r="D40" s="121"/>
      <c r="E40" s="121"/>
      <c r="F40" s="27" t="s">
        <v>406</v>
      </c>
      <c r="G40" s="58"/>
      <c r="H40" s="58"/>
      <c r="I40" s="28"/>
      <c r="J40" s="28"/>
      <c r="K40" s="29"/>
      <c r="BC40" s="14"/>
      <c r="BD40" s="15"/>
      <c r="BE40" s="21"/>
      <c r="BF40" s="12"/>
      <c r="BG40" s="43"/>
      <c r="BH40" s="12" t="s">
        <v>1438</v>
      </c>
    </row>
    <row r="41" spans="1:60" s="3" customFormat="1" ht="21.6" x14ac:dyDescent="0.3">
      <c r="A41" s="25" t="s">
        <v>129</v>
      </c>
      <c r="B41" s="26" t="s">
        <v>1439</v>
      </c>
      <c r="C41" s="121" t="s">
        <v>1440</v>
      </c>
      <c r="D41" s="121"/>
      <c r="E41" s="121"/>
      <c r="F41" s="27" t="s">
        <v>406</v>
      </c>
      <c r="G41" s="58"/>
      <c r="H41" s="58"/>
      <c r="I41" s="28"/>
      <c r="J41" s="28"/>
      <c r="K41" s="29"/>
      <c r="BC41" s="14"/>
      <c r="BD41" s="15"/>
      <c r="BE41" s="21"/>
      <c r="BF41" s="12"/>
      <c r="BG41" s="43"/>
      <c r="BH41" s="12" t="s">
        <v>1440</v>
      </c>
    </row>
    <row r="42" spans="1:60" s="3" customFormat="1" ht="21.6" x14ac:dyDescent="0.3">
      <c r="A42" s="16" t="s">
        <v>1441</v>
      </c>
      <c r="B42" s="17" t="s">
        <v>1442</v>
      </c>
      <c r="C42" s="120" t="s">
        <v>1443</v>
      </c>
      <c r="D42" s="120"/>
      <c r="E42" s="120"/>
      <c r="F42" s="16" t="s">
        <v>1182</v>
      </c>
      <c r="G42" s="57">
        <v>2</v>
      </c>
      <c r="H42" s="57"/>
      <c r="I42" s="19"/>
      <c r="J42" s="20">
        <f>K42/G42</f>
        <v>33746.845000000001</v>
      </c>
      <c r="K42" s="19">
        <v>67493.69</v>
      </c>
      <c r="BC42" s="14"/>
      <c r="BD42" s="15"/>
      <c r="BE42" s="21" t="s">
        <v>1443</v>
      </c>
      <c r="BF42" s="12"/>
      <c r="BG42" s="43"/>
      <c r="BH42" s="12"/>
    </row>
    <row r="43" spans="1:60" s="3" customFormat="1" ht="51" x14ac:dyDescent="0.3">
      <c r="A43" s="16" t="s">
        <v>35</v>
      </c>
      <c r="B43" s="17" t="s">
        <v>1444</v>
      </c>
      <c r="C43" s="120" t="s">
        <v>1445</v>
      </c>
      <c r="D43" s="120"/>
      <c r="E43" s="120"/>
      <c r="F43" s="16" t="s">
        <v>115</v>
      </c>
      <c r="G43" s="57">
        <v>10</v>
      </c>
      <c r="H43" s="57"/>
      <c r="I43" s="19">
        <v>0</v>
      </c>
      <c r="J43" s="20"/>
      <c r="K43" s="19"/>
      <c r="BC43" s="14"/>
      <c r="BD43" s="15"/>
      <c r="BE43" s="21" t="s">
        <v>1445</v>
      </c>
      <c r="BF43" s="12"/>
      <c r="BG43" s="43"/>
      <c r="BH43" s="12"/>
    </row>
    <row r="44" spans="1:60" s="3" customFormat="1" ht="14.4" x14ac:dyDescent="0.3">
      <c r="A44" s="437" t="s">
        <v>1446</v>
      </c>
      <c r="B44" s="418"/>
      <c r="C44" s="418"/>
      <c r="D44" s="418"/>
      <c r="E44" s="418"/>
      <c r="F44" s="418"/>
      <c r="G44" s="418"/>
      <c r="H44" s="123"/>
      <c r="I44" s="123"/>
      <c r="J44" s="123"/>
      <c r="K44" s="124"/>
      <c r="BC44" s="14"/>
      <c r="BD44" s="15" t="s">
        <v>1446</v>
      </c>
      <c r="BE44" s="21"/>
      <c r="BF44" s="12"/>
      <c r="BG44" s="43"/>
      <c r="BH44" s="12"/>
    </row>
    <row r="45" spans="1:60" s="3" customFormat="1" ht="40.799999999999997" x14ac:dyDescent="0.3">
      <c r="A45" s="16" t="s">
        <v>40</v>
      </c>
      <c r="B45" s="17" t="s">
        <v>1447</v>
      </c>
      <c r="C45" s="120" t="s">
        <v>1448</v>
      </c>
      <c r="D45" s="120"/>
      <c r="E45" s="120"/>
      <c r="F45" s="16" t="s">
        <v>1261</v>
      </c>
      <c r="G45" s="57">
        <v>0.2</v>
      </c>
      <c r="H45" s="57">
        <f>I45/G45</f>
        <v>152065.60000000001</v>
      </c>
      <c r="I45" s="19">
        <v>30413.120000000003</v>
      </c>
      <c r="J45" s="20">
        <f>K45/G45</f>
        <v>0</v>
      </c>
      <c r="K45" s="19"/>
      <c r="BC45" s="14"/>
      <c r="BD45" s="15"/>
      <c r="BE45" s="21" t="s">
        <v>1448</v>
      </c>
      <c r="BF45" s="12"/>
      <c r="BG45" s="43"/>
      <c r="BH45" s="12"/>
    </row>
    <row r="46" spans="1:60" s="3" customFormat="1" ht="20.399999999999999" x14ac:dyDescent="0.3">
      <c r="A46" s="25"/>
      <c r="B46" s="26" t="s">
        <v>1449</v>
      </c>
      <c r="C46" s="121" t="s">
        <v>1450</v>
      </c>
      <c r="D46" s="121"/>
      <c r="E46" s="121"/>
      <c r="F46" s="27" t="s">
        <v>70</v>
      </c>
      <c r="G46" s="58"/>
      <c r="H46" s="58"/>
      <c r="I46" s="28"/>
      <c r="J46" s="28"/>
      <c r="K46" s="29"/>
      <c r="BC46" s="14"/>
      <c r="BD46" s="15"/>
      <c r="BE46" s="21"/>
      <c r="BF46" s="12" t="s">
        <v>1450</v>
      </c>
      <c r="BG46" s="43"/>
      <c r="BH46" s="12"/>
    </row>
    <row r="47" spans="1:60" s="3" customFormat="1" ht="30.6" x14ac:dyDescent="0.3">
      <c r="A47" s="25"/>
      <c r="B47" s="26" t="s">
        <v>1451</v>
      </c>
      <c r="C47" s="121" t="s">
        <v>1452</v>
      </c>
      <c r="D47" s="121"/>
      <c r="E47" s="121"/>
      <c r="F47" s="27" t="s">
        <v>70</v>
      </c>
      <c r="G47" s="58"/>
      <c r="H47" s="58"/>
      <c r="I47" s="28"/>
      <c r="J47" s="28"/>
      <c r="K47" s="29"/>
      <c r="BC47" s="14"/>
      <c r="BD47" s="15"/>
      <c r="BE47" s="21"/>
      <c r="BF47" s="12" t="s">
        <v>1452</v>
      </c>
      <c r="BG47" s="43"/>
      <c r="BH47" s="12"/>
    </row>
    <row r="48" spans="1:60" s="3" customFormat="1" ht="20.399999999999999" x14ac:dyDescent="0.3">
      <c r="A48" s="25"/>
      <c r="B48" s="26" t="s">
        <v>1453</v>
      </c>
      <c r="C48" s="121" t="s">
        <v>1454</v>
      </c>
      <c r="D48" s="121"/>
      <c r="E48" s="121"/>
      <c r="F48" s="27" t="s">
        <v>75</v>
      </c>
      <c r="G48" s="58"/>
      <c r="H48" s="58"/>
      <c r="I48" s="28"/>
      <c r="J48" s="28"/>
      <c r="K48" s="29"/>
      <c r="BC48" s="14"/>
      <c r="BD48" s="15"/>
      <c r="BE48" s="21"/>
      <c r="BF48" s="12" t="s">
        <v>1454</v>
      </c>
      <c r="BG48" s="43"/>
      <c r="BH48" s="12"/>
    </row>
    <row r="49" spans="1:60" s="3" customFormat="1" ht="14.4" x14ac:dyDescent="0.3">
      <c r="A49" s="37" t="s">
        <v>143</v>
      </c>
      <c r="B49" s="38" t="s">
        <v>1455</v>
      </c>
      <c r="C49" s="122" t="s">
        <v>1456</v>
      </c>
      <c r="D49" s="122"/>
      <c r="E49" s="122"/>
      <c r="F49" s="39" t="s">
        <v>38</v>
      </c>
      <c r="G49" s="100"/>
      <c r="H49" s="100"/>
      <c r="I49" s="41"/>
      <c r="J49" s="41"/>
      <c r="K49" s="42"/>
      <c r="BC49" s="14"/>
      <c r="BD49" s="15"/>
      <c r="BE49" s="21"/>
      <c r="BF49" s="12"/>
      <c r="BG49" s="43" t="s">
        <v>1456</v>
      </c>
      <c r="BH49" s="12"/>
    </row>
    <row r="50" spans="1:60" s="3" customFormat="1" ht="20.399999999999999" x14ac:dyDescent="0.3">
      <c r="A50" s="16" t="s">
        <v>1457</v>
      </c>
      <c r="B50" s="17" t="s">
        <v>1458</v>
      </c>
      <c r="C50" s="120" t="s">
        <v>1459</v>
      </c>
      <c r="D50" s="120"/>
      <c r="E50" s="120"/>
      <c r="F50" s="16" t="s">
        <v>1460</v>
      </c>
      <c r="G50" s="57">
        <v>2</v>
      </c>
      <c r="H50" s="57"/>
      <c r="I50" s="19"/>
      <c r="J50" s="20">
        <f>K50/G50</f>
        <v>3435.0650000000001</v>
      </c>
      <c r="K50" s="19">
        <v>6870.13</v>
      </c>
      <c r="BC50" s="14"/>
      <c r="BD50" s="15"/>
      <c r="BE50" s="21" t="s">
        <v>1459</v>
      </c>
      <c r="BF50" s="12"/>
      <c r="BG50" s="43"/>
      <c r="BH50" s="12"/>
    </row>
    <row r="51" spans="1:60" s="3" customFormat="1" ht="14.4" x14ac:dyDescent="0.3">
      <c r="A51" s="437" t="s">
        <v>1461</v>
      </c>
      <c r="B51" s="418"/>
      <c r="C51" s="418"/>
      <c r="D51" s="418"/>
      <c r="E51" s="418"/>
      <c r="F51" s="418"/>
      <c r="G51" s="418"/>
      <c r="H51" s="123"/>
      <c r="I51" s="123"/>
      <c r="J51" s="123"/>
      <c r="K51" s="124"/>
      <c r="BC51" s="14"/>
      <c r="BD51" s="15" t="s">
        <v>1461</v>
      </c>
      <c r="BE51" s="21"/>
      <c r="BF51" s="12"/>
      <c r="BG51" s="43"/>
      <c r="BH51" s="12"/>
    </row>
    <row r="52" spans="1:60" s="3" customFormat="1" ht="14.4" x14ac:dyDescent="0.3">
      <c r="A52" s="16" t="s">
        <v>52</v>
      </c>
      <c r="B52" s="17" t="s">
        <v>1462</v>
      </c>
      <c r="C52" s="405" t="s">
        <v>1463</v>
      </c>
      <c r="D52" s="405"/>
      <c r="E52" s="405"/>
      <c r="F52" s="16" t="s">
        <v>38</v>
      </c>
      <c r="G52" s="57">
        <v>1</v>
      </c>
      <c r="H52" s="57">
        <f>I52/G52</f>
        <v>5639.81</v>
      </c>
      <c r="I52" s="19">
        <v>5639.81</v>
      </c>
      <c r="J52" s="20">
        <f>K52/G52</f>
        <v>8297.0499999999993</v>
      </c>
      <c r="K52" s="19">
        <v>8297.0499999999993</v>
      </c>
      <c r="BC52" s="14"/>
      <c r="BD52" s="15"/>
      <c r="BE52" s="21" t="s">
        <v>1463</v>
      </c>
      <c r="BF52" s="12"/>
      <c r="BG52" s="43"/>
      <c r="BH52" s="12"/>
    </row>
    <row r="53" spans="1:60" s="3" customFormat="1" ht="14.4" x14ac:dyDescent="0.3">
      <c r="A53" s="25"/>
      <c r="B53" s="26" t="s">
        <v>277</v>
      </c>
      <c r="C53" s="419" t="s">
        <v>278</v>
      </c>
      <c r="D53" s="419"/>
      <c r="E53" s="419"/>
      <c r="F53" s="27" t="s">
        <v>70</v>
      </c>
      <c r="G53" s="58"/>
      <c r="H53" s="58"/>
      <c r="I53" s="28"/>
      <c r="J53" s="28"/>
      <c r="K53" s="29"/>
      <c r="BC53" s="14"/>
      <c r="BD53" s="15"/>
      <c r="BE53" s="21"/>
      <c r="BF53" s="12" t="s">
        <v>278</v>
      </c>
      <c r="BG53" s="43"/>
      <c r="BH53" s="12"/>
    </row>
    <row r="54" spans="1:60" s="3" customFormat="1" ht="21.6" x14ac:dyDescent="0.3">
      <c r="A54" s="25"/>
      <c r="B54" s="26" t="s">
        <v>1464</v>
      </c>
      <c r="C54" s="419" t="s">
        <v>1465</v>
      </c>
      <c r="D54" s="419"/>
      <c r="E54" s="419"/>
      <c r="F54" s="27" t="s">
        <v>75</v>
      </c>
      <c r="G54" s="58"/>
      <c r="H54" s="58"/>
      <c r="I54" s="28"/>
      <c r="J54" s="28"/>
      <c r="K54" s="29"/>
      <c r="BC54" s="14"/>
      <c r="BD54" s="15"/>
      <c r="BE54" s="21"/>
      <c r="BF54" s="12" t="s">
        <v>1465</v>
      </c>
      <c r="BG54" s="43"/>
      <c r="BH54" s="12"/>
    </row>
    <row r="55" spans="1:60" s="3" customFormat="1" ht="14.4" x14ac:dyDescent="0.3">
      <c r="A55" s="25"/>
      <c r="B55" s="26" t="s">
        <v>1466</v>
      </c>
      <c r="C55" s="419" t="s">
        <v>1467</v>
      </c>
      <c r="D55" s="419"/>
      <c r="E55" s="419"/>
      <c r="F55" s="27" t="s">
        <v>75</v>
      </c>
      <c r="G55" s="58"/>
      <c r="H55" s="58"/>
      <c r="I55" s="28"/>
      <c r="J55" s="28"/>
      <c r="K55" s="29"/>
      <c r="BC55" s="14"/>
      <c r="BD55" s="15"/>
      <c r="BE55" s="21"/>
      <c r="BF55" s="12" t="s">
        <v>1467</v>
      </c>
      <c r="BG55" s="43"/>
      <c r="BH55" s="12"/>
    </row>
    <row r="56" spans="1:60" s="3" customFormat="1" ht="31.8" x14ac:dyDescent="0.3">
      <c r="A56" s="25"/>
      <c r="B56" s="26" t="s">
        <v>1468</v>
      </c>
      <c r="C56" s="419" t="s">
        <v>1469</v>
      </c>
      <c r="D56" s="419"/>
      <c r="E56" s="419"/>
      <c r="F56" s="27" t="s">
        <v>70</v>
      </c>
      <c r="G56" s="58"/>
      <c r="H56" s="58"/>
      <c r="I56" s="28"/>
      <c r="J56" s="28"/>
      <c r="K56" s="29"/>
      <c r="BC56" s="14"/>
      <c r="BD56" s="15"/>
      <c r="BE56" s="21"/>
      <c r="BF56" s="12" t="s">
        <v>1469</v>
      </c>
      <c r="BG56" s="43"/>
      <c r="BH56" s="12"/>
    </row>
    <row r="57" spans="1:60" s="3" customFormat="1" ht="14.4" x14ac:dyDescent="0.3">
      <c r="A57" s="25"/>
      <c r="B57" s="26" t="s">
        <v>415</v>
      </c>
      <c r="C57" s="419" t="s">
        <v>416</v>
      </c>
      <c r="D57" s="419"/>
      <c r="E57" s="419"/>
      <c r="F57" s="27" t="s">
        <v>70</v>
      </c>
      <c r="G57" s="58"/>
      <c r="H57" s="58"/>
      <c r="I57" s="28"/>
      <c r="J57" s="28"/>
      <c r="K57" s="29"/>
      <c r="BC57" s="14"/>
      <c r="BD57" s="15"/>
      <c r="BE57" s="21"/>
      <c r="BF57" s="12" t="s">
        <v>416</v>
      </c>
      <c r="BG57" s="43"/>
      <c r="BH57" s="12"/>
    </row>
    <row r="58" spans="1:60" s="3" customFormat="1" ht="14.4" x14ac:dyDescent="0.3">
      <c r="A58" s="25"/>
      <c r="B58" s="26" t="s">
        <v>1406</v>
      </c>
      <c r="C58" s="419" t="s">
        <v>1407</v>
      </c>
      <c r="D58" s="419"/>
      <c r="E58" s="419"/>
      <c r="F58" s="27" t="s">
        <v>70</v>
      </c>
      <c r="G58" s="58"/>
      <c r="H58" s="58"/>
      <c r="I58" s="28"/>
      <c r="J58" s="28"/>
      <c r="K58" s="29"/>
      <c r="BC58" s="14"/>
      <c r="BD58" s="15"/>
      <c r="BE58" s="21"/>
      <c r="BF58" s="12" t="s">
        <v>1407</v>
      </c>
      <c r="BG58" s="43"/>
      <c r="BH58" s="12"/>
    </row>
    <row r="59" spans="1:60" s="3" customFormat="1" ht="14.4" x14ac:dyDescent="0.3">
      <c r="A59" s="25"/>
      <c r="B59" s="26" t="s">
        <v>370</v>
      </c>
      <c r="C59" s="419" t="s">
        <v>371</v>
      </c>
      <c r="D59" s="419"/>
      <c r="E59" s="419"/>
      <c r="F59" s="27" t="s">
        <v>75</v>
      </c>
      <c r="G59" s="58"/>
      <c r="H59" s="58"/>
      <c r="I59" s="28"/>
      <c r="J59" s="28"/>
      <c r="K59" s="29"/>
      <c r="BC59" s="14"/>
      <c r="BD59" s="15"/>
      <c r="BE59" s="21"/>
      <c r="BF59" s="12" t="s">
        <v>371</v>
      </c>
      <c r="BG59" s="43"/>
      <c r="BH59" s="12"/>
    </row>
    <row r="60" spans="1:60" s="3" customFormat="1" ht="14.4" x14ac:dyDescent="0.3">
      <c r="A60" s="25"/>
      <c r="B60" s="26" t="s">
        <v>353</v>
      </c>
      <c r="C60" s="419" t="s">
        <v>354</v>
      </c>
      <c r="D60" s="419"/>
      <c r="E60" s="419"/>
      <c r="F60" s="27" t="s">
        <v>75</v>
      </c>
      <c r="G60" s="58"/>
      <c r="H60" s="58"/>
      <c r="I60" s="28"/>
      <c r="J60" s="28"/>
      <c r="K60" s="29"/>
      <c r="BC60" s="14"/>
      <c r="BD60" s="15"/>
      <c r="BE60" s="21"/>
      <c r="BF60" s="12" t="s">
        <v>354</v>
      </c>
      <c r="BG60" s="43"/>
      <c r="BH60" s="12"/>
    </row>
    <row r="61" spans="1:60" s="3" customFormat="1" ht="14.4" x14ac:dyDescent="0.3">
      <c r="A61" s="25"/>
      <c r="B61" s="26" t="s">
        <v>1474</v>
      </c>
      <c r="C61" s="419" t="s">
        <v>1475</v>
      </c>
      <c r="D61" s="419"/>
      <c r="E61" s="419"/>
      <c r="F61" s="27" t="s">
        <v>38</v>
      </c>
      <c r="G61" s="58"/>
      <c r="H61" s="58"/>
      <c r="I61" s="28"/>
      <c r="J61" s="28"/>
      <c r="K61" s="29"/>
      <c r="BC61" s="14"/>
      <c r="BD61" s="15"/>
      <c r="BE61" s="21"/>
      <c r="BF61" s="12" t="s">
        <v>1475</v>
      </c>
      <c r="BG61" s="43"/>
      <c r="BH61" s="12"/>
    </row>
    <row r="62" spans="1:60" s="3" customFormat="1" ht="21.6" x14ac:dyDescent="0.3">
      <c r="A62" s="25"/>
      <c r="B62" s="26" t="s">
        <v>607</v>
      </c>
      <c r="C62" s="419" t="s">
        <v>608</v>
      </c>
      <c r="D62" s="419"/>
      <c r="E62" s="419"/>
      <c r="F62" s="27" t="s">
        <v>609</v>
      </c>
      <c r="G62" s="58"/>
      <c r="H62" s="58"/>
      <c r="I62" s="28"/>
      <c r="J62" s="28"/>
      <c r="K62" s="29"/>
      <c r="BC62" s="14"/>
      <c r="BD62" s="15"/>
      <c r="BE62" s="21"/>
      <c r="BF62" s="12" t="s">
        <v>608</v>
      </c>
      <c r="BG62" s="43"/>
      <c r="BH62" s="12"/>
    </row>
    <row r="63" spans="1:60" s="3" customFormat="1" ht="21.6" x14ac:dyDescent="0.3">
      <c r="A63" s="16" t="s">
        <v>1476</v>
      </c>
      <c r="B63" s="17" t="s">
        <v>1477</v>
      </c>
      <c r="C63" s="405" t="s">
        <v>1478</v>
      </c>
      <c r="D63" s="405"/>
      <c r="E63" s="405"/>
      <c r="F63" s="16" t="s">
        <v>1460</v>
      </c>
      <c r="G63" s="57">
        <v>1</v>
      </c>
      <c r="H63" s="57"/>
      <c r="I63" s="19"/>
      <c r="J63" s="20">
        <f>K63/G63</f>
        <v>10034.540000000001</v>
      </c>
      <c r="K63" s="19">
        <v>10034.540000000001</v>
      </c>
      <c r="BC63" s="14"/>
      <c r="BD63" s="15"/>
      <c r="BE63" s="21" t="s">
        <v>1478</v>
      </c>
      <c r="BF63" s="12"/>
      <c r="BG63" s="43"/>
      <c r="BH63" s="12"/>
    </row>
    <row r="64" spans="1:60" s="3" customFormat="1" ht="14.4" x14ac:dyDescent="0.3">
      <c r="A64" s="435" t="s">
        <v>1479</v>
      </c>
      <c r="B64" s="436"/>
      <c r="C64" s="436"/>
      <c r="D64" s="436"/>
      <c r="E64" s="436"/>
      <c r="F64" s="436"/>
      <c r="G64" s="436"/>
      <c r="H64" s="103"/>
      <c r="I64" s="103"/>
      <c r="J64" s="103"/>
      <c r="K64" s="104"/>
      <c r="BC64" s="14" t="s">
        <v>1479</v>
      </c>
      <c r="BD64" s="15"/>
      <c r="BE64" s="21"/>
      <c r="BF64" s="12"/>
      <c r="BG64" s="43"/>
      <c r="BH64" s="12"/>
    </row>
    <row r="65" spans="1:60" s="3" customFormat="1" ht="14.4" x14ac:dyDescent="0.3">
      <c r="A65" s="437" t="s">
        <v>1480</v>
      </c>
      <c r="B65" s="418"/>
      <c r="C65" s="418"/>
      <c r="D65" s="418"/>
      <c r="E65" s="418"/>
      <c r="F65" s="418"/>
      <c r="G65" s="418"/>
      <c r="H65" s="123"/>
      <c r="I65" s="123"/>
      <c r="J65" s="123"/>
      <c r="K65" s="124"/>
      <c r="BC65" s="14"/>
      <c r="BD65" s="15" t="s">
        <v>1480</v>
      </c>
      <c r="BE65" s="21"/>
      <c r="BF65" s="12"/>
      <c r="BG65" s="43"/>
      <c r="BH65" s="12"/>
    </row>
    <row r="66" spans="1:60" s="3" customFormat="1" ht="40.799999999999997" x14ac:dyDescent="0.3">
      <c r="A66" s="16" t="s">
        <v>56</v>
      </c>
      <c r="B66" s="17" t="s">
        <v>1481</v>
      </c>
      <c r="C66" s="120" t="s">
        <v>1482</v>
      </c>
      <c r="D66" s="120"/>
      <c r="E66" s="120"/>
      <c r="F66" s="16" t="s">
        <v>38</v>
      </c>
      <c r="G66" s="57">
        <v>2</v>
      </c>
      <c r="H66" s="57">
        <f>I66/G66</f>
        <v>1220.165</v>
      </c>
      <c r="I66" s="19">
        <v>2440.33</v>
      </c>
      <c r="J66" s="20">
        <f>K66/G66</f>
        <v>0</v>
      </c>
      <c r="K66" s="19"/>
      <c r="BC66" s="14"/>
      <c r="BD66" s="15"/>
      <c r="BE66" s="21" t="s">
        <v>1482</v>
      </c>
      <c r="BF66" s="12"/>
      <c r="BG66" s="43"/>
      <c r="BH66" s="12"/>
    </row>
    <row r="67" spans="1:60" s="3" customFormat="1" ht="20.399999999999999" x14ac:dyDescent="0.3">
      <c r="A67" s="25"/>
      <c r="B67" s="26" t="s">
        <v>391</v>
      </c>
      <c r="C67" s="121" t="s">
        <v>392</v>
      </c>
      <c r="D67" s="121"/>
      <c r="E67" s="121"/>
      <c r="F67" s="27" t="s">
        <v>75</v>
      </c>
      <c r="G67" s="58"/>
      <c r="H67" s="58"/>
      <c r="I67" s="28"/>
      <c r="J67" s="28"/>
      <c r="K67" s="29"/>
      <c r="BC67" s="14"/>
      <c r="BD67" s="15"/>
      <c r="BE67" s="21"/>
      <c r="BF67" s="12" t="s">
        <v>392</v>
      </c>
      <c r="BG67" s="43"/>
      <c r="BH67" s="12"/>
    </row>
    <row r="68" spans="1:60" s="3" customFormat="1" ht="21.6" x14ac:dyDescent="0.3">
      <c r="A68" s="25"/>
      <c r="B68" s="26" t="s">
        <v>1484</v>
      </c>
      <c r="C68" s="121" t="s">
        <v>1485</v>
      </c>
      <c r="D68" s="121"/>
      <c r="E68" s="121"/>
      <c r="F68" s="27" t="s">
        <v>75</v>
      </c>
      <c r="G68" s="58"/>
      <c r="H68" s="58"/>
      <c r="I68" s="28"/>
      <c r="J68" s="28"/>
      <c r="K68" s="29"/>
      <c r="BC68" s="14"/>
      <c r="BD68" s="15"/>
      <c r="BE68" s="21"/>
      <c r="BF68" s="12" t="s">
        <v>1485</v>
      </c>
      <c r="BG68" s="43"/>
      <c r="BH68" s="12"/>
    </row>
    <row r="69" spans="1:60" s="3" customFormat="1" ht="20.399999999999999" x14ac:dyDescent="0.3">
      <c r="A69" s="37" t="s">
        <v>143</v>
      </c>
      <c r="B69" s="38" t="s">
        <v>1486</v>
      </c>
      <c r="C69" s="122" t="s">
        <v>1487</v>
      </c>
      <c r="D69" s="122"/>
      <c r="E69" s="122"/>
      <c r="F69" s="39" t="s">
        <v>38</v>
      </c>
      <c r="G69" s="100"/>
      <c r="H69" s="100"/>
      <c r="I69" s="41"/>
      <c r="J69" s="41"/>
      <c r="K69" s="42"/>
      <c r="BC69" s="14"/>
      <c r="BD69" s="15"/>
      <c r="BE69" s="21"/>
      <c r="BF69" s="12"/>
      <c r="BG69" s="43" t="s">
        <v>1487</v>
      </c>
      <c r="BH69" s="12"/>
    </row>
    <row r="70" spans="1:60" s="3" customFormat="1" ht="30.6" x14ac:dyDescent="0.3">
      <c r="A70" s="16" t="s">
        <v>166</v>
      </c>
      <c r="B70" s="17" t="s">
        <v>1488</v>
      </c>
      <c r="C70" s="120" t="s">
        <v>1489</v>
      </c>
      <c r="D70" s="120"/>
      <c r="E70" s="120"/>
      <c r="F70" s="16" t="s">
        <v>1460</v>
      </c>
      <c r="G70" s="57">
        <v>2</v>
      </c>
      <c r="H70" s="57"/>
      <c r="I70" s="19">
        <v>0</v>
      </c>
      <c r="J70" s="20"/>
      <c r="K70" s="19">
        <v>5629.66</v>
      </c>
      <c r="BC70" s="14"/>
      <c r="BD70" s="15"/>
      <c r="BE70" s="21" t="s">
        <v>1489</v>
      </c>
      <c r="BF70" s="12"/>
      <c r="BG70" s="43"/>
      <c r="BH70" s="12"/>
    </row>
    <row r="71" spans="1:60" s="3" customFormat="1" ht="14.4" x14ac:dyDescent="0.3">
      <c r="A71" s="437" t="s">
        <v>1490</v>
      </c>
      <c r="B71" s="418"/>
      <c r="C71" s="418"/>
      <c r="D71" s="418"/>
      <c r="E71" s="418"/>
      <c r="F71" s="418"/>
      <c r="G71" s="418"/>
      <c r="H71" s="123"/>
      <c r="I71" s="123"/>
      <c r="J71" s="123"/>
      <c r="K71" s="124"/>
      <c r="BC71" s="14"/>
      <c r="BD71" s="15" t="s">
        <v>1490</v>
      </c>
      <c r="BE71" s="21"/>
      <c r="BF71" s="12"/>
      <c r="BG71" s="43"/>
      <c r="BH71" s="12"/>
    </row>
    <row r="72" spans="1:60" s="3" customFormat="1" ht="40.799999999999997" x14ac:dyDescent="0.3">
      <c r="A72" s="16" t="s">
        <v>169</v>
      </c>
      <c r="B72" s="17" t="s">
        <v>1481</v>
      </c>
      <c r="C72" s="120" t="s">
        <v>1482</v>
      </c>
      <c r="D72" s="120"/>
      <c r="E72" s="120"/>
      <c r="F72" s="16" t="s">
        <v>38</v>
      </c>
      <c r="G72" s="57">
        <v>2</v>
      </c>
      <c r="H72" s="57">
        <f>I72/G72</f>
        <v>1220.165</v>
      </c>
      <c r="I72" s="19">
        <v>2440.33</v>
      </c>
      <c r="J72" s="20">
        <f>K72/G72</f>
        <v>130.44999999999999</v>
      </c>
      <c r="K72" s="19">
        <v>260.89999999999998</v>
      </c>
      <c r="BC72" s="14"/>
      <c r="BD72" s="15"/>
      <c r="BE72" s="21" t="s">
        <v>1482</v>
      </c>
      <c r="BF72" s="12"/>
      <c r="BG72" s="43"/>
      <c r="BH72" s="12"/>
    </row>
    <row r="73" spans="1:60" s="3" customFormat="1" ht="20.399999999999999" x14ac:dyDescent="0.3">
      <c r="A73" s="25"/>
      <c r="B73" s="26" t="s">
        <v>391</v>
      </c>
      <c r="C73" s="121" t="s">
        <v>392</v>
      </c>
      <c r="D73" s="121"/>
      <c r="E73" s="121"/>
      <c r="F73" s="27" t="s">
        <v>75</v>
      </c>
      <c r="G73" s="58"/>
      <c r="H73" s="58"/>
      <c r="I73" s="28"/>
      <c r="J73" s="28"/>
      <c r="K73" s="29"/>
      <c r="BC73" s="14"/>
      <c r="BD73" s="15"/>
      <c r="BE73" s="21"/>
      <c r="BF73" s="12" t="s">
        <v>392</v>
      </c>
      <c r="BG73" s="43"/>
      <c r="BH73" s="12"/>
    </row>
    <row r="74" spans="1:60" s="3" customFormat="1" ht="21.6" x14ac:dyDescent="0.3">
      <c r="A74" s="25"/>
      <c r="B74" s="26" t="s">
        <v>1484</v>
      </c>
      <c r="C74" s="121" t="s">
        <v>1485</v>
      </c>
      <c r="D74" s="121"/>
      <c r="E74" s="121"/>
      <c r="F74" s="27" t="s">
        <v>75</v>
      </c>
      <c r="G74" s="58"/>
      <c r="H74" s="58"/>
      <c r="I74" s="28"/>
      <c r="J74" s="28"/>
      <c r="K74" s="29"/>
      <c r="BC74" s="14"/>
      <c r="BD74" s="15"/>
      <c r="BE74" s="21"/>
      <c r="BF74" s="12" t="s">
        <v>1485</v>
      </c>
      <c r="BG74" s="43"/>
      <c r="BH74" s="12"/>
    </row>
    <row r="75" spans="1:60" s="3" customFormat="1" ht="20.399999999999999" x14ac:dyDescent="0.3">
      <c r="A75" s="37" t="s">
        <v>143</v>
      </c>
      <c r="B75" s="38" t="s">
        <v>1486</v>
      </c>
      <c r="C75" s="122" t="s">
        <v>1487</v>
      </c>
      <c r="D75" s="122"/>
      <c r="E75" s="122"/>
      <c r="F75" s="39" t="s">
        <v>38</v>
      </c>
      <c r="G75" s="100"/>
      <c r="H75" s="100"/>
      <c r="I75" s="41"/>
      <c r="J75" s="41"/>
      <c r="K75" s="42"/>
      <c r="BC75" s="14"/>
      <c r="BD75" s="15"/>
      <c r="BE75" s="21"/>
      <c r="BF75" s="12"/>
      <c r="BG75" s="43" t="s">
        <v>1487</v>
      </c>
      <c r="BH75" s="12"/>
    </row>
    <row r="76" spans="1:60" s="3" customFormat="1" ht="30.6" x14ac:dyDescent="0.3">
      <c r="A76" s="16" t="s">
        <v>170</v>
      </c>
      <c r="B76" s="17" t="s">
        <v>1491</v>
      </c>
      <c r="C76" s="120" t="s">
        <v>1492</v>
      </c>
      <c r="D76" s="120"/>
      <c r="E76" s="120"/>
      <c r="F76" s="16" t="s">
        <v>1460</v>
      </c>
      <c r="G76" s="57">
        <v>2</v>
      </c>
      <c r="H76" s="57"/>
      <c r="I76" s="19">
        <v>0</v>
      </c>
      <c r="J76" s="20"/>
      <c r="K76" s="19">
        <v>7594.19</v>
      </c>
      <c r="BC76" s="14"/>
      <c r="BD76" s="15"/>
      <c r="BE76" s="21" t="s">
        <v>1492</v>
      </c>
      <c r="BF76" s="12"/>
      <c r="BG76" s="43"/>
      <c r="BH76" s="12"/>
    </row>
    <row r="77" spans="1:60" s="3" customFormat="1" ht="14.4" x14ac:dyDescent="0.3">
      <c r="A77" s="437" t="s">
        <v>1493</v>
      </c>
      <c r="B77" s="418"/>
      <c r="C77" s="418"/>
      <c r="D77" s="418"/>
      <c r="E77" s="418"/>
      <c r="F77" s="418"/>
      <c r="G77" s="418"/>
      <c r="H77" s="123"/>
      <c r="I77" s="123"/>
      <c r="J77" s="123"/>
      <c r="K77" s="124"/>
      <c r="BC77" s="14"/>
      <c r="BD77" s="15" t="s">
        <v>1493</v>
      </c>
      <c r="BE77" s="21"/>
      <c r="BF77" s="12"/>
      <c r="BG77" s="43"/>
      <c r="BH77" s="12"/>
    </row>
    <row r="78" spans="1:60" s="3" customFormat="1" ht="21.6" x14ac:dyDescent="0.3">
      <c r="A78" s="16" t="s">
        <v>173</v>
      </c>
      <c r="B78" s="17" t="s">
        <v>1494</v>
      </c>
      <c r="C78" s="120" t="s">
        <v>1495</v>
      </c>
      <c r="D78" s="120"/>
      <c r="E78" s="120"/>
      <c r="F78" s="16" t="s">
        <v>38</v>
      </c>
      <c r="G78" s="57">
        <v>1</v>
      </c>
      <c r="H78" s="57">
        <f>I78/G78</f>
        <v>4532.46</v>
      </c>
      <c r="I78" s="19">
        <v>4532.46</v>
      </c>
      <c r="J78" s="20">
        <f>K78/G78</f>
        <v>17.97</v>
      </c>
      <c r="K78" s="19">
        <v>17.97</v>
      </c>
      <c r="BC78" s="14"/>
      <c r="BD78" s="15"/>
      <c r="BE78" s="21" t="s">
        <v>1495</v>
      </c>
      <c r="BF78" s="12"/>
      <c r="BG78" s="43"/>
      <c r="BH78" s="12"/>
    </row>
    <row r="79" spans="1:60" s="3" customFormat="1" ht="20.399999999999999" x14ac:dyDescent="0.3">
      <c r="A79" s="25"/>
      <c r="B79" s="26" t="s">
        <v>391</v>
      </c>
      <c r="C79" s="121" t="s">
        <v>392</v>
      </c>
      <c r="D79" s="121"/>
      <c r="E79" s="121"/>
      <c r="F79" s="27" t="s">
        <v>75</v>
      </c>
      <c r="G79" s="58"/>
      <c r="H79" s="58"/>
      <c r="I79" s="28"/>
      <c r="J79" s="28"/>
      <c r="K79" s="29"/>
      <c r="BC79" s="14"/>
      <c r="BD79" s="15"/>
      <c r="BE79" s="21"/>
      <c r="BF79" s="12" t="s">
        <v>392</v>
      </c>
      <c r="BG79" s="43"/>
      <c r="BH79" s="12"/>
    </row>
    <row r="80" spans="1:60" s="3" customFormat="1" ht="21.6" x14ac:dyDescent="0.3">
      <c r="A80" s="25"/>
      <c r="B80" s="26" t="s">
        <v>1484</v>
      </c>
      <c r="C80" s="121" t="s">
        <v>1485</v>
      </c>
      <c r="D80" s="121"/>
      <c r="E80" s="121"/>
      <c r="F80" s="27" t="s">
        <v>75</v>
      </c>
      <c r="G80" s="58"/>
      <c r="H80" s="58"/>
      <c r="I80" s="28"/>
      <c r="J80" s="28"/>
      <c r="K80" s="29"/>
      <c r="BC80" s="14"/>
      <c r="BD80" s="15"/>
      <c r="BE80" s="21"/>
      <c r="BF80" s="12" t="s">
        <v>1485</v>
      </c>
      <c r="BG80" s="43"/>
      <c r="BH80" s="12"/>
    </row>
    <row r="81" spans="1:60" s="3" customFormat="1" ht="20.399999999999999" x14ac:dyDescent="0.3">
      <c r="A81" s="16" t="s">
        <v>1497</v>
      </c>
      <c r="B81" s="17" t="s">
        <v>1498</v>
      </c>
      <c r="C81" s="120" t="s">
        <v>1499</v>
      </c>
      <c r="D81" s="120"/>
      <c r="E81" s="120"/>
      <c r="F81" s="16" t="s">
        <v>1460</v>
      </c>
      <c r="G81" s="57">
        <v>1</v>
      </c>
      <c r="H81" s="57"/>
      <c r="I81" s="19"/>
      <c r="J81" s="20">
        <f>K81/G81</f>
        <v>6870.13</v>
      </c>
      <c r="K81" s="19">
        <v>6870.13</v>
      </c>
      <c r="BC81" s="14"/>
      <c r="BD81" s="15"/>
      <c r="BE81" s="21" t="s">
        <v>1499</v>
      </c>
      <c r="BF81" s="12"/>
      <c r="BG81" s="43"/>
      <c r="BH81" s="12"/>
    </row>
    <row r="82" spans="1:60" s="3" customFormat="1" ht="14.4" x14ac:dyDescent="0.3">
      <c r="A82" s="437" t="s">
        <v>1500</v>
      </c>
      <c r="B82" s="418"/>
      <c r="C82" s="418"/>
      <c r="D82" s="418"/>
      <c r="E82" s="418"/>
      <c r="F82" s="418"/>
      <c r="G82" s="418"/>
      <c r="H82" s="123"/>
      <c r="I82" s="123"/>
      <c r="J82" s="123"/>
      <c r="K82" s="124"/>
      <c r="BC82" s="14"/>
      <c r="BD82" s="15" t="s">
        <v>1500</v>
      </c>
      <c r="BE82" s="21"/>
      <c r="BF82" s="12"/>
      <c r="BG82" s="43"/>
      <c r="BH82" s="12"/>
    </row>
    <row r="83" spans="1:60" s="3" customFormat="1" ht="21.6" x14ac:dyDescent="0.3">
      <c r="A83" s="16" t="s">
        <v>177</v>
      </c>
      <c r="B83" s="17" t="s">
        <v>1494</v>
      </c>
      <c r="C83" s="120" t="s">
        <v>1495</v>
      </c>
      <c r="D83" s="120"/>
      <c r="E83" s="120"/>
      <c r="F83" s="16" t="s">
        <v>38</v>
      </c>
      <c r="G83" s="57">
        <v>1</v>
      </c>
      <c r="H83" s="57">
        <f>I83/G83</f>
        <v>4532.46</v>
      </c>
      <c r="I83" s="19">
        <v>4532.46</v>
      </c>
      <c r="J83" s="20">
        <f>K83/G83</f>
        <v>8297.0499999999993</v>
      </c>
      <c r="K83" s="19">
        <v>8297.0499999999993</v>
      </c>
      <c r="BC83" s="14"/>
      <c r="BD83" s="15"/>
      <c r="BE83" s="21" t="s">
        <v>1495</v>
      </c>
      <c r="BF83" s="12"/>
      <c r="BG83" s="43"/>
      <c r="BH83" s="12"/>
    </row>
    <row r="84" spans="1:60" s="3" customFormat="1" ht="20.399999999999999" x14ac:dyDescent="0.3">
      <c r="A84" s="25"/>
      <c r="B84" s="26" t="s">
        <v>391</v>
      </c>
      <c r="C84" s="121" t="s">
        <v>392</v>
      </c>
      <c r="D84" s="121"/>
      <c r="E84" s="121"/>
      <c r="F84" s="27" t="s">
        <v>75</v>
      </c>
      <c r="G84" s="58"/>
      <c r="H84" s="58"/>
      <c r="I84" s="28"/>
      <c r="J84" s="28"/>
      <c r="K84" s="29"/>
      <c r="BC84" s="14"/>
      <c r="BD84" s="15"/>
      <c r="BE84" s="21"/>
      <c r="BF84" s="12" t="s">
        <v>392</v>
      </c>
      <c r="BG84" s="43"/>
      <c r="BH84" s="12"/>
    </row>
    <row r="85" spans="1:60" s="3" customFormat="1" ht="21.6" x14ac:dyDescent="0.3">
      <c r="A85" s="25"/>
      <c r="B85" s="26" t="s">
        <v>1484</v>
      </c>
      <c r="C85" s="121" t="s">
        <v>1485</v>
      </c>
      <c r="D85" s="121"/>
      <c r="E85" s="121"/>
      <c r="F85" s="27" t="s">
        <v>75</v>
      </c>
      <c r="G85" s="58"/>
      <c r="H85" s="58"/>
      <c r="I85" s="28"/>
      <c r="J85" s="28"/>
      <c r="K85" s="29"/>
      <c r="BC85" s="14"/>
      <c r="BD85" s="15"/>
      <c r="BE85" s="21"/>
      <c r="BF85" s="12" t="s">
        <v>1485</v>
      </c>
      <c r="BG85" s="43"/>
      <c r="BH85" s="12"/>
    </row>
    <row r="86" spans="1:60" s="3" customFormat="1" ht="20.399999999999999" x14ac:dyDescent="0.3">
      <c r="A86" s="16" t="s">
        <v>1501</v>
      </c>
      <c r="B86" s="17" t="s">
        <v>1502</v>
      </c>
      <c r="C86" s="120" t="s">
        <v>1503</v>
      </c>
      <c r="D86" s="120"/>
      <c r="E86" s="120"/>
      <c r="F86" s="16" t="s">
        <v>1460</v>
      </c>
      <c r="G86" s="57">
        <v>1</v>
      </c>
      <c r="H86" s="57"/>
      <c r="I86" s="19"/>
      <c r="J86" s="20">
        <f>K86/G86</f>
        <v>8297.0499999999993</v>
      </c>
      <c r="K86" s="19">
        <v>8297.0499999999993</v>
      </c>
      <c r="BC86" s="14"/>
      <c r="BD86" s="15"/>
      <c r="BE86" s="21" t="s">
        <v>1503</v>
      </c>
      <c r="BF86" s="12"/>
      <c r="BG86" s="43"/>
      <c r="BH86" s="12"/>
    </row>
    <row r="87" spans="1:60" s="3" customFormat="1" ht="14.4" x14ac:dyDescent="0.3">
      <c r="A87" s="437" t="s">
        <v>1504</v>
      </c>
      <c r="B87" s="418"/>
      <c r="C87" s="418"/>
      <c r="D87" s="418"/>
      <c r="E87" s="418"/>
      <c r="F87" s="418"/>
      <c r="G87" s="418"/>
      <c r="H87" s="123"/>
      <c r="I87" s="123"/>
      <c r="J87" s="123"/>
      <c r="K87" s="124"/>
      <c r="BC87" s="14"/>
      <c r="BD87" s="15" t="s">
        <v>1504</v>
      </c>
      <c r="BE87" s="21"/>
      <c r="BF87" s="12"/>
      <c r="BG87" s="43"/>
      <c r="BH87" s="12"/>
    </row>
    <row r="88" spans="1:60" s="3" customFormat="1" ht="51" x14ac:dyDescent="0.3">
      <c r="A88" s="16" t="s">
        <v>182</v>
      </c>
      <c r="B88" s="17" t="s">
        <v>1505</v>
      </c>
      <c r="C88" s="120" t="s">
        <v>1506</v>
      </c>
      <c r="D88" s="120"/>
      <c r="E88" s="120"/>
      <c r="F88" s="16" t="s">
        <v>329</v>
      </c>
      <c r="G88" s="57">
        <v>1.8800000000000001E-2</v>
      </c>
      <c r="H88" s="57">
        <f>I88/G88</f>
        <v>171218.08510638299</v>
      </c>
      <c r="I88" s="19">
        <v>3218.9</v>
      </c>
      <c r="J88" s="20">
        <f>K88/G88</f>
        <v>83298.936170212764</v>
      </c>
      <c r="K88" s="19">
        <v>1566.02</v>
      </c>
      <c r="BC88" s="14"/>
      <c r="BD88" s="15"/>
      <c r="BE88" s="21" t="s">
        <v>1506</v>
      </c>
      <c r="BF88" s="12"/>
      <c r="BG88" s="43"/>
      <c r="BH88" s="12"/>
    </row>
    <row r="89" spans="1:60" s="3" customFormat="1" ht="30.6" x14ac:dyDescent="0.3">
      <c r="A89" s="25"/>
      <c r="B89" s="26" t="s">
        <v>1507</v>
      </c>
      <c r="C89" s="121" t="s">
        <v>1508</v>
      </c>
      <c r="D89" s="121"/>
      <c r="E89" s="121"/>
      <c r="F89" s="27" t="s">
        <v>70</v>
      </c>
      <c r="G89" s="58" t="s">
        <v>1509</v>
      </c>
      <c r="H89" s="58"/>
      <c r="I89" s="28"/>
      <c r="J89" s="28"/>
      <c r="K89" s="29"/>
      <c r="BC89" s="14"/>
      <c r="BD89" s="15"/>
      <c r="BE89" s="21"/>
      <c r="BF89" s="12" t="s">
        <v>1508</v>
      </c>
      <c r="BG89" s="43"/>
      <c r="BH89" s="12"/>
    </row>
    <row r="90" spans="1:60" s="3" customFormat="1" ht="20.399999999999999" x14ac:dyDescent="0.3">
      <c r="A90" s="25"/>
      <c r="B90" s="26" t="s">
        <v>1449</v>
      </c>
      <c r="C90" s="121" t="s">
        <v>1450</v>
      </c>
      <c r="D90" s="121"/>
      <c r="E90" s="121"/>
      <c r="F90" s="27" t="s">
        <v>70</v>
      </c>
      <c r="G90" s="58" t="s">
        <v>1510</v>
      </c>
      <c r="H90" s="58"/>
      <c r="I90" s="28"/>
      <c r="J90" s="28"/>
      <c r="K90" s="29"/>
      <c r="BC90" s="14"/>
      <c r="BD90" s="15"/>
      <c r="BE90" s="21"/>
      <c r="BF90" s="12" t="s">
        <v>1450</v>
      </c>
      <c r="BG90" s="43"/>
      <c r="BH90" s="12"/>
    </row>
    <row r="91" spans="1:60" s="3" customFormat="1" ht="20.399999999999999" x14ac:dyDescent="0.3">
      <c r="A91" s="25"/>
      <c r="B91" s="26" t="s">
        <v>391</v>
      </c>
      <c r="C91" s="121" t="s">
        <v>392</v>
      </c>
      <c r="D91" s="121"/>
      <c r="E91" s="121"/>
      <c r="F91" s="27" t="s">
        <v>75</v>
      </c>
      <c r="G91" s="58" t="s">
        <v>1511</v>
      </c>
      <c r="H91" s="58"/>
      <c r="I91" s="28"/>
      <c r="J91" s="28"/>
      <c r="K91" s="29"/>
      <c r="BC91" s="14"/>
      <c r="BD91" s="15"/>
      <c r="BE91" s="21"/>
      <c r="BF91" s="12" t="s">
        <v>392</v>
      </c>
      <c r="BG91" s="43"/>
      <c r="BH91" s="12"/>
    </row>
    <row r="92" spans="1:60" s="3" customFormat="1" ht="21.6" x14ac:dyDescent="0.3">
      <c r="A92" s="25"/>
      <c r="B92" s="26" t="s">
        <v>1484</v>
      </c>
      <c r="C92" s="121" t="s">
        <v>1485</v>
      </c>
      <c r="D92" s="121"/>
      <c r="E92" s="121"/>
      <c r="F92" s="27" t="s">
        <v>75</v>
      </c>
      <c r="G92" s="58" t="s">
        <v>1512</v>
      </c>
      <c r="H92" s="58"/>
      <c r="I92" s="28"/>
      <c r="J92" s="28"/>
      <c r="K92" s="29"/>
      <c r="BC92" s="14"/>
      <c r="BD92" s="15"/>
      <c r="BE92" s="21"/>
      <c r="BF92" s="12" t="s">
        <v>1485</v>
      </c>
      <c r="BG92" s="43"/>
      <c r="BH92" s="12"/>
    </row>
    <row r="93" spans="1:60" s="3" customFormat="1" ht="20.399999999999999" x14ac:dyDescent="0.3">
      <c r="A93" s="37" t="s">
        <v>78</v>
      </c>
      <c r="B93" s="38" t="s">
        <v>1513</v>
      </c>
      <c r="C93" s="122" t="s">
        <v>1514</v>
      </c>
      <c r="D93" s="122"/>
      <c r="E93" s="122"/>
      <c r="F93" s="39" t="s">
        <v>158</v>
      </c>
      <c r="G93" s="100" t="s">
        <v>33</v>
      </c>
      <c r="H93" s="100"/>
      <c r="I93" s="41"/>
      <c r="J93" s="41"/>
      <c r="K93" s="42"/>
      <c r="BC93" s="14"/>
      <c r="BD93" s="15"/>
      <c r="BE93" s="21"/>
      <c r="BF93" s="12"/>
      <c r="BG93" s="43" t="s">
        <v>1514</v>
      </c>
      <c r="BH93" s="12"/>
    </row>
    <row r="94" spans="1:60" s="3" customFormat="1" ht="51" x14ac:dyDescent="0.3">
      <c r="A94" s="25"/>
      <c r="B94" s="26" t="s">
        <v>1515</v>
      </c>
      <c r="C94" s="121" t="s">
        <v>1516</v>
      </c>
      <c r="D94" s="121"/>
      <c r="E94" s="121"/>
      <c r="F94" s="27" t="s">
        <v>70</v>
      </c>
      <c r="G94" s="58" t="s">
        <v>1517</v>
      </c>
      <c r="H94" s="58"/>
      <c r="I94" s="28"/>
      <c r="J94" s="28"/>
      <c r="K94" s="29"/>
      <c r="BC94" s="14"/>
      <c r="BD94" s="15"/>
      <c r="BE94" s="21"/>
      <c r="BF94" s="12" t="s">
        <v>1516</v>
      </c>
      <c r="BG94" s="43"/>
      <c r="BH94" s="12"/>
    </row>
    <row r="95" spans="1:60" s="3" customFormat="1" ht="20.399999999999999" x14ac:dyDescent="0.3">
      <c r="A95" s="37" t="s">
        <v>143</v>
      </c>
      <c r="B95" s="38" t="s">
        <v>1518</v>
      </c>
      <c r="C95" s="122" t="s">
        <v>1519</v>
      </c>
      <c r="D95" s="122"/>
      <c r="E95" s="122"/>
      <c r="F95" s="39" t="s">
        <v>158</v>
      </c>
      <c r="G95" s="100" t="s">
        <v>1520</v>
      </c>
      <c r="H95" s="100"/>
      <c r="I95" s="41"/>
      <c r="J95" s="41"/>
      <c r="K95" s="42"/>
      <c r="BC95" s="14"/>
      <c r="BD95" s="15"/>
      <c r="BE95" s="21"/>
      <c r="BF95" s="12"/>
      <c r="BG95" s="43" t="s">
        <v>1519</v>
      </c>
      <c r="BH95" s="12"/>
    </row>
    <row r="96" spans="1:60" s="3" customFormat="1" ht="20.399999999999999" x14ac:dyDescent="0.3">
      <c r="A96" s="37" t="s">
        <v>78</v>
      </c>
      <c r="B96" s="38" t="s">
        <v>1521</v>
      </c>
      <c r="C96" s="122" t="s">
        <v>1522</v>
      </c>
      <c r="D96" s="122"/>
      <c r="E96" s="122"/>
      <c r="F96" s="39" t="s">
        <v>38</v>
      </c>
      <c r="G96" s="100" t="s">
        <v>33</v>
      </c>
      <c r="H96" s="100"/>
      <c r="I96" s="41"/>
      <c r="J96" s="41"/>
      <c r="K96" s="42"/>
      <c r="BC96" s="14"/>
      <c r="BD96" s="15"/>
      <c r="BE96" s="21"/>
      <c r="BF96" s="12"/>
      <c r="BG96" s="43" t="s">
        <v>1522</v>
      </c>
      <c r="BH96" s="12"/>
    </row>
    <row r="97" spans="1:60" s="3" customFormat="1" ht="20.399999999999999" x14ac:dyDescent="0.3">
      <c r="A97" s="37" t="s">
        <v>78</v>
      </c>
      <c r="B97" s="38" t="s">
        <v>1521</v>
      </c>
      <c r="C97" s="122" t="s">
        <v>1523</v>
      </c>
      <c r="D97" s="122"/>
      <c r="E97" s="122"/>
      <c r="F97" s="39" t="s">
        <v>75</v>
      </c>
      <c r="G97" s="100" t="s">
        <v>33</v>
      </c>
      <c r="H97" s="100"/>
      <c r="I97" s="41"/>
      <c r="J97" s="41"/>
      <c r="K97" s="42"/>
      <c r="BC97" s="14"/>
      <c r="BD97" s="15"/>
      <c r="BE97" s="21"/>
      <c r="BF97" s="12"/>
      <c r="BG97" s="43" t="s">
        <v>1523</v>
      </c>
      <c r="BH97" s="12"/>
    </row>
    <row r="98" spans="1:60" s="3" customFormat="1" ht="20.399999999999999" x14ac:dyDescent="0.3">
      <c r="A98" s="37" t="s">
        <v>78</v>
      </c>
      <c r="B98" s="38" t="s">
        <v>1524</v>
      </c>
      <c r="C98" s="122" t="s">
        <v>1525</v>
      </c>
      <c r="D98" s="122"/>
      <c r="E98" s="122"/>
      <c r="F98" s="39" t="s">
        <v>38</v>
      </c>
      <c r="G98" s="100" t="s">
        <v>33</v>
      </c>
      <c r="H98" s="100"/>
      <c r="I98" s="41"/>
      <c r="J98" s="41"/>
      <c r="K98" s="42"/>
      <c r="BC98" s="14"/>
      <c r="BD98" s="15"/>
      <c r="BE98" s="21"/>
      <c r="BF98" s="12"/>
      <c r="BG98" s="43" t="s">
        <v>1525</v>
      </c>
      <c r="BH98" s="12"/>
    </row>
    <row r="99" spans="1:60" s="3" customFormat="1" ht="20.399999999999999" x14ac:dyDescent="0.3">
      <c r="A99" s="37" t="s">
        <v>78</v>
      </c>
      <c r="B99" s="38" t="s">
        <v>1526</v>
      </c>
      <c r="C99" s="122" t="s">
        <v>1527</v>
      </c>
      <c r="D99" s="122"/>
      <c r="E99" s="122"/>
      <c r="F99" s="39" t="s">
        <v>38</v>
      </c>
      <c r="G99" s="100" t="s">
        <v>33</v>
      </c>
      <c r="H99" s="100"/>
      <c r="I99" s="41"/>
      <c r="J99" s="41"/>
      <c r="K99" s="42"/>
      <c r="BC99" s="14"/>
      <c r="BD99" s="15"/>
      <c r="BE99" s="21"/>
      <c r="BF99" s="12"/>
      <c r="BG99" s="43" t="s">
        <v>1527</v>
      </c>
      <c r="BH99" s="12"/>
    </row>
    <row r="100" spans="1:60" s="3" customFormat="1" ht="31.8" x14ac:dyDescent="0.3">
      <c r="A100" s="25" t="s">
        <v>129</v>
      </c>
      <c r="B100" s="26" t="s">
        <v>1528</v>
      </c>
      <c r="C100" s="121" t="s">
        <v>1529</v>
      </c>
      <c r="D100" s="121"/>
      <c r="E100" s="121"/>
      <c r="F100" s="27" t="s">
        <v>158</v>
      </c>
      <c r="G100" s="58" t="s">
        <v>1530</v>
      </c>
      <c r="H100" s="58"/>
      <c r="I100" s="28"/>
      <c r="J100" s="28"/>
      <c r="K100" s="29"/>
      <c r="BC100" s="14"/>
      <c r="BD100" s="15"/>
      <c r="BE100" s="21"/>
      <c r="BF100" s="12"/>
      <c r="BG100" s="43"/>
      <c r="BH100" s="12" t="s">
        <v>1529</v>
      </c>
    </row>
    <row r="101" spans="1:60" s="3" customFormat="1" ht="40.799999999999997" x14ac:dyDescent="0.3">
      <c r="A101" s="25" t="s">
        <v>129</v>
      </c>
      <c r="B101" s="26" t="s">
        <v>1531</v>
      </c>
      <c r="C101" s="121" t="s">
        <v>1532</v>
      </c>
      <c r="D101" s="121"/>
      <c r="E101" s="121"/>
      <c r="F101" s="27" t="s">
        <v>158</v>
      </c>
      <c r="G101" s="58" t="s">
        <v>1533</v>
      </c>
      <c r="H101" s="58"/>
      <c r="I101" s="28"/>
      <c r="J101" s="28"/>
      <c r="K101" s="29"/>
      <c r="BC101" s="14"/>
      <c r="BD101" s="15"/>
      <c r="BE101" s="21"/>
      <c r="BF101" s="12"/>
      <c r="BG101" s="43"/>
      <c r="BH101" s="12" t="s">
        <v>1532</v>
      </c>
    </row>
    <row r="102" spans="1:60" s="3" customFormat="1" ht="14.4" x14ac:dyDescent="0.3">
      <c r="A102" s="437" t="s">
        <v>1534</v>
      </c>
      <c r="B102" s="418"/>
      <c r="C102" s="418"/>
      <c r="D102" s="418"/>
      <c r="E102" s="418"/>
      <c r="F102" s="418"/>
      <c r="G102" s="418"/>
      <c r="H102" s="123"/>
      <c r="I102" s="123"/>
      <c r="J102" s="123"/>
      <c r="K102" s="124"/>
      <c r="BC102" s="14"/>
      <c r="BD102" s="15" t="s">
        <v>1534</v>
      </c>
      <c r="BE102" s="21"/>
      <c r="BF102" s="12"/>
      <c r="BG102" s="43"/>
      <c r="BH102" s="12"/>
    </row>
    <row r="103" spans="1:60" s="3" customFormat="1" ht="51" x14ac:dyDescent="0.3">
      <c r="A103" s="16" t="s">
        <v>186</v>
      </c>
      <c r="B103" s="17" t="s">
        <v>1505</v>
      </c>
      <c r="C103" s="120" t="s">
        <v>1506</v>
      </c>
      <c r="D103" s="120"/>
      <c r="E103" s="120"/>
      <c r="F103" s="16" t="s">
        <v>329</v>
      </c>
      <c r="G103" s="57">
        <v>2.4E-2</v>
      </c>
      <c r="H103" s="57">
        <f>I103/G103</f>
        <v>171219.58333333331</v>
      </c>
      <c r="I103" s="19">
        <v>4109.2699999999995</v>
      </c>
      <c r="J103" s="20">
        <f>K103/G103</f>
        <v>86547.083333333343</v>
      </c>
      <c r="K103" s="19">
        <v>2077.13</v>
      </c>
      <c r="BC103" s="14"/>
      <c r="BD103" s="15"/>
      <c r="BE103" s="21" t="s">
        <v>1506</v>
      </c>
      <c r="BF103" s="12"/>
      <c r="BG103" s="43"/>
      <c r="BH103" s="12"/>
    </row>
    <row r="104" spans="1:60" s="3" customFormat="1" ht="30.6" x14ac:dyDescent="0.3">
      <c r="A104" s="25"/>
      <c r="B104" s="26" t="s">
        <v>1507</v>
      </c>
      <c r="C104" s="121" t="s">
        <v>1508</v>
      </c>
      <c r="D104" s="121"/>
      <c r="E104" s="121"/>
      <c r="F104" s="27" t="s">
        <v>70</v>
      </c>
      <c r="G104" s="58" t="s">
        <v>1535</v>
      </c>
      <c r="H104" s="58"/>
      <c r="I104" s="28"/>
      <c r="J104" s="28"/>
      <c r="K104" s="29"/>
      <c r="BC104" s="14"/>
      <c r="BD104" s="15"/>
      <c r="BE104" s="21"/>
      <c r="BF104" s="12" t="s">
        <v>1508</v>
      </c>
      <c r="BG104" s="43"/>
      <c r="BH104" s="12"/>
    </row>
    <row r="105" spans="1:60" s="3" customFormat="1" ht="20.399999999999999" x14ac:dyDescent="0.3">
      <c r="A105" s="25"/>
      <c r="B105" s="26" t="s">
        <v>1449</v>
      </c>
      <c r="C105" s="121" t="s">
        <v>1450</v>
      </c>
      <c r="D105" s="121"/>
      <c r="E105" s="121"/>
      <c r="F105" s="27" t="s">
        <v>70</v>
      </c>
      <c r="G105" s="58" t="s">
        <v>1536</v>
      </c>
      <c r="H105" s="58"/>
      <c r="I105" s="28"/>
      <c r="J105" s="28"/>
      <c r="K105" s="29"/>
      <c r="BC105" s="14"/>
      <c r="BD105" s="15"/>
      <c r="BE105" s="21"/>
      <c r="BF105" s="12" t="s">
        <v>1450</v>
      </c>
      <c r="BG105" s="43"/>
      <c r="BH105" s="12"/>
    </row>
    <row r="106" spans="1:60" s="3" customFormat="1" ht="20.399999999999999" x14ac:dyDescent="0.3">
      <c r="A106" s="25"/>
      <c r="B106" s="26" t="s">
        <v>391</v>
      </c>
      <c r="C106" s="121" t="s">
        <v>392</v>
      </c>
      <c r="D106" s="121"/>
      <c r="E106" s="121"/>
      <c r="F106" s="27" t="s">
        <v>75</v>
      </c>
      <c r="G106" s="58" t="s">
        <v>1537</v>
      </c>
      <c r="H106" s="58"/>
      <c r="I106" s="28"/>
      <c r="J106" s="28"/>
      <c r="K106" s="29"/>
      <c r="BC106" s="14"/>
      <c r="BD106" s="15"/>
      <c r="BE106" s="21"/>
      <c r="BF106" s="12" t="s">
        <v>392</v>
      </c>
      <c r="BG106" s="43"/>
      <c r="BH106" s="12"/>
    </row>
    <row r="107" spans="1:60" s="3" customFormat="1" ht="21.6" x14ac:dyDescent="0.3">
      <c r="A107" s="25"/>
      <c r="B107" s="26" t="s">
        <v>1484</v>
      </c>
      <c r="C107" s="121" t="s">
        <v>1485</v>
      </c>
      <c r="D107" s="121"/>
      <c r="E107" s="121"/>
      <c r="F107" s="27" t="s">
        <v>75</v>
      </c>
      <c r="G107" s="58" t="s">
        <v>1538</v>
      </c>
      <c r="H107" s="58"/>
      <c r="I107" s="28"/>
      <c r="J107" s="28"/>
      <c r="K107" s="29"/>
      <c r="BC107" s="14"/>
      <c r="BD107" s="15"/>
      <c r="BE107" s="21"/>
      <c r="BF107" s="12" t="s">
        <v>1485</v>
      </c>
      <c r="BG107" s="43"/>
      <c r="BH107" s="12"/>
    </row>
    <row r="108" spans="1:60" s="3" customFormat="1" ht="20.399999999999999" x14ac:dyDescent="0.3">
      <c r="A108" s="37" t="s">
        <v>78</v>
      </c>
      <c r="B108" s="38" t="s">
        <v>1513</v>
      </c>
      <c r="C108" s="122" t="s">
        <v>1514</v>
      </c>
      <c r="D108" s="122"/>
      <c r="E108" s="122"/>
      <c r="F108" s="39" t="s">
        <v>158</v>
      </c>
      <c r="G108" s="100" t="s">
        <v>33</v>
      </c>
      <c r="H108" s="100"/>
      <c r="I108" s="41"/>
      <c r="J108" s="41"/>
      <c r="K108" s="42"/>
      <c r="BC108" s="14"/>
      <c r="BD108" s="15"/>
      <c r="BE108" s="21"/>
      <c r="BF108" s="12"/>
      <c r="BG108" s="43" t="s">
        <v>1514</v>
      </c>
      <c r="BH108" s="12"/>
    </row>
    <row r="109" spans="1:60" s="3" customFormat="1" ht="51" x14ac:dyDescent="0.3">
      <c r="A109" s="25"/>
      <c r="B109" s="26" t="s">
        <v>1515</v>
      </c>
      <c r="C109" s="121" t="s">
        <v>1516</v>
      </c>
      <c r="D109" s="121"/>
      <c r="E109" s="121"/>
      <c r="F109" s="27" t="s">
        <v>70</v>
      </c>
      <c r="G109" s="58" t="s">
        <v>1539</v>
      </c>
      <c r="H109" s="58"/>
      <c r="I109" s="28"/>
      <c r="J109" s="28"/>
      <c r="K109" s="29"/>
      <c r="BC109" s="14"/>
      <c r="BD109" s="15"/>
      <c r="BE109" s="21"/>
      <c r="BF109" s="12" t="s">
        <v>1516</v>
      </c>
      <c r="BG109" s="43"/>
      <c r="BH109" s="12"/>
    </row>
    <row r="110" spans="1:60" s="3" customFormat="1" ht="20.399999999999999" x14ac:dyDescent="0.3">
      <c r="A110" s="37" t="s">
        <v>143</v>
      </c>
      <c r="B110" s="38" t="s">
        <v>1518</v>
      </c>
      <c r="C110" s="122" t="s">
        <v>1519</v>
      </c>
      <c r="D110" s="122"/>
      <c r="E110" s="122"/>
      <c r="F110" s="39" t="s">
        <v>158</v>
      </c>
      <c r="G110" s="100" t="s">
        <v>1540</v>
      </c>
      <c r="H110" s="100"/>
      <c r="I110" s="41"/>
      <c r="J110" s="41"/>
      <c r="K110" s="42"/>
      <c r="BC110" s="14"/>
      <c r="BD110" s="15"/>
      <c r="BE110" s="21"/>
      <c r="BF110" s="12"/>
      <c r="BG110" s="43" t="s">
        <v>1519</v>
      </c>
      <c r="BH110" s="12"/>
    </row>
    <row r="111" spans="1:60" s="3" customFormat="1" ht="20.399999999999999" x14ac:dyDescent="0.3">
      <c r="A111" s="37" t="s">
        <v>78</v>
      </c>
      <c r="B111" s="38" t="s">
        <v>1521</v>
      </c>
      <c r="C111" s="122" t="s">
        <v>1522</v>
      </c>
      <c r="D111" s="122"/>
      <c r="E111" s="122"/>
      <c r="F111" s="39" t="s">
        <v>38</v>
      </c>
      <c r="G111" s="100" t="s">
        <v>33</v>
      </c>
      <c r="H111" s="100"/>
      <c r="I111" s="41"/>
      <c r="J111" s="41"/>
      <c r="K111" s="42"/>
      <c r="BC111" s="14"/>
      <c r="BD111" s="15"/>
      <c r="BE111" s="21"/>
      <c r="BF111" s="12"/>
      <c r="BG111" s="43" t="s">
        <v>1522</v>
      </c>
      <c r="BH111" s="12"/>
    </row>
    <row r="112" spans="1:60" s="3" customFormat="1" ht="20.399999999999999" x14ac:dyDescent="0.3">
      <c r="A112" s="37" t="s">
        <v>78</v>
      </c>
      <c r="B112" s="38" t="s">
        <v>1521</v>
      </c>
      <c r="C112" s="122" t="s">
        <v>1523</v>
      </c>
      <c r="D112" s="122"/>
      <c r="E112" s="122"/>
      <c r="F112" s="39" t="s">
        <v>75</v>
      </c>
      <c r="G112" s="100" t="s">
        <v>33</v>
      </c>
      <c r="H112" s="100"/>
      <c r="I112" s="41"/>
      <c r="J112" s="41"/>
      <c r="K112" s="42"/>
      <c r="BC112" s="14"/>
      <c r="BD112" s="15"/>
      <c r="BE112" s="21"/>
      <c r="BF112" s="12"/>
      <c r="BG112" s="43" t="s">
        <v>1523</v>
      </c>
      <c r="BH112" s="12"/>
    </row>
    <row r="113" spans="1:60" s="3" customFormat="1" ht="20.399999999999999" x14ac:dyDescent="0.3">
      <c r="A113" s="37" t="s">
        <v>78</v>
      </c>
      <c r="B113" s="38" t="s">
        <v>1524</v>
      </c>
      <c r="C113" s="122" t="s">
        <v>1525</v>
      </c>
      <c r="D113" s="122"/>
      <c r="E113" s="122"/>
      <c r="F113" s="39" t="s">
        <v>38</v>
      </c>
      <c r="G113" s="100" t="s">
        <v>33</v>
      </c>
      <c r="H113" s="100"/>
      <c r="I113" s="41"/>
      <c r="J113" s="41"/>
      <c r="K113" s="42"/>
      <c r="BC113" s="14"/>
      <c r="BD113" s="15"/>
      <c r="BE113" s="21"/>
      <c r="BF113" s="12"/>
      <c r="BG113" s="43" t="s">
        <v>1525</v>
      </c>
      <c r="BH113" s="12"/>
    </row>
    <row r="114" spans="1:60" s="3" customFormat="1" ht="20.399999999999999" x14ac:dyDescent="0.3">
      <c r="A114" s="37" t="s">
        <v>78</v>
      </c>
      <c r="B114" s="38" t="s">
        <v>1526</v>
      </c>
      <c r="C114" s="122" t="s">
        <v>1527</v>
      </c>
      <c r="D114" s="122"/>
      <c r="E114" s="122"/>
      <c r="F114" s="39" t="s">
        <v>38</v>
      </c>
      <c r="G114" s="100" t="s">
        <v>33</v>
      </c>
      <c r="H114" s="100"/>
      <c r="I114" s="41"/>
      <c r="J114" s="41"/>
      <c r="K114" s="42"/>
      <c r="BC114" s="14"/>
      <c r="BD114" s="15"/>
      <c r="BE114" s="21"/>
      <c r="BF114" s="12"/>
      <c r="BG114" s="43" t="s">
        <v>1527</v>
      </c>
      <c r="BH114" s="12"/>
    </row>
    <row r="115" spans="1:60" s="3" customFormat="1" ht="31.8" x14ac:dyDescent="0.3">
      <c r="A115" s="25" t="s">
        <v>129</v>
      </c>
      <c r="B115" s="26" t="s">
        <v>1541</v>
      </c>
      <c r="C115" s="121" t="s">
        <v>1542</v>
      </c>
      <c r="D115" s="121"/>
      <c r="E115" s="121"/>
      <c r="F115" s="27" t="s">
        <v>158</v>
      </c>
      <c r="G115" s="58" t="s">
        <v>1543</v>
      </c>
      <c r="H115" s="58"/>
      <c r="I115" s="28"/>
      <c r="J115" s="28"/>
      <c r="K115" s="29"/>
      <c r="BC115" s="14"/>
      <c r="BD115" s="15"/>
      <c r="BE115" s="21"/>
      <c r="BF115" s="12"/>
      <c r="BG115" s="43"/>
      <c r="BH115" s="12" t="s">
        <v>1542</v>
      </c>
    </row>
    <row r="116" spans="1:60" s="3" customFormat="1" ht="40.799999999999997" x14ac:dyDescent="0.3">
      <c r="A116" s="25" t="s">
        <v>129</v>
      </c>
      <c r="B116" s="26" t="s">
        <v>1531</v>
      </c>
      <c r="C116" s="121" t="s">
        <v>1532</v>
      </c>
      <c r="D116" s="121"/>
      <c r="E116" s="121"/>
      <c r="F116" s="27" t="s">
        <v>158</v>
      </c>
      <c r="G116" s="58" t="s">
        <v>1544</v>
      </c>
      <c r="H116" s="58"/>
      <c r="I116" s="28"/>
      <c r="J116" s="28"/>
      <c r="K116" s="29"/>
      <c r="BC116" s="14"/>
      <c r="BD116" s="15"/>
      <c r="BE116" s="21"/>
      <c r="BF116" s="12"/>
      <c r="BG116" s="43"/>
      <c r="BH116" s="12" t="s">
        <v>1532</v>
      </c>
    </row>
    <row r="117" spans="1:60" s="3" customFormat="1" ht="14.4" x14ac:dyDescent="0.3">
      <c r="A117" s="437" t="s">
        <v>1545</v>
      </c>
      <c r="B117" s="418"/>
      <c r="C117" s="418"/>
      <c r="D117" s="418"/>
      <c r="E117" s="418"/>
      <c r="F117" s="418"/>
      <c r="G117" s="418"/>
      <c r="H117" s="123"/>
      <c r="I117" s="123"/>
      <c r="J117" s="123"/>
      <c r="K117" s="124"/>
      <c r="BC117" s="14"/>
      <c r="BD117" s="15" t="s">
        <v>1545</v>
      </c>
      <c r="BE117" s="21"/>
      <c r="BF117" s="12"/>
      <c r="BG117" s="43"/>
      <c r="BH117" s="12"/>
    </row>
    <row r="118" spans="1:60" s="3" customFormat="1" ht="30.6" x14ac:dyDescent="0.3">
      <c r="A118" s="16" t="s">
        <v>192</v>
      </c>
      <c r="B118" s="17" t="s">
        <v>1546</v>
      </c>
      <c r="C118" s="120" t="s">
        <v>1547</v>
      </c>
      <c r="D118" s="120"/>
      <c r="E118" s="120"/>
      <c r="F118" s="16" t="s">
        <v>38</v>
      </c>
      <c r="G118" s="57">
        <v>1</v>
      </c>
      <c r="H118" s="57">
        <f>I118/G118</f>
        <v>441.18000000000006</v>
      </c>
      <c r="I118" s="19">
        <v>441.18000000000006</v>
      </c>
      <c r="J118" s="20">
        <f>K118/G118</f>
        <v>1246.3499999999999</v>
      </c>
      <c r="K118" s="19">
        <v>1246.3499999999999</v>
      </c>
      <c r="BC118" s="14"/>
      <c r="BD118" s="15"/>
      <c r="BE118" s="21" t="s">
        <v>1547</v>
      </c>
      <c r="BF118" s="12"/>
      <c r="BG118" s="43"/>
      <c r="BH118" s="12"/>
    </row>
    <row r="119" spans="1:60" s="3" customFormat="1" ht="20.399999999999999" x14ac:dyDescent="0.3">
      <c r="A119" s="25"/>
      <c r="B119" s="26" t="s">
        <v>1449</v>
      </c>
      <c r="C119" s="121" t="s">
        <v>1450</v>
      </c>
      <c r="D119" s="121"/>
      <c r="E119" s="121"/>
      <c r="F119" s="27" t="s">
        <v>70</v>
      </c>
      <c r="G119" s="58" t="s">
        <v>1548</v>
      </c>
      <c r="H119" s="58"/>
      <c r="I119" s="28"/>
      <c r="J119" s="28"/>
      <c r="K119" s="29"/>
      <c r="BC119" s="14"/>
      <c r="BD119" s="15"/>
      <c r="BE119" s="21"/>
      <c r="BF119" s="12" t="s">
        <v>1450</v>
      </c>
      <c r="BG119" s="43"/>
      <c r="BH119" s="12"/>
    </row>
    <row r="120" spans="1:60" s="3" customFormat="1" ht="20.399999999999999" x14ac:dyDescent="0.3">
      <c r="A120" s="25"/>
      <c r="B120" s="26" t="s">
        <v>391</v>
      </c>
      <c r="C120" s="121" t="s">
        <v>392</v>
      </c>
      <c r="D120" s="121"/>
      <c r="E120" s="121"/>
      <c r="F120" s="27" t="s">
        <v>75</v>
      </c>
      <c r="G120" s="58" t="s">
        <v>1549</v>
      </c>
      <c r="H120" s="58"/>
      <c r="I120" s="28"/>
      <c r="J120" s="28"/>
      <c r="K120" s="29"/>
      <c r="BC120" s="14"/>
      <c r="BD120" s="15"/>
      <c r="BE120" s="21"/>
      <c r="BF120" s="12" t="s">
        <v>392</v>
      </c>
      <c r="BG120" s="43"/>
      <c r="BH120" s="12"/>
    </row>
    <row r="121" spans="1:60" s="3" customFormat="1" ht="20.399999999999999" x14ac:dyDescent="0.3">
      <c r="A121" s="37" t="s">
        <v>78</v>
      </c>
      <c r="B121" s="38" t="s">
        <v>1521</v>
      </c>
      <c r="C121" s="122" t="s">
        <v>1523</v>
      </c>
      <c r="D121" s="122"/>
      <c r="E121" s="122"/>
      <c r="F121" s="39" t="s">
        <v>75</v>
      </c>
      <c r="G121" s="100" t="s">
        <v>33</v>
      </c>
      <c r="H121" s="100"/>
      <c r="I121" s="41"/>
      <c r="J121" s="41"/>
      <c r="K121" s="42"/>
      <c r="BC121" s="14"/>
      <c r="BD121" s="15"/>
      <c r="BE121" s="21"/>
      <c r="BF121" s="12"/>
      <c r="BG121" s="43" t="s">
        <v>1523</v>
      </c>
      <c r="BH121" s="12"/>
    </row>
    <row r="122" spans="1:60" s="3" customFormat="1" ht="20.399999999999999" x14ac:dyDescent="0.3">
      <c r="A122" s="37" t="s">
        <v>143</v>
      </c>
      <c r="B122" s="38" t="s">
        <v>1550</v>
      </c>
      <c r="C122" s="122" t="s">
        <v>1551</v>
      </c>
      <c r="D122" s="122"/>
      <c r="E122" s="122"/>
      <c r="F122" s="39" t="s">
        <v>38</v>
      </c>
      <c r="G122" s="100" t="s">
        <v>1179</v>
      </c>
      <c r="H122" s="100"/>
      <c r="I122" s="41"/>
      <c r="J122" s="41"/>
      <c r="K122" s="42"/>
      <c r="BC122" s="14"/>
      <c r="BD122" s="15"/>
      <c r="BE122" s="21"/>
      <c r="BF122" s="12"/>
      <c r="BG122" s="43" t="s">
        <v>1551</v>
      </c>
      <c r="BH122" s="12"/>
    </row>
    <row r="123" spans="1:60" s="3" customFormat="1" ht="31.8" x14ac:dyDescent="0.3">
      <c r="A123" s="25" t="s">
        <v>129</v>
      </c>
      <c r="B123" s="26" t="s">
        <v>1552</v>
      </c>
      <c r="C123" s="121" t="s">
        <v>1553</v>
      </c>
      <c r="D123" s="121"/>
      <c r="E123" s="121"/>
      <c r="F123" s="27" t="s">
        <v>38</v>
      </c>
      <c r="G123" s="58" t="s">
        <v>1179</v>
      </c>
      <c r="H123" s="58"/>
      <c r="I123" s="28"/>
      <c r="J123" s="28"/>
      <c r="K123" s="29"/>
      <c r="BC123" s="14"/>
      <c r="BD123" s="15"/>
      <c r="BE123" s="21"/>
      <c r="BF123" s="12"/>
      <c r="BG123" s="43"/>
      <c r="BH123" s="12" t="s">
        <v>1553</v>
      </c>
    </row>
    <row r="124" spans="1:60" s="3" customFormat="1" ht="14.4" x14ac:dyDescent="0.3">
      <c r="A124" s="437" t="s">
        <v>1554</v>
      </c>
      <c r="B124" s="418"/>
      <c r="C124" s="418"/>
      <c r="D124" s="418"/>
      <c r="E124" s="418"/>
      <c r="F124" s="418"/>
      <c r="G124" s="418"/>
      <c r="H124" s="123"/>
      <c r="I124" s="123"/>
      <c r="J124" s="123"/>
      <c r="K124" s="124"/>
      <c r="BC124" s="14"/>
      <c r="BD124" s="15" t="s">
        <v>1554</v>
      </c>
      <c r="BE124" s="21"/>
      <c r="BF124" s="12"/>
      <c r="BG124" s="43"/>
      <c r="BH124" s="12"/>
    </row>
    <row r="125" spans="1:60" s="3" customFormat="1" ht="21.6" x14ac:dyDescent="0.3">
      <c r="A125" s="16" t="s">
        <v>196</v>
      </c>
      <c r="B125" s="17" t="s">
        <v>1546</v>
      </c>
      <c r="C125" s="405" t="s">
        <v>1547</v>
      </c>
      <c r="D125" s="405"/>
      <c r="E125" s="405"/>
      <c r="F125" s="16" t="s">
        <v>38</v>
      </c>
      <c r="G125" s="57">
        <v>1</v>
      </c>
      <c r="H125" s="57">
        <f>I125/G125</f>
        <v>441.18000000000006</v>
      </c>
      <c r="I125" s="19">
        <v>441.18000000000006</v>
      </c>
      <c r="J125" s="20">
        <f>K125/G125</f>
        <v>1246.3499999999999</v>
      </c>
      <c r="K125" s="19">
        <v>1246.3499999999999</v>
      </c>
      <c r="BC125" s="14"/>
      <c r="BD125" s="15"/>
      <c r="BE125" s="21" t="s">
        <v>1547</v>
      </c>
      <c r="BF125" s="12"/>
      <c r="BG125" s="43"/>
      <c r="BH125" s="12"/>
    </row>
    <row r="126" spans="1:60" s="3" customFormat="1" ht="20.399999999999999" x14ac:dyDescent="0.3">
      <c r="A126" s="25"/>
      <c r="B126" s="26" t="s">
        <v>1449</v>
      </c>
      <c r="C126" s="419" t="s">
        <v>1450</v>
      </c>
      <c r="D126" s="419"/>
      <c r="E126" s="419"/>
      <c r="F126" s="27" t="s">
        <v>70</v>
      </c>
      <c r="G126" s="58" t="s">
        <v>1548</v>
      </c>
      <c r="H126" s="58"/>
      <c r="I126" s="28"/>
      <c r="J126" s="28"/>
      <c r="K126" s="29"/>
      <c r="BC126" s="14"/>
      <c r="BD126" s="15"/>
      <c r="BE126" s="21"/>
      <c r="BF126" s="12" t="s">
        <v>1450</v>
      </c>
      <c r="BG126" s="43"/>
      <c r="BH126" s="12"/>
    </row>
    <row r="127" spans="1:60" s="3" customFormat="1" ht="20.399999999999999" x14ac:dyDescent="0.3">
      <c r="A127" s="25"/>
      <c r="B127" s="26" t="s">
        <v>391</v>
      </c>
      <c r="C127" s="419" t="s">
        <v>392</v>
      </c>
      <c r="D127" s="419"/>
      <c r="E127" s="419"/>
      <c r="F127" s="27" t="s">
        <v>75</v>
      </c>
      <c r="G127" s="58" t="s">
        <v>1549</v>
      </c>
      <c r="H127" s="58"/>
      <c r="I127" s="28"/>
      <c r="J127" s="28"/>
      <c r="K127" s="29"/>
      <c r="BC127" s="14"/>
      <c r="BD127" s="15"/>
      <c r="BE127" s="21"/>
      <c r="BF127" s="12" t="s">
        <v>392</v>
      </c>
      <c r="BG127" s="43"/>
      <c r="BH127" s="12"/>
    </row>
    <row r="128" spans="1:60" s="3" customFormat="1" ht="20.399999999999999" x14ac:dyDescent="0.3">
      <c r="A128" s="37" t="s">
        <v>78</v>
      </c>
      <c r="B128" s="38" t="s">
        <v>1521</v>
      </c>
      <c r="C128" s="430" t="s">
        <v>1523</v>
      </c>
      <c r="D128" s="430"/>
      <c r="E128" s="430"/>
      <c r="F128" s="39" t="s">
        <v>75</v>
      </c>
      <c r="G128" s="100" t="s">
        <v>33</v>
      </c>
      <c r="H128" s="100"/>
      <c r="I128" s="41"/>
      <c r="J128" s="41"/>
      <c r="K128" s="42"/>
      <c r="BC128" s="14"/>
      <c r="BD128" s="15"/>
      <c r="BE128" s="21"/>
      <c r="BF128" s="12"/>
      <c r="BG128" s="43" t="s">
        <v>1523</v>
      </c>
      <c r="BH128" s="12"/>
    </row>
    <row r="129" spans="1:60" s="3" customFormat="1" ht="20.399999999999999" x14ac:dyDescent="0.3">
      <c r="A129" s="37" t="s">
        <v>143</v>
      </c>
      <c r="B129" s="38" t="s">
        <v>1550</v>
      </c>
      <c r="C129" s="430" t="s">
        <v>1551</v>
      </c>
      <c r="D129" s="430"/>
      <c r="E129" s="430"/>
      <c r="F129" s="39" t="s">
        <v>38</v>
      </c>
      <c r="G129" s="100" t="s">
        <v>1179</v>
      </c>
      <c r="H129" s="100"/>
      <c r="I129" s="41"/>
      <c r="J129" s="41"/>
      <c r="K129" s="42"/>
      <c r="BC129" s="14"/>
      <c r="BD129" s="15"/>
      <c r="BE129" s="21"/>
      <c r="BF129" s="12"/>
      <c r="BG129" s="43" t="s">
        <v>1551</v>
      </c>
      <c r="BH129" s="12"/>
    </row>
    <row r="130" spans="1:60" s="3" customFormat="1" ht="31.8" x14ac:dyDescent="0.3">
      <c r="A130" s="25" t="s">
        <v>129</v>
      </c>
      <c r="B130" s="26" t="s">
        <v>1552</v>
      </c>
      <c r="C130" s="419" t="s">
        <v>1553</v>
      </c>
      <c r="D130" s="419"/>
      <c r="E130" s="419"/>
      <c r="F130" s="27" t="s">
        <v>38</v>
      </c>
      <c r="G130" s="58" t="s">
        <v>1179</v>
      </c>
      <c r="H130" s="58"/>
      <c r="I130" s="28"/>
      <c r="J130" s="28"/>
      <c r="K130" s="29"/>
      <c r="BC130" s="14"/>
      <c r="BD130" s="15"/>
      <c r="BE130" s="21"/>
      <c r="BF130" s="12"/>
      <c r="BG130" s="43"/>
      <c r="BH130" s="12" t="s">
        <v>1553</v>
      </c>
    </row>
    <row r="131" spans="1:60" s="3" customFormat="1" ht="14.4" x14ac:dyDescent="0.3">
      <c r="A131" s="435" t="s">
        <v>1555</v>
      </c>
      <c r="B131" s="436"/>
      <c r="C131" s="436"/>
      <c r="D131" s="436"/>
      <c r="E131" s="436"/>
      <c r="F131" s="436"/>
      <c r="G131" s="436"/>
      <c r="H131" s="103"/>
      <c r="I131" s="103"/>
      <c r="J131" s="103"/>
      <c r="K131" s="104"/>
      <c r="BC131" s="14" t="s">
        <v>1555</v>
      </c>
      <c r="BD131" s="15"/>
      <c r="BE131" s="21"/>
      <c r="BF131" s="12"/>
      <c r="BG131" s="43"/>
      <c r="BH131" s="12"/>
    </row>
    <row r="132" spans="1:60" s="3" customFormat="1" ht="14.4" x14ac:dyDescent="0.3">
      <c r="A132" s="437" t="s">
        <v>1556</v>
      </c>
      <c r="B132" s="418"/>
      <c r="C132" s="418"/>
      <c r="D132" s="418"/>
      <c r="E132" s="418"/>
      <c r="F132" s="418"/>
      <c r="G132" s="418"/>
      <c r="H132" s="123"/>
      <c r="I132" s="123"/>
      <c r="J132" s="123"/>
      <c r="K132" s="124"/>
      <c r="BC132" s="14"/>
      <c r="BD132" s="15" t="s">
        <v>1556</v>
      </c>
      <c r="BE132" s="21"/>
      <c r="BF132" s="12"/>
      <c r="BG132" s="43"/>
      <c r="BH132" s="12"/>
    </row>
    <row r="133" spans="1:60" s="3" customFormat="1" ht="21.6" x14ac:dyDescent="0.3">
      <c r="A133" s="16" t="s">
        <v>198</v>
      </c>
      <c r="B133" s="17" t="s">
        <v>1557</v>
      </c>
      <c r="C133" s="120" t="s">
        <v>1558</v>
      </c>
      <c r="D133" s="120"/>
      <c r="E133" s="120"/>
      <c r="F133" s="16" t="s">
        <v>38</v>
      </c>
      <c r="G133" s="57">
        <v>1</v>
      </c>
      <c r="H133" s="57">
        <f>I133/G133</f>
        <v>8665.5600000000013</v>
      </c>
      <c r="I133" s="19">
        <v>8665.5600000000013</v>
      </c>
      <c r="J133" s="20">
        <f>K133/G133</f>
        <v>544.80999999999995</v>
      </c>
      <c r="K133" s="19">
        <v>544.80999999999995</v>
      </c>
      <c r="BC133" s="14"/>
      <c r="BD133" s="15"/>
      <c r="BE133" s="21" t="s">
        <v>1558</v>
      </c>
      <c r="BF133" s="12"/>
      <c r="BG133" s="43"/>
      <c r="BH133" s="12"/>
    </row>
    <row r="134" spans="1:60" s="3" customFormat="1" ht="20.399999999999999" x14ac:dyDescent="0.3">
      <c r="A134" s="25"/>
      <c r="B134" s="26" t="s">
        <v>1449</v>
      </c>
      <c r="C134" s="121" t="s">
        <v>1450</v>
      </c>
      <c r="D134" s="121"/>
      <c r="E134" s="121"/>
      <c r="F134" s="27" t="s">
        <v>70</v>
      </c>
      <c r="G134" s="58" t="s">
        <v>1559</v>
      </c>
      <c r="H134" s="58"/>
      <c r="I134" s="28"/>
      <c r="J134" s="28"/>
      <c r="K134" s="29"/>
      <c r="BC134" s="14"/>
      <c r="BD134" s="15"/>
      <c r="BE134" s="21"/>
      <c r="BF134" s="12" t="s">
        <v>1450</v>
      </c>
      <c r="BG134" s="43"/>
      <c r="BH134" s="12"/>
    </row>
    <row r="135" spans="1:60" s="3" customFormat="1" ht="20.399999999999999" x14ac:dyDescent="0.3">
      <c r="A135" s="25"/>
      <c r="B135" s="26" t="s">
        <v>391</v>
      </c>
      <c r="C135" s="121" t="s">
        <v>392</v>
      </c>
      <c r="D135" s="121"/>
      <c r="E135" s="121"/>
      <c r="F135" s="27" t="s">
        <v>75</v>
      </c>
      <c r="G135" s="58" t="s">
        <v>1560</v>
      </c>
      <c r="H135" s="58"/>
      <c r="I135" s="28"/>
      <c r="J135" s="28"/>
      <c r="K135" s="29"/>
      <c r="BC135" s="14"/>
      <c r="BD135" s="15"/>
      <c r="BE135" s="21"/>
      <c r="BF135" s="12" t="s">
        <v>392</v>
      </c>
      <c r="BG135" s="43"/>
      <c r="BH135" s="12"/>
    </row>
    <row r="136" spans="1:60" s="3" customFormat="1" ht="21.6" x14ac:dyDescent="0.3">
      <c r="A136" s="25"/>
      <c r="B136" s="26" t="s">
        <v>1484</v>
      </c>
      <c r="C136" s="121" t="s">
        <v>1485</v>
      </c>
      <c r="D136" s="121"/>
      <c r="E136" s="121"/>
      <c r="F136" s="27" t="s">
        <v>75</v>
      </c>
      <c r="G136" s="58" t="s">
        <v>1561</v>
      </c>
      <c r="H136" s="58"/>
      <c r="I136" s="28"/>
      <c r="J136" s="28"/>
      <c r="K136" s="29"/>
      <c r="BC136" s="14"/>
      <c r="BD136" s="15"/>
      <c r="BE136" s="21"/>
      <c r="BF136" s="12" t="s">
        <v>1485</v>
      </c>
      <c r="BG136" s="43"/>
      <c r="BH136" s="12"/>
    </row>
    <row r="137" spans="1:60" s="3" customFormat="1" ht="51" x14ac:dyDescent="0.3">
      <c r="A137" s="25"/>
      <c r="B137" s="26" t="s">
        <v>1562</v>
      </c>
      <c r="C137" s="121" t="s">
        <v>1563</v>
      </c>
      <c r="D137" s="121"/>
      <c r="E137" s="121"/>
      <c r="F137" s="27" t="s">
        <v>38</v>
      </c>
      <c r="G137" s="58" t="s">
        <v>1564</v>
      </c>
      <c r="H137" s="58"/>
      <c r="I137" s="28"/>
      <c r="J137" s="28"/>
      <c r="K137" s="29"/>
      <c r="BC137" s="14"/>
      <c r="BD137" s="15"/>
      <c r="BE137" s="21"/>
      <c r="BF137" s="12" t="s">
        <v>1563</v>
      </c>
      <c r="BG137" s="43"/>
      <c r="BH137" s="12"/>
    </row>
    <row r="138" spans="1:60" s="3" customFormat="1" ht="21.6" x14ac:dyDescent="0.3">
      <c r="A138" s="16" t="s">
        <v>1565</v>
      </c>
      <c r="B138" s="17" t="s">
        <v>1566</v>
      </c>
      <c r="C138" s="120" t="s">
        <v>1567</v>
      </c>
      <c r="D138" s="120"/>
      <c r="E138" s="120"/>
      <c r="F138" s="16" t="s">
        <v>1460</v>
      </c>
      <c r="G138" s="57">
        <v>1</v>
      </c>
      <c r="H138" s="57"/>
      <c r="I138" s="19"/>
      <c r="J138" s="20">
        <f>K138/G138</f>
        <v>13244.73</v>
      </c>
      <c r="K138" s="19">
        <v>13244.73</v>
      </c>
      <c r="BC138" s="14"/>
      <c r="BD138" s="15"/>
      <c r="BE138" s="21" t="s">
        <v>1567</v>
      </c>
      <c r="BF138" s="12"/>
      <c r="BG138" s="43"/>
      <c r="BH138" s="12"/>
    </row>
    <row r="139" spans="1:60" s="3" customFormat="1" ht="14.4" x14ac:dyDescent="0.3">
      <c r="A139" s="437" t="s">
        <v>1568</v>
      </c>
      <c r="B139" s="418"/>
      <c r="C139" s="418"/>
      <c r="D139" s="418"/>
      <c r="E139" s="418"/>
      <c r="F139" s="418"/>
      <c r="G139" s="418"/>
      <c r="H139" s="123"/>
      <c r="I139" s="123"/>
      <c r="J139" s="123"/>
      <c r="K139" s="124"/>
      <c r="BC139" s="14"/>
      <c r="BD139" s="15" t="s">
        <v>1568</v>
      </c>
      <c r="BE139" s="21"/>
      <c r="BF139" s="12"/>
      <c r="BG139" s="43"/>
      <c r="BH139" s="12"/>
    </row>
    <row r="140" spans="1:60" s="3" customFormat="1" ht="14.4" x14ac:dyDescent="0.3">
      <c r="A140" s="16" t="s">
        <v>219</v>
      </c>
      <c r="B140" s="17" t="s">
        <v>1569</v>
      </c>
      <c r="C140" s="120" t="s">
        <v>1570</v>
      </c>
      <c r="D140" s="120"/>
      <c r="E140" s="120"/>
      <c r="F140" s="16" t="s">
        <v>38</v>
      </c>
      <c r="G140" s="57">
        <v>2</v>
      </c>
      <c r="H140" s="57">
        <f>I140/G140</f>
        <v>1071.48</v>
      </c>
      <c r="I140" s="19">
        <v>2142.96</v>
      </c>
      <c r="J140" s="20">
        <f>K140/G140</f>
        <v>4013.1149999999998</v>
      </c>
      <c r="K140" s="19">
        <v>8026.23</v>
      </c>
      <c r="BC140" s="14"/>
      <c r="BD140" s="15"/>
      <c r="BE140" s="21" t="s">
        <v>1570</v>
      </c>
      <c r="BF140" s="12"/>
      <c r="BG140" s="43"/>
      <c r="BH140" s="12"/>
    </row>
    <row r="141" spans="1:60" s="3" customFormat="1" ht="20.399999999999999" x14ac:dyDescent="0.3">
      <c r="A141" s="25"/>
      <c r="B141" s="26" t="s">
        <v>1571</v>
      </c>
      <c r="C141" s="121" t="s">
        <v>1572</v>
      </c>
      <c r="D141" s="121"/>
      <c r="E141" s="121"/>
      <c r="F141" s="27" t="s">
        <v>142</v>
      </c>
      <c r="G141" s="58" t="s">
        <v>1573</v>
      </c>
      <c r="H141" s="58"/>
      <c r="I141" s="28"/>
      <c r="J141" s="28"/>
      <c r="K141" s="29"/>
      <c r="BC141" s="14"/>
      <c r="BD141" s="15"/>
      <c r="BE141" s="21"/>
      <c r="BF141" s="12" t="s">
        <v>1572</v>
      </c>
      <c r="BG141" s="43"/>
      <c r="BH141" s="12"/>
    </row>
    <row r="142" spans="1:60" s="3" customFormat="1" ht="30.6" x14ac:dyDescent="0.3">
      <c r="A142" s="25"/>
      <c r="B142" s="26" t="s">
        <v>607</v>
      </c>
      <c r="C142" s="121" t="s">
        <v>608</v>
      </c>
      <c r="D142" s="121"/>
      <c r="E142" s="121"/>
      <c r="F142" s="27" t="s">
        <v>609</v>
      </c>
      <c r="G142" s="58" t="s">
        <v>1574</v>
      </c>
      <c r="H142" s="58"/>
      <c r="I142" s="28"/>
      <c r="J142" s="28"/>
      <c r="K142" s="29"/>
      <c r="BC142" s="14"/>
      <c r="BD142" s="15"/>
      <c r="BE142" s="21"/>
      <c r="BF142" s="12" t="s">
        <v>608</v>
      </c>
      <c r="BG142" s="43"/>
      <c r="BH142" s="12"/>
    </row>
    <row r="143" spans="1:60" s="3" customFormat="1" ht="40.799999999999997" x14ac:dyDescent="0.3">
      <c r="A143" s="16" t="s">
        <v>1575</v>
      </c>
      <c r="B143" s="17" t="s">
        <v>1576</v>
      </c>
      <c r="C143" s="120" t="s">
        <v>1577</v>
      </c>
      <c r="D143" s="120"/>
      <c r="E143" s="120"/>
      <c r="F143" s="16" t="s">
        <v>38</v>
      </c>
      <c r="G143" s="57">
        <v>2</v>
      </c>
      <c r="H143" s="57">
        <f>I143/G143</f>
        <v>0</v>
      </c>
      <c r="I143" s="19">
        <v>0</v>
      </c>
      <c r="J143" s="20">
        <f>K143/G143</f>
        <v>4013.1149999999998</v>
      </c>
      <c r="K143" s="19">
        <v>8026.23</v>
      </c>
      <c r="BC143" s="14"/>
      <c r="BD143" s="15"/>
      <c r="BE143" s="21" t="s">
        <v>1577</v>
      </c>
      <c r="BF143" s="12"/>
      <c r="BG143" s="43"/>
      <c r="BH143" s="12"/>
    </row>
    <row r="144" spans="1:60" s="3" customFormat="1" ht="14.4" x14ac:dyDescent="0.3">
      <c r="A144" s="437" t="s">
        <v>1578</v>
      </c>
      <c r="B144" s="418"/>
      <c r="C144" s="418"/>
      <c r="D144" s="418"/>
      <c r="E144" s="418"/>
      <c r="F144" s="418"/>
      <c r="G144" s="418"/>
      <c r="H144" s="123"/>
      <c r="I144" s="123"/>
      <c r="J144" s="123"/>
      <c r="K144" s="124"/>
      <c r="BC144" s="14"/>
      <c r="BD144" s="15" t="s">
        <v>1578</v>
      </c>
      <c r="BE144" s="21"/>
      <c r="BF144" s="12"/>
      <c r="BG144" s="43"/>
      <c r="BH144" s="12"/>
    </row>
    <row r="145" spans="1:60" s="3" customFormat="1" ht="14.4" x14ac:dyDescent="0.3">
      <c r="A145" s="16" t="s">
        <v>225</v>
      </c>
      <c r="B145" s="17" t="s">
        <v>1569</v>
      </c>
      <c r="C145" s="120" t="s">
        <v>1570</v>
      </c>
      <c r="D145" s="120"/>
      <c r="E145" s="120"/>
      <c r="F145" s="16" t="s">
        <v>38</v>
      </c>
      <c r="G145" s="57">
        <v>2</v>
      </c>
      <c r="H145" s="57">
        <f>I145/G145</f>
        <v>1071.48</v>
      </c>
      <c r="I145" s="19">
        <v>2142.96</v>
      </c>
      <c r="J145" s="20">
        <f>K145/G145</f>
        <v>0</v>
      </c>
      <c r="K145" s="19"/>
      <c r="BC145" s="14"/>
      <c r="BD145" s="15"/>
      <c r="BE145" s="21" t="s">
        <v>1570</v>
      </c>
      <c r="BF145" s="12"/>
      <c r="BG145" s="43"/>
      <c r="BH145" s="12"/>
    </row>
    <row r="146" spans="1:60" s="3" customFormat="1" ht="20.399999999999999" x14ac:dyDescent="0.3">
      <c r="A146" s="25"/>
      <c r="B146" s="26" t="s">
        <v>1571</v>
      </c>
      <c r="C146" s="121" t="s">
        <v>1572</v>
      </c>
      <c r="D146" s="121"/>
      <c r="E146" s="121"/>
      <c r="F146" s="27" t="s">
        <v>142</v>
      </c>
      <c r="G146" s="58" t="s">
        <v>1573</v>
      </c>
      <c r="H146" s="58"/>
      <c r="I146" s="28"/>
      <c r="J146" s="28"/>
      <c r="K146" s="29"/>
      <c r="BC146" s="14"/>
      <c r="BD146" s="15"/>
      <c r="BE146" s="21"/>
      <c r="BF146" s="12" t="s">
        <v>1572</v>
      </c>
      <c r="BG146" s="43"/>
      <c r="BH146" s="12"/>
    </row>
    <row r="147" spans="1:60" s="3" customFormat="1" ht="30.6" x14ac:dyDescent="0.3">
      <c r="A147" s="25"/>
      <c r="B147" s="26" t="s">
        <v>607</v>
      </c>
      <c r="C147" s="121" t="s">
        <v>608</v>
      </c>
      <c r="D147" s="121"/>
      <c r="E147" s="121"/>
      <c r="F147" s="27" t="s">
        <v>609</v>
      </c>
      <c r="G147" s="58" t="s">
        <v>1574</v>
      </c>
      <c r="H147" s="58"/>
      <c r="I147" s="28"/>
      <c r="J147" s="28"/>
      <c r="K147" s="29"/>
      <c r="BC147" s="14"/>
      <c r="BD147" s="15"/>
      <c r="BE147" s="21"/>
      <c r="BF147" s="12" t="s">
        <v>608</v>
      </c>
      <c r="BG147" s="43"/>
      <c r="BH147" s="12"/>
    </row>
    <row r="148" spans="1:60" s="3" customFormat="1" ht="40.799999999999997" x14ac:dyDescent="0.3">
      <c r="A148" s="16" t="s">
        <v>1579</v>
      </c>
      <c r="B148" s="17" t="s">
        <v>1580</v>
      </c>
      <c r="C148" s="120" t="s">
        <v>1581</v>
      </c>
      <c r="D148" s="120"/>
      <c r="E148" s="120"/>
      <c r="F148" s="16" t="s">
        <v>38</v>
      </c>
      <c r="G148" s="57">
        <v>2</v>
      </c>
      <c r="H148" s="57">
        <f>I148/G148</f>
        <v>0</v>
      </c>
      <c r="I148" s="19">
        <v>0</v>
      </c>
      <c r="J148" s="20">
        <f>K148/G148</f>
        <v>5017.2700000000004</v>
      </c>
      <c r="K148" s="19">
        <v>10034.540000000001</v>
      </c>
      <c r="BC148" s="14"/>
      <c r="BD148" s="15"/>
      <c r="BE148" s="21" t="s">
        <v>1581</v>
      </c>
      <c r="BF148" s="12"/>
      <c r="BG148" s="43"/>
      <c r="BH148" s="12"/>
    </row>
    <row r="149" spans="1:60" s="3" customFormat="1" ht="14.4" x14ac:dyDescent="0.3">
      <c r="A149" s="437" t="s">
        <v>1582</v>
      </c>
      <c r="B149" s="418"/>
      <c r="C149" s="418"/>
      <c r="D149" s="418"/>
      <c r="E149" s="418"/>
      <c r="F149" s="418"/>
      <c r="G149" s="418"/>
      <c r="H149" s="123"/>
      <c r="I149" s="123"/>
      <c r="J149" s="123"/>
      <c r="K149" s="124"/>
      <c r="BC149" s="14"/>
      <c r="BD149" s="15" t="s">
        <v>1582</v>
      </c>
      <c r="BE149" s="21"/>
      <c r="BF149" s="12"/>
      <c r="BG149" s="43"/>
      <c r="BH149" s="12"/>
    </row>
    <row r="150" spans="1:60" s="3" customFormat="1" ht="14.4" x14ac:dyDescent="0.3">
      <c r="A150" s="16" t="s">
        <v>230</v>
      </c>
      <c r="B150" s="17" t="s">
        <v>1569</v>
      </c>
      <c r="C150" s="120" t="s">
        <v>1570</v>
      </c>
      <c r="D150" s="120"/>
      <c r="E150" s="120"/>
      <c r="F150" s="16" t="s">
        <v>38</v>
      </c>
      <c r="G150" s="57">
        <v>2</v>
      </c>
      <c r="H150" s="57">
        <f>I150/G150</f>
        <v>1071.48</v>
      </c>
      <c r="I150" s="19">
        <v>2142.96</v>
      </c>
      <c r="J150" s="20">
        <f>K150/G150</f>
        <v>22.215</v>
      </c>
      <c r="K150" s="19">
        <v>44.43</v>
      </c>
      <c r="BC150" s="14"/>
      <c r="BD150" s="15"/>
      <c r="BE150" s="21" t="s">
        <v>1570</v>
      </c>
      <c r="BF150" s="12"/>
      <c r="BG150" s="43"/>
      <c r="BH150" s="12"/>
    </row>
    <row r="151" spans="1:60" s="3" customFormat="1" ht="20.399999999999999" x14ac:dyDescent="0.3">
      <c r="A151" s="25"/>
      <c r="B151" s="26" t="s">
        <v>1571</v>
      </c>
      <c r="C151" s="121" t="s">
        <v>1572</v>
      </c>
      <c r="D151" s="121"/>
      <c r="E151" s="121"/>
      <c r="F151" s="27" t="s">
        <v>142</v>
      </c>
      <c r="G151" s="58" t="s">
        <v>1573</v>
      </c>
      <c r="H151" s="58"/>
      <c r="I151" s="28"/>
      <c r="J151" s="28"/>
      <c r="K151" s="29"/>
      <c r="BC151" s="14"/>
      <c r="BD151" s="15"/>
      <c r="BE151" s="21"/>
      <c r="BF151" s="12" t="s">
        <v>1572</v>
      </c>
      <c r="BG151" s="43"/>
      <c r="BH151" s="12"/>
    </row>
    <row r="152" spans="1:60" s="3" customFormat="1" ht="30.6" x14ac:dyDescent="0.3">
      <c r="A152" s="25"/>
      <c r="B152" s="26" t="s">
        <v>607</v>
      </c>
      <c r="C152" s="121" t="s">
        <v>608</v>
      </c>
      <c r="D152" s="121"/>
      <c r="E152" s="121"/>
      <c r="F152" s="27" t="s">
        <v>609</v>
      </c>
      <c r="G152" s="58" t="s">
        <v>1574</v>
      </c>
      <c r="H152" s="58"/>
      <c r="I152" s="28"/>
      <c r="J152" s="28"/>
      <c r="K152" s="29"/>
      <c r="BC152" s="14"/>
      <c r="BD152" s="15"/>
      <c r="BE152" s="21"/>
      <c r="BF152" s="12" t="s">
        <v>608</v>
      </c>
      <c r="BG152" s="43"/>
      <c r="BH152" s="12"/>
    </row>
    <row r="153" spans="1:60" s="3" customFormat="1" ht="30.6" x14ac:dyDescent="0.3">
      <c r="A153" s="16" t="s">
        <v>1583</v>
      </c>
      <c r="B153" s="17" t="s">
        <v>1584</v>
      </c>
      <c r="C153" s="120" t="s">
        <v>1585</v>
      </c>
      <c r="D153" s="120"/>
      <c r="E153" s="120"/>
      <c r="F153" s="16" t="s">
        <v>1460</v>
      </c>
      <c r="G153" s="57">
        <v>2</v>
      </c>
      <c r="H153" s="57"/>
      <c r="I153" s="19"/>
      <c r="J153" s="20">
        <f>K153/G153</f>
        <v>52014.18</v>
      </c>
      <c r="K153" s="19">
        <v>104028.36</v>
      </c>
      <c r="BC153" s="14"/>
      <c r="BD153" s="15"/>
      <c r="BE153" s="21" t="s">
        <v>1585</v>
      </c>
      <c r="BF153" s="12"/>
      <c r="BG153" s="43"/>
      <c r="BH153" s="12"/>
    </row>
    <row r="154" spans="1:60" s="3" customFormat="1" ht="14.4" x14ac:dyDescent="0.3">
      <c r="A154" s="437" t="s">
        <v>1586</v>
      </c>
      <c r="B154" s="418"/>
      <c r="C154" s="418"/>
      <c r="D154" s="418"/>
      <c r="E154" s="418"/>
      <c r="F154" s="418"/>
      <c r="G154" s="418"/>
      <c r="H154" s="123"/>
      <c r="I154" s="123"/>
      <c r="J154" s="123"/>
      <c r="K154" s="124"/>
      <c r="BC154" s="14"/>
      <c r="BD154" s="15" t="s">
        <v>1586</v>
      </c>
      <c r="BE154" s="21"/>
      <c r="BF154" s="12"/>
      <c r="BG154" s="43"/>
      <c r="BH154" s="12"/>
    </row>
    <row r="155" spans="1:60" s="3" customFormat="1" ht="14.4" x14ac:dyDescent="0.3">
      <c r="A155" s="16" t="s">
        <v>235</v>
      </c>
      <c r="B155" s="17" t="s">
        <v>1569</v>
      </c>
      <c r="C155" s="405" t="s">
        <v>1570</v>
      </c>
      <c r="D155" s="405"/>
      <c r="E155" s="405"/>
      <c r="F155" s="16" t="s">
        <v>38</v>
      </c>
      <c r="G155" s="57">
        <v>4</v>
      </c>
      <c r="H155" s="57">
        <f>I155/G155</f>
        <v>453.42500000000001</v>
      </c>
      <c r="I155" s="19">
        <v>1813.7</v>
      </c>
      <c r="J155" s="20">
        <f>K155/G155</f>
        <v>22.212499999999999</v>
      </c>
      <c r="K155" s="19">
        <v>88.85</v>
      </c>
      <c r="BC155" s="14"/>
      <c r="BD155" s="15"/>
      <c r="BE155" s="21" t="s">
        <v>1570</v>
      </c>
      <c r="BF155" s="12"/>
      <c r="BG155" s="43"/>
      <c r="BH155" s="12"/>
    </row>
    <row r="156" spans="1:60" s="3" customFormat="1" ht="20.399999999999999" x14ac:dyDescent="0.3">
      <c r="A156" s="25"/>
      <c r="B156" s="26" t="s">
        <v>1571</v>
      </c>
      <c r="C156" s="419" t="s">
        <v>1572</v>
      </c>
      <c r="D156" s="419"/>
      <c r="E156" s="419"/>
      <c r="F156" s="27" t="s">
        <v>142</v>
      </c>
      <c r="G156" s="58" t="s">
        <v>1587</v>
      </c>
      <c r="H156" s="58"/>
      <c r="I156" s="28"/>
      <c r="J156" s="28"/>
      <c r="K156" s="29"/>
      <c r="BC156" s="14"/>
      <c r="BD156" s="15"/>
      <c r="BE156" s="21"/>
      <c r="BF156" s="12" t="s">
        <v>1572</v>
      </c>
      <c r="BG156" s="43"/>
      <c r="BH156" s="12"/>
    </row>
    <row r="157" spans="1:60" s="3" customFormat="1" ht="21.6" x14ac:dyDescent="0.3">
      <c r="A157" s="25"/>
      <c r="B157" s="26" t="s">
        <v>607</v>
      </c>
      <c r="C157" s="419" t="s">
        <v>608</v>
      </c>
      <c r="D157" s="419"/>
      <c r="E157" s="419"/>
      <c r="F157" s="27" t="s">
        <v>609</v>
      </c>
      <c r="G157" s="58" t="s">
        <v>1588</v>
      </c>
      <c r="H157" s="58"/>
      <c r="I157" s="28"/>
      <c r="J157" s="28"/>
      <c r="K157" s="29"/>
      <c r="BC157" s="14"/>
      <c r="BD157" s="15"/>
      <c r="BE157" s="21"/>
      <c r="BF157" s="12" t="s">
        <v>608</v>
      </c>
      <c r="BG157" s="43"/>
      <c r="BH157" s="12"/>
    </row>
    <row r="158" spans="1:60" s="3" customFormat="1" ht="31.8" x14ac:dyDescent="0.3">
      <c r="A158" s="16" t="s">
        <v>1589</v>
      </c>
      <c r="B158" s="17" t="s">
        <v>1590</v>
      </c>
      <c r="C158" s="405" t="s">
        <v>1591</v>
      </c>
      <c r="D158" s="405"/>
      <c r="E158" s="405"/>
      <c r="F158" s="16" t="s">
        <v>1460</v>
      </c>
      <c r="G158" s="57">
        <v>4</v>
      </c>
      <c r="H158" s="57"/>
      <c r="I158" s="19"/>
      <c r="J158" s="20">
        <f>K158/G158</f>
        <v>3592.5925000000002</v>
      </c>
      <c r="K158" s="19">
        <v>14370.37</v>
      </c>
      <c r="BC158" s="14"/>
      <c r="BD158" s="15"/>
      <c r="BE158" s="21" t="s">
        <v>1591</v>
      </c>
      <c r="BF158" s="12"/>
      <c r="BG158" s="43"/>
      <c r="BH158" s="12"/>
    </row>
    <row r="159" spans="1:60" s="3" customFormat="1" ht="20.25" customHeight="1" x14ac:dyDescent="0.3">
      <c r="A159" s="406" t="s">
        <v>57</v>
      </c>
      <c r="B159" s="407"/>
      <c r="C159" s="407"/>
      <c r="D159" s="407"/>
      <c r="E159" s="407"/>
      <c r="F159" s="407"/>
      <c r="G159" s="407"/>
      <c r="H159" s="66"/>
      <c r="I159" s="67">
        <f>SUM(I14:I158)</f>
        <v>86807.56</v>
      </c>
      <c r="J159" s="72"/>
      <c r="K159" s="87">
        <f>SUM(K14:K158)</f>
        <v>304853.32</v>
      </c>
    </row>
    <row r="160" spans="1:60" s="53" customFormat="1" ht="20.25" customHeight="1" thickBot="1" x14ac:dyDescent="0.35">
      <c r="A160" s="408" t="s">
        <v>5461</v>
      </c>
      <c r="B160" s="409"/>
      <c r="C160" s="409"/>
      <c r="D160" s="409"/>
      <c r="E160" s="409"/>
      <c r="F160" s="409"/>
      <c r="G160" s="409"/>
      <c r="H160" s="88"/>
      <c r="I160" s="410">
        <f>I159+K159</f>
        <v>391660.88</v>
      </c>
      <c r="J160" s="411"/>
      <c r="K160" s="412"/>
    </row>
    <row r="161" spans="1:64" s="3" customFormat="1" ht="53.25" customHeight="1" x14ac:dyDescent="0.3">
      <c r="A161" s="4"/>
      <c r="B161" s="4"/>
      <c r="C161" s="4"/>
      <c r="D161" s="4"/>
      <c r="E161" s="4"/>
      <c r="F161" s="4"/>
      <c r="G161" s="54"/>
      <c r="H161" s="54"/>
      <c r="I161" s="54"/>
      <c r="J161" s="54"/>
      <c r="K161" s="54"/>
    </row>
    <row r="162" spans="1:64" ht="11.25" customHeight="1" x14ac:dyDescent="0.2">
      <c r="BL162" s="54"/>
    </row>
    <row r="163" spans="1:64" ht="11.25" customHeight="1" x14ac:dyDescent="0.2">
      <c r="BL163" s="54"/>
    </row>
  </sheetData>
  <autoFilter ref="A11:BQ160" xr:uid="{00000000-0001-0000-1000-000000000000}"/>
  <mergeCells count="52">
    <mergeCell ref="A132:G132"/>
    <mergeCell ref="C126:E126"/>
    <mergeCell ref="C127:E127"/>
    <mergeCell ref="A77:G77"/>
    <mergeCell ref="A117:G117"/>
    <mergeCell ref="A102:G102"/>
    <mergeCell ref="A87:G87"/>
    <mergeCell ref="A82:G82"/>
    <mergeCell ref="C128:E128"/>
    <mergeCell ref="C129:E129"/>
    <mergeCell ref="C130:E130"/>
    <mergeCell ref="A131:G131"/>
    <mergeCell ref="C125:E125"/>
    <mergeCell ref="A124:G124"/>
    <mergeCell ref="C155:E155"/>
    <mergeCell ref="A154:G154"/>
    <mergeCell ref="A149:G149"/>
    <mergeCell ref="A144:G144"/>
    <mergeCell ref="A139:G139"/>
    <mergeCell ref="A159:G159"/>
    <mergeCell ref="A160:G160"/>
    <mergeCell ref="I160:K160"/>
    <mergeCell ref="C156:E156"/>
    <mergeCell ref="C157:E157"/>
    <mergeCell ref="C158:E158"/>
    <mergeCell ref="C57:E57"/>
    <mergeCell ref="C58:E58"/>
    <mergeCell ref="C59:E59"/>
    <mergeCell ref="C60:E60"/>
    <mergeCell ref="A71:G71"/>
    <mergeCell ref="C61:E61"/>
    <mergeCell ref="C62:E62"/>
    <mergeCell ref="C63:E63"/>
    <mergeCell ref="A65:G65"/>
    <mergeCell ref="A64:G64"/>
    <mergeCell ref="C54:E54"/>
    <mergeCell ref="C55:E55"/>
    <mergeCell ref="A6:K6"/>
    <mergeCell ref="C7:G7"/>
    <mergeCell ref="C56:E56"/>
    <mergeCell ref="C9:E9"/>
    <mergeCell ref="C10:E10"/>
    <mergeCell ref="A12:G12"/>
    <mergeCell ref="A51:G51"/>
    <mergeCell ref="A44:G44"/>
    <mergeCell ref="A27:G27"/>
    <mergeCell ref="A13:G13"/>
    <mergeCell ref="A2:K2"/>
    <mergeCell ref="A3:K3"/>
    <mergeCell ref="A5:K5"/>
    <mergeCell ref="C52:E52"/>
    <mergeCell ref="C53:E53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BJ36"/>
  <sheetViews>
    <sheetView workbookViewId="0">
      <selection activeCell="A19" sqref="A19:G1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6.33203125" style="1" customWidth="1"/>
    <col min="5" max="5" width="23.5546875" style="1" customWidth="1"/>
    <col min="6" max="7" width="10.6640625" style="1" customWidth="1"/>
    <col min="8" max="11" width="19.664062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59" width="34.109375" style="2" hidden="1" customWidth="1"/>
    <col min="60" max="62" width="127.5546875" style="2" hidden="1" customWidth="1"/>
    <col min="63" max="16384" width="9.109375" style="1"/>
  </cols>
  <sheetData>
    <row r="1" spans="1:59" s="3" customFormat="1" ht="14.4" x14ac:dyDescent="0.3">
      <c r="A1" s="95" t="s">
        <v>5557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pans="1:59" s="3" customFormat="1" ht="30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9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9" s="3" customFormat="1" ht="14.4" x14ac:dyDescent="0.3">
      <c r="A5" s="403" t="s">
        <v>894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AD5" s="6" t="s">
        <v>894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9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9" s="3" customFormat="1" ht="14.4" x14ac:dyDescent="0.3">
      <c r="A7" s="4"/>
      <c r="B7" s="8" t="s">
        <v>5</v>
      </c>
      <c r="C7" s="402" t="s">
        <v>810</v>
      </c>
      <c r="D7" s="402"/>
      <c r="E7" s="402"/>
      <c r="F7" s="402"/>
      <c r="G7" s="402"/>
      <c r="H7" s="11"/>
      <c r="I7" s="9"/>
      <c r="J7" s="9"/>
      <c r="K7" s="9"/>
    </row>
    <row r="8" spans="1:59" s="3" customFormat="1" ht="15" thickBot="1" x14ac:dyDescent="0.35">
      <c r="A8" s="13"/>
    </row>
    <row r="9" spans="1:59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9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9" s="3" customFormat="1" ht="15" thickBot="1" x14ac:dyDescent="0.35">
      <c r="A11" s="142"/>
      <c r="B11" s="142"/>
      <c r="C11" s="142"/>
      <c r="D11" s="142"/>
      <c r="E11" s="142"/>
      <c r="F11" s="143"/>
      <c r="G11" s="142"/>
      <c r="H11" s="144"/>
      <c r="I11" s="139"/>
      <c r="J11" s="139"/>
      <c r="K11" s="140"/>
    </row>
    <row r="12" spans="1:59" s="3" customFormat="1" ht="15" customHeight="1" x14ac:dyDescent="0.3">
      <c r="A12" s="433" t="s">
        <v>895</v>
      </c>
      <c r="B12" s="434"/>
      <c r="C12" s="434"/>
      <c r="D12" s="434"/>
      <c r="E12" s="434"/>
      <c r="F12" s="434"/>
      <c r="G12" s="434"/>
      <c r="H12" s="96"/>
      <c r="I12" s="96"/>
      <c r="J12" s="96"/>
      <c r="K12" s="97"/>
      <c r="BC12" s="14" t="s">
        <v>895</v>
      </c>
    </row>
    <row r="13" spans="1:59" s="3" customFormat="1" ht="15" customHeight="1" x14ac:dyDescent="0.3">
      <c r="A13" s="437" t="s">
        <v>896</v>
      </c>
      <c r="B13" s="418"/>
      <c r="C13" s="418"/>
      <c r="D13" s="418"/>
      <c r="E13" s="418"/>
      <c r="F13" s="418"/>
      <c r="G13" s="418"/>
      <c r="H13" s="61"/>
      <c r="I13" s="61"/>
      <c r="J13" s="61"/>
      <c r="K13" s="62"/>
      <c r="BC13" s="14"/>
      <c r="BD13" s="15" t="s">
        <v>896</v>
      </c>
    </row>
    <row r="14" spans="1:59" s="3" customFormat="1" ht="21.6" x14ac:dyDescent="0.3">
      <c r="A14" s="16" t="s">
        <v>15</v>
      </c>
      <c r="B14" s="17" t="s">
        <v>382</v>
      </c>
      <c r="C14" s="451" t="s">
        <v>5558</v>
      </c>
      <c r="D14" s="405"/>
      <c r="E14" s="405"/>
      <c r="F14" s="16" t="s">
        <v>70</v>
      </c>
      <c r="G14" s="24">
        <v>4.5999999999999996</v>
      </c>
      <c r="H14" s="24">
        <f>I14/G14</f>
        <v>34558.354347826091</v>
      </c>
      <c r="I14" s="19">
        <v>158968.43</v>
      </c>
      <c r="J14" s="20">
        <f>K14/G14</f>
        <v>0</v>
      </c>
      <c r="K14" s="19">
        <v>0</v>
      </c>
      <c r="BC14" s="14"/>
      <c r="BD14" s="15"/>
      <c r="BE14" s="21" t="s">
        <v>383</v>
      </c>
    </row>
    <row r="15" spans="1:59" s="3" customFormat="1" ht="15" customHeight="1" x14ac:dyDescent="0.3">
      <c r="A15" s="437" t="s">
        <v>897</v>
      </c>
      <c r="B15" s="418"/>
      <c r="C15" s="418"/>
      <c r="D15" s="418"/>
      <c r="E15" s="418"/>
      <c r="F15" s="418"/>
      <c r="G15" s="418"/>
      <c r="H15" s="61"/>
      <c r="I15" s="61"/>
      <c r="J15" s="61"/>
      <c r="K15" s="62"/>
      <c r="BC15" s="14"/>
      <c r="BD15" s="15" t="s">
        <v>897</v>
      </c>
      <c r="BE15" s="21"/>
      <c r="BF15" s="12"/>
      <c r="BG15" s="43"/>
    </row>
    <row r="16" spans="1:59" s="3" customFormat="1" ht="15" customHeight="1" x14ac:dyDescent="0.3">
      <c r="A16" s="437" t="s">
        <v>898</v>
      </c>
      <c r="B16" s="418"/>
      <c r="C16" s="418"/>
      <c r="D16" s="418"/>
      <c r="E16" s="418"/>
      <c r="F16" s="418"/>
      <c r="G16" s="418"/>
      <c r="H16" s="61"/>
      <c r="I16" s="61"/>
      <c r="J16" s="61"/>
      <c r="K16" s="62"/>
      <c r="BC16" s="14"/>
      <c r="BD16" s="15" t="s">
        <v>898</v>
      </c>
      <c r="BE16" s="21"/>
      <c r="BF16" s="12"/>
      <c r="BG16" s="43"/>
    </row>
    <row r="17" spans="1:59" s="3" customFormat="1" ht="15" customHeight="1" x14ac:dyDescent="0.3">
      <c r="A17" s="437" t="s">
        <v>899</v>
      </c>
      <c r="B17" s="418"/>
      <c r="C17" s="418"/>
      <c r="D17" s="418"/>
      <c r="E17" s="418"/>
      <c r="F17" s="418"/>
      <c r="G17" s="418"/>
      <c r="H17" s="61"/>
      <c r="I17" s="61"/>
      <c r="J17" s="61"/>
      <c r="K17" s="62"/>
      <c r="BC17" s="14"/>
      <c r="BD17" s="15" t="s">
        <v>899</v>
      </c>
      <c r="BE17" s="21"/>
      <c r="BF17" s="12"/>
      <c r="BG17" s="43"/>
    </row>
    <row r="18" spans="1:59" s="3" customFormat="1" ht="34.5" customHeight="1" x14ac:dyDescent="0.3">
      <c r="A18" s="16" t="s">
        <v>20</v>
      </c>
      <c r="B18" s="17" t="s">
        <v>500</v>
      </c>
      <c r="C18" s="450" t="s">
        <v>5559</v>
      </c>
      <c r="D18" s="428"/>
      <c r="E18" s="429"/>
      <c r="F18" s="16" t="s">
        <v>70</v>
      </c>
      <c r="G18" s="24">
        <v>4.9000000000000004</v>
      </c>
      <c r="H18" s="24">
        <f t="shared" ref="H18:H33" si="0">I18/G18</f>
        <v>30756.287755102039</v>
      </c>
      <c r="I18" s="19">
        <v>150705.81</v>
      </c>
      <c r="J18" s="20">
        <f t="shared" ref="J18:J21" si="1">K18/G18</f>
        <v>0</v>
      </c>
      <c r="K18" s="19">
        <v>0</v>
      </c>
      <c r="BC18" s="14"/>
      <c r="BD18" s="15"/>
      <c r="BE18" s="21" t="s">
        <v>501</v>
      </c>
      <c r="BF18" s="12"/>
      <c r="BG18" s="43"/>
    </row>
    <row r="19" spans="1:59" s="3" customFormat="1" ht="15" customHeight="1" x14ac:dyDescent="0.3">
      <c r="A19" s="437" t="s">
        <v>900</v>
      </c>
      <c r="B19" s="418"/>
      <c r="C19" s="418"/>
      <c r="D19" s="418"/>
      <c r="E19" s="418"/>
      <c r="F19" s="418"/>
      <c r="G19" s="418"/>
      <c r="H19" s="61"/>
      <c r="I19" s="61"/>
      <c r="J19" s="61"/>
      <c r="K19" s="62"/>
      <c r="BC19" s="14"/>
      <c r="BD19" s="15" t="s">
        <v>900</v>
      </c>
      <c r="BE19" s="21"/>
      <c r="BF19" s="12"/>
      <c r="BG19" s="43"/>
    </row>
    <row r="20" spans="1:59" s="3" customFormat="1" ht="45.75" customHeight="1" x14ac:dyDescent="0.3">
      <c r="A20" s="16" t="s">
        <v>22</v>
      </c>
      <c r="B20" s="17" t="s">
        <v>901</v>
      </c>
      <c r="C20" s="427" t="s">
        <v>902</v>
      </c>
      <c r="D20" s="428"/>
      <c r="E20" s="429"/>
      <c r="F20" s="16" t="s">
        <v>43</v>
      </c>
      <c r="G20" s="30">
        <v>3.4200000000000001E-2</v>
      </c>
      <c r="H20" s="24">
        <f t="shared" si="0"/>
        <v>42640.935672514614</v>
      </c>
      <c r="I20" s="19">
        <v>1458.32</v>
      </c>
      <c r="J20" s="20">
        <f t="shared" si="1"/>
        <v>0</v>
      </c>
      <c r="K20" s="19">
        <v>0</v>
      </c>
      <c r="BC20" s="14"/>
      <c r="BD20" s="15"/>
      <c r="BE20" s="21" t="s">
        <v>902</v>
      </c>
      <c r="BF20" s="12"/>
      <c r="BG20" s="43"/>
    </row>
    <row r="21" spans="1:59" s="3" customFormat="1" ht="34.5" customHeight="1" x14ac:dyDescent="0.3">
      <c r="A21" s="16" t="s">
        <v>27</v>
      </c>
      <c r="B21" s="17" t="s">
        <v>903</v>
      </c>
      <c r="C21" s="427" t="s">
        <v>904</v>
      </c>
      <c r="D21" s="428"/>
      <c r="E21" s="429"/>
      <c r="F21" s="16" t="s">
        <v>125</v>
      </c>
      <c r="G21" s="18">
        <v>3.7999999999999999E-2</v>
      </c>
      <c r="H21" s="24">
        <f t="shared" si="0"/>
        <v>122913.15789473684</v>
      </c>
      <c r="I21" s="19">
        <v>4670.7</v>
      </c>
      <c r="J21" s="20">
        <f t="shared" si="1"/>
        <v>0</v>
      </c>
      <c r="K21" s="19">
        <v>0</v>
      </c>
      <c r="BC21" s="14"/>
      <c r="BD21" s="15"/>
      <c r="BE21" s="21" t="s">
        <v>904</v>
      </c>
      <c r="BF21" s="12"/>
      <c r="BG21" s="43"/>
    </row>
    <row r="22" spans="1:59" s="3" customFormat="1" ht="15" customHeight="1" x14ac:dyDescent="0.3">
      <c r="A22" s="437" t="s">
        <v>905</v>
      </c>
      <c r="B22" s="418"/>
      <c r="C22" s="418"/>
      <c r="D22" s="418"/>
      <c r="E22" s="418"/>
      <c r="F22" s="418"/>
      <c r="G22" s="418"/>
      <c r="H22" s="61"/>
      <c r="I22" s="61"/>
      <c r="J22" s="61"/>
      <c r="K22" s="62"/>
      <c r="BC22" s="14"/>
      <c r="BD22" s="15" t="s">
        <v>905</v>
      </c>
      <c r="BE22" s="21"/>
      <c r="BF22" s="12"/>
      <c r="BG22" s="43"/>
    </row>
    <row r="23" spans="1:59" s="3" customFormat="1" ht="34.5" customHeight="1" x14ac:dyDescent="0.3">
      <c r="A23" s="16" t="s">
        <v>35</v>
      </c>
      <c r="B23" s="17" t="s">
        <v>906</v>
      </c>
      <c r="C23" s="427" t="s">
        <v>907</v>
      </c>
      <c r="D23" s="428"/>
      <c r="E23" s="429"/>
      <c r="F23" s="16" t="s">
        <v>46</v>
      </c>
      <c r="G23" s="31">
        <v>14.31</v>
      </c>
      <c r="H23" s="24">
        <f t="shared" si="0"/>
        <v>20476.711390635919</v>
      </c>
      <c r="I23" s="19">
        <f>295683.79-K23</f>
        <v>293021.74</v>
      </c>
      <c r="J23" s="20"/>
      <c r="K23" s="19">
        <v>2662.05</v>
      </c>
      <c r="BC23" s="14"/>
      <c r="BD23" s="15"/>
      <c r="BE23" s="21" t="s">
        <v>907</v>
      </c>
      <c r="BF23" s="12"/>
      <c r="BG23" s="43"/>
    </row>
    <row r="24" spans="1:59" s="3" customFormat="1" ht="22.5" customHeight="1" x14ac:dyDescent="0.3">
      <c r="A24" s="25"/>
      <c r="B24" s="26" t="s">
        <v>858</v>
      </c>
      <c r="C24" s="419" t="s">
        <v>859</v>
      </c>
      <c r="D24" s="419"/>
      <c r="E24" s="419"/>
      <c r="F24" s="27" t="s">
        <v>46</v>
      </c>
      <c r="G24" s="22" t="s">
        <v>908</v>
      </c>
      <c r="H24" s="24"/>
      <c r="I24" s="28"/>
      <c r="J24" s="28"/>
      <c r="K24" s="29"/>
      <c r="BC24" s="14"/>
      <c r="BD24" s="15"/>
      <c r="BE24" s="21"/>
      <c r="BF24" s="12" t="s">
        <v>859</v>
      </c>
      <c r="BG24" s="43"/>
    </row>
    <row r="25" spans="1:59" s="3" customFormat="1" ht="22.5" customHeight="1" x14ac:dyDescent="0.3">
      <c r="A25" s="25"/>
      <c r="B25" s="26" t="s">
        <v>384</v>
      </c>
      <c r="C25" s="419" t="s">
        <v>385</v>
      </c>
      <c r="D25" s="419"/>
      <c r="E25" s="419"/>
      <c r="F25" s="27" t="s">
        <v>46</v>
      </c>
      <c r="G25" s="22" t="s">
        <v>909</v>
      </c>
      <c r="H25" s="24"/>
      <c r="I25" s="28"/>
      <c r="J25" s="28"/>
      <c r="K25" s="29"/>
      <c r="BC25" s="14"/>
      <c r="BD25" s="15"/>
      <c r="BE25" s="21"/>
      <c r="BF25" s="12" t="s">
        <v>385</v>
      </c>
      <c r="BG25" s="43"/>
    </row>
    <row r="26" spans="1:59" s="3" customFormat="1" ht="45.75" customHeight="1" x14ac:dyDescent="0.3">
      <c r="A26" s="16" t="s">
        <v>40</v>
      </c>
      <c r="B26" s="17" t="s">
        <v>910</v>
      </c>
      <c r="C26" s="427" t="s">
        <v>911</v>
      </c>
      <c r="D26" s="428"/>
      <c r="E26" s="429"/>
      <c r="F26" s="16" t="s">
        <v>46</v>
      </c>
      <c r="G26" s="31">
        <v>1.59</v>
      </c>
      <c r="H26" s="24">
        <f t="shared" si="0"/>
        <v>62432.301886792447</v>
      </c>
      <c r="I26" s="19">
        <f>99583.27-K26</f>
        <v>99267.36</v>
      </c>
      <c r="J26" s="20"/>
      <c r="K26" s="19">
        <v>315.91000000000003</v>
      </c>
      <c r="BC26" s="14"/>
      <c r="BD26" s="15"/>
      <c r="BE26" s="21" t="s">
        <v>911</v>
      </c>
      <c r="BF26" s="12"/>
      <c r="BG26" s="43"/>
    </row>
    <row r="27" spans="1:59" s="3" customFormat="1" ht="22.5" customHeight="1" x14ac:dyDescent="0.3">
      <c r="A27" s="25"/>
      <c r="B27" s="26" t="s">
        <v>858</v>
      </c>
      <c r="C27" s="419" t="s">
        <v>859</v>
      </c>
      <c r="D27" s="419"/>
      <c r="E27" s="419"/>
      <c r="F27" s="27" t="s">
        <v>46</v>
      </c>
      <c r="G27" s="22" t="s">
        <v>912</v>
      </c>
      <c r="H27" s="24"/>
      <c r="I27" s="28"/>
      <c r="J27" s="28"/>
      <c r="K27" s="29"/>
      <c r="BC27" s="14"/>
      <c r="BD27" s="15"/>
      <c r="BE27" s="21"/>
      <c r="BF27" s="12" t="s">
        <v>859</v>
      </c>
      <c r="BG27" s="43"/>
    </row>
    <row r="28" spans="1:59" s="3" customFormat="1" ht="22.5" customHeight="1" x14ac:dyDescent="0.3">
      <c r="A28" s="25"/>
      <c r="B28" s="26" t="s">
        <v>384</v>
      </c>
      <c r="C28" s="419" t="s">
        <v>385</v>
      </c>
      <c r="D28" s="419"/>
      <c r="E28" s="419"/>
      <c r="F28" s="27" t="s">
        <v>46</v>
      </c>
      <c r="G28" s="22" t="s">
        <v>913</v>
      </c>
      <c r="H28" s="24"/>
      <c r="I28" s="28"/>
      <c r="J28" s="28"/>
      <c r="K28" s="29"/>
      <c r="BC28" s="14"/>
      <c r="BD28" s="15"/>
      <c r="BE28" s="21"/>
      <c r="BF28" s="12" t="s">
        <v>385</v>
      </c>
      <c r="BG28" s="43"/>
    </row>
    <row r="29" spans="1:59" s="3" customFormat="1" ht="15" customHeight="1" x14ac:dyDescent="0.3">
      <c r="A29" s="437" t="s">
        <v>914</v>
      </c>
      <c r="B29" s="418"/>
      <c r="C29" s="418"/>
      <c r="D29" s="418"/>
      <c r="E29" s="418"/>
      <c r="F29" s="418"/>
      <c r="G29" s="418"/>
      <c r="H29" s="61"/>
      <c r="I29" s="61"/>
      <c r="J29" s="61"/>
      <c r="K29" s="62"/>
      <c r="BC29" s="14"/>
      <c r="BD29" s="15" t="s">
        <v>914</v>
      </c>
      <c r="BE29" s="21"/>
      <c r="BF29" s="12"/>
      <c r="BG29" s="43"/>
    </row>
    <row r="30" spans="1:59" s="3" customFormat="1" ht="45.75" customHeight="1" x14ac:dyDescent="0.3">
      <c r="A30" s="16" t="s">
        <v>47</v>
      </c>
      <c r="B30" s="17" t="s">
        <v>257</v>
      </c>
      <c r="C30" s="427" t="s">
        <v>258</v>
      </c>
      <c r="D30" s="428"/>
      <c r="E30" s="429"/>
      <c r="F30" s="16" t="s">
        <v>43</v>
      </c>
      <c r="G30" s="30">
        <v>1.5900000000000001E-2</v>
      </c>
      <c r="H30" s="24">
        <f t="shared" si="0"/>
        <v>11165.408805031446</v>
      </c>
      <c r="I30" s="19">
        <v>177.53</v>
      </c>
      <c r="J30" s="20">
        <f>K30/G30</f>
        <v>0</v>
      </c>
      <c r="K30" s="19">
        <v>0</v>
      </c>
      <c r="BC30" s="14"/>
      <c r="BD30" s="15"/>
      <c r="BE30" s="21" t="s">
        <v>258</v>
      </c>
      <c r="BF30" s="12"/>
      <c r="BG30" s="43"/>
    </row>
    <row r="31" spans="1:59" s="3" customFormat="1" ht="15" customHeight="1" x14ac:dyDescent="0.3">
      <c r="A31" s="437" t="s">
        <v>95</v>
      </c>
      <c r="B31" s="418"/>
      <c r="C31" s="418"/>
      <c r="D31" s="418"/>
      <c r="E31" s="418"/>
      <c r="F31" s="418"/>
      <c r="G31" s="418"/>
      <c r="H31" s="61"/>
      <c r="I31" s="61"/>
      <c r="J31" s="61"/>
      <c r="K31" s="62"/>
      <c r="BC31" s="14"/>
      <c r="BD31" s="15" t="s">
        <v>95</v>
      </c>
      <c r="BE31" s="21"/>
      <c r="BF31" s="12"/>
      <c r="BG31" s="43"/>
    </row>
    <row r="32" spans="1:59" s="3" customFormat="1" ht="31.8" x14ac:dyDescent="0.3">
      <c r="A32" s="16" t="s">
        <v>52</v>
      </c>
      <c r="B32" s="17" t="s">
        <v>96</v>
      </c>
      <c r="C32" s="405" t="s">
        <v>97</v>
      </c>
      <c r="D32" s="405"/>
      <c r="E32" s="405"/>
      <c r="F32" s="16" t="s">
        <v>50</v>
      </c>
      <c r="G32" s="31">
        <v>49.31</v>
      </c>
      <c r="H32" s="24">
        <f t="shared" si="0"/>
        <v>44.772054350030416</v>
      </c>
      <c r="I32" s="19">
        <v>2207.71</v>
      </c>
      <c r="J32" s="20">
        <f t="shared" ref="J32:J33" si="2">K32/G32</f>
        <v>0</v>
      </c>
      <c r="K32" s="19">
        <v>0</v>
      </c>
      <c r="N32" s="56"/>
      <c r="BC32" s="14"/>
      <c r="BD32" s="15"/>
      <c r="BE32" s="21" t="s">
        <v>97</v>
      </c>
      <c r="BF32" s="12"/>
      <c r="BG32" s="43"/>
    </row>
    <row r="33" spans="1:59" s="3" customFormat="1" ht="42" x14ac:dyDescent="0.3">
      <c r="A33" s="16" t="s">
        <v>55</v>
      </c>
      <c r="B33" s="17" t="s">
        <v>48</v>
      </c>
      <c r="C33" s="405" t="s">
        <v>49</v>
      </c>
      <c r="D33" s="405"/>
      <c r="E33" s="405"/>
      <c r="F33" s="16" t="s">
        <v>50</v>
      </c>
      <c r="G33" s="31">
        <v>49.31</v>
      </c>
      <c r="H33" s="24">
        <f t="shared" si="0"/>
        <v>598.37578584465621</v>
      </c>
      <c r="I33" s="19">
        <v>29505.91</v>
      </c>
      <c r="J33" s="20">
        <f t="shared" si="2"/>
        <v>0</v>
      </c>
      <c r="K33" s="19">
        <v>0</v>
      </c>
      <c r="N33" s="56"/>
      <c r="BC33" s="14"/>
      <c r="BD33" s="15"/>
      <c r="BE33" s="21" t="s">
        <v>49</v>
      </c>
      <c r="BF33" s="12"/>
      <c r="BG33" s="43"/>
    </row>
    <row r="34" spans="1:59" s="3" customFormat="1" ht="20.25" customHeight="1" x14ac:dyDescent="0.3">
      <c r="A34" s="406" t="s">
        <v>57</v>
      </c>
      <c r="B34" s="407"/>
      <c r="C34" s="407"/>
      <c r="D34" s="407"/>
      <c r="E34" s="407"/>
      <c r="F34" s="407"/>
      <c r="G34" s="407"/>
      <c r="H34" s="66"/>
      <c r="I34" s="67">
        <f>SUM(I12:I33)</f>
        <v>739983.51</v>
      </c>
      <c r="J34" s="72"/>
      <c r="K34" s="67">
        <f>SUM(K12:K33)</f>
        <v>2977.96</v>
      </c>
    </row>
    <row r="35" spans="1:59" s="53" customFormat="1" ht="20.25" customHeight="1" thickBot="1" x14ac:dyDescent="0.35">
      <c r="A35" s="408" t="s">
        <v>5461</v>
      </c>
      <c r="B35" s="409"/>
      <c r="C35" s="409"/>
      <c r="D35" s="409"/>
      <c r="E35" s="409"/>
      <c r="F35" s="409"/>
      <c r="G35" s="409"/>
      <c r="H35" s="88"/>
      <c r="I35" s="410">
        <f>I34+K34</f>
        <v>742961.47</v>
      </c>
      <c r="J35" s="411"/>
      <c r="K35" s="412"/>
    </row>
    <row r="36" spans="1:59" s="3" customFormat="1" ht="53.2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</sheetData>
  <autoFilter ref="A11:BP35" xr:uid="{00000000-0001-0000-0800-000000000000}"/>
  <mergeCells count="32">
    <mergeCell ref="A34:G34"/>
    <mergeCell ref="A35:G35"/>
    <mergeCell ref="I35:K35"/>
    <mergeCell ref="A12:G12"/>
    <mergeCell ref="A13:G13"/>
    <mergeCell ref="A15:G15"/>
    <mergeCell ref="A16:G16"/>
    <mergeCell ref="A17:G17"/>
    <mergeCell ref="C33:E33"/>
    <mergeCell ref="C28:E28"/>
    <mergeCell ref="C30:E30"/>
    <mergeCell ref="C32:E32"/>
    <mergeCell ref="A29:G29"/>
    <mergeCell ref="A31:G31"/>
    <mergeCell ref="C23:E23"/>
    <mergeCell ref="C24:E24"/>
    <mergeCell ref="C25:E25"/>
    <mergeCell ref="C26:E26"/>
    <mergeCell ref="C27:E27"/>
    <mergeCell ref="C20:E20"/>
    <mergeCell ref="C21:E21"/>
    <mergeCell ref="A19:G19"/>
    <mergeCell ref="A22:G22"/>
    <mergeCell ref="C18:E18"/>
    <mergeCell ref="C14:E14"/>
    <mergeCell ref="A6:K6"/>
    <mergeCell ref="C7:G7"/>
    <mergeCell ref="A2:K2"/>
    <mergeCell ref="A3:K3"/>
    <mergeCell ref="A5:K5"/>
    <mergeCell ref="C9:E9"/>
    <mergeCell ref="C10:E10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BK114"/>
  <sheetViews>
    <sheetView workbookViewId="0">
      <selection activeCell="L13" sqref="L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26.88671875" style="1" customWidth="1"/>
    <col min="6" max="7" width="10.6640625" style="1" customWidth="1"/>
    <col min="8" max="11" width="18.8867187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5556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14.4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809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809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30.75" customHeight="1" x14ac:dyDescent="0.3">
      <c r="A7" s="4"/>
      <c r="B7" s="8" t="s">
        <v>5</v>
      </c>
      <c r="C7" s="402" t="s">
        <v>810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13"/>
      <c r="H8" s="56"/>
      <c r="I8" s="56"/>
      <c r="J8" s="56"/>
      <c r="K8" s="56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5" customHeight="1" x14ac:dyDescent="0.3">
      <c r="A11" s="433" t="s">
        <v>811</v>
      </c>
      <c r="B11" s="434"/>
      <c r="C11" s="434"/>
      <c r="D11" s="434"/>
      <c r="E11" s="434"/>
      <c r="F11" s="434"/>
      <c r="G11" s="434"/>
      <c r="H11" s="103"/>
      <c r="I11" s="103"/>
      <c r="J11" s="103"/>
      <c r="K11" s="104"/>
      <c r="BC11" s="14" t="s">
        <v>811</v>
      </c>
    </row>
    <row r="12" spans="1:57" s="3" customFormat="1" ht="15" customHeight="1" x14ac:dyDescent="0.3">
      <c r="A12" s="437" t="s">
        <v>251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C12" s="14"/>
      <c r="BD12" s="15" t="s">
        <v>251</v>
      </c>
    </row>
    <row r="13" spans="1:57" s="3" customFormat="1" ht="52.2" x14ac:dyDescent="0.3">
      <c r="A13" s="16" t="s">
        <v>15</v>
      </c>
      <c r="B13" s="17" t="s">
        <v>223</v>
      </c>
      <c r="C13" s="405" t="s">
        <v>224</v>
      </c>
      <c r="D13" s="405"/>
      <c r="E13" s="405"/>
      <c r="F13" s="16" t="s">
        <v>43</v>
      </c>
      <c r="G13" s="18">
        <v>4.8000000000000001E-2</v>
      </c>
      <c r="H13" s="57">
        <f>I13/G13</f>
        <v>56854.375</v>
      </c>
      <c r="I13" s="19">
        <v>2729.01</v>
      </c>
      <c r="J13" s="19">
        <f>K13/G13</f>
        <v>0</v>
      </c>
      <c r="K13" s="19">
        <v>0</v>
      </c>
      <c r="BC13" s="14"/>
      <c r="BD13" s="15"/>
      <c r="BE13" s="21" t="s">
        <v>224</v>
      </c>
    </row>
    <row r="14" spans="1:57" s="3" customFormat="1" ht="15" customHeight="1" x14ac:dyDescent="0.3">
      <c r="A14" s="437" t="s">
        <v>252</v>
      </c>
      <c r="B14" s="418"/>
      <c r="C14" s="418"/>
      <c r="D14" s="418"/>
      <c r="E14" s="418"/>
      <c r="F14" s="418"/>
      <c r="G14" s="418"/>
      <c r="H14" s="123"/>
      <c r="I14" s="123"/>
      <c r="J14" s="123"/>
      <c r="K14" s="124"/>
      <c r="BC14" s="14"/>
      <c r="BD14" s="15" t="s">
        <v>252</v>
      </c>
      <c r="BE14" s="21"/>
    </row>
    <row r="15" spans="1:57" s="3" customFormat="1" ht="42" x14ac:dyDescent="0.3">
      <c r="A15" s="16" t="s">
        <v>20</v>
      </c>
      <c r="B15" s="17" t="s">
        <v>48</v>
      </c>
      <c r="C15" s="405" t="s">
        <v>49</v>
      </c>
      <c r="D15" s="405"/>
      <c r="E15" s="405"/>
      <c r="F15" s="16" t="s">
        <v>50</v>
      </c>
      <c r="G15" s="24">
        <v>38.200000000000003</v>
      </c>
      <c r="H15" s="57">
        <f t="shared" ref="H15:H77" si="0">I15/G15</f>
        <v>598.37591623036644</v>
      </c>
      <c r="I15" s="19">
        <v>22857.96</v>
      </c>
      <c r="J15" s="19">
        <f t="shared" ref="J15:J77" si="1">K15/G15</f>
        <v>0</v>
      </c>
      <c r="K15" s="19">
        <v>0</v>
      </c>
      <c r="BC15" s="14"/>
      <c r="BD15" s="15"/>
      <c r="BE15" s="21" t="s">
        <v>49</v>
      </c>
    </row>
    <row r="16" spans="1:57" s="3" customFormat="1" ht="15" customHeight="1" x14ac:dyDescent="0.3">
      <c r="A16" s="437" t="s">
        <v>253</v>
      </c>
      <c r="B16" s="418"/>
      <c r="C16" s="418"/>
      <c r="D16" s="418"/>
      <c r="E16" s="418"/>
      <c r="F16" s="418"/>
      <c r="G16" s="418"/>
      <c r="H16" s="123"/>
      <c r="I16" s="123"/>
      <c r="J16" s="123"/>
      <c r="K16" s="124"/>
      <c r="BC16" s="14"/>
      <c r="BD16" s="15" t="s">
        <v>253</v>
      </c>
      <c r="BE16" s="21"/>
    </row>
    <row r="17" spans="1:59" s="3" customFormat="1" ht="42" x14ac:dyDescent="0.3">
      <c r="A17" s="16" t="s">
        <v>22</v>
      </c>
      <c r="B17" s="17" t="s">
        <v>254</v>
      </c>
      <c r="C17" s="405" t="s">
        <v>255</v>
      </c>
      <c r="D17" s="405"/>
      <c r="E17" s="405"/>
      <c r="F17" s="16" t="s">
        <v>50</v>
      </c>
      <c r="G17" s="24">
        <v>62.4</v>
      </c>
      <c r="H17" s="57">
        <f t="shared" si="0"/>
        <v>45.134134615384617</v>
      </c>
      <c r="I17" s="19">
        <v>2816.37</v>
      </c>
      <c r="J17" s="19">
        <f t="shared" si="1"/>
        <v>0</v>
      </c>
      <c r="K17" s="19">
        <v>0</v>
      </c>
      <c r="BC17" s="14"/>
      <c r="BD17" s="15"/>
      <c r="BE17" s="21" t="s">
        <v>255</v>
      </c>
    </row>
    <row r="18" spans="1:59" s="3" customFormat="1" ht="15" customHeight="1" x14ac:dyDescent="0.3">
      <c r="A18" s="437" t="s">
        <v>812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24"/>
      <c r="BC18" s="14"/>
      <c r="BD18" s="15" t="s">
        <v>812</v>
      </c>
      <c r="BE18" s="21"/>
    </row>
    <row r="19" spans="1:59" s="3" customFormat="1" ht="31.8" x14ac:dyDescent="0.3">
      <c r="A19" s="16" t="s">
        <v>27</v>
      </c>
      <c r="B19" s="17" t="s">
        <v>813</v>
      </c>
      <c r="C19" s="405" t="s">
        <v>814</v>
      </c>
      <c r="D19" s="405"/>
      <c r="E19" s="405"/>
      <c r="F19" s="16" t="s">
        <v>115</v>
      </c>
      <c r="G19" s="23">
        <v>32</v>
      </c>
      <c r="H19" s="57">
        <f t="shared" si="0"/>
        <v>1320.4821875</v>
      </c>
      <c r="I19" s="19">
        <v>42255.43</v>
      </c>
      <c r="J19" s="19">
        <f t="shared" si="1"/>
        <v>77.4375</v>
      </c>
      <c r="K19" s="19">
        <v>2478</v>
      </c>
      <c r="BC19" s="14"/>
      <c r="BD19" s="15"/>
      <c r="BE19" s="21" t="s">
        <v>814</v>
      </c>
    </row>
    <row r="20" spans="1:59" s="3" customFormat="1" ht="20.399999999999999" x14ac:dyDescent="0.3">
      <c r="A20" s="37" t="s">
        <v>78</v>
      </c>
      <c r="B20" s="38" t="s">
        <v>815</v>
      </c>
      <c r="C20" s="430" t="s">
        <v>816</v>
      </c>
      <c r="D20" s="430"/>
      <c r="E20" s="430"/>
      <c r="F20" s="39" t="s">
        <v>70</v>
      </c>
      <c r="G20" s="40" t="s">
        <v>33</v>
      </c>
      <c r="H20" s="57"/>
      <c r="I20" s="41"/>
      <c r="J20" s="19"/>
      <c r="K20" s="42"/>
      <c r="BC20" s="14"/>
      <c r="BD20" s="15"/>
      <c r="BE20" s="21"/>
      <c r="BF20" s="43" t="s">
        <v>816</v>
      </c>
    </row>
    <row r="21" spans="1:59" s="3" customFormat="1" ht="20.399999999999999" x14ac:dyDescent="0.3">
      <c r="A21" s="37" t="s">
        <v>78</v>
      </c>
      <c r="B21" s="38" t="s">
        <v>817</v>
      </c>
      <c r="C21" s="430" t="s">
        <v>818</v>
      </c>
      <c r="D21" s="430"/>
      <c r="E21" s="430"/>
      <c r="F21" s="39" t="s">
        <v>25</v>
      </c>
      <c r="G21" s="40" t="s">
        <v>33</v>
      </c>
      <c r="H21" s="57"/>
      <c r="I21" s="41"/>
      <c r="J21" s="19"/>
      <c r="K21" s="42"/>
      <c r="BC21" s="14"/>
      <c r="BD21" s="15"/>
      <c r="BE21" s="21"/>
      <c r="BF21" s="43" t="s">
        <v>818</v>
      </c>
    </row>
    <row r="22" spans="1:59" s="3" customFormat="1" ht="20.399999999999999" x14ac:dyDescent="0.3">
      <c r="A22" s="25"/>
      <c r="B22" s="26" t="s">
        <v>154</v>
      </c>
      <c r="C22" s="419" t="s">
        <v>155</v>
      </c>
      <c r="D22" s="419"/>
      <c r="E22" s="419"/>
      <c r="F22" s="27" t="s">
        <v>46</v>
      </c>
      <c r="G22" s="22" t="s">
        <v>819</v>
      </c>
      <c r="H22" s="57"/>
      <c r="I22" s="28"/>
      <c r="J22" s="19"/>
      <c r="K22" s="29"/>
      <c r="BC22" s="14"/>
      <c r="BD22" s="15"/>
      <c r="BE22" s="21"/>
      <c r="BF22" s="43"/>
      <c r="BG22" s="12" t="s">
        <v>155</v>
      </c>
    </row>
    <row r="23" spans="1:59" s="3" customFormat="1" ht="20.399999999999999" x14ac:dyDescent="0.3">
      <c r="A23" s="37" t="s">
        <v>78</v>
      </c>
      <c r="B23" s="38" t="s">
        <v>820</v>
      </c>
      <c r="C23" s="430" t="s">
        <v>821</v>
      </c>
      <c r="D23" s="430"/>
      <c r="E23" s="430"/>
      <c r="F23" s="39" t="s">
        <v>46</v>
      </c>
      <c r="G23" s="40" t="s">
        <v>33</v>
      </c>
      <c r="H23" s="57"/>
      <c r="I23" s="41"/>
      <c r="J23" s="19"/>
      <c r="K23" s="42"/>
      <c r="BC23" s="14"/>
      <c r="BD23" s="15"/>
      <c r="BE23" s="21"/>
      <c r="BF23" s="43" t="s">
        <v>821</v>
      </c>
      <c r="BG23" s="12"/>
    </row>
    <row r="24" spans="1:59" s="3" customFormat="1" ht="31.8" x14ac:dyDescent="0.3">
      <c r="A24" s="25"/>
      <c r="B24" s="26" t="s">
        <v>822</v>
      </c>
      <c r="C24" s="419" t="s">
        <v>823</v>
      </c>
      <c r="D24" s="419"/>
      <c r="E24" s="419"/>
      <c r="F24" s="27" t="s">
        <v>115</v>
      </c>
      <c r="G24" s="22" t="s">
        <v>824</v>
      </c>
      <c r="H24" s="57"/>
      <c r="I24" s="28"/>
      <c r="J24" s="19"/>
      <c r="K24" s="29"/>
      <c r="BC24" s="14"/>
      <c r="BD24" s="15"/>
      <c r="BE24" s="21"/>
      <c r="BF24" s="43"/>
      <c r="BG24" s="12" t="s">
        <v>823</v>
      </c>
    </row>
    <row r="25" spans="1:59" s="3" customFormat="1" ht="15" customHeight="1" x14ac:dyDescent="0.3">
      <c r="A25" s="437" t="s">
        <v>825</v>
      </c>
      <c r="B25" s="418"/>
      <c r="C25" s="418"/>
      <c r="D25" s="418"/>
      <c r="E25" s="418"/>
      <c r="F25" s="418"/>
      <c r="G25" s="418"/>
      <c r="H25" s="123"/>
      <c r="I25" s="123"/>
      <c r="J25" s="123"/>
      <c r="K25" s="124"/>
      <c r="BC25" s="14"/>
      <c r="BD25" s="15" t="s">
        <v>825</v>
      </c>
      <c r="BE25" s="21"/>
      <c r="BF25" s="43"/>
      <c r="BG25" s="12"/>
    </row>
    <row r="26" spans="1:59" s="3" customFormat="1" ht="15" customHeight="1" x14ac:dyDescent="0.3">
      <c r="A26" s="437" t="s">
        <v>826</v>
      </c>
      <c r="B26" s="418"/>
      <c r="C26" s="418"/>
      <c r="D26" s="418"/>
      <c r="E26" s="418"/>
      <c r="F26" s="418"/>
      <c r="G26" s="418"/>
      <c r="H26" s="123"/>
      <c r="I26" s="123"/>
      <c r="J26" s="123"/>
      <c r="K26" s="124"/>
      <c r="BC26" s="14"/>
      <c r="BD26" s="15" t="s">
        <v>826</v>
      </c>
      <c r="BE26" s="21"/>
      <c r="BF26" s="43"/>
      <c r="BG26" s="12"/>
    </row>
    <row r="27" spans="1:59" s="3" customFormat="1" ht="42" x14ac:dyDescent="0.3">
      <c r="A27" s="16" t="s">
        <v>35</v>
      </c>
      <c r="B27" s="17" t="s">
        <v>827</v>
      </c>
      <c r="C27" s="405" t="s">
        <v>828</v>
      </c>
      <c r="D27" s="405"/>
      <c r="E27" s="405"/>
      <c r="F27" s="16" t="s">
        <v>46</v>
      </c>
      <c r="G27" s="24">
        <v>1.2</v>
      </c>
      <c r="H27" s="57">
        <f t="shared" si="0"/>
        <v>12426.375000000007</v>
      </c>
      <c r="I27" s="19">
        <v>14911.650000000009</v>
      </c>
      <c r="J27" s="19">
        <f t="shared" si="1"/>
        <v>63458.041666666664</v>
      </c>
      <c r="K27" s="19">
        <v>76149.649999999994</v>
      </c>
      <c r="BC27" s="14"/>
      <c r="BD27" s="15"/>
      <c r="BE27" s="21" t="s">
        <v>828</v>
      </c>
      <c r="BF27" s="43"/>
      <c r="BG27" s="12"/>
    </row>
    <row r="28" spans="1:59" s="3" customFormat="1" ht="20.399999999999999" x14ac:dyDescent="0.3">
      <c r="A28" s="25"/>
      <c r="B28" s="26" t="s">
        <v>76</v>
      </c>
      <c r="C28" s="419" t="s">
        <v>77</v>
      </c>
      <c r="D28" s="419"/>
      <c r="E28" s="419"/>
      <c r="F28" s="27" t="s">
        <v>70</v>
      </c>
      <c r="G28" s="22" t="s">
        <v>829</v>
      </c>
      <c r="H28" s="57"/>
      <c r="I28" s="28"/>
      <c r="J28" s="19"/>
      <c r="K28" s="29"/>
      <c r="BC28" s="14"/>
      <c r="BD28" s="15"/>
      <c r="BE28" s="21"/>
      <c r="BF28" s="43"/>
      <c r="BG28" s="12" t="s">
        <v>77</v>
      </c>
    </row>
    <row r="29" spans="1:59" s="3" customFormat="1" ht="20.399999999999999" x14ac:dyDescent="0.3">
      <c r="A29" s="37" t="s">
        <v>143</v>
      </c>
      <c r="B29" s="38" t="s">
        <v>830</v>
      </c>
      <c r="C29" s="430" t="s">
        <v>831</v>
      </c>
      <c r="D29" s="430"/>
      <c r="E29" s="430"/>
      <c r="F29" s="39" t="s">
        <v>46</v>
      </c>
      <c r="G29" s="40" t="s">
        <v>832</v>
      </c>
      <c r="H29" s="57"/>
      <c r="I29" s="41"/>
      <c r="J29" s="19"/>
      <c r="K29" s="42"/>
      <c r="BC29" s="14"/>
      <c r="BD29" s="15"/>
      <c r="BE29" s="21"/>
      <c r="BF29" s="43" t="s">
        <v>831</v>
      </c>
      <c r="BG29" s="12"/>
    </row>
    <row r="30" spans="1:59" s="3" customFormat="1" ht="62.4" x14ac:dyDescent="0.3">
      <c r="A30" s="25"/>
      <c r="B30" s="26" t="s">
        <v>833</v>
      </c>
      <c r="C30" s="419" t="s">
        <v>834</v>
      </c>
      <c r="D30" s="419"/>
      <c r="E30" s="419"/>
      <c r="F30" s="27" t="s">
        <v>70</v>
      </c>
      <c r="G30" s="22" t="s">
        <v>835</v>
      </c>
      <c r="H30" s="57"/>
      <c r="I30" s="28"/>
      <c r="J30" s="19"/>
      <c r="K30" s="29"/>
      <c r="BC30" s="14"/>
      <c r="BD30" s="15"/>
      <c r="BE30" s="21"/>
      <c r="BF30" s="43"/>
      <c r="BG30" s="12" t="s">
        <v>834</v>
      </c>
    </row>
    <row r="31" spans="1:59" s="3" customFormat="1" ht="20.399999999999999" x14ac:dyDescent="0.3">
      <c r="A31" s="25"/>
      <c r="B31" s="26" t="s">
        <v>836</v>
      </c>
      <c r="C31" s="419" t="s">
        <v>837</v>
      </c>
      <c r="D31" s="419"/>
      <c r="E31" s="419"/>
      <c r="F31" s="27" t="s">
        <v>46</v>
      </c>
      <c r="G31" s="22" t="s">
        <v>838</v>
      </c>
      <c r="H31" s="57"/>
      <c r="I31" s="28"/>
      <c r="J31" s="19"/>
      <c r="K31" s="29"/>
      <c r="BC31" s="14"/>
      <c r="BD31" s="15"/>
      <c r="BE31" s="21"/>
      <c r="BF31" s="43"/>
      <c r="BG31" s="12" t="s">
        <v>837</v>
      </c>
    </row>
    <row r="32" spans="1:59" s="3" customFormat="1" ht="21.6" x14ac:dyDescent="0.3">
      <c r="A32" s="25"/>
      <c r="B32" s="26" t="s">
        <v>839</v>
      </c>
      <c r="C32" s="419" t="s">
        <v>840</v>
      </c>
      <c r="D32" s="419"/>
      <c r="E32" s="419"/>
      <c r="F32" s="27" t="s">
        <v>75</v>
      </c>
      <c r="G32" s="22" t="s">
        <v>841</v>
      </c>
      <c r="H32" s="57"/>
      <c r="I32" s="28"/>
      <c r="J32" s="19"/>
      <c r="K32" s="29"/>
      <c r="BC32" s="14"/>
      <c r="BD32" s="15"/>
      <c r="BE32" s="21"/>
      <c r="BF32" s="43"/>
      <c r="BG32" s="12" t="s">
        <v>840</v>
      </c>
    </row>
    <row r="33" spans="1:60" s="3" customFormat="1" ht="21.6" x14ac:dyDescent="0.3">
      <c r="A33" s="25" t="s">
        <v>129</v>
      </c>
      <c r="B33" s="26" t="s">
        <v>842</v>
      </c>
      <c r="C33" s="419" t="s">
        <v>843</v>
      </c>
      <c r="D33" s="419"/>
      <c r="E33" s="419"/>
      <c r="F33" s="27" t="s">
        <v>38</v>
      </c>
      <c r="G33" s="22" t="s">
        <v>844</v>
      </c>
      <c r="H33" s="57"/>
      <c r="I33" s="28"/>
      <c r="J33" s="19"/>
      <c r="K33" s="29"/>
      <c r="BC33" s="14"/>
      <c r="BD33" s="15"/>
      <c r="BE33" s="21"/>
      <c r="BF33" s="43"/>
      <c r="BG33" s="12"/>
      <c r="BH33" s="12" t="s">
        <v>843</v>
      </c>
    </row>
    <row r="34" spans="1:60" s="3" customFormat="1" ht="15" customHeight="1" x14ac:dyDescent="0.3">
      <c r="A34" s="437" t="s">
        <v>845</v>
      </c>
      <c r="B34" s="418"/>
      <c r="C34" s="418"/>
      <c r="D34" s="418"/>
      <c r="E34" s="418"/>
      <c r="F34" s="418"/>
      <c r="G34" s="418"/>
      <c r="H34" s="123"/>
      <c r="I34" s="123"/>
      <c r="J34" s="123"/>
      <c r="K34" s="124"/>
      <c r="BC34" s="14"/>
      <c r="BD34" s="15" t="s">
        <v>845</v>
      </c>
      <c r="BE34" s="21"/>
      <c r="BF34" s="43"/>
      <c r="BG34" s="12"/>
      <c r="BH34" s="12"/>
    </row>
    <row r="35" spans="1:60" s="3" customFormat="1" ht="42" x14ac:dyDescent="0.3">
      <c r="A35" s="16" t="s">
        <v>40</v>
      </c>
      <c r="B35" s="17" t="s">
        <v>846</v>
      </c>
      <c r="C35" s="405" t="s">
        <v>847</v>
      </c>
      <c r="D35" s="405"/>
      <c r="E35" s="405"/>
      <c r="F35" s="16" t="s">
        <v>46</v>
      </c>
      <c r="G35" s="24">
        <v>4.8</v>
      </c>
      <c r="H35" s="57">
        <f t="shared" si="0"/>
        <v>16725.302083333332</v>
      </c>
      <c r="I35" s="19">
        <v>80281.449999999983</v>
      </c>
      <c r="J35" s="19">
        <f t="shared" si="1"/>
        <v>47620.877083333333</v>
      </c>
      <c r="K35" s="19">
        <v>228580.21</v>
      </c>
      <c r="BC35" s="14"/>
      <c r="BD35" s="15"/>
      <c r="BE35" s="21" t="s">
        <v>847</v>
      </c>
      <c r="BF35" s="43"/>
      <c r="BG35" s="12"/>
      <c r="BH35" s="12"/>
    </row>
    <row r="36" spans="1:60" s="3" customFormat="1" ht="20.399999999999999" x14ac:dyDescent="0.3">
      <c r="A36" s="25"/>
      <c r="B36" s="26" t="s">
        <v>76</v>
      </c>
      <c r="C36" s="419" t="s">
        <v>77</v>
      </c>
      <c r="D36" s="419"/>
      <c r="E36" s="419"/>
      <c r="F36" s="27" t="s">
        <v>70</v>
      </c>
      <c r="G36" s="22" t="s">
        <v>848</v>
      </c>
      <c r="H36" s="57"/>
      <c r="I36" s="28"/>
      <c r="J36" s="19"/>
      <c r="K36" s="29"/>
      <c r="BC36" s="14"/>
      <c r="BD36" s="15"/>
      <c r="BE36" s="21"/>
      <c r="BF36" s="43"/>
      <c r="BG36" s="12" t="s">
        <v>77</v>
      </c>
      <c r="BH36" s="12"/>
    </row>
    <row r="37" spans="1:60" s="3" customFormat="1" ht="20.399999999999999" x14ac:dyDescent="0.3">
      <c r="A37" s="37" t="s">
        <v>143</v>
      </c>
      <c r="B37" s="38" t="s">
        <v>830</v>
      </c>
      <c r="C37" s="430" t="s">
        <v>831</v>
      </c>
      <c r="D37" s="430"/>
      <c r="E37" s="430"/>
      <c r="F37" s="39" t="s">
        <v>46</v>
      </c>
      <c r="G37" s="40" t="s">
        <v>849</v>
      </c>
      <c r="H37" s="57"/>
      <c r="I37" s="41"/>
      <c r="J37" s="19"/>
      <c r="K37" s="42"/>
      <c r="BC37" s="14"/>
      <c r="BD37" s="15"/>
      <c r="BE37" s="21"/>
      <c r="BF37" s="43" t="s">
        <v>831</v>
      </c>
      <c r="BG37" s="12"/>
      <c r="BH37" s="12"/>
    </row>
    <row r="38" spans="1:60" s="3" customFormat="1" ht="62.4" x14ac:dyDescent="0.3">
      <c r="A38" s="25"/>
      <c r="B38" s="26" t="s">
        <v>833</v>
      </c>
      <c r="C38" s="419" t="s">
        <v>834</v>
      </c>
      <c r="D38" s="419"/>
      <c r="E38" s="419"/>
      <c r="F38" s="27" t="s">
        <v>70</v>
      </c>
      <c r="G38" s="22" t="s">
        <v>848</v>
      </c>
      <c r="H38" s="57"/>
      <c r="I38" s="28"/>
      <c r="J38" s="19"/>
      <c r="K38" s="29"/>
      <c r="BC38" s="14"/>
      <c r="BD38" s="15"/>
      <c r="BE38" s="21"/>
      <c r="BF38" s="43"/>
      <c r="BG38" s="12" t="s">
        <v>834</v>
      </c>
      <c r="BH38" s="12"/>
    </row>
    <row r="39" spans="1:60" s="3" customFormat="1" ht="20.399999999999999" x14ac:dyDescent="0.3">
      <c r="A39" s="25"/>
      <c r="B39" s="26" t="s">
        <v>836</v>
      </c>
      <c r="C39" s="419" t="s">
        <v>837</v>
      </c>
      <c r="D39" s="419"/>
      <c r="E39" s="419"/>
      <c r="F39" s="27" t="s">
        <v>46</v>
      </c>
      <c r="G39" s="22" t="s">
        <v>850</v>
      </c>
      <c r="H39" s="57"/>
      <c r="I39" s="28"/>
      <c r="J39" s="19"/>
      <c r="K39" s="29"/>
      <c r="BC39" s="14"/>
      <c r="BD39" s="15"/>
      <c r="BE39" s="21"/>
      <c r="BF39" s="43"/>
      <c r="BG39" s="12" t="s">
        <v>837</v>
      </c>
      <c r="BH39" s="12"/>
    </row>
    <row r="40" spans="1:60" s="3" customFormat="1" ht="21.6" x14ac:dyDescent="0.3">
      <c r="A40" s="25"/>
      <c r="B40" s="26" t="s">
        <v>839</v>
      </c>
      <c r="C40" s="419" t="s">
        <v>840</v>
      </c>
      <c r="D40" s="419"/>
      <c r="E40" s="419"/>
      <c r="F40" s="27" t="s">
        <v>75</v>
      </c>
      <c r="G40" s="22" t="s">
        <v>851</v>
      </c>
      <c r="H40" s="57"/>
      <c r="I40" s="28"/>
      <c r="J40" s="19"/>
      <c r="K40" s="29"/>
      <c r="BC40" s="14"/>
      <c r="BD40" s="15"/>
      <c r="BE40" s="21"/>
      <c r="BF40" s="43"/>
      <c r="BG40" s="12" t="s">
        <v>840</v>
      </c>
      <c r="BH40" s="12"/>
    </row>
    <row r="41" spans="1:60" s="3" customFormat="1" ht="21.6" x14ac:dyDescent="0.3">
      <c r="A41" s="25" t="s">
        <v>129</v>
      </c>
      <c r="B41" s="26" t="s">
        <v>842</v>
      </c>
      <c r="C41" s="419" t="s">
        <v>843</v>
      </c>
      <c r="D41" s="419"/>
      <c r="E41" s="419"/>
      <c r="F41" s="27" t="s">
        <v>38</v>
      </c>
      <c r="G41" s="22" t="s">
        <v>852</v>
      </c>
      <c r="H41" s="57"/>
      <c r="I41" s="28"/>
      <c r="J41" s="19"/>
      <c r="K41" s="29"/>
      <c r="BC41" s="14"/>
      <c r="BD41" s="15"/>
      <c r="BE41" s="21"/>
      <c r="BF41" s="43"/>
      <c r="BG41" s="12"/>
      <c r="BH41" s="12" t="s">
        <v>843</v>
      </c>
    </row>
    <row r="42" spans="1:60" s="3" customFormat="1" ht="15" customHeight="1" x14ac:dyDescent="0.3">
      <c r="A42" s="437" t="s">
        <v>853</v>
      </c>
      <c r="B42" s="418"/>
      <c r="C42" s="418"/>
      <c r="D42" s="418"/>
      <c r="E42" s="418"/>
      <c r="F42" s="418"/>
      <c r="G42" s="418"/>
      <c r="H42" s="123"/>
      <c r="I42" s="123"/>
      <c r="J42" s="123"/>
      <c r="K42" s="124"/>
      <c r="BC42" s="14"/>
      <c r="BD42" s="15" t="s">
        <v>853</v>
      </c>
      <c r="BE42" s="21"/>
      <c r="BF42" s="43"/>
      <c r="BG42" s="12"/>
      <c r="BH42" s="12"/>
    </row>
    <row r="43" spans="1:60" s="3" customFormat="1" ht="15" customHeight="1" x14ac:dyDescent="0.3">
      <c r="A43" s="437" t="s">
        <v>854</v>
      </c>
      <c r="B43" s="418"/>
      <c r="C43" s="418"/>
      <c r="D43" s="418"/>
      <c r="E43" s="418"/>
      <c r="F43" s="418"/>
      <c r="G43" s="418"/>
      <c r="H43" s="123"/>
      <c r="I43" s="123"/>
      <c r="J43" s="123"/>
      <c r="K43" s="124"/>
      <c r="BC43" s="14"/>
      <c r="BD43" s="15" t="s">
        <v>854</v>
      </c>
      <c r="BE43" s="21"/>
      <c r="BF43" s="43"/>
      <c r="BG43" s="12"/>
      <c r="BH43" s="12"/>
    </row>
    <row r="44" spans="1:60" s="3" customFormat="1" ht="15" customHeight="1" x14ac:dyDescent="0.3">
      <c r="A44" s="437" t="s">
        <v>855</v>
      </c>
      <c r="B44" s="418"/>
      <c r="C44" s="418"/>
      <c r="D44" s="418"/>
      <c r="E44" s="418"/>
      <c r="F44" s="418"/>
      <c r="G44" s="418"/>
      <c r="H44" s="123"/>
      <c r="I44" s="123"/>
      <c r="J44" s="123"/>
      <c r="K44" s="124"/>
      <c r="BC44" s="14"/>
      <c r="BD44" s="15" t="s">
        <v>855</v>
      </c>
      <c r="BE44" s="21"/>
      <c r="BF44" s="43"/>
      <c r="BG44" s="12"/>
      <c r="BH44" s="12"/>
    </row>
    <row r="45" spans="1:60" s="3" customFormat="1" ht="31.8" x14ac:dyDescent="0.3">
      <c r="A45" s="16" t="s">
        <v>47</v>
      </c>
      <c r="B45" s="17" t="s">
        <v>856</v>
      </c>
      <c r="C45" s="405" t="s">
        <v>857</v>
      </c>
      <c r="D45" s="405"/>
      <c r="E45" s="405"/>
      <c r="F45" s="16" t="s">
        <v>38</v>
      </c>
      <c r="G45" s="23">
        <v>8</v>
      </c>
      <c r="H45" s="57">
        <f t="shared" si="0"/>
        <v>2733.5012499999998</v>
      </c>
      <c r="I45" s="19">
        <v>21868.01</v>
      </c>
      <c r="J45" s="19">
        <f t="shared" si="1"/>
        <v>6.9024999999999999</v>
      </c>
      <c r="K45" s="19">
        <v>55.22</v>
      </c>
      <c r="BC45" s="14"/>
      <c r="BD45" s="15"/>
      <c r="BE45" s="21" t="s">
        <v>857</v>
      </c>
      <c r="BF45" s="43"/>
      <c r="BG45" s="12"/>
      <c r="BH45" s="12"/>
    </row>
    <row r="46" spans="1:60" s="3" customFormat="1" ht="20.399999999999999" x14ac:dyDescent="0.3">
      <c r="A46" s="25"/>
      <c r="B46" s="26" t="s">
        <v>858</v>
      </c>
      <c r="C46" s="419" t="s">
        <v>859</v>
      </c>
      <c r="D46" s="419"/>
      <c r="E46" s="419"/>
      <c r="F46" s="27" t="s">
        <v>46</v>
      </c>
      <c r="G46" s="22" t="s">
        <v>860</v>
      </c>
      <c r="H46" s="57"/>
      <c r="I46" s="28"/>
      <c r="J46" s="19"/>
      <c r="K46" s="29"/>
      <c r="BC46" s="14"/>
      <c r="BD46" s="15"/>
      <c r="BE46" s="21"/>
      <c r="BF46" s="43"/>
      <c r="BG46" s="12" t="s">
        <v>859</v>
      </c>
      <c r="BH46" s="12"/>
    </row>
    <row r="47" spans="1:60" s="3" customFormat="1" ht="20.399999999999999" x14ac:dyDescent="0.3">
      <c r="A47" s="25"/>
      <c r="B47" s="26" t="s">
        <v>384</v>
      </c>
      <c r="C47" s="419" t="s">
        <v>385</v>
      </c>
      <c r="D47" s="419"/>
      <c r="E47" s="419"/>
      <c r="F47" s="27" t="s">
        <v>46</v>
      </c>
      <c r="G47" s="22" t="s">
        <v>861</v>
      </c>
      <c r="H47" s="57"/>
      <c r="I47" s="28"/>
      <c r="J47" s="19"/>
      <c r="K47" s="29"/>
      <c r="BC47" s="14"/>
      <c r="BD47" s="15"/>
      <c r="BE47" s="21"/>
      <c r="BF47" s="43"/>
      <c r="BG47" s="12" t="s">
        <v>385</v>
      </c>
      <c r="BH47" s="12"/>
    </row>
    <row r="48" spans="1:60" s="3" customFormat="1" ht="31.8" x14ac:dyDescent="0.3">
      <c r="A48" s="16" t="s">
        <v>52</v>
      </c>
      <c r="B48" s="17" t="s">
        <v>96</v>
      </c>
      <c r="C48" s="405" t="s">
        <v>97</v>
      </c>
      <c r="D48" s="405"/>
      <c r="E48" s="405"/>
      <c r="F48" s="16" t="s">
        <v>50</v>
      </c>
      <c r="G48" s="31">
        <v>1.68</v>
      </c>
      <c r="H48" s="57">
        <f t="shared" si="0"/>
        <v>44.773809523809526</v>
      </c>
      <c r="I48" s="19">
        <v>75.22</v>
      </c>
      <c r="J48" s="19">
        <f t="shared" si="1"/>
        <v>0</v>
      </c>
      <c r="K48" s="19"/>
      <c r="BC48" s="14"/>
      <c r="BD48" s="15"/>
      <c r="BE48" s="21" t="s">
        <v>97</v>
      </c>
      <c r="BF48" s="43"/>
      <c r="BG48" s="12"/>
      <c r="BH48" s="12"/>
    </row>
    <row r="49" spans="1:60" s="3" customFormat="1" ht="42" x14ac:dyDescent="0.3">
      <c r="A49" s="16" t="s">
        <v>55</v>
      </c>
      <c r="B49" s="17" t="s">
        <v>48</v>
      </c>
      <c r="C49" s="405" t="s">
        <v>49</v>
      </c>
      <c r="D49" s="405"/>
      <c r="E49" s="405"/>
      <c r="F49" s="16" t="s">
        <v>50</v>
      </c>
      <c r="G49" s="31">
        <v>1.68</v>
      </c>
      <c r="H49" s="57">
        <f t="shared" si="0"/>
        <v>598.375</v>
      </c>
      <c r="I49" s="19">
        <v>1005.27</v>
      </c>
      <c r="J49" s="19">
        <f t="shared" si="1"/>
        <v>0</v>
      </c>
      <c r="K49" s="19"/>
      <c r="BC49" s="14"/>
      <c r="BD49" s="15"/>
      <c r="BE49" s="21" t="s">
        <v>49</v>
      </c>
      <c r="BF49" s="43"/>
      <c r="BG49" s="12"/>
      <c r="BH49" s="12"/>
    </row>
    <row r="50" spans="1:60" s="3" customFormat="1" ht="15" customHeight="1" x14ac:dyDescent="0.3">
      <c r="A50" s="437" t="s">
        <v>862</v>
      </c>
      <c r="B50" s="418"/>
      <c r="C50" s="418"/>
      <c r="D50" s="418"/>
      <c r="E50" s="418"/>
      <c r="F50" s="418"/>
      <c r="G50" s="418"/>
      <c r="H50" s="123"/>
      <c r="I50" s="123"/>
      <c r="J50" s="123"/>
      <c r="K50" s="124"/>
      <c r="BC50" s="14"/>
      <c r="BD50" s="15" t="s">
        <v>862</v>
      </c>
      <c r="BE50" s="21"/>
      <c r="BF50" s="43"/>
      <c r="BG50" s="12"/>
      <c r="BH50" s="12"/>
    </row>
    <row r="51" spans="1:60" s="3" customFormat="1" ht="21.6" x14ac:dyDescent="0.3">
      <c r="A51" s="16" t="s">
        <v>56</v>
      </c>
      <c r="B51" s="17" t="s">
        <v>261</v>
      </c>
      <c r="C51" s="405" t="s">
        <v>262</v>
      </c>
      <c r="D51" s="405"/>
      <c r="E51" s="405"/>
      <c r="F51" s="16" t="s">
        <v>46</v>
      </c>
      <c r="G51" s="24">
        <v>2.6</v>
      </c>
      <c r="H51" s="57">
        <f t="shared" si="0"/>
        <v>979.22307692307686</v>
      </c>
      <c r="I51" s="19">
        <v>2545.98</v>
      </c>
      <c r="J51" s="19">
        <f t="shared" si="1"/>
        <v>934.56153846153848</v>
      </c>
      <c r="K51" s="19">
        <v>2429.86</v>
      </c>
      <c r="BC51" s="14"/>
      <c r="BD51" s="15"/>
      <c r="BE51" s="21" t="s">
        <v>262</v>
      </c>
      <c r="BF51" s="43"/>
      <c r="BG51" s="12"/>
      <c r="BH51" s="12"/>
    </row>
    <row r="52" spans="1:60" s="3" customFormat="1" ht="20.399999999999999" x14ac:dyDescent="0.3">
      <c r="A52" s="25"/>
      <c r="B52" s="26" t="s">
        <v>154</v>
      </c>
      <c r="C52" s="419" t="s">
        <v>155</v>
      </c>
      <c r="D52" s="419"/>
      <c r="E52" s="419"/>
      <c r="F52" s="27" t="s">
        <v>46</v>
      </c>
      <c r="G52" s="22" t="s">
        <v>863</v>
      </c>
      <c r="H52" s="57"/>
      <c r="I52" s="28"/>
      <c r="J52" s="19"/>
      <c r="K52" s="29"/>
      <c r="BC52" s="14"/>
      <c r="BD52" s="15"/>
      <c r="BE52" s="21"/>
      <c r="BF52" s="43"/>
      <c r="BG52" s="12" t="s">
        <v>155</v>
      </c>
      <c r="BH52" s="12"/>
    </row>
    <row r="53" spans="1:60" s="3" customFormat="1" ht="20.399999999999999" x14ac:dyDescent="0.3">
      <c r="A53" s="37" t="s">
        <v>143</v>
      </c>
      <c r="B53" s="38" t="s">
        <v>79</v>
      </c>
      <c r="C53" s="430" t="s">
        <v>264</v>
      </c>
      <c r="D53" s="430"/>
      <c r="E53" s="430"/>
      <c r="F53" s="39" t="s">
        <v>46</v>
      </c>
      <c r="G53" s="40" t="s">
        <v>864</v>
      </c>
      <c r="H53" s="57"/>
      <c r="I53" s="41"/>
      <c r="J53" s="19"/>
      <c r="K53" s="42"/>
      <c r="BC53" s="14"/>
      <c r="BD53" s="15"/>
      <c r="BE53" s="21"/>
      <c r="BF53" s="43" t="s">
        <v>264</v>
      </c>
      <c r="BG53" s="12"/>
      <c r="BH53" s="12"/>
    </row>
    <row r="54" spans="1:60" s="3" customFormat="1" ht="20.399999999999999" x14ac:dyDescent="0.3">
      <c r="A54" s="25" t="s">
        <v>129</v>
      </c>
      <c r="B54" s="26" t="s">
        <v>266</v>
      </c>
      <c r="C54" s="419" t="s">
        <v>267</v>
      </c>
      <c r="D54" s="419"/>
      <c r="E54" s="419"/>
      <c r="F54" s="27" t="s">
        <v>46</v>
      </c>
      <c r="G54" s="22" t="s">
        <v>864</v>
      </c>
      <c r="H54" s="57"/>
      <c r="I54" s="28"/>
      <c r="J54" s="19"/>
      <c r="K54" s="29"/>
      <c r="BC54" s="14"/>
      <c r="BD54" s="15"/>
      <c r="BE54" s="21"/>
      <c r="BF54" s="43"/>
      <c r="BG54" s="12"/>
      <c r="BH54" s="12" t="s">
        <v>267</v>
      </c>
    </row>
    <row r="55" spans="1:60" s="3" customFormat="1" ht="15" customHeight="1" x14ac:dyDescent="0.3">
      <c r="A55" s="437" t="s">
        <v>865</v>
      </c>
      <c r="B55" s="418"/>
      <c r="C55" s="418"/>
      <c r="D55" s="418"/>
      <c r="E55" s="418"/>
      <c r="F55" s="418"/>
      <c r="G55" s="418"/>
      <c r="H55" s="123"/>
      <c r="I55" s="123"/>
      <c r="J55" s="123"/>
      <c r="K55" s="124"/>
      <c r="BC55" s="14"/>
      <c r="BD55" s="15" t="s">
        <v>865</v>
      </c>
      <c r="BE55" s="21"/>
      <c r="BF55" s="43"/>
      <c r="BG55" s="12"/>
      <c r="BH55" s="12"/>
    </row>
    <row r="56" spans="1:60" s="3" customFormat="1" ht="14.4" x14ac:dyDescent="0.3">
      <c r="A56" s="16" t="s">
        <v>166</v>
      </c>
      <c r="B56" s="17" t="s">
        <v>152</v>
      </c>
      <c r="C56" s="405" t="s">
        <v>153</v>
      </c>
      <c r="D56" s="405"/>
      <c r="E56" s="405"/>
      <c r="F56" s="16" t="s">
        <v>125</v>
      </c>
      <c r="G56" s="18">
        <v>1.9E-2</v>
      </c>
      <c r="H56" s="57">
        <f t="shared" si="0"/>
        <v>154977.36842105261</v>
      </c>
      <c r="I56" s="19">
        <v>2944.5699999999997</v>
      </c>
      <c r="J56" s="19">
        <f t="shared" si="1"/>
        <v>543131.57894736843</v>
      </c>
      <c r="K56" s="19">
        <v>10319.5</v>
      </c>
      <c r="BC56" s="14"/>
      <c r="BD56" s="15"/>
      <c r="BE56" s="21" t="s">
        <v>153</v>
      </c>
      <c r="BF56" s="43"/>
      <c r="BG56" s="12"/>
      <c r="BH56" s="12"/>
    </row>
    <row r="57" spans="1:60" s="3" customFormat="1" ht="20.399999999999999" x14ac:dyDescent="0.3">
      <c r="A57" s="25"/>
      <c r="B57" s="26" t="s">
        <v>154</v>
      </c>
      <c r="C57" s="419" t="s">
        <v>155</v>
      </c>
      <c r="D57" s="419"/>
      <c r="E57" s="419"/>
      <c r="F57" s="27" t="s">
        <v>46</v>
      </c>
      <c r="G57" s="22" t="s">
        <v>866</v>
      </c>
      <c r="H57" s="57"/>
      <c r="I57" s="28"/>
      <c r="J57" s="19"/>
      <c r="K57" s="29"/>
      <c r="BC57" s="14"/>
      <c r="BD57" s="15"/>
      <c r="BE57" s="21"/>
      <c r="BF57" s="43"/>
      <c r="BG57" s="12" t="s">
        <v>155</v>
      </c>
      <c r="BH57" s="12"/>
    </row>
    <row r="58" spans="1:60" s="3" customFormat="1" ht="20.399999999999999" x14ac:dyDescent="0.3">
      <c r="A58" s="25"/>
      <c r="B58" s="26" t="s">
        <v>156</v>
      </c>
      <c r="C58" s="419" t="s">
        <v>157</v>
      </c>
      <c r="D58" s="419"/>
      <c r="E58" s="419"/>
      <c r="F58" s="27" t="s">
        <v>158</v>
      </c>
      <c r="G58" s="22" t="s">
        <v>867</v>
      </c>
      <c r="H58" s="57"/>
      <c r="I58" s="28"/>
      <c r="J58" s="19"/>
      <c r="K58" s="29"/>
      <c r="BC58" s="14"/>
      <c r="BD58" s="15"/>
      <c r="BE58" s="21"/>
      <c r="BF58" s="43"/>
      <c r="BG58" s="12" t="s">
        <v>157</v>
      </c>
      <c r="BH58" s="12"/>
    </row>
    <row r="59" spans="1:60" s="3" customFormat="1" ht="20.399999999999999" x14ac:dyDescent="0.3">
      <c r="A59" s="37" t="s">
        <v>143</v>
      </c>
      <c r="B59" s="38" t="s">
        <v>159</v>
      </c>
      <c r="C59" s="430" t="s">
        <v>160</v>
      </c>
      <c r="D59" s="430"/>
      <c r="E59" s="430"/>
      <c r="F59" s="39" t="s">
        <v>46</v>
      </c>
      <c r="G59" s="40" t="s">
        <v>868</v>
      </c>
      <c r="H59" s="57"/>
      <c r="I59" s="41"/>
      <c r="J59" s="19"/>
      <c r="K59" s="42"/>
      <c r="BC59" s="14"/>
      <c r="BD59" s="15"/>
      <c r="BE59" s="21"/>
      <c r="BF59" s="43" t="s">
        <v>160</v>
      </c>
      <c r="BG59" s="12"/>
      <c r="BH59" s="12"/>
    </row>
    <row r="60" spans="1:60" s="3" customFormat="1" ht="21.6" x14ac:dyDescent="0.3">
      <c r="A60" s="25" t="s">
        <v>129</v>
      </c>
      <c r="B60" s="26" t="s">
        <v>161</v>
      </c>
      <c r="C60" s="419" t="s">
        <v>162</v>
      </c>
      <c r="D60" s="419"/>
      <c r="E60" s="419"/>
      <c r="F60" s="27" t="s">
        <v>46</v>
      </c>
      <c r="G60" s="22" t="s">
        <v>868</v>
      </c>
      <c r="H60" s="57"/>
      <c r="I60" s="28"/>
      <c r="J60" s="19"/>
      <c r="K60" s="29"/>
      <c r="BC60" s="14"/>
      <c r="BD60" s="15"/>
      <c r="BE60" s="21"/>
      <c r="BF60" s="43"/>
      <c r="BG60" s="12"/>
      <c r="BH60" s="12" t="s">
        <v>162</v>
      </c>
    </row>
    <row r="61" spans="1:60" s="3" customFormat="1" ht="15" customHeight="1" x14ac:dyDescent="0.3">
      <c r="A61" s="437" t="s">
        <v>869</v>
      </c>
      <c r="B61" s="418"/>
      <c r="C61" s="418"/>
      <c r="D61" s="418"/>
      <c r="E61" s="418"/>
      <c r="F61" s="418"/>
      <c r="G61" s="418"/>
      <c r="H61" s="123"/>
      <c r="I61" s="123"/>
      <c r="J61" s="123"/>
      <c r="K61" s="124"/>
      <c r="BC61" s="14"/>
      <c r="BD61" s="15" t="s">
        <v>869</v>
      </c>
      <c r="BE61" s="21"/>
      <c r="BF61" s="43"/>
      <c r="BG61" s="12"/>
      <c r="BH61" s="12"/>
    </row>
    <row r="62" spans="1:60" s="3" customFormat="1" ht="21.6" x14ac:dyDescent="0.3">
      <c r="A62" s="16" t="s">
        <v>169</v>
      </c>
      <c r="B62" s="17" t="s">
        <v>273</v>
      </c>
      <c r="C62" s="405" t="s">
        <v>274</v>
      </c>
      <c r="D62" s="405"/>
      <c r="E62" s="405"/>
      <c r="F62" s="16" t="s">
        <v>125</v>
      </c>
      <c r="G62" s="18">
        <v>0.16800000000000001</v>
      </c>
      <c r="H62" s="57">
        <f t="shared" si="0"/>
        <v>229999.46428571426</v>
      </c>
      <c r="I62" s="19">
        <v>38639.909999999996</v>
      </c>
      <c r="J62" s="19">
        <f t="shared" si="1"/>
        <v>4322.4999999999991</v>
      </c>
      <c r="K62" s="19">
        <v>726.18</v>
      </c>
      <c r="BC62" s="14"/>
      <c r="BD62" s="15"/>
      <c r="BE62" s="21" t="s">
        <v>274</v>
      </c>
      <c r="BF62" s="43"/>
      <c r="BG62" s="12"/>
      <c r="BH62" s="12"/>
    </row>
    <row r="63" spans="1:60" s="3" customFormat="1" ht="20.399999999999999" x14ac:dyDescent="0.3">
      <c r="A63" s="25"/>
      <c r="B63" s="26" t="s">
        <v>154</v>
      </c>
      <c r="C63" s="419" t="s">
        <v>155</v>
      </c>
      <c r="D63" s="419"/>
      <c r="E63" s="419"/>
      <c r="F63" s="27" t="s">
        <v>46</v>
      </c>
      <c r="G63" s="22" t="s">
        <v>870</v>
      </c>
      <c r="H63" s="57"/>
      <c r="I63" s="28"/>
      <c r="J63" s="19"/>
      <c r="K63" s="29"/>
      <c r="BC63" s="14"/>
      <c r="BD63" s="15"/>
      <c r="BE63" s="21"/>
      <c r="BF63" s="43"/>
      <c r="BG63" s="12" t="s">
        <v>155</v>
      </c>
      <c r="BH63" s="12"/>
    </row>
    <row r="64" spans="1:60" s="3" customFormat="1" ht="20.399999999999999" x14ac:dyDescent="0.3">
      <c r="A64" s="25"/>
      <c r="B64" s="26" t="s">
        <v>156</v>
      </c>
      <c r="C64" s="419" t="s">
        <v>157</v>
      </c>
      <c r="D64" s="419"/>
      <c r="E64" s="419"/>
      <c r="F64" s="27" t="s">
        <v>158</v>
      </c>
      <c r="G64" s="22" t="s">
        <v>871</v>
      </c>
      <c r="H64" s="57"/>
      <c r="I64" s="28"/>
      <c r="J64" s="19"/>
      <c r="K64" s="29"/>
      <c r="BC64" s="14"/>
      <c r="BD64" s="15"/>
      <c r="BE64" s="21"/>
      <c r="BF64" s="43"/>
      <c r="BG64" s="12" t="s">
        <v>157</v>
      </c>
      <c r="BH64" s="12"/>
    </row>
    <row r="65" spans="1:60" s="3" customFormat="1" ht="20.399999999999999" x14ac:dyDescent="0.3">
      <c r="A65" s="25"/>
      <c r="B65" s="26" t="s">
        <v>277</v>
      </c>
      <c r="C65" s="419" t="s">
        <v>278</v>
      </c>
      <c r="D65" s="419"/>
      <c r="E65" s="419"/>
      <c r="F65" s="27" t="s">
        <v>70</v>
      </c>
      <c r="G65" s="22" t="s">
        <v>872</v>
      </c>
      <c r="H65" s="57"/>
      <c r="I65" s="28"/>
      <c r="J65" s="19"/>
      <c r="K65" s="29"/>
      <c r="BC65" s="14"/>
      <c r="BD65" s="15"/>
      <c r="BE65" s="21"/>
      <c r="BF65" s="43"/>
      <c r="BG65" s="12" t="s">
        <v>278</v>
      </c>
      <c r="BH65" s="12"/>
    </row>
    <row r="66" spans="1:60" s="3" customFormat="1" ht="20.399999999999999" x14ac:dyDescent="0.3">
      <c r="A66" s="25"/>
      <c r="B66" s="26" t="s">
        <v>76</v>
      </c>
      <c r="C66" s="419" t="s">
        <v>77</v>
      </c>
      <c r="D66" s="419"/>
      <c r="E66" s="419"/>
      <c r="F66" s="27" t="s">
        <v>70</v>
      </c>
      <c r="G66" s="22" t="s">
        <v>873</v>
      </c>
      <c r="H66" s="57"/>
      <c r="I66" s="28"/>
      <c r="J66" s="19"/>
      <c r="K66" s="29"/>
      <c r="BC66" s="14"/>
      <c r="BD66" s="15"/>
      <c r="BE66" s="21"/>
      <c r="BF66" s="43"/>
      <c r="BG66" s="12" t="s">
        <v>77</v>
      </c>
      <c r="BH66" s="12"/>
    </row>
    <row r="67" spans="1:60" s="3" customFormat="1" ht="21.6" x14ac:dyDescent="0.3">
      <c r="A67" s="25"/>
      <c r="B67" s="26" t="s">
        <v>281</v>
      </c>
      <c r="C67" s="419" t="s">
        <v>282</v>
      </c>
      <c r="D67" s="419"/>
      <c r="E67" s="419"/>
      <c r="F67" s="27" t="s">
        <v>70</v>
      </c>
      <c r="G67" s="22" t="s">
        <v>874</v>
      </c>
      <c r="H67" s="57"/>
      <c r="I67" s="28"/>
      <c r="J67" s="19"/>
      <c r="K67" s="29"/>
      <c r="BC67" s="14"/>
      <c r="BD67" s="15"/>
      <c r="BE67" s="21"/>
      <c r="BF67" s="43"/>
      <c r="BG67" s="12" t="s">
        <v>282</v>
      </c>
      <c r="BH67" s="12"/>
    </row>
    <row r="68" spans="1:60" s="3" customFormat="1" ht="20.399999999999999" x14ac:dyDescent="0.3">
      <c r="A68" s="37" t="s">
        <v>143</v>
      </c>
      <c r="B68" s="38" t="s">
        <v>159</v>
      </c>
      <c r="C68" s="430" t="s">
        <v>160</v>
      </c>
      <c r="D68" s="430"/>
      <c r="E68" s="430"/>
      <c r="F68" s="39" t="s">
        <v>46</v>
      </c>
      <c r="G68" s="40" t="s">
        <v>875</v>
      </c>
      <c r="H68" s="57"/>
      <c r="I68" s="41"/>
      <c r="J68" s="19"/>
      <c r="K68" s="42"/>
      <c r="BC68" s="14"/>
      <c r="BD68" s="15"/>
      <c r="BE68" s="21"/>
      <c r="BF68" s="43" t="s">
        <v>160</v>
      </c>
      <c r="BG68" s="12"/>
      <c r="BH68" s="12"/>
    </row>
    <row r="69" spans="1:60" s="3" customFormat="1" ht="21.6" x14ac:dyDescent="0.3">
      <c r="A69" s="25"/>
      <c r="B69" s="26" t="s">
        <v>285</v>
      </c>
      <c r="C69" s="419" t="s">
        <v>286</v>
      </c>
      <c r="D69" s="419"/>
      <c r="E69" s="419"/>
      <c r="F69" s="27" t="s">
        <v>70</v>
      </c>
      <c r="G69" s="22" t="s">
        <v>876</v>
      </c>
      <c r="H69" s="57"/>
      <c r="I69" s="28"/>
      <c r="J69" s="19"/>
      <c r="K69" s="29"/>
      <c r="BC69" s="14"/>
      <c r="BD69" s="15"/>
      <c r="BE69" s="21"/>
      <c r="BF69" s="43"/>
      <c r="BG69" s="12" t="s">
        <v>286</v>
      </c>
      <c r="BH69" s="12"/>
    </row>
    <row r="70" spans="1:60" s="3" customFormat="1" ht="20.399999999999999" x14ac:dyDescent="0.3">
      <c r="A70" s="37" t="s">
        <v>143</v>
      </c>
      <c r="B70" s="38" t="s">
        <v>288</v>
      </c>
      <c r="C70" s="430" t="s">
        <v>289</v>
      </c>
      <c r="D70" s="430"/>
      <c r="E70" s="430"/>
      <c r="F70" s="39" t="s">
        <v>70</v>
      </c>
      <c r="G70" s="40" t="s">
        <v>877</v>
      </c>
      <c r="H70" s="57"/>
      <c r="I70" s="41"/>
      <c r="J70" s="19"/>
      <c r="K70" s="42"/>
      <c r="BC70" s="14"/>
      <c r="BD70" s="15"/>
      <c r="BE70" s="21"/>
      <c r="BF70" s="43" t="s">
        <v>289</v>
      </c>
      <c r="BG70" s="12"/>
      <c r="BH70" s="12"/>
    </row>
    <row r="71" spans="1:60" s="3" customFormat="1" ht="31.8" x14ac:dyDescent="0.3">
      <c r="A71" s="25"/>
      <c r="B71" s="26" t="s">
        <v>291</v>
      </c>
      <c r="C71" s="419" t="s">
        <v>292</v>
      </c>
      <c r="D71" s="419"/>
      <c r="E71" s="419"/>
      <c r="F71" s="27" t="s">
        <v>46</v>
      </c>
      <c r="G71" s="22" t="s">
        <v>878</v>
      </c>
      <c r="H71" s="57"/>
      <c r="I71" s="28"/>
      <c r="J71" s="19"/>
      <c r="K71" s="29"/>
      <c r="BC71" s="14"/>
      <c r="BD71" s="15"/>
      <c r="BE71" s="21"/>
      <c r="BF71" s="43"/>
      <c r="BG71" s="12" t="s">
        <v>292</v>
      </c>
      <c r="BH71" s="12"/>
    </row>
    <row r="72" spans="1:60" s="3" customFormat="1" ht="20.399999999999999" x14ac:dyDescent="0.3">
      <c r="A72" s="25"/>
      <c r="B72" s="26" t="s">
        <v>294</v>
      </c>
      <c r="C72" s="419" t="s">
        <v>295</v>
      </c>
      <c r="D72" s="419"/>
      <c r="E72" s="419"/>
      <c r="F72" s="27" t="s">
        <v>158</v>
      </c>
      <c r="G72" s="22" t="s">
        <v>879</v>
      </c>
      <c r="H72" s="57"/>
      <c r="I72" s="28"/>
      <c r="J72" s="19"/>
      <c r="K72" s="29"/>
      <c r="BC72" s="14"/>
      <c r="BD72" s="15"/>
      <c r="BE72" s="21"/>
      <c r="BF72" s="43"/>
      <c r="BG72" s="12" t="s">
        <v>295</v>
      </c>
      <c r="BH72" s="12"/>
    </row>
    <row r="73" spans="1:60" s="3" customFormat="1" ht="42" x14ac:dyDescent="0.3">
      <c r="A73" s="16" t="s">
        <v>170</v>
      </c>
      <c r="B73" s="17" t="s">
        <v>309</v>
      </c>
      <c r="C73" s="405" t="s">
        <v>310</v>
      </c>
      <c r="D73" s="405"/>
      <c r="E73" s="405"/>
      <c r="F73" s="16" t="s">
        <v>311</v>
      </c>
      <c r="G73" s="24">
        <v>16.8</v>
      </c>
      <c r="H73" s="57">
        <f t="shared" si="0"/>
        <v>0</v>
      </c>
      <c r="I73" s="19"/>
      <c r="J73" s="19">
        <f t="shared" si="1"/>
        <v>250.89761904761903</v>
      </c>
      <c r="K73" s="19">
        <v>4215.08</v>
      </c>
      <c r="BC73" s="14"/>
      <c r="BD73" s="15"/>
      <c r="BE73" s="21" t="s">
        <v>310</v>
      </c>
      <c r="BF73" s="43"/>
      <c r="BG73" s="12"/>
      <c r="BH73" s="12"/>
    </row>
    <row r="74" spans="1:60" s="3" customFormat="1" ht="21.6" x14ac:dyDescent="0.3">
      <c r="A74" s="16" t="s">
        <v>173</v>
      </c>
      <c r="B74" s="17" t="s">
        <v>324</v>
      </c>
      <c r="C74" s="405" t="s">
        <v>325</v>
      </c>
      <c r="D74" s="405"/>
      <c r="E74" s="405"/>
      <c r="F74" s="16" t="s">
        <v>46</v>
      </c>
      <c r="G74" s="18">
        <v>17.052</v>
      </c>
      <c r="H74" s="57">
        <f t="shared" si="0"/>
        <v>0</v>
      </c>
      <c r="I74" s="19"/>
      <c r="J74" s="19">
        <f t="shared" si="1"/>
        <v>4828.5602861834386</v>
      </c>
      <c r="K74" s="19">
        <v>82336.61</v>
      </c>
      <c r="BC74" s="14"/>
      <c r="BD74" s="15"/>
      <c r="BE74" s="21" t="s">
        <v>325</v>
      </c>
      <c r="BF74" s="43"/>
      <c r="BG74" s="12"/>
      <c r="BH74" s="12"/>
    </row>
    <row r="75" spans="1:60" s="3" customFormat="1" ht="31.8" x14ac:dyDescent="0.3">
      <c r="A75" s="16" t="s">
        <v>176</v>
      </c>
      <c r="B75" s="17" t="s">
        <v>297</v>
      </c>
      <c r="C75" s="405" t="s">
        <v>298</v>
      </c>
      <c r="D75" s="405"/>
      <c r="E75" s="405"/>
      <c r="F75" s="16" t="s">
        <v>70</v>
      </c>
      <c r="G75" s="31">
        <v>1.06</v>
      </c>
      <c r="H75" s="57">
        <f t="shared" si="0"/>
        <v>0</v>
      </c>
      <c r="I75" s="19"/>
      <c r="J75" s="19">
        <f t="shared" si="1"/>
        <v>70412.462264150949</v>
      </c>
      <c r="K75" s="19">
        <v>74637.210000000006</v>
      </c>
      <c r="BC75" s="14"/>
      <c r="BD75" s="15"/>
      <c r="BE75" s="21" t="s">
        <v>298</v>
      </c>
      <c r="BF75" s="43"/>
      <c r="BG75" s="12"/>
      <c r="BH75" s="12"/>
    </row>
    <row r="76" spans="1:60" s="3" customFormat="1" ht="31.8" x14ac:dyDescent="0.3">
      <c r="A76" s="16" t="s">
        <v>177</v>
      </c>
      <c r="B76" s="17" t="s">
        <v>300</v>
      </c>
      <c r="C76" s="405" t="s">
        <v>301</v>
      </c>
      <c r="D76" s="405"/>
      <c r="E76" s="405"/>
      <c r="F76" s="16" t="s">
        <v>70</v>
      </c>
      <c r="G76" s="31">
        <v>0.16</v>
      </c>
      <c r="H76" s="57">
        <f t="shared" si="0"/>
        <v>0</v>
      </c>
      <c r="I76" s="19"/>
      <c r="J76" s="19">
        <f t="shared" si="1"/>
        <v>70775.5</v>
      </c>
      <c r="K76" s="19">
        <v>11324.08</v>
      </c>
      <c r="BC76" s="14"/>
      <c r="BD76" s="15"/>
      <c r="BE76" s="21" t="s">
        <v>301</v>
      </c>
      <c r="BF76" s="43"/>
      <c r="BG76" s="12"/>
      <c r="BH76" s="12"/>
    </row>
    <row r="77" spans="1:60" s="3" customFormat="1" ht="21.6" x14ac:dyDescent="0.3">
      <c r="A77" s="16" t="s">
        <v>180</v>
      </c>
      <c r="B77" s="17" t="s">
        <v>303</v>
      </c>
      <c r="C77" s="405" t="s">
        <v>304</v>
      </c>
      <c r="D77" s="405"/>
      <c r="E77" s="405"/>
      <c r="F77" s="16" t="s">
        <v>70</v>
      </c>
      <c r="G77" s="31">
        <v>0.05</v>
      </c>
      <c r="H77" s="57">
        <f t="shared" si="0"/>
        <v>0</v>
      </c>
      <c r="I77" s="19"/>
      <c r="J77" s="19">
        <f t="shared" si="1"/>
        <v>77703.8</v>
      </c>
      <c r="K77" s="19">
        <v>3885.19</v>
      </c>
      <c r="BC77" s="14"/>
      <c r="BD77" s="15"/>
      <c r="BE77" s="21" t="s">
        <v>304</v>
      </c>
      <c r="BF77" s="43"/>
      <c r="BG77" s="12"/>
      <c r="BH77" s="12"/>
    </row>
    <row r="78" spans="1:60" s="3" customFormat="1" ht="15" customHeight="1" x14ac:dyDescent="0.3">
      <c r="A78" s="437" t="s">
        <v>256</v>
      </c>
      <c r="B78" s="418"/>
      <c r="C78" s="418"/>
      <c r="D78" s="418"/>
      <c r="E78" s="418"/>
      <c r="F78" s="418"/>
      <c r="G78" s="418"/>
      <c r="H78" s="123"/>
      <c r="I78" s="123"/>
      <c r="J78" s="123"/>
      <c r="K78" s="124"/>
      <c r="BC78" s="14"/>
      <c r="BD78" s="15" t="s">
        <v>256</v>
      </c>
      <c r="BE78" s="21"/>
      <c r="BF78" s="43"/>
      <c r="BG78" s="12"/>
      <c r="BH78" s="12"/>
    </row>
    <row r="79" spans="1:60" s="3" customFormat="1" ht="52.2" x14ac:dyDescent="0.3">
      <c r="A79" s="16" t="s">
        <v>182</v>
      </c>
      <c r="B79" s="17" t="s">
        <v>223</v>
      </c>
      <c r="C79" s="405" t="s">
        <v>224</v>
      </c>
      <c r="D79" s="405"/>
      <c r="E79" s="405"/>
      <c r="F79" s="16" t="s">
        <v>43</v>
      </c>
      <c r="G79" s="30">
        <v>3.1199999999999999E-2</v>
      </c>
      <c r="H79" s="57">
        <f t="shared" ref="H79:H105" si="2">I79/G79</f>
        <v>56854.807692307688</v>
      </c>
      <c r="I79" s="19">
        <v>1773.87</v>
      </c>
      <c r="J79" s="19">
        <f t="shared" ref="J79:J105" si="3">K79/G79</f>
        <v>0</v>
      </c>
      <c r="K79" s="19">
        <v>0</v>
      </c>
      <c r="BC79" s="14"/>
      <c r="BD79" s="15"/>
      <c r="BE79" s="21" t="s">
        <v>224</v>
      </c>
      <c r="BF79" s="43"/>
      <c r="BG79" s="12"/>
      <c r="BH79" s="12"/>
    </row>
    <row r="80" spans="1:60" s="3" customFormat="1" ht="42" x14ac:dyDescent="0.3">
      <c r="A80" s="16" t="s">
        <v>186</v>
      </c>
      <c r="B80" s="17" t="s">
        <v>254</v>
      </c>
      <c r="C80" s="405" t="s">
        <v>255</v>
      </c>
      <c r="D80" s="405"/>
      <c r="E80" s="405"/>
      <c r="F80" s="16" t="s">
        <v>50</v>
      </c>
      <c r="G80" s="24">
        <v>62.4</v>
      </c>
      <c r="H80" s="57">
        <f t="shared" si="2"/>
        <v>45.134134615384617</v>
      </c>
      <c r="I80" s="19">
        <v>2816.37</v>
      </c>
      <c r="J80" s="19">
        <f t="shared" si="3"/>
        <v>0</v>
      </c>
      <c r="K80" s="19">
        <v>0</v>
      </c>
      <c r="BC80" s="14"/>
      <c r="BD80" s="15"/>
      <c r="BE80" s="21" t="s">
        <v>255</v>
      </c>
      <c r="BF80" s="43"/>
      <c r="BG80" s="12"/>
      <c r="BH80" s="12"/>
    </row>
    <row r="81" spans="1:60" s="3" customFormat="1" ht="42" x14ac:dyDescent="0.3">
      <c r="A81" s="16" t="s">
        <v>192</v>
      </c>
      <c r="B81" s="17" t="s">
        <v>257</v>
      </c>
      <c r="C81" s="405" t="s">
        <v>258</v>
      </c>
      <c r="D81" s="405"/>
      <c r="E81" s="405"/>
      <c r="F81" s="16" t="s">
        <v>43</v>
      </c>
      <c r="G81" s="30">
        <v>3.1199999999999999E-2</v>
      </c>
      <c r="H81" s="57">
        <f t="shared" si="2"/>
        <v>6893.9102564102568</v>
      </c>
      <c r="I81" s="19">
        <v>215.09</v>
      </c>
      <c r="J81" s="19">
        <f t="shared" si="3"/>
        <v>0</v>
      </c>
      <c r="K81" s="19">
        <v>0</v>
      </c>
      <c r="BC81" s="14"/>
      <c r="BD81" s="15"/>
      <c r="BE81" s="21" t="s">
        <v>258</v>
      </c>
      <c r="BF81" s="43"/>
      <c r="BG81" s="12"/>
      <c r="BH81" s="12"/>
    </row>
    <row r="82" spans="1:60" s="3" customFormat="1" ht="15" customHeight="1" x14ac:dyDescent="0.3">
      <c r="A82" s="437" t="s">
        <v>326</v>
      </c>
      <c r="B82" s="418"/>
      <c r="C82" s="418"/>
      <c r="D82" s="418"/>
      <c r="E82" s="418"/>
      <c r="F82" s="418"/>
      <c r="G82" s="418"/>
      <c r="H82" s="123"/>
      <c r="I82" s="123"/>
      <c r="J82" s="123"/>
      <c r="K82" s="124"/>
      <c r="BC82" s="14"/>
      <c r="BD82" s="15" t="s">
        <v>326</v>
      </c>
      <c r="BE82" s="21"/>
      <c r="BF82" s="43"/>
      <c r="BG82" s="12"/>
      <c r="BH82" s="12"/>
    </row>
    <row r="83" spans="1:60" s="3" customFormat="1" ht="42" x14ac:dyDescent="0.3">
      <c r="A83" s="16" t="s">
        <v>196</v>
      </c>
      <c r="B83" s="17" t="s">
        <v>327</v>
      </c>
      <c r="C83" s="405" t="s">
        <v>328</v>
      </c>
      <c r="D83" s="405"/>
      <c r="E83" s="405"/>
      <c r="F83" s="16" t="s">
        <v>329</v>
      </c>
      <c r="G83" s="18">
        <v>0.16200000000000001</v>
      </c>
      <c r="H83" s="57">
        <f t="shared" si="2"/>
        <v>25173.703703703701</v>
      </c>
      <c r="I83" s="19">
        <v>4078.14</v>
      </c>
      <c r="J83" s="19">
        <f t="shared" si="3"/>
        <v>7875.3703703703695</v>
      </c>
      <c r="K83" s="19">
        <v>1275.81</v>
      </c>
      <c r="BC83" s="14"/>
      <c r="BD83" s="15"/>
      <c r="BE83" s="21" t="s">
        <v>328</v>
      </c>
      <c r="BF83" s="43"/>
      <c r="BG83" s="12"/>
      <c r="BH83" s="12"/>
    </row>
    <row r="84" spans="1:60" s="3" customFormat="1" ht="20.399999999999999" x14ac:dyDescent="0.3">
      <c r="A84" s="37" t="s">
        <v>143</v>
      </c>
      <c r="B84" s="38" t="s">
        <v>330</v>
      </c>
      <c r="C84" s="430" t="s">
        <v>331</v>
      </c>
      <c r="D84" s="430"/>
      <c r="E84" s="430"/>
      <c r="F84" s="39" t="s">
        <v>70</v>
      </c>
      <c r="G84" s="40" t="s">
        <v>880</v>
      </c>
      <c r="H84" s="57"/>
      <c r="I84" s="41"/>
      <c r="J84" s="19"/>
      <c r="K84" s="42"/>
      <c r="BC84" s="14"/>
      <c r="BD84" s="15"/>
      <c r="BE84" s="21"/>
      <c r="BF84" s="43" t="s">
        <v>331</v>
      </c>
      <c r="BG84" s="12"/>
      <c r="BH84" s="12"/>
    </row>
    <row r="85" spans="1:60" s="3" customFormat="1" ht="20.399999999999999" x14ac:dyDescent="0.3">
      <c r="A85" s="37" t="s">
        <v>143</v>
      </c>
      <c r="B85" s="38" t="s">
        <v>333</v>
      </c>
      <c r="C85" s="430" t="s">
        <v>334</v>
      </c>
      <c r="D85" s="430"/>
      <c r="E85" s="430"/>
      <c r="F85" s="39" t="s">
        <v>70</v>
      </c>
      <c r="G85" s="40" t="s">
        <v>881</v>
      </c>
      <c r="H85" s="57"/>
      <c r="I85" s="41"/>
      <c r="J85" s="19"/>
      <c r="K85" s="42"/>
      <c r="BC85" s="14"/>
      <c r="BD85" s="15"/>
      <c r="BE85" s="21"/>
      <c r="BF85" s="43" t="s">
        <v>334</v>
      </c>
      <c r="BG85" s="12"/>
      <c r="BH85" s="12"/>
    </row>
    <row r="86" spans="1:60" s="3" customFormat="1" ht="20.399999999999999" x14ac:dyDescent="0.3">
      <c r="A86" s="25"/>
      <c r="B86" s="26" t="s">
        <v>336</v>
      </c>
      <c r="C86" s="419" t="s">
        <v>337</v>
      </c>
      <c r="D86" s="419"/>
      <c r="E86" s="419"/>
      <c r="F86" s="27" t="s">
        <v>70</v>
      </c>
      <c r="G86" s="22" t="s">
        <v>882</v>
      </c>
      <c r="H86" s="57"/>
      <c r="I86" s="28"/>
      <c r="J86" s="19"/>
      <c r="K86" s="29"/>
      <c r="BC86" s="14"/>
      <c r="BD86" s="15"/>
      <c r="BE86" s="21"/>
      <c r="BF86" s="43"/>
      <c r="BG86" s="12" t="s">
        <v>337</v>
      </c>
      <c r="BH86" s="12"/>
    </row>
    <row r="87" spans="1:60" s="3" customFormat="1" ht="20.399999999999999" x14ac:dyDescent="0.3">
      <c r="A87" s="25"/>
      <c r="B87" s="26" t="s">
        <v>339</v>
      </c>
      <c r="C87" s="419" t="s">
        <v>340</v>
      </c>
      <c r="D87" s="419"/>
      <c r="E87" s="419"/>
      <c r="F87" s="27" t="s">
        <v>75</v>
      </c>
      <c r="G87" s="22" t="s">
        <v>883</v>
      </c>
      <c r="H87" s="57"/>
      <c r="I87" s="28"/>
      <c r="J87" s="19"/>
      <c r="K87" s="29"/>
      <c r="BC87" s="14"/>
      <c r="BD87" s="15"/>
      <c r="BE87" s="21"/>
      <c r="BF87" s="43"/>
      <c r="BG87" s="12" t="s">
        <v>340</v>
      </c>
      <c r="BH87" s="12"/>
    </row>
    <row r="88" spans="1:60" s="3" customFormat="1" ht="20.399999999999999" x14ac:dyDescent="0.3">
      <c r="A88" s="25" t="s">
        <v>129</v>
      </c>
      <c r="B88" s="26" t="s">
        <v>344</v>
      </c>
      <c r="C88" s="419" t="s">
        <v>345</v>
      </c>
      <c r="D88" s="419"/>
      <c r="E88" s="419"/>
      <c r="F88" s="27" t="s">
        <v>70</v>
      </c>
      <c r="G88" s="22" t="s">
        <v>880</v>
      </c>
      <c r="H88" s="57"/>
      <c r="I88" s="28"/>
      <c r="J88" s="19"/>
      <c r="K88" s="29"/>
      <c r="BC88" s="14"/>
      <c r="BD88" s="15"/>
      <c r="BE88" s="21"/>
      <c r="BF88" s="43"/>
      <c r="BG88" s="12"/>
      <c r="BH88" s="12" t="s">
        <v>345</v>
      </c>
    </row>
    <row r="89" spans="1:60" s="3" customFormat="1" ht="20.399999999999999" x14ac:dyDescent="0.3">
      <c r="A89" s="25" t="s">
        <v>129</v>
      </c>
      <c r="B89" s="26" t="s">
        <v>342</v>
      </c>
      <c r="C89" s="419" t="s">
        <v>343</v>
      </c>
      <c r="D89" s="419"/>
      <c r="E89" s="419"/>
      <c r="F89" s="27" t="s">
        <v>70</v>
      </c>
      <c r="G89" s="22" t="s">
        <v>881</v>
      </c>
      <c r="H89" s="57"/>
      <c r="I89" s="28"/>
      <c r="J89" s="19"/>
      <c r="K89" s="29"/>
      <c r="BC89" s="14"/>
      <c r="BD89" s="15"/>
      <c r="BE89" s="21"/>
      <c r="BF89" s="43"/>
      <c r="BG89" s="12"/>
      <c r="BH89" s="12" t="s">
        <v>343</v>
      </c>
    </row>
    <row r="90" spans="1:60" s="3" customFormat="1" ht="15" customHeight="1" x14ac:dyDescent="0.3">
      <c r="A90" s="437" t="s">
        <v>884</v>
      </c>
      <c r="B90" s="418"/>
      <c r="C90" s="418"/>
      <c r="D90" s="418"/>
      <c r="E90" s="418"/>
      <c r="F90" s="418"/>
      <c r="G90" s="418"/>
      <c r="H90" s="123"/>
      <c r="I90" s="123"/>
      <c r="J90" s="123"/>
      <c r="K90" s="124"/>
      <c r="BC90" s="14"/>
      <c r="BD90" s="15" t="s">
        <v>884</v>
      </c>
      <c r="BE90" s="21"/>
      <c r="BF90" s="43"/>
      <c r="BG90" s="12"/>
      <c r="BH90" s="12"/>
    </row>
    <row r="91" spans="1:60" s="3" customFormat="1" ht="15" customHeight="1" x14ac:dyDescent="0.3">
      <c r="A91" s="437" t="s">
        <v>347</v>
      </c>
      <c r="B91" s="418"/>
      <c r="C91" s="418"/>
      <c r="D91" s="418"/>
      <c r="E91" s="418"/>
      <c r="F91" s="418"/>
      <c r="G91" s="418"/>
      <c r="H91" s="123"/>
      <c r="I91" s="123"/>
      <c r="J91" s="123"/>
      <c r="K91" s="124"/>
      <c r="BC91" s="14"/>
      <c r="BD91" s="15" t="s">
        <v>347</v>
      </c>
      <c r="BE91" s="21"/>
      <c r="BF91" s="43"/>
      <c r="BG91" s="12"/>
      <c r="BH91" s="12"/>
    </row>
    <row r="92" spans="1:60" s="3" customFormat="1" ht="21.6" x14ac:dyDescent="0.3">
      <c r="A92" s="16" t="s">
        <v>198</v>
      </c>
      <c r="B92" s="17" t="s">
        <v>348</v>
      </c>
      <c r="C92" s="405" t="s">
        <v>349</v>
      </c>
      <c r="D92" s="405"/>
      <c r="E92" s="405"/>
      <c r="F92" s="16" t="s">
        <v>329</v>
      </c>
      <c r="G92" s="18">
        <v>0.23799999999999999</v>
      </c>
      <c r="H92" s="57">
        <f t="shared" si="2"/>
        <v>6117.1428571428542</v>
      </c>
      <c r="I92" s="19">
        <v>1455.8799999999992</v>
      </c>
      <c r="J92" s="19">
        <f t="shared" si="3"/>
        <v>43034.117647058825</v>
      </c>
      <c r="K92" s="19">
        <v>10242.120000000001</v>
      </c>
      <c r="BC92" s="14"/>
      <c r="BD92" s="15"/>
      <c r="BE92" s="21" t="s">
        <v>349</v>
      </c>
      <c r="BF92" s="43"/>
      <c r="BG92" s="12"/>
      <c r="BH92" s="12"/>
    </row>
    <row r="93" spans="1:60" s="3" customFormat="1" ht="20.399999999999999" x14ac:dyDescent="0.3">
      <c r="A93" s="25"/>
      <c r="B93" s="26" t="s">
        <v>350</v>
      </c>
      <c r="C93" s="419" t="s">
        <v>351</v>
      </c>
      <c r="D93" s="419"/>
      <c r="E93" s="419"/>
      <c r="F93" s="27" t="s">
        <v>70</v>
      </c>
      <c r="G93" s="22" t="s">
        <v>885</v>
      </c>
      <c r="H93" s="57"/>
      <c r="I93" s="28"/>
      <c r="J93" s="19"/>
      <c r="K93" s="29"/>
      <c r="BC93" s="14"/>
      <c r="BD93" s="15"/>
      <c r="BE93" s="21"/>
      <c r="BF93" s="43"/>
      <c r="BG93" s="12" t="s">
        <v>351</v>
      </c>
      <c r="BH93" s="12"/>
    </row>
    <row r="94" spans="1:60" s="3" customFormat="1" ht="20.399999999999999" x14ac:dyDescent="0.3">
      <c r="A94" s="25"/>
      <c r="B94" s="26" t="s">
        <v>353</v>
      </c>
      <c r="C94" s="419" t="s">
        <v>354</v>
      </c>
      <c r="D94" s="419"/>
      <c r="E94" s="419"/>
      <c r="F94" s="27" t="s">
        <v>75</v>
      </c>
      <c r="G94" s="22" t="s">
        <v>886</v>
      </c>
      <c r="H94" s="57"/>
      <c r="I94" s="28"/>
      <c r="J94" s="19"/>
      <c r="K94" s="29"/>
      <c r="BC94" s="14"/>
      <c r="BD94" s="15"/>
      <c r="BE94" s="21"/>
      <c r="BF94" s="43"/>
      <c r="BG94" s="12" t="s">
        <v>354</v>
      </c>
      <c r="BH94" s="12"/>
    </row>
    <row r="95" spans="1:60" s="3" customFormat="1" ht="20.399999999999999" x14ac:dyDescent="0.3">
      <c r="A95" s="25" t="s">
        <v>129</v>
      </c>
      <c r="B95" s="26" t="s">
        <v>356</v>
      </c>
      <c r="C95" s="419" t="s">
        <v>351</v>
      </c>
      <c r="D95" s="419"/>
      <c r="E95" s="419"/>
      <c r="F95" s="27" t="s">
        <v>70</v>
      </c>
      <c r="G95" s="22" t="s">
        <v>887</v>
      </c>
      <c r="H95" s="57"/>
      <c r="I95" s="28"/>
      <c r="J95" s="19"/>
      <c r="K95" s="29"/>
      <c r="BC95" s="14"/>
      <c r="BD95" s="15"/>
      <c r="BE95" s="21"/>
      <c r="BF95" s="43"/>
      <c r="BG95" s="12"/>
      <c r="BH95" s="12" t="s">
        <v>351</v>
      </c>
    </row>
    <row r="96" spans="1:60" s="3" customFormat="1" ht="20.399999999999999" x14ac:dyDescent="0.3">
      <c r="A96" s="25" t="s">
        <v>129</v>
      </c>
      <c r="B96" s="26" t="s">
        <v>358</v>
      </c>
      <c r="C96" s="419" t="s">
        <v>359</v>
      </c>
      <c r="D96" s="419"/>
      <c r="E96" s="419"/>
      <c r="F96" s="27" t="s">
        <v>75</v>
      </c>
      <c r="G96" s="22" t="s">
        <v>888</v>
      </c>
      <c r="H96" s="57"/>
      <c r="I96" s="28"/>
      <c r="J96" s="19"/>
      <c r="K96" s="29"/>
      <c r="BC96" s="14"/>
      <c r="BD96" s="15"/>
      <c r="BE96" s="21"/>
      <c r="BF96" s="43"/>
      <c r="BG96" s="12"/>
      <c r="BH96" s="12" t="s">
        <v>359</v>
      </c>
    </row>
    <row r="97" spans="1:60" s="3" customFormat="1" ht="15" customHeight="1" x14ac:dyDescent="0.3">
      <c r="A97" s="437" t="s">
        <v>361</v>
      </c>
      <c r="B97" s="418"/>
      <c r="C97" s="418"/>
      <c r="D97" s="418"/>
      <c r="E97" s="418"/>
      <c r="F97" s="418"/>
      <c r="G97" s="418"/>
      <c r="H97" s="123"/>
      <c r="I97" s="123"/>
      <c r="J97" s="123"/>
      <c r="K97" s="124"/>
      <c r="BC97" s="14"/>
      <c r="BD97" s="15" t="s">
        <v>361</v>
      </c>
      <c r="BE97" s="21"/>
      <c r="BF97" s="43"/>
      <c r="BG97" s="12"/>
      <c r="BH97" s="12"/>
    </row>
    <row r="98" spans="1:60" s="3" customFormat="1" ht="31.8" x14ac:dyDescent="0.3">
      <c r="A98" s="16" t="s">
        <v>201</v>
      </c>
      <c r="B98" s="17" t="s">
        <v>362</v>
      </c>
      <c r="C98" s="405" t="s">
        <v>363</v>
      </c>
      <c r="D98" s="405"/>
      <c r="E98" s="405"/>
      <c r="F98" s="16" t="s">
        <v>329</v>
      </c>
      <c r="G98" s="18">
        <v>0.23799999999999999</v>
      </c>
      <c r="H98" s="57">
        <f t="shared" si="2"/>
        <v>7196.5966386554619</v>
      </c>
      <c r="I98" s="19">
        <v>1712.79</v>
      </c>
      <c r="J98" s="19">
        <f t="shared" si="3"/>
        <v>30631.890756302524</v>
      </c>
      <c r="K98" s="19">
        <v>7290.39</v>
      </c>
      <c r="BC98" s="14"/>
      <c r="BD98" s="15"/>
      <c r="BE98" s="21" t="s">
        <v>363</v>
      </c>
      <c r="BF98" s="43"/>
      <c r="BG98" s="12"/>
      <c r="BH98" s="12"/>
    </row>
    <row r="99" spans="1:60" s="3" customFormat="1" ht="20.399999999999999" x14ac:dyDescent="0.3">
      <c r="A99" s="25"/>
      <c r="B99" s="26" t="s">
        <v>364</v>
      </c>
      <c r="C99" s="419" t="s">
        <v>365</v>
      </c>
      <c r="D99" s="419"/>
      <c r="E99" s="419"/>
      <c r="F99" s="27" t="s">
        <v>70</v>
      </c>
      <c r="G99" s="22" t="s">
        <v>889</v>
      </c>
      <c r="H99" s="57"/>
      <c r="I99" s="28"/>
      <c r="J99" s="19"/>
      <c r="K99" s="29"/>
      <c r="BC99" s="14"/>
      <c r="BD99" s="15"/>
      <c r="BE99" s="21"/>
      <c r="BF99" s="43"/>
      <c r="BG99" s="12" t="s">
        <v>365</v>
      </c>
      <c r="BH99" s="12"/>
    </row>
    <row r="100" spans="1:60" s="3" customFormat="1" ht="20.399999999999999" x14ac:dyDescent="0.3">
      <c r="A100" s="25"/>
      <c r="B100" s="26" t="s">
        <v>367</v>
      </c>
      <c r="C100" s="419" t="s">
        <v>368</v>
      </c>
      <c r="D100" s="419"/>
      <c r="E100" s="419"/>
      <c r="F100" s="27" t="s">
        <v>70</v>
      </c>
      <c r="G100" s="22" t="s">
        <v>890</v>
      </c>
      <c r="H100" s="57"/>
      <c r="I100" s="28"/>
      <c r="J100" s="19"/>
      <c r="K100" s="29"/>
      <c r="BC100" s="14"/>
      <c r="BD100" s="15"/>
      <c r="BE100" s="21"/>
      <c r="BF100" s="43"/>
      <c r="BG100" s="12" t="s">
        <v>368</v>
      </c>
      <c r="BH100" s="12"/>
    </row>
    <row r="101" spans="1:60" s="3" customFormat="1" ht="20.399999999999999" x14ac:dyDescent="0.3">
      <c r="A101" s="25"/>
      <c r="B101" s="26" t="s">
        <v>370</v>
      </c>
      <c r="C101" s="419" t="s">
        <v>371</v>
      </c>
      <c r="D101" s="419"/>
      <c r="E101" s="419"/>
      <c r="F101" s="27" t="s">
        <v>75</v>
      </c>
      <c r="G101" s="22" t="s">
        <v>891</v>
      </c>
      <c r="H101" s="57"/>
      <c r="I101" s="28"/>
      <c r="J101" s="19"/>
      <c r="K101" s="29"/>
      <c r="BC101" s="14"/>
      <c r="BD101" s="15"/>
      <c r="BE101" s="21"/>
      <c r="BF101" s="43"/>
      <c r="BG101" s="12" t="s">
        <v>371</v>
      </c>
      <c r="BH101" s="12"/>
    </row>
    <row r="102" spans="1:60" s="3" customFormat="1" ht="20.399999999999999" x14ac:dyDescent="0.3">
      <c r="A102" s="25" t="s">
        <v>129</v>
      </c>
      <c r="B102" s="26" t="s">
        <v>373</v>
      </c>
      <c r="C102" s="419" t="s">
        <v>365</v>
      </c>
      <c r="D102" s="419"/>
      <c r="E102" s="419"/>
      <c r="F102" s="27" t="s">
        <v>70</v>
      </c>
      <c r="G102" s="22" t="s">
        <v>892</v>
      </c>
      <c r="H102" s="57"/>
      <c r="I102" s="28"/>
      <c r="J102" s="19"/>
      <c r="K102" s="29"/>
      <c r="BC102" s="14"/>
      <c r="BD102" s="15"/>
      <c r="BE102" s="21"/>
      <c r="BF102" s="43"/>
      <c r="BG102" s="12"/>
      <c r="BH102" s="12" t="s">
        <v>365</v>
      </c>
    </row>
    <row r="103" spans="1:60" s="3" customFormat="1" ht="21.6" x14ac:dyDescent="0.3">
      <c r="A103" s="25" t="s">
        <v>129</v>
      </c>
      <c r="B103" s="26" t="s">
        <v>375</v>
      </c>
      <c r="C103" s="419" t="s">
        <v>376</v>
      </c>
      <c r="D103" s="419"/>
      <c r="E103" s="419"/>
      <c r="F103" s="27" t="s">
        <v>75</v>
      </c>
      <c r="G103" s="22" t="s">
        <v>893</v>
      </c>
      <c r="H103" s="57"/>
      <c r="I103" s="28"/>
      <c r="J103" s="19"/>
      <c r="K103" s="29"/>
      <c r="BC103" s="14"/>
      <c r="BD103" s="15"/>
      <c r="BE103" s="21"/>
      <c r="BF103" s="43"/>
      <c r="BG103" s="12"/>
      <c r="BH103" s="12" t="s">
        <v>376</v>
      </c>
    </row>
    <row r="104" spans="1:60" s="3" customFormat="1" ht="15" customHeight="1" x14ac:dyDescent="0.3">
      <c r="A104" s="437" t="s">
        <v>378</v>
      </c>
      <c r="B104" s="418"/>
      <c r="C104" s="418"/>
      <c r="D104" s="418"/>
      <c r="E104" s="418"/>
      <c r="F104" s="418"/>
      <c r="G104" s="418"/>
      <c r="H104" s="123"/>
      <c r="I104" s="123"/>
      <c r="J104" s="123"/>
      <c r="K104" s="124"/>
      <c r="BC104" s="14"/>
      <c r="BD104" s="15" t="s">
        <v>378</v>
      </c>
      <c r="BE104" s="21"/>
      <c r="BF104" s="43"/>
      <c r="BG104" s="12"/>
      <c r="BH104" s="12"/>
    </row>
    <row r="105" spans="1:60" s="3" customFormat="1" ht="31.8" x14ac:dyDescent="0.3">
      <c r="A105" s="16" t="s">
        <v>219</v>
      </c>
      <c r="B105" s="17" t="s">
        <v>362</v>
      </c>
      <c r="C105" s="405" t="s">
        <v>363</v>
      </c>
      <c r="D105" s="405"/>
      <c r="E105" s="405"/>
      <c r="F105" s="16" t="s">
        <v>329</v>
      </c>
      <c r="G105" s="18">
        <v>0.23799999999999999</v>
      </c>
      <c r="H105" s="57">
        <f t="shared" si="2"/>
        <v>7754.3277310924368</v>
      </c>
      <c r="I105" s="19">
        <v>1845.53</v>
      </c>
      <c r="J105" s="19">
        <f t="shared" si="3"/>
        <v>30631.890756302524</v>
      </c>
      <c r="K105" s="19">
        <v>7290.39</v>
      </c>
      <c r="BC105" s="14"/>
      <c r="BD105" s="15"/>
      <c r="BE105" s="21" t="s">
        <v>363</v>
      </c>
      <c r="BF105" s="43"/>
      <c r="BG105" s="12"/>
      <c r="BH105" s="12"/>
    </row>
    <row r="106" spans="1:60" s="3" customFormat="1" ht="20.399999999999999" x14ac:dyDescent="0.3">
      <c r="A106" s="25"/>
      <c r="B106" s="26" t="s">
        <v>364</v>
      </c>
      <c r="C106" s="419" t="s">
        <v>365</v>
      </c>
      <c r="D106" s="419"/>
      <c r="E106" s="419"/>
      <c r="F106" s="27" t="s">
        <v>70</v>
      </c>
      <c r="G106" s="22" t="s">
        <v>889</v>
      </c>
      <c r="H106" s="57"/>
      <c r="I106" s="28"/>
      <c r="J106" s="19"/>
      <c r="K106" s="29"/>
      <c r="BC106" s="14"/>
      <c r="BD106" s="15"/>
      <c r="BE106" s="21"/>
      <c r="BF106" s="43"/>
      <c r="BG106" s="12" t="s">
        <v>365</v>
      </c>
      <c r="BH106" s="12"/>
    </row>
    <row r="107" spans="1:60" s="3" customFormat="1" ht="20.399999999999999" x14ac:dyDescent="0.3">
      <c r="A107" s="25"/>
      <c r="B107" s="26" t="s">
        <v>367</v>
      </c>
      <c r="C107" s="419" t="s">
        <v>368</v>
      </c>
      <c r="D107" s="419"/>
      <c r="E107" s="419"/>
      <c r="F107" s="27" t="s">
        <v>70</v>
      </c>
      <c r="G107" s="22" t="s">
        <v>890</v>
      </c>
      <c r="H107" s="57"/>
      <c r="I107" s="28"/>
      <c r="J107" s="19"/>
      <c r="K107" s="29"/>
      <c r="BC107" s="14"/>
      <c r="BD107" s="15"/>
      <c r="BE107" s="21"/>
      <c r="BF107" s="43"/>
      <c r="BG107" s="12" t="s">
        <v>368</v>
      </c>
      <c r="BH107" s="12"/>
    </row>
    <row r="108" spans="1:60" s="3" customFormat="1" ht="20.399999999999999" x14ac:dyDescent="0.3">
      <c r="A108" s="25"/>
      <c r="B108" s="26" t="s">
        <v>370</v>
      </c>
      <c r="C108" s="419" t="s">
        <v>371</v>
      </c>
      <c r="D108" s="419"/>
      <c r="E108" s="419"/>
      <c r="F108" s="27" t="s">
        <v>75</v>
      </c>
      <c r="G108" s="22" t="s">
        <v>891</v>
      </c>
      <c r="H108" s="57"/>
      <c r="I108" s="28"/>
      <c r="J108" s="19"/>
      <c r="K108" s="29"/>
      <c r="M108" s="56"/>
      <c r="BC108" s="14"/>
      <c r="BD108" s="15"/>
      <c r="BE108" s="21"/>
      <c r="BF108" s="43"/>
      <c r="BG108" s="12" t="s">
        <v>371</v>
      </c>
      <c r="BH108" s="12"/>
    </row>
    <row r="109" spans="1:60" s="3" customFormat="1" ht="20.399999999999999" x14ac:dyDescent="0.3">
      <c r="A109" s="25" t="s">
        <v>129</v>
      </c>
      <c r="B109" s="26" t="s">
        <v>373</v>
      </c>
      <c r="C109" s="419" t="s">
        <v>365</v>
      </c>
      <c r="D109" s="419"/>
      <c r="E109" s="419"/>
      <c r="F109" s="27" t="s">
        <v>70</v>
      </c>
      <c r="G109" s="22" t="s">
        <v>892</v>
      </c>
      <c r="H109" s="57"/>
      <c r="I109" s="28"/>
      <c r="J109" s="19"/>
      <c r="K109" s="29"/>
      <c r="M109" s="56"/>
      <c r="BC109" s="14"/>
      <c r="BD109" s="15"/>
      <c r="BE109" s="21"/>
      <c r="BF109" s="43"/>
      <c r="BG109" s="12"/>
      <c r="BH109" s="12" t="s">
        <v>365</v>
      </c>
    </row>
    <row r="110" spans="1:60" s="3" customFormat="1" ht="21.6" x14ac:dyDescent="0.3">
      <c r="A110" s="25" t="s">
        <v>129</v>
      </c>
      <c r="B110" s="26" t="s">
        <v>375</v>
      </c>
      <c r="C110" s="419" t="s">
        <v>376</v>
      </c>
      <c r="D110" s="419"/>
      <c r="E110" s="419"/>
      <c r="F110" s="27" t="s">
        <v>75</v>
      </c>
      <c r="G110" s="22" t="s">
        <v>893</v>
      </c>
      <c r="H110" s="57"/>
      <c r="I110" s="28"/>
      <c r="J110" s="19"/>
      <c r="K110" s="29"/>
      <c r="BC110" s="14"/>
      <c r="BD110" s="15"/>
      <c r="BE110" s="21"/>
      <c r="BF110" s="43"/>
      <c r="BG110" s="12"/>
      <c r="BH110" s="12" t="s">
        <v>376</v>
      </c>
    </row>
    <row r="111" spans="1:60" s="3" customFormat="1" ht="24.75" customHeight="1" x14ac:dyDescent="0.3">
      <c r="A111" s="437" t="s">
        <v>379</v>
      </c>
      <c r="B111" s="418"/>
      <c r="C111" s="418"/>
      <c r="D111" s="418"/>
      <c r="E111" s="418"/>
      <c r="F111" s="418"/>
      <c r="G111" s="418"/>
      <c r="H111" s="123"/>
      <c r="I111" s="123"/>
      <c r="J111" s="123"/>
      <c r="K111" s="124"/>
      <c r="BC111" s="14"/>
      <c r="BD111" s="15" t="s">
        <v>379</v>
      </c>
      <c r="BE111" s="21"/>
      <c r="BF111" s="43"/>
      <c r="BG111" s="12"/>
      <c r="BH111" s="12"/>
    </row>
    <row r="112" spans="1:60" s="3" customFormat="1" ht="20.25" customHeight="1" x14ac:dyDescent="0.3">
      <c r="A112" s="406" t="s">
        <v>57</v>
      </c>
      <c r="B112" s="407"/>
      <c r="C112" s="407"/>
      <c r="D112" s="407"/>
      <c r="E112" s="407"/>
      <c r="F112" s="407"/>
      <c r="G112" s="407"/>
      <c r="H112" s="66"/>
      <c r="I112" s="67">
        <v>246828.50000000003</v>
      </c>
      <c r="J112" s="72"/>
      <c r="K112" s="67">
        <v>523235.5</v>
      </c>
    </row>
    <row r="113" spans="1:11" s="53" customFormat="1" ht="20.25" customHeight="1" thickBot="1" x14ac:dyDescent="0.35">
      <c r="A113" s="408" t="s">
        <v>5461</v>
      </c>
      <c r="B113" s="409"/>
      <c r="C113" s="409"/>
      <c r="D113" s="409"/>
      <c r="E113" s="409"/>
      <c r="F113" s="409"/>
      <c r="G113" s="409"/>
      <c r="H113" s="88"/>
      <c r="I113" s="410">
        <v>770064</v>
      </c>
      <c r="J113" s="411"/>
      <c r="K113" s="412"/>
    </row>
    <row r="114" spans="1:11" s="3" customFormat="1" ht="53.25" customHeight="1" x14ac:dyDescent="0.3">
      <c r="A114" s="4"/>
      <c r="B114" s="4"/>
      <c r="C114" s="4"/>
      <c r="D114" s="4"/>
      <c r="E114" s="4"/>
      <c r="F114" s="4"/>
      <c r="G114" s="4"/>
      <c r="H114" s="54"/>
      <c r="I114" s="54"/>
      <c r="J114" s="54"/>
      <c r="K114" s="54"/>
    </row>
  </sheetData>
  <autoFilter ref="A10:BQ10" xr:uid="{00000000-0001-0000-0700-000000000000}">
    <filterColumn colId="2" showButton="0"/>
    <filterColumn colId="3" showButton="0"/>
  </autoFilter>
  <mergeCells count="111">
    <mergeCell ref="A104:G104"/>
    <mergeCell ref="A97:G97"/>
    <mergeCell ref="A91:G91"/>
    <mergeCell ref="A90:G90"/>
    <mergeCell ref="A82:G82"/>
    <mergeCell ref="A78:G78"/>
    <mergeCell ref="A61:G61"/>
    <mergeCell ref="A55:G55"/>
    <mergeCell ref="C100:E100"/>
    <mergeCell ref="C101:E101"/>
    <mergeCell ref="C102:E102"/>
    <mergeCell ref="C103:E103"/>
    <mergeCell ref="C95:E95"/>
    <mergeCell ref="C96:E96"/>
    <mergeCell ref="C98:E98"/>
    <mergeCell ref="C99:E99"/>
    <mergeCell ref="C92:E92"/>
    <mergeCell ref="C93:E93"/>
    <mergeCell ref="C94:E94"/>
    <mergeCell ref="C85:E85"/>
    <mergeCell ref="C86:E86"/>
    <mergeCell ref="C87:E87"/>
    <mergeCell ref="C88:E88"/>
    <mergeCell ref="C89:E89"/>
    <mergeCell ref="A112:G112"/>
    <mergeCell ref="A113:G113"/>
    <mergeCell ref="I113:K113"/>
    <mergeCell ref="C110:E110"/>
    <mergeCell ref="C105:E105"/>
    <mergeCell ref="C106:E106"/>
    <mergeCell ref="C107:E107"/>
    <mergeCell ref="C108:E108"/>
    <mergeCell ref="C109:E109"/>
    <mergeCell ref="A111:G111"/>
    <mergeCell ref="C80:E80"/>
    <mergeCell ref="C81:E81"/>
    <mergeCell ref="C83:E83"/>
    <mergeCell ref="C84:E84"/>
    <mergeCell ref="C75:E75"/>
    <mergeCell ref="C76:E76"/>
    <mergeCell ref="C77:E77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2:E62"/>
    <mergeCell ref="C63:E63"/>
    <mergeCell ref="C64:E64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C45:E45"/>
    <mergeCell ref="C46:E46"/>
    <mergeCell ref="C47:E47"/>
    <mergeCell ref="C48:E48"/>
    <mergeCell ref="C49:E49"/>
    <mergeCell ref="C40:E40"/>
    <mergeCell ref="C41:E41"/>
    <mergeCell ref="A44:G44"/>
    <mergeCell ref="A43:G43"/>
    <mergeCell ref="A42:G42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C27:E27"/>
    <mergeCell ref="C28:E28"/>
    <mergeCell ref="C29:E29"/>
    <mergeCell ref="A26:G26"/>
    <mergeCell ref="A25:G25"/>
    <mergeCell ref="C20:E20"/>
    <mergeCell ref="C21:E21"/>
    <mergeCell ref="C22:E22"/>
    <mergeCell ref="C23:E23"/>
    <mergeCell ref="C24:E24"/>
    <mergeCell ref="A2:K2"/>
    <mergeCell ref="A3:K3"/>
    <mergeCell ref="A5:K5"/>
    <mergeCell ref="C15:E15"/>
    <mergeCell ref="C17:E17"/>
    <mergeCell ref="C19:E19"/>
    <mergeCell ref="A18:G18"/>
    <mergeCell ref="A16:G16"/>
    <mergeCell ref="C13:E13"/>
    <mergeCell ref="A14:G14"/>
    <mergeCell ref="A12:G12"/>
    <mergeCell ref="A6:K6"/>
    <mergeCell ref="C7:G7"/>
    <mergeCell ref="C9:E9"/>
    <mergeCell ref="C10:E10"/>
    <mergeCell ref="A11:G11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BK264"/>
  <sheetViews>
    <sheetView workbookViewId="0">
      <selection activeCell="L11" sqref="L1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109375" style="1" customWidth="1"/>
    <col min="6" max="7" width="10.6640625" style="1" customWidth="1"/>
    <col min="8" max="11" width="16.33203125" style="54" customWidth="1"/>
    <col min="12" max="12" width="10.6640625" style="1" customWidth="1"/>
    <col min="13" max="13" width="15.109375" style="1" customWidth="1"/>
    <col min="14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5552</v>
      </c>
      <c r="B1" s="4"/>
      <c r="C1" s="4"/>
      <c r="D1" s="4"/>
      <c r="E1" s="4"/>
      <c r="F1" s="4"/>
      <c r="G1" s="4"/>
      <c r="H1" s="54"/>
      <c r="I1" s="54"/>
      <c r="J1" s="108"/>
      <c r="K1" s="54"/>
    </row>
    <row r="2" spans="1:57" s="3" customFormat="1" ht="14.4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404" t="s">
        <v>248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AD4" s="6" t="s">
        <v>248</v>
      </c>
      <c r="AE4" s="6" t="s">
        <v>1</v>
      </c>
      <c r="AF4" s="6" t="s">
        <v>1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</row>
    <row r="5" spans="1:57" s="3" customFormat="1" ht="15.75" customHeight="1" x14ac:dyDescent="0.3">
      <c r="A5" s="401" t="s">
        <v>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</row>
    <row r="6" spans="1:57" s="3" customFormat="1" ht="14.4" x14ac:dyDescent="0.3">
      <c r="A6" s="4"/>
      <c r="B6" s="8" t="s">
        <v>5</v>
      </c>
      <c r="C6" s="402" t="s">
        <v>249</v>
      </c>
      <c r="D6" s="402"/>
      <c r="E6" s="402"/>
      <c r="F6" s="402"/>
      <c r="G6" s="402"/>
      <c r="H6" s="55"/>
      <c r="I6" s="109"/>
      <c r="J6" s="109"/>
      <c r="K6" s="109"/>
    </row>
    <row r="7" spans="1:57" s="3" customFormat="1" ht="15" thickBot="1" x14ac:dyDescent="0.35">
      <c r="A7" s="13"/>
      <c r="H7" s="56"/>
      <c r="I7" s="56"/>
      <c r="J7" s="56"/>
      <c r="K7" s="56"/>
    </row>
    <row r="8" spans="1:57" s="3" customFormat="1" ht="36" customHeight="1" x14ac:dyDescent="0.3">
      <c r="A8" s="74" t="s">
        <v>7</v>
      </c>
      <c r="B8" s="75" t="s">
        <v>8</v>
      </c>
      <c r="C8" s="414" t="s">
        <v>9</v>
      </c>
      <c r="D8" s="415"/>
      <c r="E8" s="416"/>
      <c r="F8" s="76" t="s">
        <v>10</v>
      </c>
      <c r="G8" s="77" t="s">
        <v>11</v>
      </c>
      <c r="H8" s="78" t="s">
        <v>5739</v>
      </c>
      <c r="I8" s="78" t="s">
        <v>5740</v>
      </c>
      <c r="J8" s="78" t="s">
        <v>5741</v>
      </c>
      <c r="K8" s="110" t="s">
        <v>5742</v>
      </c>
    </row>
    <row r="9" spans="1:57" s="3" customFormat="1" ht="15" thickBot="1" x14ac:dyDescent="0.35">
      <c r="A9" s="89">
        <v>1</v>
      </c>
      <c r="B9" s="90">
        <v>2</v>
      </c>
      <c r="C9" s="424">
        <v>3</v>
      </c>
      <c r="D9" s="425"/>
      <c r="E9" s="426"/>
      <c r="F9" s="92">
        <v>4</v>
      </c>
      <c r="G9" s="90">
        <v>5</v>
      </c>
      <c r="H9" s="125">
        <v>6</v>
      </c>
      <c r="I9" s="112" t="s">
        <v>47</v>
      </c>
      <c r="J9" s="112" t="s">
        <v>52</v>
      </c>
      <c r="K9" s="113" t="s">
        <v>55</v>
      </c>
    </row>
    <row r="10" spans="1:57" s="3" customFormat="1" ht="15" customHeight="1" x14ac:dyDescent="0.3">
      <c r="A10" s="433" t="s">
        <v>250</v>
      </c>
      <c r="B10" s="434"/>
      <c r="C10" s="434"/>
      <c r="D10" s="434"/>
      <c r="E10" s="434"/>
      <c r="F10" s="434"/>
      <c r="G10" s="434"/>
      <c r="H10" s="103"/>
      <c r="I10" s="103"/>
      <c r="J10" s="103"/>
      <c r="K10" s="104"/>
      <c r="BC10" s="14" t="s">
        <v>250</v>
      </c>
    </row>
    <row r="11" spans="1:57" s="3" customFormat="1" ht="15" customHeight="1" x14ac:dyDescent="0.3">
      <c r="A11" s="437" t="s">
        <v>251</v>
      </c>
      <c r="B11" s="418"/>
      <c r="C11" s="418"/>
      <c r="D11" s="418"/>
      <c r="E11" s="418"/>
      <c r="F11" s="418"/>
      <c r="G11" s="418"/>
      <c r="H11" s="123"/>
      <c r="I11" s="123"/>
      <c r="J11" s="123"/>
      <c r="K11" s="124"/>
      <c r="BC11" s="14"/>
      <c r="BD11" s="15" t="s">
        <v>251</v>
      </c>
    </row>
    <row r="12" spans="1:57" s="3" customFormat="1" ht="52.2" x14ac:dyDescent="0.3">
      <c r="A12" s="16" t="s">
        <v>15</v>
      </c>
      <c r="B12" s="17" t="s">
        <v>223</v>
      </c>
      <c r="C12" s="405" t="s">
        <v>224</v>
      </c>
      <c r="D12" s="405"/>
      <c r="E12" s="405"/>
      <c r="F12" s="16" t="s">
        <v>43</v>
      </c>
      <c r="G12" s="30">
        <v>3.8999999999999998E-3</v>
      </c>
      <c r="H12" s="57">
        <f>I12/G12</f>
        <v>56853.846153846156</v>
      </c>
      <c r="I12" s="19">
        <v>221.73</v>
      </c>
      <c r="J12" s="20"/>
      <c r="K12" s="19">
        <v>0</v>
      </c>
      <c r="BC12" s="14"/>
      <c r="BD12" s="15"/>
      <c r="BE12" s="21" t="s">
        <v>224</v>
      </c>
    </row>
    <row r="13" spans="1:57" s="3" customFormat="1" ht="14.4" x14ac:dyDescent="0.3">
      <c r="A13" s="437" t="s">
        <v>252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C13" s="14"/>
      <c r="BD13" s="15" t="s">
        <v>252</v>
      </c>
      <c r="BE13" s="21"/>
    </row>
    <row r="14" spans="1:57" s="3" customFormat="1" ht="42" x14ac:dyDescent="0.3">
      <c r="A14" s="16" t="s">
        <v>20</v>
      </c>
      <c r="B14" s="17" t="s">
        <v>48</v>
      </c>
      <c r="C14" s="405" t="s">
        <v>49</v>
      </c>
      <c r="D14" s="405"/>
      <c r="E14" s="405"/>
      <c r="F14" s="16" t="s">
        <v>50</v>
      </c>
      <c r="G14" s="24">
        <v>3.8</v>
      </c>
      <c r="H14" s="57">
        <f>I14/G14</f>
        <v>598.37631578947367</v>
      </c>
      <c r="I14" s="19">
        <v>2273.83</v>
      </c>
      <c r="J14" s="20"/>
      <c r="K14" s="19">
        <v>0</v>
      </c>
      <c r="BC14" s="14"/>
      <c r="BD14" s="15"/>
      <c r="BE14" s="21" t="s">
        <v>49</v>
      </c>
    </row>
    <row r="15" spans="1:57" s="3" customFormat="1" ht="15" customHeight="1" x14ac:dyDescent="0.3">
      <c r="A15" s="437" t="s">
        <v>253</v>
      </c>
      <c r="B15" s="418"/>
      <c r="C15" s="418"/>
      <c r="D15" s="418"/>
      <c r="E15" s="418"/>
      <c r="F15" s="418"/>
      <c r="G15" s="418"/>
      <c r="H15" s="123"/>
      <c r="I15" s="123"/>
      <c r="J15" s="123"/>
      <c r="K15" s="124"/>
      <c r="BC15" s="14"/>
      <c r="BD15" s="15" t="s">
        <v>253</v>
      </c>
      <c r="BE15" s="21"/>
    </row>
    <row r="16" spans="1:57" s="3" customFormat="1" ht="42" x14ac:dyDescent="0.3">
      <c r="A16" s="16" t="s">
        <v>22</v>
      </c>
      <c r="B16" s="17" t="s">
        <v>254</v>
      </c>
      <c r="C16" s="405" t="s">
        <v>255</v>
      </c>
      <c r="D16" s="405"/>
      <c r="E16" s="405"/>
      <c r="F16" s="16" t="s">
        <v>50</v>
      </c>
      <c r="G16" s="23">
        <v>2</v>
      </c>
      <c r="H16" s="57">
        <f>I16/G16</f>
        <v>45.134999999999998</v>
      </c>
      <c r="I16" s="19">
        <v>90.27</v>
      </c>
      <c r="J16" s="20"/>
      <c r="K16" s="19">
        <v>0</v>
      </c>
      <c r="BC16" s="14"/>
      <c r="BD16" s="15"/>
      <c r="BE16" s="21" t="s">
        <v>255</v>
      </c>
    </row>
    <row r="17" spans="1:60" s="3" customFormat="1" ht="15" customHeight="1" x14ac:dyDescent="0.3">
      <c r="A17" s="437" t="s">
        <v>256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24"/>
      <c r="BC17" s="14"/>
      <c r="BD17" s="15" t="s">
        <v>256</v>
      </c>
      <c r="BE17" s="21"/>
    </row>
    <row r="18" spans="1:60" s="3" customFormat="1" ht="52.2" x14ac:dyDescent="0.3">
      <c r="A18" s="16" t="s">
        <v>27</v>
      </c>
      <c r="B18" s="17" t="s">
        <v>223</v>
      </c>
      <c r="C18" s="405" t="s">
        <v>224</v>
      </c>
      <c r="D18" s="405"/>
      <c r="E18" s="405"/>
      <c r="F18" s="16" t="s">
        <v>43</v>
      </c>
      <c r="G18" s="18">
        <v>1E-3</v>
      </c>
      <c r="H18" s="57">
        <f t="shared" ref="H18:H20" si="0">I18/G18</f>
        <v>56840</v>
      </c>
      <c r="I18" s="19">
        <v>56.84</v>
      </c>
      <c r="J18" s="20"/>
      <c r="K18" s="19">
        <v>0</v>
      </c>
      <c r="BC18" s="14"/>
      <c r="BD18" s="15"/>
      <c r="BE18" s="21" t="s">
        <v>224</v>
      </c>
    </row>
    <row r="19" spans="1:60" s="3" customFormat="1" ht="42" x14ac:dyDescent="0.3">
      <c r="A19" s="16" t="s">
        <v>35</v>
      </c>
      <c r="B19" s="17" t="s">
        <v>254</v>
      </c>
      <c r="C19" s="405" t="s">
        <v>255</v>
      </c>
      <c r="D19" s="405"/>
      <c r="E19" s="405"/>
      <c r="F19" s="16" t="s">
        <v>50</v>
      </c>
      <c r="G19" s="23">
        <v>2</v>
      </c>
      <c r="H19" s="57">
        <f t="shared" si="0"/>
        <v>45.134999999999998</v>
      </c>
      <c r="I19" s="19">
        <v>90.27</v>
      </c>
      <c r="J19" s="20"/>
      <c r="K19" s="19">
        <v>0</v>
      </c>
      <c r="BC19" s="14"/>
      <c r="BD19" s="15"/>
      <c r="BE19" s="21" t="s">
        <v>255</v>
      </c>
    </row>
    <row r="20" spans="1:60" s="3" customFormat="1" ht="42" x14ac:dyDescent="0.3">
      <c r="A20" s="16" t="s">
        <v>40</v>
      </c>
      <c r="B20" s="17" t="s">
        <v>257</v>
      </c>
      <c r="C20" s="405" t="s">
        <v>258</v>
      </c>
      <c r="D20" s="405"/>
      <c r="E20" s="405"/>
      <c r="F20" s="16" t="s">
        <v>43</v>
      </c>
      <c r="G20" s="18">
        <v>1E-3</v>
      </c>
      <c r="H20" s="57">
        <f t="shared" si="0"/>
        <v>11170</v>
      </c>
      <c r="I20" s="19">
        <v>11.17</v>
      </c>
      <c r="J20" s="20"/>
      <c r="K20" s="19">
        <v>0</v>
      </c>
      <c r="BC20" s="14"/>
      <c r="BD20" s="15"/>
      <c r="BE20" s="21" t="s">
        <v>258</v>
      </c>
    </row>
    <row r="21" spans="1:60" s="3" customFormat="1" ht="15" customHeight="1" x14ac:dyDescent="0.3">
      <c r="A21" s="435" t="s">
        <v>259</v>
      </c>
      <c r="B21" s="436"/>
      <c r="C21" s="436"/>
      <c r="D21" s="436"/>
      <c r="E21" s="436"/>
      <c r="F21" s="436"/>
      <c r="G21" s="436"/>
      <c r="H21" s="103"/>
      <c r="I21" s="103"/>
      <c r="J21" s="103"/>
      <c r="K21" s="104"/>
      <c r="BC21" s="14" t="s">
        <v>259</v>
      </c>
      <c r="BD21" s="15"/>
      <c r="BE21" s="21"/>
    </row>
    <row r="22" spans="1:60" s="3" customFormat="1" ht="15" customHeight="1" x14ac:dyDescent="0.3">
      <c r="A22" s="437" t="s">
        <v>260</v>
      </c>
      <c r="B22" s="418"/>
      <c r="C22" s="418"/>
      <c r="D22" s="418"/>
      <c r="E22" s="418"/>
      <c r="F22" s="418"/>
      <c r="G22" s="418"/>
      <c r="H22" s="123"/>
      <c r="I22" s="123"/>
      <c r="J22" s="123"/>
      <c r="K22" s="124"/>
      <c r="BC22" s="14"/>
      <c r="BD22" s="15" t="s">
        <v>260</v>
      </c>
      <c r="BE22" s="21"/>
    </row>
    <row r="23" spans="1:60" s="3" customFormat="1" ht="21.6" x14ac:dyDescent="0.3">
      <c r="A23" s="16" t="s">
        <v>47</v>
      </c>
      <c r="B23" s="17" t="s">
        <v>261</v>
      </c>
      <c r="C23" s="405" t="s">
        <v>262</v>
      </c>
      <c r="D23" s="405"/>
      <c r="E23" s="405"/>
      <c r="F23" s="16" t="s">
        <v>46</v>
      </c>
      <c r="G23" s="31">
        <v>1.78</v>
      </c>
      <c r="H23" s="57">
        <f>I23/G23</f>
        <v>979.20786516853946</v>
      </c>
      <c r="I23" s="19">
        <f>3406.51-K23</f>
        <v>1742.9900000000002</v>
      </c>
      <c r="J23" s="20">
        <f>K23/G23</f>
        <v>934.56179775280896</v>
      </c>
      <c r="K23" s="19">
        <v>1663.52</v>
      </c>
      <c r="BC23" s="14"/>
      <c r="BD23" s="15"/>
      <c r="BE23" s="21" t="s">
        <v>262</v>
      </c>
    </row>
    <row r="24" spans="1:60" s="3" customFormat="1" ht="20.399999999999999" x14ac:dyDescent="0.3">
      <c r="A24" s="25"/>
      <c r="B24" s="26" t="s">
        <v>154</v>
      </c>
      <c r="C24" s="419" t="s">
        <v>155</v>
      </c>
      <c r="D24" s="419"/>
      <c r="E24" s="419"/>
      <c r="F24" s="27" t="s">
        <v>46</v>
      </c>
      <c r="G24" s="22" t="s">
        <v>263</v>
      </c>
      <c r="H24" s="58"/>
      <c r="I24" s="28"/>
      <c r="J24" s="28"/>
      <c r="K24" s="29"/>
      <c r="BC24" s="14"/>
      <c r="BD24" s="15"/>
      <c r="BE24" s="21"/>
      <c r="BF24" s="12" t="s">
        <v>155</v>
      </c>
    </row>
    <row r="25" spans="1:60" s="3" customFormat="1" ht="20.399999999999999" x14ac:dyDescent="0.3">
      <c r="A25" s="37" t="s">
        <v>143</v>
      </c>
      <c r="B25" s="38" t="s">
        <v>79</v>
      </c>
      <c r="C25" s="430" t="s">
        <v>264</v>
      </c>
      <c r="D25" s="430"/>
      <c r="E25" s="430"/>
      <c r="F25" s="39" t="s">
        <v>46</v>
      </c>
      <c r="G25" s="40" t="s">
        <v>265</v>
      </c>
      <c r="H25" s="100"/>
      <c r="I25" s="41"/>
      <c r="J25" s="41"/>
      <c r="K25" s="42"/>
      <c r="BC25" s="14"/>
      <c r="BD25" s="15"/>
      <c r="BE25" s="21"/>
      <c r="BF25" s="12"/>
      <c r="BG25" s="43" t="s">
        <v>264</v>
      </c>
    </row>
    <row r="26" spans="1:60" s="3" customFormat="1" ht="20.399999999999999" x14ac:dyDescent="0.3">
      <c r="A26" s="25" t="s">
        <v>129</v>
      </c>
      <c r="B26" s="26" t="s">
        <v>266</v>
      </c>
      <c r="C26" s="419" t="s">
        <v>267</v>
      </c>
      <c r="D26" s="419"/>
      <c r="E26" s="419"/>
      <c r="F26" s="27" t="s">
        <v>46</v>
      </c>
      <c r="G26" s="22" t="s">
        <v>265</v>
      </c>
      <c r="H26" s="58"/>
      <c r="I26" s="28"/>
      <c r="J26" s="28"/>
      <c r="K26" s="29"/>
      <c r="BC26" s="14"/>
      <c r="BD26" s="15"/>
      <c r="BE26" s="21"/>
      <c r="BF26" s="12"/>
      <c r="BG26" s="43"/>
      <c r="BH26" s="12" t="s">
        <v>267</v>
      </c>
    </row>
    <row r="27" spans="1:60" s="3" customFormat="1" ht="15" customHeight="1" x14ac:dyDescent="0.3">
      <c r="A27" s="437" t="s">
        <v>268</v>
      </c>
      <c r="B27" s="418"/>
      <c r="C27" s="418"/>
      <c r="D27" s="418"/>
      <c r="E27" s="418"/>
      <c r="F27" s="418"/>
      <c r="G27" s="418"/>
      <c r="H27" s="123"/>
      <c r="I27" s="123"/>
      <c r="J27" s="123"/>
      <c r="K27" s="124"/>
      <c r="BC27" s="14"/>
      <c r="BD27" s="15" t="s">
        <v>268</v>
      </c>
      <c r="BE27" s="21"/>
      <c r="BF27" s="12"/>
      <c r="BG27" s="43"/>
      <c r="BH27" s="12"/>
    </row>
    <row r="28" spans="1:60" s="3" customFormat="1" ht="14.4" x14ac:dyDescent="0.3">
      <c r="A28" s="16" t="s">
        <v>52</v>
      </c>
      <c r="B28" s="17" t="s">
        <v>152</v>
      </c>
      <c r="C28" s="405" t="s">
        <v>153</v>
      </c>
      <c r="D28" s="405"/>
      <c r="E28" s="405"/>
      <c r="F28" s="16" t="s">
        <v>125</v>
      </c>
      <c r="G28" s="30">
        <v>4.7999999999999996E-3</v>
      </c>
      <c r="H28" s="57">
        <f>I28/G28</f>
        <v>154977.08333333331</v>
      </c>
      <c r="I28" s="19">
        <f>3350.92-K28</f>
        <v>743.88999999999987</v>
      </c>
      <c r="J28" s="20">
        <f>K28/G28</f>
        <v>543131.25000000012</v>
      </c>
      <c r="K28" s="19">
        <v>2607.0300000000002</v>
      </c>
      <c r="BC28" s="14"/>
      <c r="BD28" s="15"/>
      <c r="BE28" s="21" t="s">
        <v>153</v>
      </c>
      <c r="BF28" s="12"/>
      <c r="BG28" s="43"/>
      <c r="BH28" s="12"/>
    </row>
    <row r="29" spans="1:60" s="3" customFormat="1" ht="20.399999999999999" x14ac:dyDescent="0.3">
      <c r="A29" s="25"/>
      <c r="B29" s="26" t="s">
        <v>154</v>
      </c>
      <c r="C29" s="419" t="s">
        <v>155</v>
      </c>
      <c r="D29" s="419"/>
      <c r="E29" s="419"/>
      <c r="F29" s="27" t="s">
        <v>46</v>
      </c>
      <c r="G29" s="22" t="s">
        <v>269</v>
      </c>
      <c r="H29" s="58"/>
      <c r="I29" s="28"/>
      <c r="J29" s="28"/>
      <c r="K29" s="29"/>
      <c r="BC29" s="14"/>
      <c r="BD29" s="15"/>
      <c r="BE29" s="21"/>
      <c r="BF29" s="12" t="s">
        <v>155</v>
      </c>
      <c r="BG29" s="43"/>
      <c r="BH29" s="12"/>
    </row>
    <row r="30" spans="1:60" s="3" customFormat="1" ht="20.399999999999999" x14ac:dyDescent="0.3">
      <c r="A30" s="25"/>
      <c r="B30" s="26" t="s">
        <v>156</v>
      </c>
      <c r="C30" s="419" t="s">
        <v>157</v>
      </c>
      <c r="D30" s="419"/>
      <c r="E30" s="419"/>
      <c r="F30" s="27" t="s">
        <v>158</v>
      </c>
      <c r="G30" s="22" t="s">
        <v>270</v>
      </c>
      <c r="H30" s="58"/>
      <c r="I30" s="28"/>
      <c r="J30" s="28"/>
      <c r="K30" s="29"/>
      <c r="BC30" s="14"/>
      <c r="BD30" s="15"/>
      <c r="BE30" s="21"/>
      <c r="BF30" s="12" t="s">
        <v>157</v>
      </c>
      <c r="BG30" s="43"/>
      <c r="BH30" s="12"/>
    </row>
    <row r="31" spans="1:60" s="3" customFormat="1" ht="20.399999999999999" x14ac:dyDescent="0.3">
      <c r="A31" s="37" t="s">
        <v>143</v>
      </c>
      <c r="B31" s="38" t="s">
        <v>159</v>
      </c>
      <c r="C31" s="430" t="s">
        <v>160</v>
      </c>
      <c r="D31" s="430"/>
      <c r="E31" s="430"/>
      <c r="F31" s="39" t="s">
        <v>46</v>
      </c>
      <c r="G31" s="40" t="s">
        <v>271</v>
      </c>
      <c r="H31" s="100"/>
      <c r="I31" s="41"/>
      <c r="J31" s="41"/>
      <c r="K31" s="42"/>
      <c r="BC31" s="14"/>
      <c r="BD31" s="15"/>
      <c r="BE31" s="21"/>
      <c r="BF31" s="12"/>
      <c r="BG31" s="43" t="s">
        <v>160</v>
      </c>
      <c r="BH31" s="12"/>
    </row>
    <row r="32" spans="1:60" s="3" customFormat="1" ht="21.6" x14ac:dyDescent="0.3">
      <c r="A32" s="25" t="s">
        <v>129</v>
      </c>
      <c r="B32" s="26" t="s">
        <v>161</v>
      </c>
      <c r="C32" s="419" t="s">
        <v>162</v>
      </c>
      <c r="D32" s="419"/>
      <c r="E32" s="419"/>
      <c r="F32" s="27" t="s">
        <v>46</v>
      </c>
      <c r="G32" s="22" t="s">
        <v>271</v>
      </c>
      <c r="H32" s="58"/>
      <c r="I32" s="28"/>
      <c r="J32" s="28"/>
      <c r="K32" s="29"/>
      <c r="BC32" s="14"/>
      <c r="BD32" s="15"/>
      <c r="BE32" s="21"/>
      <c r="BF32" s="12"/>
      <c r="BG32" s="43"/>
      <c r="BH32" s="12" t="s">
        <v>162</v>
      </c>
    </row>
    <row r="33" spans="1:60" s="3" customFormat="1" ht="15" customHeight="1" x14ac:dyDescent="0.3">
      <c r="A33" s="437" t="s">
        <v>272</v>
      </c>
      <c r="B33" s="418"/>
      <c r="C33" s="418"/>
      <c r="D33" s="418"/>
      <c r="E33" s="418"/>
      <c r="F33" s="418"/>
      <c r="G33" s="418"/>
      <c r="H33" s="123"/>
      <c r="I33" s="123"/>
      <c r="J33" s="123"/>
      <c r="K33" s="124"/>
      <c r="BC33" s="14"/>
      <c r="BD33" s="15" t="s">
        <v>272</v>
      </c>
      <c r="BE33" s="21"/>
      <c r="BF33" s="12"/>
      <c r="BG33" s="43"/>
      <c r="BH33" s="12"/>
    </row>
    <row r="34" spans="1:60" s="3" customFormat="1" ht="21.6" x14ac:dyDescent="0.3">
      <c r="A34" s="16" t="s">
        <v>55</v>
      </c>
      <c r="B34" s="17" t="s">
        <v>273</v>
      </c>
      <c r="C34" s="405" t="s">
        <v>274</v>
      </c>
      <c r="D34" s="405"/>
      <c r="E34" s="405"/>
      <c r="F34" s="16" t="s">
        <v>125</v>
      </c>
      <c r="G34" s="30">
        <v>9.5999999999999992E-3</v>
      </c>
      <c r="H34" s="57">
        <f>I34/G34</f>
        <v>229997.91666666663</v>
      </c>
      <c r="I34" s="19">
        <f>21407.59-K34</f>
        <v>2207.9799999999996</v>
      </c>
      <c r="J34" s="20">
        <f>K34/G34</f>
        <v>1999959.3750000002</v>
      </c>
      <c r="K34" s="19">
        <v>19199.61</v>
      </c>
      <c r="BC34" s="14"/>
      <c r="BD34" s="15"/>
      <c r="BE34" s="21" t="s">
        <v>274</v>
      </c>
      <c r="BF34" s="12"/>
      <c r="BG34" s="43"/>
      <c r="BH34" s="12"/>
    </row>
    <row r="35" spans="1:60" s="3" customFormat="1" ht="20.399999999999999" x14ac:dyDescent="0.3">
      <c r="A35" s="25"/>
      <c r="B35" s="26" t="s">
        <v>154</v>
      </c>
      <c r="C35" s="419" t="s">
        <v>155</v>
      </c>
      <c r="D35" s="419"/>
      <c r="E35" s="419"/>
      <c r="F35" s="27" t="s">
        <v>46</v>
      </c>
      <c r="G35" s="22" t="s">
        <v>275</v>
      </c>
      <c r="H35" s="58"/>
      <c r="I35" s="28"/>
      <c r="J35" s="28"/>
      <c r="K35" s="29"/>
      <c r="BC35" s="14"/>
      <c r="BD35" s="15"/>
      <c r="BE35" s="21"/>
      <c r="BF35" s="12" t="s">
        <v>155</v>
      </c>
      <c r="BG35" s="43"/>
      <c r="BH35" s="12"/>
    </row>
    <row r="36" spans="1:60" s="3" customFormat="1" ht="20.399999999999999" x14ac:dyDescent="0.3">
      <c r="A36" s="25"/>
      <c r="B36" s="26" t="s">
        <v>156</v>
      </c>
      <c r="C36" s="419" t="s">
        <v>157</v>
      </c>
      <c r="D36" s="419"/>
      <c r="E36" s="419"/>
      <c r="F36" s="27" t="s">
        <v>158</v>
      </c>
      <c r="G36" s="22" t="s">
        <v>276</v>
      </c>
      <c r="H36" s="58"/>
      <c r="I36" s="28"/>
      <c r="J36" s="28"/>
      <c r="K36" s="29"/>
      <c r="BC36" s="14"/>
      <c r="BD36" s="15"/>
      <c r="BE36" s="21"/>
      <c r="BF36" s="12" t="s">
        <v>157</v>
      </c>
      <c r="BG36" s="43"/>
      <c r="BH36" s="12"/>
    </row>
    <row r="37" spans="1:60" s="3" customFormat="1" ht="20.399999999999999" x14ac:dyDescent="0.3">
      <c r="A37" s="25"/>
      <c r="B37" s="26" t="s">
        <v>277</v>
      </c>
      <c r="C37" s="419" t="s">
        <v>278</v>
      </c>
      <c r="D37" s="419"/>
      <c r="E37" s="419"/>
      <c r="F37" s="27" t="s">
        <v>70</v>
      </c>
      <c r="G37" s="22" t="s">
        <v>279</v>
      </c>
      <c r="H37" s="58"/>
      <c r="I37" s="28"/>
      <c r="J37" s="28"/>
      <c r="K37" s="29"/>
      <c r="BC37" s="14"/>
      <c r="BD37" s="15"/>
      <c r="BE37" s="21"/>
      <c r="BF37" s="12" t="s">
        <v>278</v>
      </c>
      <c r="BG37" s="43"/>
      <c r="BH37" s="12"/>
    </row>
    <row r="38" spans="1:60" s="3" customFormat="1" ht="20.399999999999999" x14ac:dyDescent="0.3">
      <c r="A38" s="25"/>
      <c r="B38" s="26" t="s">
        <v>76</v>
      </c>
      <c r="C38" s="419" t="s">
        <v>77</v>
      </c>
      <c r="D38" s="419"/>
      <c r="E38" s="419"/>
      <c r="F38" s="27" t="s">
        <v>70</v>
      </c>
      <c r="G38" s="22" t="s">
        <v>280</v>
      </c>
      <c r="H38" s="58"/>
      <c r="I38" s="28"/>
      <c r="J38" s="28"/>
      <c r="K38" s="29"/>
      <c r="BC38" s="14"/>
      <c r="BD38" s="15"/>
      <c r="BE38" s="21"/>
      <c r="BF38" s="12" t="s">
        <v>77</v>
      </c>
      <c r="BG38" s="43"/>
      <c r="BH38" s="12"/>
    </row>
    <row r="39" spans="1:60" s="3" customFormat="1" ht="21.6" x14ac:dyDescent="0.3">
      <c r="A39" s="25"/>
      <c r="B39" s="26" t="s">
        <v>281</v>
      </c>
      <c r="C39" s="419" t="s">
        <v>282</v>
      </c>
      <c r="D39" s="419"/>
      <c r="E39" s="419"/>
      <c r="F39" s="27" t="s">
        <v>70</v>
      </c>
      <c r="G39" s="22" t="s">
        <v>283</v>
      </c>
      <c r="H39" s="58"/>
      <c r="I39" s="28"/>
      <c r="J39" s="28"/>
      <c r="K39" s="29"/>
      <c r="BC39" s="14"/>
      <c r="BD39" s="15"/>
      <c r="BE39" s="21"/>
      <c r="BF39" s="12" t="s">
        <v>282</v>
      </c>
      <c r="BG39" s="43"/>
      <c r="BH39" s="12"/>
    </row>
    <row r="40" spans="1:60" s="3" customFormat="1" ht="20.399999999999999" x14ac:dyDescent="0.3">
      <c r="A40" s="37" t="s">
        <v>143</v>
      </c>
      <c r="B40" s="38" t="s">
        <v>159</v>
      </c>
      <c r="C40" s="430" t="s">
        <v>160</v>
      </c>
      <c r="D40" s="430"/>
      <c r="E40" s="430"/>
      <c r="F40" s="39" t="s">
        <v>46</v>
      </c>
      <c r="G40" s="40" t="s">
        <v>284</v>
      </c>
      <c r="H40" s="100"/>
      <c r="I40" s="41"/>
      <c r="J40" s="41"/>
      <c r="K40" s="42"/>
      <c r="BC40" s="14"/>
      <c r="BD40" s="15"/>
      <c r="BE40" s="21"/>
      <c r="BF40" s="12"/>
      <c r="BG40" s="43" t="s">
        <v>160</v>
      </c>
      <c r="BH40" s="12"/>
    </row>
    <row r="41" spans="1:60" s="3" customFormat="1" ht="21.6" x14ac:dyDescent="0.3">
      <c r="A41" s="25"/>
      <c r="B41" s="26" t="s">
        <v>285</v>
      </c>
      <c r="C41" s="419" t="s">
        <v>286</v>
      </c>
      <c r="D41" s="419"/>
      <c r="E41" s="419"/>
      <c r="F41" s="27" t="s">
        <v>70</v>
      </c>
      <c r="G41" s="22" t="s">
        <v>287</v>
      </c>
      <c r="H41" s="58"/>
      <c r="I41" s="28"/>
      <c r="J41" s="28"/>
      <c r="K41" s="29"/>
      <c r="BC41" s="14"/>
      <c r="BD41" s="15"/>
      <c r="BE41" s="21"/>
      <c r="BF41" s="12" t="s">
        <v>286</v>
      </c>
      <c r="BG41" s="43"/>
      <c r="BH41" s="12"/>
    </row>
    <row r="42" spans="1:60" s="3" customFormat="1" ht="20.399999999999999" x14ac:dyDescent="0.3">
      <c r="A42" s="37" t="s">
        <v>143</v>
      </c>
      <c r="B42" s="38" t="s">
        <v>288</v>
      </c>
      <c r="C42" s="430" t="s">
        <v>289</v>
      </c>
      <c r="D42" s="430"/>
      <c r="E42" s="430"/>
      <c r="F42" s="39" t="s">
        <v>70</v>
      </c>
      <c r="G42" s="40" t="s">
        <v>290</v>
      </c>
      <c r="H42" s="100"/>
      <c r="I42" s="41"/>
      <c r="J42" s="41"/>
      <c r="K42" s="42"/>
      <c r="BC42" s="14"/>
      <c r="BD42" s="15"/>
      <c r="BE42" s="21"/>
      <c r="BF42" s="12"/>
      <c r="BG42" s="43" t="s">
        <v>289</v>
      </c>
      <c r="BH42" s="12"/>
    </row>
    <row r="43" spans="1:60" s="3" customFormat="1" ht="31.8" x14ac:dyDescent="0.3">
      <c r="A43" s="25"/>
      <c r="B43" s="26" t="s">
        <v>291</v>
      </c>
      <c r="C43" s="419" t="s">
        <v>292</v>
      </c>
      <c r="D43" s="419"/>
      <c r="E43" s="419"/>
      <c r="F43" s="27" t="s">
        <v>46</v>
      </c>
      <c r="G43" s="22" t="s">
        <v>293</v>
      </c>
      <c r="H43" s="58"/>
      <c r="I43" s="28"/>
      <c r="J43" s="28"/>
      <c r="K43" s="29"/>
      <c r="BC43" s="14"/>
      <c r="BD43" s="15"/>
      <c r="BE43" s="21"/>
      <c r="BF43" s="12" t="s">
        <v>292</v>
      </c>
      <c r="BG43" s="43"/>
      <c r="BH43" s="12"/>
    </row>
    <row r="44" spans="1:60" s="3" customFormat="1" ht="20.399999999999999" x14ac:dyDescent="0.3">
      <c r="A44" s="25"/>
      <c r="B44" s="26" t="s">
        <v>294</v>
      </c>
      <c r="C44" s="419" t="s">
        <v>295</v>
      </c>
      <c r="D44" s="419"/>
      <c r="E44" s="419"/>
      <c r="F44" s="27" t="s">
        <v>158</v>
      </c>
      <c r="G44" s="22" t="s">
        <v>296</v>
      </c>
      <c r="H44" s="58"/>
      <c r="I44" s="28"/>
      <c r="J44" s="28"/>
      <c r="K44" s="29"/>
      <c r="BC44" s="14"/>
      <c r="BD44" s="15"/>
      <c r="BE44" s="21"/>
      <c r="BF44" s="12" t="s">
        <v>295</v>
      </c>
      <c r="BG44" s="43"/>
      <c r="BH44" s="12"/>
    </row>
    <row r="45" spans="1:60" s="3" customFormat="1" ht="31.8" x14ac:dyDescent="0.3">
      <c r="A45" s="25" t="s">
        <v>129</v>
      </c>
      <c r="B45" s="26" t="s">
        <v>297</v>
      </c>
      <c r="C45" s="419" t="s">
        <v>298</v>
      </c>
      <c r="D45" s="419"/>
      <c r="E45" s="419"/>
      <c r="F45" s="27" t="s">
        <v>70</v>
      </c>
      <c r="G45" s="22" t="s">
        <v>299</v>
      </c>
      <c r="H45" s="58"/>
      <c r="I45" s="28"/>
      <c r="J45" s="28"/>
      <c r="K45" s="29"/>
      <c r="BC45" s="14"/>
      <c r="BD45" s="15"/>
      <c r="BE45" s="21"/>
      <c r="BF45" s="12"/>
      <c r="BG45" s="43"/>
      <c r="BH45" s="12" t="s">
        <v>298</v>
      </c>
    </row>
    <row r="46" spans="1:60" s="3" customFormat="1" ht="31.8" x14ac:dyDescent="0.3">
      <c r="A46" s="25" t="s">
        <v>129</v>
      </c>
      <c r="B46" s="26" t="s">
        <v>300</v>
      </c>
      <c r="C46" s="419" t="s">
        <v>301</v>
      </c>
      <c r="D46" s="419"/>
      <c r="E46" s="419"/>
      <c r="F46" s="27" t="s">
        <v>70</v>
      </c>
      <c r="G46" s="22" t="s">
        <v>302</v>
      </c>
      <c r="H46" s="58"/>
      <c r="I46" s="28"/>
      <c r="J46" s="28"/>
      <c r="K46" s="29"/>
      <c r="BC46" s="14"/>
      <c r="BD46" s="15"/>
      <c r="BE46" s="21"/>
      <c r="BF46" s="12"/>
      <c r="BG46" s="43"/>
      <c r="BH46" s="12" t="s">
        <v>301</v>
      </c>
    </row>
    <row r="47" spans="1:60" s="3" customFormat="1" ht="21.6" x14ac:dyDescent="0.3">
      <c r="A47" s="25" t="s">
        <v>129</v>
      </c>
      <c r="B47" s="26" t="s">
        <v>303</v>
      </c>
      <c r="C47" s="419" t="s">
        <v>304</v>
      </c>
      <c r="D47" s="419"/>
      <c r="E47" s="419"/>
      <c r="F47" s="27" t="s">
        <v>70</v>
      </c>
      <c r="G47" s="22" t="s">
        <v>302</v>
      </c>
      <c r="H47" s="58"/>
      <c r="I47" s="28"/>
      <c r="J47" s="28"/>
      <c r="K47" s="29"/>
      <c r="BC47" s="14"/>
      <c r="BD47" s="15"/>
      <c r="BE47" s="21"/>
      <c r="BF47" s="12"/>
      <c r="BG47" s="43"/>
      <c r="BH47" s="12" t="s">
        <v>304</v>
      </c>
    </row>
    <row r="48" spans="1:60" s="3" customFormat="1" ht="21.6" x14ac:dyDescent="0.3">
      <c r="A48" s="25" t="s">
        <v>129</v>
      </c>
      <c r="B48" s="26" t="s">
        <v>305</v>
      </c>
      <c r="C48" s="419" t="s">
        <v>306</v>
      </c>
      <c r="D48" s="419"/>
      <c r="E48" s="419"/>
      <c r="F48" s="27" t="s">
        <v>46</v>
      </c>
      <c r="G48" s="22" t="s">
        <v>284</v>
      </c>
      <c r="H48" s="58"/>
      <c r="I48" s="28"/>
      <c r="J48" s="28"/>
      <c r="K48" s="29"/>
      <c r="BC48" s="14"/>
      <c r="BD48" s="15"/>
      <c r="BE48" s="21"/>
      <c r="BF48" s="12"/>
      <c r="BG48" s="43"/>
      <c r="BH48" s="12" t="s">
        <v>306</v>
      </c>
    </row>
    <row r="49" spans="1:60" s="3" customFormat="1" ht="31.8" x14ac:dyDescent="0.3">
      <c r="A49" s="25" t="s">
        <v>129</v>
      </c>
      <c r="B49" s="26" t="s">
        <v>307</v>
      </c>
      <c r="C49" s="419" t="s">
        <v>308</v>
      </c>
      <c r="D49" s="419"/>
      <c r="E49" s="419"/>
      <c r="F49" s="27" t="s">
        <v>70</v>
      </c>
      <c r="G49" s="22" t="s">
        <v>302</v>
      </c>
      <c r="H49" s="58"/>
      <c r="I49" s="28"/>
      <c r="J49" s="28"/>
      <c r="K49" s="29"/>
      <c r="BC49" s="14"/>
      <c r="BD49" s="15"/>
      <c r="BE49" s="21"/>
      <c r="BF49" s="12"/>
      <c r="BG49" s="43"/>
      <c r="BH49" s="12" t="s">
        <v>308</v>
      </c>
    </row>
    <row r="50" spans="1:60" s="3" customFormat="1" ht="42" x14ac:dyDescent="0.3">
      <c r="A50" s="16" t="s">
        <v>56</v>
      </c>
      <c r="B50" s="17" t="s">
        <v>309</v>
      </c>
      <c r="C50" s="405" t="s">
        <v>310</v>
      </c>
      <c r="D50" s="405"/>
      <c r="E50" s="405"/>
      <c r="F50" s="16" t="s">
        <v>311</v>
      </c>
      <c r="G50" s="31">
        <v>0.96</v>
      </c>
      <c r="H50" s="57">
        <v>0</v>
      </c>
      <c r="I50" s="19">
        <v>0</v>
      </c>
      <c r="J50" s="20">
        <f>K50/G50</f>
        <v>250.89583333333334</v>
      </c>
      <c r="K50" s="19">
        <v>240.86</v>
      </c>
      <c r="BC50" s="14"/>
      <c r="BD50" s="15"/>
      <c r="BE50" s="21" t="s">
        <v>310</v>
      </c>
      <c r="BF50" s="12"/>
      <c r="BG50" s="43"/>
      <c r="BH50" s="12"/>
    </row>
    <row r="51" spans="1:60" s="3" customFormat="1" ht="15" customHeight="1" x14ac:dyDescent="0.3">
      <c r="A51" s="437" t="s">
        <v>312</v>
      </c>
      <c r="B51" s="418"/>
      <c r="C51" s="418"/>
      <c r="D51" s="418"/>
      <c r="E51" s="418"/>
      <c r="F51" s="418"/>
      <c r="G51" s="418"/>
      <c r="H51" s="123"/>
      <c r="I51" s="123"/>
      <c r="J51" s="123"/>
      <c r="K51" s="124"/>
      <c r="BC51" s="14"/>
      <c r="BD51" s="15" t="s">
        <v>312</v>
      </c>
      <c r="BE51" s="21"/>
      <c r="BF51" s="12"/>
      <c r="BG51" s="43"/>
      <c r="BH51" s="12"/>
    </row>
    <row r="52" spans="1:60" s="3" customFormat="1" ht="21.6" x14ac:dyDescent="0.3">
      <c r="A52" s="16" t="s">
        <v>166</v>
      </c>
      <c r="B52" s="17" t="s">
        <v>273</v>
      </c>
      <c r="C52" s="405" t="s">
        <v>274</v>
      </c>
      <c r="D52" s="405"/>
      <c r="E52" s="405"/>
      <c r="F52" s="16" t="s">
        <v>125</v>
      </c>
      <c r="G52" s="18">
        <v>1.2E-2</v>
      </c>
      <c r="H52" s="57">
        <f>I52/G52</f>
        <v>229999.16666666669</v>
      </c>
      <c r="I52" s="19">
        <f>2811.86-K52</f>
        <v>2759.9900000000002</v>
      </c>
      <c r="J52" s="20">
        <f>K52/G52</f>
        <v>4322.5</v>
      </c>
      <c r="K52" s="19">
        <v>51.87</v>
      </c>
      <c r="BC52" s="14"/>
      <c r="BD52" s="15"/>
      <c r="BE52" s="21" t="s">
        <v>274</v>
      </c>
      <c r="BF52" s="12"/>
      <c r="BG52" s="43"/>
      <c r="BH52" s="12"/>
    </row>
    <row r="53" spans="1:60" s="3" customFormat="1" ht="20.399999999999999" x14ac:dyDescent="0.3">
      <c r="A53" s="25"/>
      <c r="B53" s="26" t="s">
        <v>154</v>
      </c>
      <c r="C53" s="419" t="s">
        <v>155</v>
      </c>
      <c r="D53" s="419"/>
      <c r="E53" s="419"/>
      <c r="F53" s="27" t="s">
        <v>46</v>
      </c>
      <c r="G53" s="22" t="s">
        <v>313</v>
      </c>
      <c r="H53" s="58"/>
      <c r="I53" s="28"/>
      <c r="J53" s="28"/>
      <c r="K53" s="29"/>
      <c r="BC53" s="14"/>
      <c r="BD53" s="15"/>
      <c r="BE53" s="21"/>
      <c r="BF53" s="12" t="s">
        <v>155</v>
      </c>
      <c r="BG53" s="43"/>
      <c r="BH53" s="12"/>
    </row>
    <row r="54" spans="1:60" s="3" customFormat="1" ht="20.399999999999999" x14ac:dyDescent="0.3">
      <c r="A54" s="25"/>
      <c r="B54" s="26" t="s">
        <v>156</v>
      </c>
      <c r="C54" s="419" t="s">
        <v>157</v>
      </c>
      <c r="D54" s="419"/>
      <c r="E54" s="419"/>
      <c r="F54" s="27" t="s">
        <v>158</v>
      </c>
      <c r="G54" s="22" t="s">
        <v>314</v>
      </c>
      <c r="H54" s="58"/>
      <c r="I54" s="28"/>
      <c r="J54" s="28"/>
      <c r="K54" s="29"/>
      <c r="BC54" s="14"/>
      <c r="BD54" s="15"/>
      <c r="BE54" s="21"/>
      <c r="BF54" s="12" t="s">
        <v>157</v>
      </c>
      <c r="BG54" s="43"/>
      <c r="BH54" s="12"/>
    </row>
    <row r="55" spans="1:60" s="3" customFormat="1" ht="20.399999999999999" x14ac:dyDescent="0.3">
      <c r="A55" s="25"/>
      <c r="B55" s="26" t="s">
        <v>277</v>
      </c>
      <c r="C55" s="419" t="s">
        <v>278</v>
      </c>
      <c r="D55" s="419"/>
      <c r="E55" s="419"/>
      <c r="F55" s="27" t="s">
        <v>70</v>
      </c>
      <c r="G55" s="22" t="s">
        <v>315</v>
      </c>
      <c r="H55" s="58"/>
      <c r="I55" s="28"/>
      <c r="J55" s="28"/>
      <c r="K55" s="29"/>
      <c r="BC55" s="14"/>
      <c r="BD55" s="15"/>
      <c r="BE55" s="21"/>
      <c r="BF55" s="12" t="s">
        <v>278</v>
      </c>
      <c r="BG55" s="43"/>
      <c r="BH55" s="12"/>
    </row>
    <row r="56" spans="1:60" s="3" customFormat="1" ht="20.399999999999999" x14ac:dyDescent="0.3">
      <c r="A56" s="25"/>
      <c r="B56" s="26" t="s">
        <v>76</v>
      </c>
      <c r="C56" s="419" t="s">
        <v>77</v>
      </c>
      <c r="D56" s="419"/>
      <c r="E56" s="419"/>
      <c r="F56" s="27" t="s">
        <v>70</v>
      </c>
      <c r="G56" s="22" t="s">
        <v>316</v>
      </c>
      <c r="H56" s="58"/>
      <c r="I56" s="28"/>
      <c r="J56" s="28"/>
      <c r="K56" s="29"/>
      <c r="BC56" s="14"/>
      <c r="BD56" s="15"/>
      <c r="BE56" s="21"/>
      <c r="BF56" s="12" t="s">
        <v>77</v>
      </c>
      <c r="BG56" s="43"/>
      <c r="BH56" s="12"/>
    </row>
    <row r="57" spans="1:60" s="3" customFormat="1" ht="21.6" x14ac:dyDescent="0.3">
      <c r="A57" s="25"/>
      <c r="B57" s="26" t="s">
        <v>281</v>
      </c>
      <c r="C57" s="419" t="s">
        <v>282</v>
      </c>
      <c r="D57" s="419"/>
      <c r="E57" s="419"/>
      <c r="F57" s="27" t="s">
        <v>70</v>
      </c>
      <c r="G57" s="22" t="s">
        <v>317</v>
      </c>
      <c r="H57" s="58"/>
      <c r="I57" s="28"/>
      <c r="J57" s="28"/>
      <c r="K57" s="29"/>
      <c r="BC57" s="14"/>
      <c r="BD57" s="15"/>
      <c r="BE57" s="21"/>
      <c r="BF57" s="12" t="s">
        <v>282</v>
      </c>
      <c r="BG57" s="43"/>
      <c r="BH57" s="12"/>
    </row>
    <row r="58" spans="1:60" s="3" customFormat="1" ht="20.399999999999999" x14ac:dyDescent="0.3">
      <c r="A58" s="37" t="s">
        <v>143</v>
      </c>
      <c r="B58" s="38" t="s">
        <v>159</v>
      </c>
      <c r="C58" s="430" t="s">
        <v>160</v>
      </c>
      <c r="D58" s="430"/>
      <c r="E58" s="430"/>
      <c r="F58" s="39" t="s">
        <v>46</v>
      </c>
      <c r="G58" s="40" t="s">
        <v>318</v>
      </c>
      <c r="H58" s="100"/>
      <c r="I58" s="41"/>
      <c r="J58" s="41"/>
      <c r="K58" s="42"/>
      <c r="BC58" s="14"/>
      <c r="BD58" s="15"/>
      <c r="BE58" s="21"/>
      <c r="BF58" s="12"/>
      <c r="BG58" s="43" t="s">
        <v>160</v>
      </c>
      <c r="BH58" s="12"/>
    </row>
    <row r="59" spans="1:60" s="3" customFormat="1" ht="21.6" x14ac:dyDescent="0.3">
      <c r="A59" s="25"/>
      <c r="B59" s="26" t="s">
        <v>285</v>
      </c>
      <c r="C59" s="419" t="s">
        <v>286</v>
      </c>
      <c r="D59" s="419"/>
      <c r="E59" s="419"/>
      <c r="F59" s="27" t="s">
        <v>70</v>
      </c>
      <c r="G59" s="22" t="s">
        <v>319</v>
      </c>
      <c r="H59" s="58"/>
      <c r="I59" s="28"/>
      <c r="J59" s="28"/>
      <c r="K59" s="29"/>
      <c r="BC59" s="14"/>
      <c r="BD59" s="15"/>
      <c r="BE59" s="21"/>
      <c r="BF59" s="12" t="s">
        <v>286</v>
      </c>
      <c r="BG59" s="43"/>
      <c r="BH59" s="12"/>
    </row>
    <row r="60" spans="1:60" s="3" customFormat="1" ht="20.399999999999999" x14ac:dyDescent="0.3">
      <c r="A60" s="37" t="s">
        <v>143</v>
      </c>
      <c r="B60" s="38" t="s">
        <v>288</v>
      </c>
      <c r="C60" s="430" t="s">
        <v>289</v>
      </c>
      <c r="D60" s="430"/>
      <c r="E60" s="430"/>
      <c r="F60" s="39" t="s">
        <v>70</v>
      </c>
      <c r="G60" s="40" t="s">
        <v>320</v>
      </c>
      <c r="H60" s="100"/>
      <c r="I60" s="41"/>
      <c r="J60" s="41"/>
      <c r="K60" s="42"/>
      <c r="BC60" s="14"/>
      <c r="BD60" s="15"/>
      <c r="BE60" s="21"/>
      <c r="BF60" s="12"/>
      <c r="BG60" s="43" t="s">
        <v>289</v>
      </c>
      <c r="BH60" s="12"/>
    </row>
    <row r="61" spans="1:60" s="3" customFormat="1" ht="31.8" x14ac:dyDescent="0.3">
      <c r="A61" s="25"/>
      <c r="B61" s="26" t="s">
        <v>291</v>
      </c>
      <c r="C61" s="419" t="s">
        <v>292</v>
      </c>
      <c r="D61" s="419"/>
      <c r="E61" s="419"/>
      <c r="F61" s="27" t="s">
        <v>46</v>
      </c>
      <c r="G61" s="22" t="s">
        <v>321</v>
      </c>
      <c r="H61" s="58"/>
      <c r="I61" s="28"/>
      <c r="J61" s="28"/>
      <c r="K61" s="29"/>
      <c r="BC61" s="14"/>
      <c r="BD61" s="15"/>
      <c r="BE61" s="21"/>
      <c r="BF61" s="12" t="s">
        <v>292</v>
      </c>
      <c r="BG61" s="43"/>
      <c r="BH61" s="12"/>
    </row>
    <row r="62" spans="1:60" s="3" customFormat="1" ht="20.399999999999999" x14ac:dyDescent="0.3">
      <c r="A62" s="25"/>
      <c r="B62" s="26" t="s">
        <v>294</v>
      </c>
      <c r="C62" s="419" t="s">
        <v>295</v>
      </c>
      <c r="D62" s="419"/>
      <c r="E62" s="419"/>
      <c r="F62" s="27" t="s">
        <v>158</v>
      </c>
      <c r="G62" s="22" t="s">
        <v>322</v>
      </c>
      <c r="H62" s="58"/>
      <c r="I62" s="28"/>
      <c r="J62" s="28"/>
      <c r="K62" s="29"/>
      <c r="BC62" s="14"/>
      <c r="BD62" s="15"/>
      <c r="BE62" s="21"/>
      <c r="BF62" s="12" t="s">
        <v>295</v>
      </c>
      <c r="BG62" s="43"/>
      <c r="BH62" s="12"/>
    </row>
    <row r="63" spans="1:60" s="3" customFormat="1" ht="42" x14ac:dyDescent="0.3">
      <c r="A63" s="16" t="s">
        <v>169</v>
      </c>
      <c r="B63" s="17" t="s">
        <v>323</v>
      </c>
      <c r="C63" s="405" t="s">
        <v>310</v>
      </c>
      <c r="D63" s="405"/>
      <c r="E63" s="405"/>
      <c r="F63" s="16" t="s">
        <v>311</v>
      </c>
      <c r="G63" s="24">
        <v>1.2</v>
      </c>
      <c r="H63" s="57">
        <v>0</v>
      </c>
      <c r="I63" s="19">
        <v>0</v>
      </c>
      <c r="J63" s="20">
        <f>K63/G63</f>
        <v>250.9</v>
      </c>
      <c r="K63" s="19">
        <v>301.08</v>
      </c>
      <c r="BC63" s="14"/>
      <c r="BD63" s="15"/>
      <c r="BE63" s="21" t="s">
        <v>310</v>
      </c>
      <c r="BF63" s="12"/>
      <c r="BG63" s="43"/>
      <c r="BH63" s="12"/>
    </row>
    <row r="64" spans="1:60" s="3" customFormat="1" ht="21.6" x14ac:dyDescent="0.3">
      <c r="A64" s="16" t="s">
        <v>170</v>
      </c>
      <c r="B64" s="17" t="s">
        <v>324</v>
      </c>
      <c r="C64" s="405" t="s">
        <v>325</v>
      </c>
      <c r="D64" s="405"/>
      <c r="E64" s="405"/>
      <c r="F64" s="16" t="s">
        <v>46</v>
      </c>
      <c r="G64" s="18">
        <v>1.218</v>
      </c>
      <c r="H64" s="57">
        <v>0</v>
      </c>
      <c r="I64" s="19">
        <v>0</v>
      </c>
      <c r="J64" s="20">
        <f t="shared" ref="J64:J65" si="1">K64/G64</f>
        <v>4828.5632183908046</v>
      </c>
      <c r="K64" s="19">
        <v>5881.19</v>
      </c>
      <c r="BC64" s="14"/>
      <c r="BD64" s="15"/>
      <c r="BE64" s="21" t="s">
        <v>325</v>
      </c>
      <c r="BF64" s="12"/>
      <c r="BG64" s="43"/>
      <c r="BH64" s="12"/>
    </row>
    <row r="65" spans="1:60" s="3" customFormat="1" ht="31.8" x14ac:dyDescent="0.3">
      <c r="A65" s="16" t="s">
        <v>173</v>
      </c>
      <c r="B65" s="17" t="s">
        <v>307</v>
      </c>
      <c r="C65" s="405" t="s">
        <v>308</v>
      </c>
      <c r="D65" s="405"/>
      <c r="E65" s="405"/>
      <c r="F65" s="16" t="s">
        <v>70</v>
      </c>
      <c r="G65" s="31">
        <v>0.14000000000000001</v>
      </c>
      <c r="H65" s="57">
        <v>0</v>
      </c>
      <c r="I65" s="19">
        <v>0</v>
      </c>
      <c r="J65" s="20">
        <f t="shared" si="1"/>
        <v>70775.499999999985</v>
      </c>
      <c r="K65" s="19">
        <v>9908.57</v>
      </c>
      <c r="BC65" s="14"/>
      <c r="BD65" s="15"/>
      <c r="BE65" s="21" t="s">
        <v>308</v>
      </c>
      <c r="BF65" s="12"/>
      <c r="BG65" s="43"/>
      <c r="BH65" s="12"/>
    </row>
    <row r="66" spans="1:60" s="3" customFormat="1" ht="15" customHeight="1" x14ac:dyDescent="0.3">
      <c r="A66" s="437" t="s">
        <v>326</v>
      </c>
      <c r="B66" s="418"/>
      <c r="C66" s="418"/>
      <c r="D66" s="418"/>
      <c r="E66" s="418"/>
      <c r="F66" s="418"/>
      <c r="G66" s="418"/>
      <c r="H66" s="123"/>
      <c r="I66" s="123"/>
      <c r="J66" s="123"/>
      <c r="K66" s="124"/>
      <c r="BC66" s="14"/>
      <c r="BD66" s="15" t="s">
        <v>326</v>
      </c>
      <c r="BE66" s="21"/>
      <c r="BF66" s="12"/>
      <c r="BG66" s="43"/>
      <c r="BH66" s="12"/>
    </row>
    <row r="67" spans="1:60" s="3" customFormat="1" ht="42" x14ac:dyDescent="0.3">
      <c r="A67" s="16" t="s">
        <v>176</v>
      </c>
      <c r="B67" s="17" t="s">
        <v>327</v>
      </c>
      <c r="C67" s="405" t="s">
        <v>328</v>
      </c>
      <c r="D67" s="405"/>
      <c r="E67" s="405"/>
      <c r="F67" s="16" t="s">
        <v>329</v>
      </c>
      <c r="G67" s="18">
        <v>5.3999999999999999E-2</v>
      </c>
      <c r="H67" s="57">
        <f>I67/G67</f>
        <v>25173.518518518522</v>
      </c>
      <c r="I67" s="19">
        <f>1784.64-K67</f>
        <v>1359.3700000000001</v>
      </c>
      <c r="J67" s="20">
        <f>K67/G67</f>
        <v>7875.3703703703704</v>
      </c>
      <c r="K67" s="19">
        <v>425.27</v>
      </c>
      <c r="BC67" s="14"/>
      <c r="BD67" s="15"/>
      <c r="BE67" s="21" t="s">
        <v>328</v>
      </c>
      <c r="BF67" s="12"/>
      <c r="BG67" s="43"/>
      <c r="BH67" s="12"/>
    </row>
    <row r="68" spans="1:60" s="3" customFormat="1" ht="20.399999999999999" x14ac:dyDescent="0.3">
      <c r="A68" s="37" t="s">
        <v>143</v>
      </c>
      <c r="B68" s="38" t="s">
        <v>330</v>
      </c>
      <c r="C68" s="430" t="s">
        <v>331</v>
      </c>
      <c r="D68" s="430"/>
      <c r="E68" s="430"/>
      <c r="F68" s="39" t="s">
        <v>70</v>
      </c>
      <c r="G68" s="40" t="s">
        <v>332</v>
      </c>
      <c r="H68" s="100"/>
      <c r="I68" s="41"/>
      <c r="J68" s="41"/>
      <c r="K68" s="42"/>
      <c r="BC68" s="14"/>
      <c r="BD68" s="15"/>
      <c r="BE68" s="21"/>
      <c r="BF68" s="12"/>
      <c r="BG68" s="43" t="s">
        <v>331</v>
      </c>
      <c r="BH68" s="12"/>
    </row>
    <row r="69" spans="1:60" s="3" customFormat="1" ht="20.399999999999999" x14ac:dyDescent="0.3">
      <c r="A69" s="37" t="s">
        <v>143</v>
      </c>
      <c r="B69" s="38" t="s">
        <v>333</v>
      </c>
      <c r="C69" s="430" t="s">
        <v>334</v>
      </c>
      <c r="D69" s="430"/>
      <c r="E69" s="430"/>
      <c r="F69" s="39" t="s">
        <v>70</v>
      </c>
      <c r="G69" s="40" t="s">
        <v>335</v>
      </c>
      <c r="H69" s="100"/>
      <c r="I69" s="41"/>
      <c r="J69" s="41"/>
      <c r="K69" s="42"/>
      <c r="BC69" s="14"/>
      <c r="BD69" s="15"/>
      <c r="BE69" s="21"/>
      <c r="BF69" s="12"/>
      <c r="BG69" s="43" t="s">
        <v>334</v>
      </c>
      <c r="BH69" s="12"/>
    </row>
    <row r="70" spans="1:60" s="3" customFormat="1" ht="20.399999999999999" x14ac:dyDescent="0.3">
      <c r="A70" s="25"/>
      <c r="B70" s="26" t="s">
        <v>336</v>
      </c>
      <c r="C70" s="419" t="s">
        <v>337</v>
      </c>
      <c r="D70" s="419"/>
      <c r="E70" s="419"/>
      <c r="F70" s="27" t="s">
        <v>70</v>
      </c>
      <c r="G70" s="22" t="s">
        <v>338</v>
      </c>
      <c r="H70" s="58"/>
      <c r="I70" s="28"/>
      <c r="J70" s="28"/>
      <c r="K70" s="29"/>
      <c r="BC70" s="14"/>
      <c r="BD70" s="15"/>
      <c r="BE70" s="21"/>
      <c r="BF70" s="12" t="s">
        <v>337</v>
      </c>
      <c r="BG70" s="43"/>
      <c r="BH70" s="12"/>
    </row>
    <row r="71" spans="1:60" s="3" customFormat="1" ht="20.399999999999999" x14ac:dyDescent="0.3">
      <c r="A71" s="25"/>
      <c r="B71" s="26" t="s">
        <v>339</v>
      </c>
      <c r="C71" s="419" t="s">
        <v>340</v>
      </c>
      <c r="D71" s="419"/>
      <c r="E71" s="419"/>
      <c r="F71" s="27" t="s">
        <v>75</v>
      </c>
      <c r="G71" s="22" t="s">
        <v>341</v>
      </c>
      <c r="H71" s="58"/>
      <c r="I71" s="28"/>
      <c r="J71" s="28"/>
      <c r="K71" s="29"/>
      <c r="BC71" s="14"/>
      <c r="BD71" s="15"/>
      <c r="BE71" s="21"/>
      <c r="BF71" s="12" t="s">
        <v>340</v>
      </c>
      <c r="BG71" s="43"/>
      <c r="BH71" s="12"/>
    </row>
    <row r="72" spans="1:60" s="3" customFormat="1" ht="20.399999999999999" x14ac:dyDescent="0.3">
      <c r="A72" s="25" t="s">
        <v>129</v>
      </c>
      <c r="B72" s="26" t="s">
        <v>342</v>
      </c>
      <c r="C72" s="419" t="s">
        <v>343</v>
      </c>
      <c r="D72" s="419"/>
      <c r="E72" s="419"/>
      <c r="F72" s="27" t="s">
        <v>70</v>
      </c>
      <c r="G72" s="22" t="s">
        <v>335</v>
      </c>
      <c r="H72" s="58"/>
      <c r="I72" s="28"/>
      <c r="J72" s="28"/>
      <c r="K72" s="29"/>
      <c r="BC72" s="14"/>
      <c r="BD72" s="15"/>
      <c r="BE72" s="21"/>
      <c r="BF72" s="12"/>
      <c r="BG72" s="43"/>
      <c r="BH72" s="12" t="s">
        <v>343</v>
      </c>
    </row>
    <row r="73" spans="1:60" s="3" customFormat="1" ht="20.399999999999999" x14ac:dyDescent="0.3">
      <c r="A73" s="25" t="s">
        <v>129</v>
      </c>
      <c r="B73" s="26" t="s">
        <v>344</v>
      </c>
      <c r="C73" s="419" t="s">
        <v>345</v>
      </c>
      <c r="D73" s="419"/>
      <c r="E73" s="419"/>
      <c r="F73" s="27" t="s">
        <v>70</v>
      </c>
      <c r="G73" s="22" t="s">
        <v>332</v>
      </c>
      <c r="H73" s="58"/>
      <c r="I73" s="28"/>
      <c r="J73" s="28"/>
      <c r="K73" s="29"/>
      <c r="BC73" s="14"/>
      <c r="BD73" s="15"/>
      <c r="BE73" s="21"/>
      <c r="BF73" s="12"/>
      <c r="BG73" s="43"/>
      <c r="BH73" s="12" t="s">
        <v>345</v>
      </c>
    </row>
    <row r="74" spans="1:60" s="3" customFormat="1" ht="15" customHeight="1" x14ac:dyDescent="0.3">
      <c r="A74" s="437" t="s">
        <v>346</v>
      </c>
      <c r="B74" s="418"/>
      <c r="C74" s="418"/>
      <c r="D74" s="418"/>
      <c r="E74" s="418"/>
      <c r="F74" s="418"/>
      <c r="G74" s="418"/>
      <c r="H74" s="123"/>
      <c r="I74" s="123"/>
      <c r="J74" s="123"/>
      <c r="K74" s="124"/>
      <c r="BC74" s="14"/>
      <c r="BD74" s="15" t="s">
        <v>346</v>
      </c>
      <c r="BE74" s="21"/>
      <c r="BF74" s="12"/>
      <c r="BG74" s="43"/>
      <c r="BH74" s="12"/>
    </row>
    <row r="75" spans="1:60" s="3" customFormat="1" ht="15" customHeight="1" x14ac:dyDescent="0.3">
      <c r="A75" s="437" t="s">
        <v>347</v>
      </c>
      <c r="B75" s="418"/>
      <c r="C75" s="418"/>
      <c r="D75" s="418"/>
      <c r="E75" s="418"/>
      <c r="F75" s="418"/>
      <c r="G75" s="418"/>
      <c r="H75" s="123"/>
      <c r="I75" s="123"/>
      <c r="J75" s="123"/>
      <c r="K75" s="124"/>
      <c r="BC75" s="14"/>
      <c r="BD75" s="15" t="s">
        <v>347</v>
      </c>
      <c r="BE75" s="21"/>
      <c r="BF75" s="12"/>
      <c r="BG75" s="43"/>
      <c r="BH75" s="12"/>
    </row>
    <row r="76" spans="1:60" s="3" customFormat="1" ht="21.6" x14ac:dyDescent="0.3">
      <c r="A76" s="16" t="s">
        <v>177</v>
      </c>
      <c r="B76" s="17" t="s">
        <v>348</v>
      </c>
      <c r="C76" s="405" t="s">
        <v>349</v>
      </c>
      <c r="D76" s="405"/>
      <c r="E76" s="405"/>
      <c r="F76" s="16" t="s">
        <v>329</v>
      </c>
      <c r="G76" s="18">
        <v>5.3999999999999999E-2</v>
      </c>
      <c r="H76" s="57">
        <f>I76/G76</f>
        <v>6117.2222222222208</v>
      </c>
      <c r="I76" s="19">
        <f>2654.17-K76</f>
        <v>330.32999999999993</v>
      </c>
      <c r="J76" s="20">
        <f>K76/G76</f>
        <v>43034.07407407408</v>
      </c>
      <c r="K76" s="19">
        <v>2323.84</v>
      </c>
      <c r="BC76" s="14"/>
      <c r="BD76" s="15"/>
      <c r="BE76" s="21" t="s">
        <v>349</v>
      </c>
      <c r="BF76" s="12"/>
      <c r="BG76" s="43"/>
      <c r="BH76" s="12"/>
    </row>
    <row r="77" spans="1:60" s="3" customFormat="1" ht="20.399999999999999" x14ac:dyDescent="0.3">
      <c r="A77" s="25"/>
      <c r="B77" s="26" t="s">
        <v>350</v>
      </c>
      <c r="C77" s="419" t="s">
        <v>351</v>
      </c>
      <c r="D77" s="419"/>
      <c r="E77" s="419"/>
      <c r="F77" s="27" t="s">
        <v>70</v>
      </c>
      <c r="G77" s="22" t="s">
        <v>352</v>
      </c>
      <c r="H77" s="58"/>
      <c r="I77" s="28"/>
      <c r="J77" s="28"/>
      <c r="K77" s="29"/>
      <c r="BC77" s="14"/>
      <c r="BD77" s="15"/>
      <c r="BE77" s="21"/>
      <c r="BF77" s="12" t="s">
        <v>351</v>
      </c>
      <c r="BG77" s="43"/>
      <c r="BH77" s="12"/>
    </row>
    <row r="78" spans="1:60" s="3" customFormat="1" ht="20.399999999999999" x14ac:dyDescent="0.3">
      <c r="A78" s="25"/>
      <c r="B78" s="26" t="s">
        <v>353</v>
      </c>
      <c r="C78" s="419" t="s">
        <v>354</v>
      </c>
      <c r="D78" s="419"/>
      <c r="E78" s="419"/>
      <c r="F78" s="27" t="s">
        <v>75</v>
      </c>
      <c r="G78" s="22" t="s">
        <v>355</v>
      </c>
      <c r="H78" s="58"/>
      <c r="I78" s="28"/>
      <c r="J78" s="28"/>
      <c r="K78" s="29"/>
      <c r="BC78" s="14"/>
      <c r="BD78" s="15"/>
      <c r="BE78" s="21"/>
      <c r="BF78" s="12" t="s">
        <v>354</v>
      </c>
      <c r="BG78" s="43"/>
      <c r="BH78" s="12"/>
    </row>
    <row r="79" spans="1:60" s="3" customFormat="1" ht="20.399999999999999" x14ac:dyDescent="0.3">
      <c r="A79" s="25" t="s">
        <v>129</v>
      </c>
      <c r="B79" s="26" t="s">
        <v>356</v>
      </c>
      <c r="C79" s="419" t="s">
        <v>351</v>
      </c>
      <c r="D79" s="419"/>
      <c r="E79" s="419"/>
      <c r="F79" s="27" t="s">
        <v>70</v>
      </c>
      <c r="G79" s="22" t="s">
        <v>357</v>
      </c>
      <c r="H79" s="58"/>
      <c r="I79" s="28"/>
      <c r="J79" s="28"/>
      <c r="K79" s="29"/>
      <c r="BC79" s="14"/>
      <c r="BD79" s="15"/>
      <c r="BE79" s="21"/>
      <c r="BF79" s="12"/>
      <c r="BG79" s="43"/>
      <c r="BH79" s="12" t="s">
        <v>351</v>
      </c>
    </row>
    <row r="80" spans="1:60" s="3" customFormat="1" ht="20.399999999999999" x14ac:dyDescent="0.3">
      <c r="A80" s="25" t="s">
        <v>129</v>
      </c>
      <c r="B80" s="26" t="s">
        <v>358</v>
      </c>
      <c r="C80" s="419" t="s">
        <v>359</v>
      </c>
      <c r="D80" s="419"/>
      <c r="E80" s="419"/>
      <c r="F80" s="27" t="s">
        <v>75</v>
      </c>
      <c r="G80" s="22" t="s">
        <v>360</v>
      </c>
      <c r="H80" s="58"/>
      <c r="I80" s="28"/>
      <c r="J80" s="28"/>
      <c r="K80" s="29"/>
      <c r="BC80" s="14"/>
      <c r="BD80" s="15"/>
      <c r="BE80" s="21"/>
      <c r="BF80" s="12"/>
      <c r="BG80" s="43"/>
      <c r="BH80" s="12" t="s">
        <v>359</v>
      </c>
    </row>
    <row r="81" spans="1:60" s="3" customFormat="1" ht="15" customHeight="1" x14ac:dyDescent="0.3">
      <c r="A81" s="437" t="s">
        <v>361</v>
      </c>
      <c r="B81" s="418"/>
      <c r="C81" s="418"/>
      <c r="D81" s="418"/>
      <c r="E81" s="418"/>
      <c r="F81" s="418"/>
      <c r="G81" s="418"/>
      <c r="H81" s="123"/>
      <c r="I81" s="123"/>
      <c r="J81" s="123"/>
      <c r="K81" s="124"/>
      <c r="BC81" s="14"/>
      <c r="BD81" s="15" t="s">
        <v>361</v>
      </c>
      <c r="BE81" s="21"/>
      <c r="BF81" s="12"/>
      <c r="BG81" s="43"/>
      <c r="BH81" s="12"/>
    </row>
    <row r="82" spans="1:60" s="3" customFormat="1" ht="31.8" x14ac:dyDescent="0.3">
      <c r="A82" s="16" t="s">
        <v>180</v>
      </c>
      <c r="B82" s="17" t="s">
        <v>362</v>
      </c>
      <c r="C82" s="405" t="s">
        <v>363</v>
      </c>
      <c r="D82" s="405"/>
      <c r="E82" s="405"/>
      <c r="F82" s="16" t="s">
        <v>329</v>
      </c>
      <c r="G82" s="18">
        <v>5.3999999999999999E-2</v>
      </c>
      <c r="H82" s="57">
        <f>I82/G82</f>
        <v>7196.6666666666688</v>
      </c>
      <c r="I82" s="19">
        <f>2042.74-K82</f>
        <v>388.62000000000012</v>
      </c>
      <c r="J82" s="20">
        <f>K82/G82</f>
        <v>30631.85185185185</v>
      </c>
      <c r="K82" s="19">
        <v>1654.12</v>
      </c>
      <c r="BC82" s="14"/>
      <c r="BD82" s="15"/>
      <c r="BE82" s="21" t="s">
        <v>363</v>
      </c>
      <c r="BF82" s="12"/>
      <c r="BG82" s="43"/>
      <c r="BH82" s="12"/>
    </row>
    <row r="83" spans="1:60" s="3" customFormat="1" ht="20.399999999999999" x14ac:dyDescent="0.3">
      <c r="A83" s="25"/>
      <c r="B83" s="26" t="s">
        <v>364</v>
      </c>
      <c r="C83" s="419" t="s">
        <v>365</v>
      </c>
      <c r="D83" s="419"/>
      <c r="E83" s="419"/>
      <c r="F83" s="27" t="s">
        <v>70</v>
      </c>
      <c r="G83" s="22" t="s">
        <v>366</v>
      </c>
      <c r="H83" s="58"/>
      <c r="I83" s="28"/>
      <c r="J83" s="28"/>
      <c r="K83" s="29"/>
      <c r="BC83" s="14"/>
      <c r="BD83" s="15"/>
      <c r="BE83" s="21"/>
      <c r="BF83" s="12" t="s">
        <v>365</v>
      </c>
      <c r="BG83" s="43"/>
      <c r="BH83" s="12"/>
    </row>
    <row r="84" spans="1:60" s="3" customFormat="1" ht="20.399999999999999" x14ac:dyDescent="0.3">
      <c r="A84" s="25"/>
      <c r="B84" s="26" t="s">
        <v>367</v>
      </c>
      <c r="C84" s="419" t="s">
        <v>368</v>
      </c>
      <c r="D84" s="419"/>
      <c r="E84" s="419"/>
      <c r="F84" s="27" t="s">
        <v>70</v>
      </c>
      <c r="G84" s="22" t="s">
        <v>369</v>
      </c>
      <c r="H84" s="58"/>
      <c r="I84" s="28"/>
      <c r="J84" s="28"/>
      <c r="K84" s="29"/>
      <c r="BC84" s="14"/>
      <c r="BD84" s="15"/>
      <c r="BE84" s="21"/>
      <c r="BF84" s="12" t="s">
        <v>368</v>
      </c>
      <c r="BG84" s="43"/>
      <c r="BH84" s="12"/>
    </row>
    <row r="85" spans="1:60" s="3" customFormat="1" ht="20.399999999999999" x14ac:dyDescent="0.3">
      <c r="A85" s="25"/>
      <c r="B85" s="26" t="s">
        <v>370</v>
      </c>
      <c r="C85" s="419" t="s">
        <v>371</v>
      </c>
      <c r="D85" s="419"/>
      <c r="E85" s="419"/>
      <c r="F85" s="27" t="s">
        <v>75</v>
      </c>
      <c r="G85" s="22" t="s">
        <v>372</v>
      </c>
      <c r="H85" s="58"/>
      <c r="I85" s="28"/>
      <c r="J85" s="28"/>
      <c r="K85" s="29"/>
      <c r="BC85" s="14"/>
      <c r="BD85" s="15"/>
      <c r="BE85" s="21"/>
      <c r="BF85" s="12" t="s">
        <v>371</v>
      </c>
      <c r="BG85" s="43"/>
      <c r="BH85" s="12"/>
    </row>
    <row r="86" spans="1:60" s="3" customFormat="1" ht="20.399999999999999" x14ac:dyDescent="0.3">
      <c r="A86" s="25" t="s">
        <v>129</v>
      </c>
      <c r="B86" s="26" t="s">
        <v>373</v>
      </c>
      <c r="C86" s="419" t="s">
        <v>365</v>
      </c>
      <c r="D86" s="419"/>
      <c r="E86" s="419"/>
      <c r="F86" s="27" t="s">
        <v>70</v>
      </c>
      <c r="G86" s="22" t="s">
        <v>374</v>
      </c>
      <c r="H86" s="58"/>
      <c r="I86" s="28"/>
      <c r="J86" s="28"/>
      <c r="K86" s="29"/>
      <c r="BC86" s="14"/>
      <c r="BD86" s="15"/>
      <c r="BE86" s="21"/>
      <c r="BF86" s="12"/>
      <c r="BG86" s="43"/>
      <c r="BH86" s="12" t="s">
        <v>365</v>
      </c>
    </row>
    <row r="87" spans="1:60" s="3" customFormat="1" ht="21.6" x14ac:dyDescent="0.3">
      <c r="A87" s="25" t="s">
        <v>129</v>
      </c>
      <c r="B87" s="26" t="s">
        <v>375</v>
      </c>
      <c r="C87" s="419" t="s">
        <v>376</v>
      </c>
      <c r="D87" s="419"/>
      <c r="E87" s="419"/>
      <c r="F87" s="27" t="s">
        <v>75</v>
      </c>
      <c r="G87" s="22" t="s">
        <v>377</v>
      </c>
      <c r="H87" s="58"/>
      <c r="I87" s="28"/>
      <c r="J87" s="28"/>
      <c r="K87" s="29"/>
      <c r="BC87" s="14"/>
      <c r="BD87" s="15"/>
      <c r="BE87" s="21"/>
      <c r="BF87" s="12"/>
      <c r="BG87" s="43"/>
      <c r="BH87" s="12" t="s">
        <v>376</v>
      </c>
    </row>
    <row r="88" spans="1:60" s="3" customFormat="1" ht="15" customHeight="1" x14ac:dyDescent="0.3">
      <c r="A88" s="437" t="s">
        <v>378</v>
      </c>
      <c r="B88" s="418"/>
      <c r="C88" s="418"/>
      <c r="D88" s="418"/>
      <c r="E88" s="418"/>
      <c r="F88" s="418"/>
      <c r="G88" s="418"/>
      <c r="H88" s="123"/>
      <c r="I88" s="123"/>
      <c r="J88" s="123"/>
      <c r="K88" s="124"/>
      <c r="BC88" s="14"/>
      <c r="BD88" s="15" t="s">
        <v>378</v>
      </c>
      <c r="BE88" s="21"/>
      <c r="BF88" s="12"/>
      <c r="BG88" s="43"/>
      <c r="BH88" s="12"/>
    </row>
    <row r="89" spans="1:60" s="3" customFormat="1" ht="31.8" x14ac:dyDescent="0.3">
      <c r="A89" s="16" t="s">
        <v>182</v>
      </c>
      <c r="B89" s="17" t="s">
        <v>362</v>
      </c>
      <c r="C89" s="405" t="s">
        <v>363</v>
      </c>
      <c r="D89" s="405"/>
      <c r="E89" s="405"/>
      <c r="F89" s="16" t="s">
        <v>329</v>
      </c>
      <c r="G89" s="18">
        <v>5.3999999999999999E-2</v>
      </c>
      <c r="H89" s="57">
        <f>I89/G89</f>
        <v>7196.6666666666688</v>
      </c>
      <c r="I89" s="19">
        <f>2042.74-K89</f>
        <v>388.62000000000012</v>
      </c>
      <c r="J89" s="20">
        <f>K89/G89</f>
        <v>30631.85185185185</v>
      </c>
      <c r="K89" s="19">
        <v>1654.12</v>
      </c>
      <c r="BC89" s="14"/>
      <c r="BD89" s="15"/>
      <c r="BE89" s="21" t="s">
        <v>363</v>
      </c>
      <c r="BF89" s="12"/>
      <c r="BG89" s="43"/>
      <c r="BH89" s="12"/>
    </row>
    <row r="90" spans="1:60" s="3" customFormat="1" ht="20.399999999999999" x14ac:dyDescent="0.3">
      <c r="A90" s="25"/>
      <c r="B90" s="26" t="s">
        <v>364</v>
      </c>
      <c r="C90" s="419" t="s">
        <v>365</v>
      </c>
      <c r="D90" s="419"/>
      <c r="E90" s="419"/>
      <c r="F90" s="27" t="s">
        <v>70</v>
      </c>
      <c r="G90" s="22" t="s">
        <v>366</v>
      </c>
      <c r="H90" s="58"/>
      <c r="I90" s="28"/>
      <c r="J90" s="28"/>
      <c r="K90" s="29"/>
      <c r="BC90" s="14"/>
      <c r="BD90" s="15"/>
      <c r="BE90" s="21"/>
      <c r="BF90" s="12" t="s">
        <v>365</v>
      </c>
      <c r="BG90" s="43"/>
      <c r="BH90" s="12"/>
    </row>
    <row r="91" spans="1:60" s="3" customFormat="1" ht="20.399999999999999" x14ac:dyDescent="0.3">
      <c r="A91" s="25"/>
      <c r="B91" s="26" t="s">
        <v>367</v>
      </c>
      <c r="C91" s="419" t="s">
        <v>368</v>
      </c>
      <c r="D91" s="419"/>
      <c r="E91" s="419"/>
      <c r="F91" s="27" t="s">
        <v>70</v>
      </c>
      <c r="G91" s="22" t="s">
        <v>369</v>
      </c>
      <c r="H91" s="58"/>
      <c r="I91" s="28"/>
      <c r="J91" s="28"/>
      <c r="K91" s="29"/>
      <c r="BC91" s="14"/>
      <c r="BD91" s="15"/>
      <c r="BE91" s="21"/>
      <c r="BF91" s="12" t="s">
        <v>368</v>
      </c>
      <c r="BG91" s="43"/>
      <c r="BH91" s="12"/>
    </row>
    <row r="92" spans="1:60" s="3" customFormat="1" ht="20.399999999999999" x14ac:dyDescent="0.3">
      <c r="A92" s="25"/>
      <c r="B92" s="26" t="s">
        <v>370</v>
      </c>
      <c r="C92" s="419" t="s">
        <v>371</v>
      </c>
      <c r="D92" s="419"/>
      <c r="E92" s="419"/>
      <c r="F92" s="27" t="s">
        <v>75</v>
      </c>
      <c r="G92" s="22" t="s">
        <v>372</v>
      </c>
      <c r="H92" s="58"/>
      <c r="I92" s="28"/>
      <c r="J92" s="28"/>
      <c r="K92" s="29"/>
      <c r="BC92" s="14"/>
      <c r="BD92" s="15"/>
      <c r="BE92" s="21"/>
      <c r="BF92" s="12" t="s">
        <v>371</v>
      </c>
      <c r="BG92" s="43"/>
      <c r="BH92" s="12"/>
    </row>
    <row r="93" spans="1:60" s="3" customFormat="1" ht="20.399999999999999" x14ac:dyDescent="0.3">
      <c r="A93" s="25" t="s">
        <v>129</v>
      </c>
      <c r="B93" s="26" t="s">
        <v>373</v>
      </c>
      <c r="C93" s="419" t="s">
        <v>365</v>
      </c>
      <c r="D93" s="419"/>
      <c r="E93" s="419"/>
      <c r="F93" s="27" t="s">
        <v>70</v>
      </c>
      <c r="G93" s="22" t="s">
        <v>374</v>
      </c>
      <c r="H93" s="58"/>
      <c r="I93" s="28"/>
      <c r="J93" s="28"/>
      <c r="K93" s="29"/>
      <c r="BC93" s="14"/>
      <c r="BD93" s="15"/>
      <c r="BE93" s="21"/>
      <c r="BF93" s="12"/>
      <c r="BG93" s="43"/>
      <c r="BH93" s="12" t="s">
        <v>365</v>
      </c>
    </row>
    <row r="94" spans="1:60" s="3" customFormat="1" ht="21.6" x14ac:dyDescent="0.3">
      <c r="A94" s="25" t="s">
        <v>129</v>
      </c>
      <c r="B94" s="26" t="s">
        <v>375</v>
      </c>
      <c r="C94" s="419" t="s">
        <v>376</v>
      </c>
      <c r="D94" s="419"/>
      <c r="E94" s="419"/>
      <c r="F94" s="27" t="s">
        <v>75</v>
      </c>
      <c r="G94" s="22" t="s">
        <v>377</v>
      </c>
      <c r="H94" s="58"/>
      <c r="I94" s="28"/>
      <c r="J94" s="28"/>
      <c r="K94" s="29"/>
      <c r="BC94" s="14"/>
      <c r="BD94" s="15"/>
      <c r="BE94" s="21"/>
      <c r="BF94" s="12"/>
      <c r="BG94" s="43"/>
      <c r="BH94" s="12" t="s">
        <v>376</v>
      </c>
    </row>
    <row r="95" spans="1:60" s="3" customFormat="1" ht="24.75" customHeight="1" x14ac:dyDescent="0.3">
      <c r="A95" s="437" t="s">
        <v>379</v>
      </c>
      <c r="B95" s="418"/>
      <c r="C95" s="418"/>
      <c r="D95" s="418"/>
      <c r="E95" s="418"/>
      <c r="F95" s="418"/>
      <c r="G95" s="418"/>
      <c r="H95" s="123"/>
      <c r="I95" s="123"/>
      <c r="J95" s="123"/>
      <c r="K95" s="124"/>
      <c r="BC95" s="14"/>
      <c r="BD95" s="15" t="s">
        <v>379</v>
      </c>
      <c r="BE95" s="21"/>
      <c r="BF95" s="12"/>
      <c r="BG95" s="43"/>
      <c r="BH95" s="12"/>
    </row>
    <row r="96" spans="1:60" s="3" customFormat="1" ht="15" customHeight="1" x14ac:dyDescent="0.3">
      <c r="A96" s="435" t="s">
        <v>380</v>
      </c>
      <c r="B96" s="436"/>
      <c r="C96" s="436"/>
      <c r="D96" s="436"/>
      <c r="E96" s="436"/>
      <c r="F96" s="436"/>
      <c r="G96" s="436"/>
      <c r="H96" s="103"/>
      <c r="I96" s="103"/>
      <c r="J96" s="103"/>
      <c r="K96" s="104"/>
      <c r="BC96" s="14" t="s">
        <v>380</v>
      </c>
      <c r="BD96" s="15"/>
      <c r="BE96" s="21"/>
      <c r="BF96" s="12"/>
      <c r="BG96" s="43"/>
      <c r="BH96" s="12"/>
    </row>
    <row r="97" spans="1:60" s="3" customFormat="1" ht="15" customHeight="1" x14ac:dyDescent="0.3">
      <c r="A97" s="437" t="s">
        <v>381</v>
      </c>
      <c r="B97" s="418"/>
      <c r="C97" s="418"/>
      <c r="D97" s="418"/>
      <c r="E97" s="418"/>
      <c r="F97" s="418"/>
      <c r="G97" s="418"/>
      <c r="H97" s="123"/>
      <c r="I97" s="123"/>
      <c r="J97" s="123"/>
      <c r="K97" s="124"/>
      <c r="BC97" s="14"/>
      <c r="BD97" s="15" t="s">
        <v>381</v>
      </c>
      <c r="BE97" s="21"/>
      <c r="BF97" s="12"/>
      <c r="BG97" s="43"/>
      <c r="BH97" s="12"/>
    </row>
    <row r="98" spans="1:60" s="3" customFormat="1" ht="21.6" x14ac:dyDescent="0.3">
      <c r="A98" s="16" t="s">
        <v>186</v>
      </c>
      <c r="B98" s="17" t="s">
        <v>382</v>
      </c>
      <c r="C98" s="405" t="s">
        <v>383</v>
      </c>
      <c r="D98" s="405"/>
      <c r="E98" s="405"/>
      <c r="F98" s="16" t="s">
        <v>70</v>
      </c>
      <c r="G98" s="31">
        <v>14.48</v>
      </c>
      <c r="H98" s="57">
        <f>I98/G98</f>
        <v>49369.083563535911</v>
      </c>
      <c r="I98" s="19">
        <f>742881.33-K98</f>
        <v>714864.33</v>
      </c>
      <c r="J98" s="20">
        <f>K98/G98</f>
        <v>1934.8756906077347</v>
      </c>
      <c r="K98" s="19">
        <v>28017</v>
      </c>
      <c r="BC98" s="14"/>
      <c r="BD98" s="15"/>
      <c r="BE98" s="21" t="s">
        <v>383</v>
      </c>
      <c r="BF98" s="12"/>
      <c r="BG98" s="43"/>
      <c r="BH98" s="12"/>
    </row>
    <row r="99" spans="1:60" s="3" customFormat="1" ht="20.399999999999999" x14ac:dyDescent="0.3">
      <c r="A99" s="25"/>
      <c r="B99" s="26" t="s">
        <v>384</v>
      </c>
      <c r="C99" s="419" t="s">
        <v>385</v>
      </c>
      <c r="D99" s="419"/>
      <c r="E99" s="419"/>
      <c r="F99" s="27" t="s">
        <v>46</v>
      </c>
      <c r="G99" s="22" t="s">
        <v>386</v>
      </c>
      <c r="H99" s="58"/>
      <c r="I99" s="28"/>
      <c r="J99" s="28"/>
      <c r="K99" s="29"/>
      <c r="BC99" s="14"/>
      <c r="BD99" s="15"/>
      <c r="BE99" s="21"/>
      <c r="BF99" s="12" t="s">
        <v>385</v>
      </c>
      <c r="BG99" s="43"/>
      <c r="BH99" s="12"/>
    </row>
    <row r="100" spans="1:60" s="3" customFormat="1" ht="20.399999999999999" x14ac:dyDescent="0.3">
      <c r="A100" s="25"/>
      <c r="B100" s="26" t="s">
        <v>387</v>
      </c>
      <c r="C100" s="419" t="s">
        <v>388</v>
      </c>
      <c r="D100" s="419"/>
      <c r="E100" s="419"/>
      <c r="F100" s="27" t="s">
        <v>75</v>
      </c>
      <c r="G100" s="22" t="s">
        <v>389</v>
      </c>
      <c r="H100" s="58"/>
      <c r="I100" s="28"/>
      <c r="J100" s="28"/>
      <c r="K100" s="29"/>
      <c r="BC100" s="14"/>
      <c r="BD100" s="15"/>
      <c r="BE100" s="21"/>
      <c r="BF100" s="12" t="s">
        <v>388</v>
      </c>
      <c r="BG100" s="43"/>
      <c r="BH100" s="12"/>
    </row>
    <row r="101" spans="1:60" s="3" customFormat="1" ht="20.399999999999999" x14ac:dyDescent="0.3">
      <c r="A101" s="25"/>
      <c r="B101" s="26" t="s">
        <v>277</v>
      </c>
      <c r="C101" s="419" t="s">
        <v>278</v>
      </c>
      <c r="D101" s="419"/>
      <c r="E101" s="419"/>
      <c r="F101" s="27" t="s">
        <v>70</v>
      </c>
      <c r="G101" s="22" t="s">
        <v>390</v>
      </c>
      <c r="H101" s="58"/>
      <c r="I101" s="28"/>
      <c r="J101" s="28"/>
      <c r="K101" s="29"/>
      <c r="BC101" s="14"/>
      <c r="BD101" s="15"/>
      <c r="BE101" s="21"/>
      <c r="BF101" s="12" t="s">
        <v>278</v>
      </c>
      <c r="BG101" s="43"/>
      <c r="BH101" s="12"/>
    </row>
    <row r="102" spans="1:60" s="3" customFormat="1" ht="20.399999999999999" x14ac:dyDescent="0.3">
      <c r="A102" s="25"/>
      <c r="B102" s="26" t="s">
        <v>391</v>
      </c>
      <c r="C102" s="419" t="s">
        <v>392</v>
      </c>
      <c r="D102" s="419"/>
      <c r="E102" s="419"/>
      <c r="F102" s="27" t="s">
        <v>75</v>
      </c>
      <c r="G102" s="22" t="s">
        <v>393</v>
      </c>
      <c r="H102" s="58"/>
      <c r="I102" s="28"/>
      <c r="J102" s="28"/>
      <c r="K102" s="29"/>
      <c r="BC102" s="14"/>
      <c r="BD102" s="15"/>
      <c r="BE102" s="21"/>
      <c r="BF102" s="12" t="s">
        <v>392</v>
      </c>
      <c r="BG102" s="43"/>
      <c r="BH102" s="12"/>
    </row>
    <row r="103" spans="1:60" s="3" customFormat="1" ht="20.399999999999999" x14ac:dyDescent="0.3">
      <c r="A103" s="25"/>
      <c r="B103" s="26" t="s">
        <v>76</v>
      </c>
      <c r="C103" s="419" t="s">
        <v>77</v>
      </c>
      <c r="D103" s="419"/>
      <c r="E103" s="419"/>
      <c r="F103" s="27" t="s">
        <v>70</v>
      </c>
      <c r="G103" s="22" t="s">
        <v>394</v>
      </c>
      <c r="H103" s="58"/>
      <c r="I103" s="28"/>
      <c r="J103" s="28"/>
      <c r="K103" s="29"/>
      <c r="BC103" s="14"/>
      <c r="BD103" s="15"/>
      <c r="BE103" s="21"/>
      <c r="BF103" s="12" t="s">
        <v>77</v>
      </c>
      <c r="BG103" s="43"/>
      <c r="BH103" s="12"/>
    </row>
    <row r="104" spans="1:60" s="3" customFormat="1" ht="20.399999999999999" x14ac:dyDescent="0.3">
      <c r="A104" s="25"/>
      <c r="B104" s="26" t="s">
        <v>395</v>
      </c>
      <c r="C104" s="419" t="s">
        <v>396</v>
      </c>
      <c r="D104" s="419"/>
      <c r="E104" s="419"/>
      <c r="F104" s="27" t="s">
        <v>70</v>
      </c>
      <c r="G104" s="22" t="s">
        <v>397</v>
      </c>
      <c r="H104" s="58"/>
      <c r="I104" s="28"/>
      <c r="J104" s="28"/>
      <c r="K104" s="29"/>
      <c r="BC104" s="14"/>
      <c r="BD104" s="15"/>
      <c r="BE104" s="21"/>
      <c r="BF104" s="12" t="s">
        <v>396</v>
      </c>
      <c r="BG104" s="43"/>
      <c r="BH104" s="12"/>
    </row>
    <row r="105" spans="1:60" s="3" customFormat="1" ht="20.399999999999999" x14ac:dyDescent="0.3">
      <c r="A105" s="37" t="s">
        <v>143</v>
      </c>
      <c r="B105" s="38" t="s">
        <v>398</v>
      </c>
      <c r="C105" s="430" t="s">
        <v>399</v>
      </c>
      <c r="D105" s="430"/>
      <c r="E105" s="430"/>
      <c r="F105" s="39" t="s">
        <v>70</v>
      </c>
      <c r="G105" s="40" t="s">
        <v>400</v>
      </c>
      <c r="H105" s="100"/>
      <c r="I105" s="41"/>
      <c r="J105" s="41"/>
      <c r="K105" s="42"/>
      <c r="BC105" s="14"/>
      <c r="BD105" s="15"/>
      <c r="BE105" s="21"/>
      <c r="BF105" s="12"/>
      <c r="BG105" s="43" t="s">
        <v>399</v>
      </c>
      <c r="BH105" s="12"/>
    </row>
    <row r="106" spans="1:60" s="3" customFormat="1" ht="31.8" x14ac:dyDescent="0.3">
      <c r="A106" s="25"/>
      <c r="B106" s="26" t="s">
        <v>401</v>
      </c>
      <c r="C106" s="419" t="s">
        <v>402</v>
      </c>
      <c r="D106" s="419"/>
      <c r="E106" s="419"/>
      <c r="F106" s="27" t="s">
        <v>70</v>
      </c>
      <c r="G106" s="22" t="s">
        <v>403</v>
      </c>
      <c r="H106" s="58"/>
      <c r="I106" s="28"/>
      <c r="J106" s="28"/>
      <c r="K106" s="29"/>
      <c r="BC106" s="14"/>
      <c r="BD106" s="15"/>
      <c r="BE106" s="21"/>
      <c r="BF106" s="12" t="s">
        <v>402</v>
      </c>
      <c r="BG106" s="43"/>
      <c r="BH106" s="12"/>
    </row>
    <row r="107" spans="1:60" s="3" customFormat="1" ht="42" x14ac:dyDescent="0.3">
      <c r="A107" s="25"/>
      <c r="B107" s="26" t="s">
        <v>404</v>
      </c>
      <c r="C107" s="419" t="s">
        <v>405</v>
      </c>
      <c r="D107" s="419"/>
      <c r="E107" s="419"/>
      <c r="F107" s="27" t="s">
        <v>406</v>
      </c>
      <c r="G107" s="22" t="s">
        <v>407</v>
      </c>
      <c r="H107" s="58"/>
      <c r="I107" s="28"/>
      <c r="J107" s="28"/>
      <c r="K107" s="29"/>
      <c r="BC107" s="14"/>
      <c r="BD107" s="15"/>
      <c r="BE107" s="21"/>
      <c r="BF107" s="12" t="s">
        <v>405</v>
      </c>
      <c r="BG107" s="43"/>
      <c r="BH107" s="12"/>
    </row>
    <row r="108" spans="1:60" s="3" customFormat="1" ht="21.6" x14ac:dyDescent="0.3">
      <c r="A108" s="25"/>
      <c r="B108" s="26" t="s">
        <v>285</v>
      </c>
      <c r="C108" s="419" t="s">
        <v>286</v>
      </c>
      <c r="D108" s="419"/>
      <c r="E108" s="419"/>
      <c r="F108" s="27" t="s">
        <v>70</v>
      </c>
      <c r="G108" s="22" t="s">
        <v>408</v>
      </c>
      <c r="H108" s="58"/>
      <c r="I108" s="28"/>
      <c r="J108" s="28"/>
      <c r="K108" s="29"/>
      <c r="BC108" s="14"/>
      <c r="BD108" s="15"/>
      <c r="BE108" s="21"/>
      <c r="BF108" s="12" t="s">
        <v>286</v>
      </c>
      <c r="BG108" s="43"/>
      <c r="BH108" s="12"/>
    </row>
    <row r="109" spans="1:60" s="3" customFormat="1" ht="20.399999999999999" x14ac:dyDescent="0.3">
      <c r="A109" s="25"/>
      <c r="B109" s="26" t="s">
        <v>409</v>
      </c>
      <c r="C109" s="419" t="s">
        <v>410</v>
      </c>
      <c r="D109" s="419"/>
      <c r="E109" s="419"/>
      <c r="F109" s="27" t="s">
        <v>70</v>
      </c>
      <c r="G109" s="22" t="s">
        <v>411</v>
      </c>
      <c r="H109" s="58"/>
      <c r="I109" s="28"/>
      <c r="J109" s="28"/>
      <c r="K109" s="29"/>
      <c r="BC109" s="14"/>
      <c r="BD109" s="15"/>
      <c r="BE109" s="21"/>
      <c r="BF109" s="12" t="s">
        <v>410</v>
      </c>
      <c r="BG109" s="43"/>
      <c r="BH109" s="12"/>
    </row>
    <row r="110" spans="1:60" s="3" customFormat="1" ht="21.6" x14ac:dyDescent="0.3">
      <c r="A110" s="25"/>
      <c r="B110" s="26" t="s">
        <v>412</v>
      </c>
      <c r="C110" s="419" t="s">
        <v>413</v>
      </c>
      <c r="D110" s="419"/>
      <c r="E110" s="419"/>
      <c r="F110" s="27" t="s">
        <v>46</v>
      </c>
      <c r="G110" s="22" t="s">
        <v>414</v>
      </c>
      <c r="H110" s="58"/>
      <c r="I110" s="28"/>
      <c r="J110" s="28"/>
      <c r="K110" s="29"/>
      <c r="BC110" s="14"/>
      <c r="BD110" s="15"/>
      <c r="BE110" s="21"/>
      <c r="BF110" s="12" t="s">
        <v>413</v>
      </c>
      <c r="BG110" s="43"/>
      <c r="BH110" s="12"/>
    </row>
    <row r="111" spans="1:60" s="3" customFormat="1" ht="20.399999999999999" x14ac:dyDescent="0.3">
      <c r="A111" s="25"/>
      <c r="B111" s="26" t="s">
        <v>415</v>
      </c>
      <c r="C111" s="419" t="s">
        <v>416</v>
      </c>
      <c r="D111" s="419"/>
      <c r="E111" s="419"/>
      <c r="F111" s="27" t="s">
        <v>70</v>
      </c>
      <c r="G111" s="22" t="s">
        <v>417</v>
      </c>
      <c r="H111" s="58"/>
      <c r="I111" s="28"/>
      <c r="J111" s="28"/>
      <c r="K111" s="29"/>
      <c r="BC111" s="14"/>
      <c r="BD111" s="15"/>
      <c r="BE111" s="21"/>
      <c r="BF111" s="12" t="s">
        <v>416</v>
      </c>
      <c r="BG111" s="43"/>
      <c r="BH111" s="12"/>
    </row>
    <row r="112" spans="1:60" s="3" customFormat="1" ht="20.399999999999999" x14ac:dyDescent="0.3">
      <c r="A112" s="25"/>
      <c r="B112" s="26" t="s">
        <v>370</v>
      </c>
      <c r="C112" s="419" t="s">
        <v>371</v>
      </c>
      <c r="D112" s="419"/>
      <c r="E112" s="419"/>
      <c r="F112" s="27" t="s">
        <v>75</v>
      </c>
      <c r="G112" s="22" t="s">
        <v>418</v>
      </c>
      <c r="H112" s="58"/>
      <c r="I112" s="28"/>
      <c r="J112" s="28"/>
      <c r="K112" s="29"/>
      <c r="BC112" s="14"/>
      <c r="BD112" s="15"/>
      <c r="BE112" s="21"/>
      <c r="BF112" s="12" t="s">
        <v>371</v>
      </c>
      <c r="BG112" s="43"/>
      <c r="BH112" s="12"/>
    </row>
    <row r="113" spans="1:60" s="3" customFormat="1" ht="21.6" x14ac:dyDescent="0.3">
      <c r="A113" s="16" t="s">
        <v>192</v>
      </c>
      <c r="B113" s="17" t="s">
        <v>419</v>
      </c>
      <c r="C113" s="405" t="s">
        <v>420</v>
      </c>
      <c r="D113" s="405"/>
      <c r="E113" s="405"/>
      <c r="F113" s="16" t="s">
        <v>70</v>
      </c>
      <c r="G113" s="18">
        <v>15.928000000000001</v>
      </c>
      <c r="H113" s="57">
        <v>0</v>
      </c>
      <c r="I113" s="19">
        <v>0</v>
      </c>
      <c r="J113" s="20">
        <f>K113/G113</f>
        <v>64782.000251130077</v>
      </c>
      <c r="K113" s="19">
        <v>1031847.7</v>
      </c>
      <c r="BC113" s="14"/>
      <c r="BD113" s="15"/>
      <c r="BE113" s="21" t="s">
        <v>420</v>
      </c>
      <c r="BF113" s="12"/>
      <c r="BG113" s="43"/>
      <c r="BH113" s="12"/>
    </row>
    <row r="114" spans="1:60" s="3" customFormat="1" ht="15" customHeight="1" x14ac:dyDescent="0.3">
      <c r="A114" s="437" t="s">
        <v>421</v>
      </c>
      <c r="B114" s="418"/>
      <c r="C114" s="418"/>
      <c r="D114" s="418"/>
      <c r="E114" s="418"/>
      <c r="F114" s="418"/>
      <c r="G114" s="418"/>
      <c r="H114" s="123"/>
      <c r="I114" s="123"/>
      <c r="J114" s="123"/>
      <c r="K114" s="124"/>
      <c r="BC114" s="14"/>
      <c r="BD114" s="15" t="s">
        <v>421</v>
      </c>
      <c r="BE114" s="21"/>
      <c r="BF114" s="12"/>
      <c r="BG114" s="43"/>
      <c r="BH114" s="12"/>
    </row>
    <row r="115" spans="1:60" s="3" customFormat="1" ht="31.8" x14ac:dyDescent="0.3">
      <c r="A115" s="16" t="s">
        <v>196</v>
      </c>
      <c r="B115" s="17" t="s">
        <v>422</v>
      </c>
      <c r="C115" s="405" t="s">
        <v>423</v>
      </c>
      <c r="D115" s="405"/>
      <c r="E115" s="405"/>
      <c r="F115" s="16" t="s">
        <v>46</v>
      </c>
      <c r="G115" s="24">
        <v>0.1</v>
      </c>
      <c r="H115" s="57">
        <f>I115/G115</f>
        <v>6054.8</v>
      </c>
      <c r="I115" s="19">
        <v>605.48</v>
      </c>
      <c r="J115" s="20">
        <v>0</v>
      </c>
      <c r="K115" s="19">
        <v>0</v>
      </c>
      <c r="BC115" s="14"/>
      <c r="BD115" s="15"/>
      <c r="BE115" s="21" t="s">
        <v>423</v>
      </c>
      <c r="BF115" s="12"/>
      <c r="BG115" s="43"/>
      <c r="BH115" s="12"/>
    </row>
    <row r="116" spans="1:60" s="3" customFormat="1" ht="62.4" x14ac:dyDescent="0.3">
      <c r="A116" s="16" t="s">
        <v>198</v>
      </c>
      <c r="B116" s="17" t="s">
        <v>424</v>
      </c>
      <c r="C116" s="405" t="s">
        <v>425</v>
      </c>
      <c r="D116" s="405"/>
      <c r="E116" s="405"/>
      <c r="F116" s="16" t="s">
        <v>329</v>
      </c>
      <c r="G116" s="31">
        <v>0.05</v>
      </c>
      <c r="H116" s="57">
        <f>I116/G116</f>
        <v>41860.999999999985</v>
      </c>
      <c r="I116" s="19">
        <f>13346.89-K116</f>
        <v>2093.0499999999993</v>
      </c>
      <c r="J116" s="20">
        <f>K116/G116</f>
        <v>225076.8</v>
      </c>
      <c r="K116" s="19">
        <v>11253.84</v>
      </c>
      <c r="BC116" s="14"/>
      <c r="BD116" s="15"/>
      <c r="BE116" s="21" t="s">
        <v>425</v>
      </c>
      <c r="BF116" s="12"/>
      <c r="BG116" s="43"/>
      <c r="BH116" s="12"/>
    </row>
    <row r="117" spans="1:60" s="3" customFormat="1" ht="20.399999999999999" x14ac:dyDescent="0.3">
      <c r="A117" s="37" t="s">
        <v>78</v>
      </c>
      <c r="B117" s="38" t="s">
        <v>154</v>
      </c>
      <c r="C117" s="430" t="s">
        <v>155</v>
      </c>
      <c r="D117" s="430"/>
      <c r="E117" s="430"/>
      <c r="F117" s="39" t="s">
        <v>46</v>
      </c>
      <c r="G117" s="40" t="s">
        <v>33</v>
      </c>
      <c r="H117" s="100"/>
      <c r="I117" s="41"/>
      <c r="J117" s="41"/>
      <c r="K117" s="42"/>
      <c r="BC117" s="14"/>
      <c r="BD117" s="15"/>
      <c r="BE117" s="21"/>
      <c r="BF117" s="12"/>
      <c r="BG117" s="43" t="s">
        <v>155</v>
      </c>
      <c r="BH117" s="12"/>
    </row>
    <row r="118" spans="1:60" s="3" customFormat="1" ht="20.399999999999999" x14ac:dyDescent="0.3">
      <c r="A118" s="37" t="s">
        <v>78</v>
      </c>
      <c r="B118" s="38" t="s">
        <v>426</v>
      </c>
      <c r="C118" s="430" t="s">
        <v>427</v>
      </c>
      <c r="D118" s="430"/>
      <c r="E118" s="430"/>
      <c r="F118" s="39" t="s">
        <v>75</v>
      </c>
      <c r="G118" s="40" t="s">
        <v>33</v>
      </c>
      <c r="H118" s="100"/>
      <c r="I118" s="41"/>
      <c r="J118" s="41"/>
      <c r="K118" s="42"/>
      <c r="BC118" s="14"/>
      <c r="BD118" s="15"/>
      <c r="BE118" s="21"/>
      <c r="BF118" s="12"/>
      <c r="BG118" s="43" t="s">
        <v>427</v>
      </c>
      <c r="BH118" s="12"/>
    </row>
    <row r="119" spans="1:60" s="3" customFormat="1" ht="31.8" x14ac:dyDescent="0.3">
      <c r="A119" s="37" t="s">
        <v>78</v>
      </c>
      <c r="B119" s="38" t="s">
        <v>428</v>
      </c>
      <c r="C119" s="430" t="s">
        <v>429</v>
      </c>
      <c r="D119" s="430"/>
      <c r="E119" s="430"/>
      <c r="F119" s="39" t="s">
        <v>430</v>
      </c>
      <c r="G119" s="40" t="s">
        <v>33</v>
      </c>
      <c r="H119" s="100"/>
      <c r="I119" s="41"/>
      <c r="J119" s="41"/>
      <c r="K119" s="42"/>
      <c r="BC119" s="14"/>
      <c r="BD119" s="15"/>
      <c r="BE119" s="21"/>
      <c r="BF119" s="12"/>
      <c r="BG119" s="43" t="s">
        <v>429</v>
      </c>
      <c r="BH119" s="12"/>
    </row>
    <row r="120" spans="1:60" s="3" customFormat="1" ht="31.8" x14ac:dyDescent="0.3">
      <c r="A120" s="25" t="s">
        <v>129</v>
      </c>
      <c r="B120" s="26" t="s">
        <v>431</v>
      </c>
      <c r="C120" s="419" t="s">
        <v>432</v>
      </c>
      <c r="D120" s="419"/>
      <c r="E120" s="419"/>
      <c r="F120" s="27" t="s">
        <v>75</v>
      </c>
      <c r="G120" s="22" t="s">
        <v>433</v>
      </c>
      <c r="H120" s="58"/>
      <c r="I120" s="28"/>
      <c r="J120" s="28"/>
      <c r="K120" s="29"/>
      <c r="BC120" s="14"/>
      <c r="BD120" s="15"/>
      <c r="BE120" s="21"/>
      <c r="BF120" s="12"/>
      <c r="BG120" s="43"/>
      <c r="BH120" s="12" t="s">
        <v>432</v>
      </c>
    </row>
    <row r="121" spans="1:60" s="3" customFormat="1" ht="20.399999999999999" x14ac:dyDescent="0.3">
      <c r="A121" s="25" t="s">
        <v>129</v>
      </c>
      <c r="B121" s="26" t="s">
        <v>434</v>
      </c>
      <c r="C121" s="419" t="s">
        <v>155</v>
      </c>
      <c r="D121" s="419"/>
      <c r="E121" s="419"/>
      <c r="F121" s="27" t="s">
        <v>46</v>
      </c>
      <c r="G121" s="22" t="s">
        <v>435</v>
      </c>
      <c r="H121" s="58"/>
      <c r="I121" s="28"/>
      <c r="J121" s="28"/>
      <c r="K121" s="29"/>
      <c r="BC121" s="14"/>
      <c r="BD121" s="15"/>
      <c r="BE121" s="21"/>
      <c r="BF121" s="12"/>
      <c r="BG121" s="43"/>
      <c r="BH121" s="12" t="s">
        <v>155</v>
      </c>
    </row>
    <row r="122" spans="1:60" s="3" customFormat="1" ht="15" customHeight="1" x14ac:dyDescent="0.3">
      <c r="A122" s="437" t="s">
        <v>436</v>
      </c>
      <c r="B122" s="418"/>
      <c r="C122" s="418"/>
      <c r="D122" s="418"/>
      <c r="E122" s="418"/>
      <c r="F122" s="418"/>
      <c r="G122" s="418"/>
      <c r="H122" s="123"/>
      <c r="I122" s="123"/>
      <c r="J122" s="123"/>
      <c r="K122" s="124"/>
      <c r="BC122" s="14"/>
      <c r="BD122" s="15" t="s">
        <v>436</v>
      </c>
      <c r="BE122" s="21"/>
      <c r="BF122" s="12"/>
      <c r="BG122" s="43"/>
      <c r="BH122" s="12"/>
    </row>
    <row r="123" spans="1:60" s="3" customFormat="1" ht="14.4" x14ac:dyDescent="0.3">
      <c r="A123" s="16" t="s">
        <v>201</v>
      </c>
      <c r="B123" s="17" t="s">
        <v>437</v>
      </c>
      <c r="C123" s="405" t="s">
        <v>438</v>
      </c>
      <c r="D123" s="405"/>
      <c r="E123" s="405"/>
      <c r="F123" s="16" t="s">
        <v>142</v>
      </c>
      <c r="G123" s="31">
        <v>0.32</v>
      </c>
      <c r="H123" s="57">
        <f>I123/G123</f>
        <v>10268.656250000004</v>
      </c>
      <c r="I123" s="19">
        <f>113028.8-K123</f>
        <v>3285.9700000000012</v>
      </c>
      <c r="J123" s="20">
        <f>K123/G123</f>
        <v>342946.34375</v>
      </c>
      <c r="K123" s="19">
        <v>109742.83</v>
      </c>
      <c r="BC123" s="14"/>
      <c r="BD123" s="15"/>
      <c r="BE123" s="21" t="s">
        <v>438</v>
      </c>
      <c r="BF123" s="12"/>
      <c r="BG123" s="43"/>
      <c r="BH123" s="12"/>
    </row>
    <row r="124" spans="1:60" s="3" customFormat="1" ht="20.399999999999999" x14ac:dyDescent="0.3">
      <c r="A124" s="37" t="s">
        <v>143</v>
      </c>
      <c r="B124" s="38" t="s">
        <v>439</v>
      </c>
      <c r="C124" s="430" t="s">
        <v>440</v>
      </c>
      <c r="D124" s="430"/>
      <c r="E124" s="430"/>
      <c r="F124" s="39" t="s">
        <v>38</v>
      </c>
      <c r="G124" s="40" t="s">
        <v>441</v>
      </c>
      <c r="H124" s="100"/>
      <c r="I124" s="41"/>
      <c r="J124" s="41"/>
      <c r="K124" s="42"/>
      <c r="BC124" s="14"/>
      <c r="BD124" s="15"/>
      <c r="BE124" s="21"/>
      <c r="BF124" s="12"/>
      <c r="BG124" s="43" t="s">
        <v>440</v>
      </c>
      <c r="BH124" s="12"/>
    </row>
    <row r="125" spans="1:60" s="3" customFormat="1" ht="20.399999999999999" x14ac:dyDescent="0.3">
      <c r="A125" s="25"/>
      <c r="B125" s="26" t="s">
        <v>442</v>
      </c>
      <c r="C125" s="419" t="s">
        <v>443</v>
      </c>
      <c r="D125" s="419"/>
      <c r="E125" s="419"/>
      <c r="F125" s="27" t="s">
        <v>142</v>
      </c>
      <c r="G125" s="22" t="s">
        <v>444</v>
      </c>
      <c r="H125" s="58"/>
      <c r="I125" s="28"/>
      <c r="J125" s="28"/>
      <c r="K125" s="29"/>
      <c r="BC125" s="14"/>
      <c r="BD125" s="15"/>
      <c r="BE125" s="21"/>
      <c r="BF125" s="12" t="s">
        <v>443</v>
      </c>
      <c r="BG125" s="43"/>
      <c r="BH125" s="12"/>
    </row>
    <row r="126" spans="1:60" s="3" customFormat="1" ht="20.399999999999999" x14ac:dyDescent="0.3">
      <c r="A126" s="37" t="s">
        <v>78</v>
      </c>
      <c r="B126" s="38" t="s">
        <v>445</v>
      </c>
      <c r="C126" s="430" t="s">
        <v>446</v>
      </c>
      <c r="D126" s="430"/>
      <c r="E126" s="430"/>
      <c r="F126" s="39" t="s">
        <v>38</v>
      </c>
      <c r="G126" s="40" t="s">
        <v>33</v>
      </c>
      <c r="H126" s="100"/>
      <c r="I126" s="41"/>
      <c r="J126" s="41"/>
      <c r="K126" s="42"/>
      <c r="BC126" s="14"/>
      <c r="BD126" s="15"/>
      <c r="BE126" s="21"/>
      <c r="BF126" s="12"/>
      <c r="BG126" s="43" t="s">
        <v>446</v>
      </c>
      <c r="BH126" s="12"/>
    </row>
    <row r="127" spans="1:60" s="3" customFormat="1" ht="31.8" x14ac:dyDescent="0.3">
      <c r="A127" s="25" t="s">
        <v>129</v>
      </c>
      <c r="B127" s="26" t="s">
        <v>447</v>
      </c>
      <c r="C127" s="419" t="s">
        <v>448</v>
      </c>
      <c r="D127" s="419"/>
      <c r="E127" s="419"/>
      <c r="F127" s="27" t="s">
        <v>38</v>
      </c>
      <c r="G127" s="22" t="s">
        <v>441</v>
      </c>
      <c r="H127" s="58"/>
      <c r="I127" s="28"/>
      <c r="J127" s="28"/>
      <c r="K127" s="29"/>
      <c r="BC127" s="14"/>
      <c r="BD127" s="15"/>
      <c r="BE127" s="21"/>
      <c r="BF127" s="12"/>
      <c r="BG127" s="43"/>
      <c r="BH127" s="12" t="s">
        <v>448</v>
      </c>
    </row>
    <row r="128" spans="1:60" s="3" customFormat="1" ht="42" x14ac:dyDescent="0.3">
      <c r="A128" s="25" t="s">
        <v>129</v>
      </c>
      <c r="B128" s="26" t="s">
        <v>449</v>
      </c>
      <c r="C128" s="419" t="s">
        <v>450</v>
      </c>
      <c r="D128" s="419"/>
      <c r="E128" s="419"/>
      <c r="F128" s="27" t="s">
        <v>38</v>
      </c>
      <c r="G128" s="22" t="s">
        <v>441</v>
      </c>
      <c r="H128" s="58"/>
      <c r="I128" s="28"/>
      <c r="J128" s="28"/>
      <c r="K128" s="29"/>
      <c r="BC128" s="14"/>
      <c r="BD128" s="15"/>
      <c r="BE128" s="21"/>
      <c r="BF128" s="12"/>
      <c r="BG128" s="43"/>
      <c r="BH128" s="12" t="s">
        <v>450</v>
      </c>
    </row>
    <row r="129" spans="1:60" s="3" customFormat="1" ht="24.75" customHeight="1" x14ac:dyDescent="0.3">
      <c r="A129" s="437" t="s">
        <v>451</v>
      </c>
      <c r="B129" s="418"/>
      <c r="C129" s="418"/>
      <c r="D129" s="418"/>
      <c r="E129" s="418"/>
      <c r="F129" s="418"/>
      <c r="G129" s="418"/>
      <c r="H129" s="123"/>
      <c r="I129" s="123"/>
      <c r="J129" s="123"/>
      <c r="K129" s="124"/>
      <c r="BC129" s="14"/>
      <c r="BD129" s="15" t="s">
        <v>451</v>
      </c>
      <c r="BE129" s="21"/>
      <c r="BF129" s="12"/>
      <c r="BG129" s="43"/>
      <c r="BH129" s="12"/>
    </row>
    <row r="130" spans="1:60" s="3" customFormat="1" ht="21.6" x14ac:dyDescent="0.3">
      <c r="A130" s="16" t="s">
        <v>219</v>
      </c>
      <c r="B130" s="17" t="s">
        <v>452</v>
      </c>
      <c r="C130" s="405" t="s">
        <v>453</v>
      </c>
      <c r="D130" s="405"/>
      <c r="E130" s="405"/>
      <c r="F130" s="16" t="s">
        <v>329</v>
      </c>
      <c r="G130" s="24">
        <v>1.5</v>
      </c>
      <c r="H130" s="57">
        <f>I130/G130</f>
        <v>4417.34666666666</v>
      </c>
      <c r="I130" s="19">
        <f>165824.47-K130</f>
        <v>6626.0199999999895</v>
      </c>
      <c r="J130" s="20">
        <f>K130/G130</f>
        <v>106132.3</v>
      </c>
      <c r="K130" s="19">
        <v>159198.45000000001</v>
      </c>
      <c r="BC130" s="14"/>
      <c r="BD130" s="15"/>
      <c r="BE130" s="21" t="s">
        <v>453</v>
      </c>
      <c r="BF130" s="12"/>
      <c r="BG130" s="43"/>
      <c r="BH130" s="12"/>
    </row>
    <row r="131" spans="1:60" s="3" customFormat="1" ht="31.8" x14ac:dyDescent="0.3">
      <c r="A131" s="25"/>
      <c r="B131" s="26" t="s">
        <v>454</v>
      </c>
      <c r="C131" s="419" t="s">
        <v>455</v>
      </c>
      <c r="D131" s="419"/>
      <c r="E131" s="419"/>
      <c r="F131" s="27" t="s">
        <v>70</v>
      </c>
      <c r="G131" s="22" t="s">
        <v>456</v>
      </c>
      <c r="H131" s="58"/>
      <c r="I131" s="28"/>
      <c r="J131" s="28"/>
      <c r="K131" s="29"/>
      <c r="BC131" s="14"/>
      <c r="BD131" s="15"/>
      <c r="BE131" s="21"/>
      <c r="BF131" s="12" t="s">
        <v>455</v>
      </c>
      <c r="BG131" s="43"/>
      <c r="BH131" s="12"/>
    </row>
    <row r="132" spans="1:60" s="3" customFormat="1" ht="20.399999999999999" x14ac:dyDescent="0.3">
      <c r="A132" s="25"/>
      <c r="B132" s="26" t="s">
        <v>370</v>
      </c>
      <c r="C132" s="419" t="s">
        <v>371</v>
      </c>
      <c r="D132" s="419"/>
      <c r="E132" s="419"/>
      <c r="F132" s="27" t="s">
        <v>75</v>
      </c>
      <c r="G132" s="22" t="s">
        <v>457</v>
      </c>
      <c r="H132" s="58"/>
      <c r="I132" s="28"/>
      <c r="J132" s="28"/>
      <c r="K132" s="29"/>
      <c r="BC132" s="14"/>
      <c r="BD132" s="15"/>
      <c r="BE132" s="21"/>
      <c r="BF132" s="12" t="s">
        <v>371</v>
      </c>
      <c r="BG132" s="43"/>
      <c r="BH132" s="12"/>
    </row>
    <row r="133" spans="1:60" s="3" customFormat="1" ht="31.8" x14ac:dyDescent="0.3">
      <c r="A133" s="25" t="s">
        <v>129</v>
      </c>
      <c r="B133" s="26" t="s">
        <v>458</v>
      </c>
      <c r="C133" s="419" t="s">
        <v>455</v>
      </c>
      <c r="D133" s="419"/>
      <c r="E133" s="419"/>
      <c r="F133" s="27" t="s">
        <v>70</v>
      </c>
      <c r="G133" s="22" t="s">
        <v>459</v>
      </c>
      <c r="H133" s="58"/>
      <c r="I133" s="28"/>
      <c r="J133" s="28"/>
      <c r="K133" s="29"/>
      <c r="BC133" s="14"/>
      <c r="BD133" s="15"/>
      <c r="BE133" s="21"/>
      <c r="BF133" s="12"/>
      <c r="BG133" s="43"/>
      <c r="BH133" s="12" t="s">
        <v>455</v>
      </c>
    </row>
    <row r="134" spans="1:60" s="3" customFormat="1" ht="21.6" x14ac:dyDescent="0.3">
      <c r="A134" s="25" t="s">
        <v>129</v>
      </c>
      <c r="B134" s="26" t="s">
        <v>460</v>
      </c>
      <c r="C134" s="419" t="s">
        <v>461</v>
      </c>
      <c r="D134" s="419"/>
      <c r="E134" s="419"/>
      <c r="F134" s="27" t="s">
        <v>75</v>
      </c>
      <c r="G134" s="22" t="s">
        <v>462</v>
      </c>
      <c r="H134" s="58"/>
      <c r="I134" s="28"/>
      <c r="J134" s="28"/>
      <c r="K134" s="29"/>
      <c r="BC134" s="14"/>
      <c r="BD134" s="15"/>
      <c r="BE134" s="21"/>
      <c r="BF134" s="12"/>
      <c r="BG134" s="43"/>
      <c r="BH134" s="12" t="s">
        <v>461</v>
      </c>
    </row>
    <row r="135" spans="1:60" s="3" customFormat="1" ht="15" customHeight="1" x14ac:dyDescent="0.3">
      <c r="A135" s="437" t="s">
        <v>463</v>
      </c>
      <c r="B135" s="418"/>
      <c r="C135" s="418"/>
      <c r="D135" s="418"/>
      <c r="E135" s="418"/>
      <c r="F135" s="418"/>
      <c r="G135" s="418"/>
      <c r="H135" s="123"/>
      <c r="I135" s="123"/>
      <c r="J135" s="123"/>
      <c r="K135" s="124"/>
      <c r="BC135" s="14"/>
      <c r="BD135" s="15" t="s">
        <v>463</v>
      </c>
      <c r="BE135" s="21"/>
      <c r="BF135" s="12"/>
      <c r="BG135" s="43"/>
      <c r="BH135" s="12"/>
    </row>
    <row r="136" spans="1:60" s="3" customFormat="1" ht="21.6" x14ac:dyDescent="0.3">
      <c r="A136" s="16" t="s">
        <v>222</v>
      </c>
      <c r="B136" s="17" t="s">
        <v>464</v>
      </c>
      <c r="C136" s="405" t="s">
        <v>465</v>
      </c>
      <c r="D136" s="405"/>
      <c r="E136" s="405"/>
      <c r="F136" s="16" t="s">
        <v>158</v>
      </c>
      <c r="G136" s="23">
        <v>15</v>
      </c>
      <c r="H136" s="57">
        <f>I136/G136</f>
        <v>1501.9246666666666</v>
      </c>
      <c r="I136" s="19">
        <f>23825.84-K136</f>
        <v>22528.87</v>
      </c>
      <c r="J136" s="20">
        <f>K136/G136</f>
        <v>86.464666666666673</v>
      </c>
      <c r="K136" s="19">
        <v>1296.97</v>
      </c>
      <c r="BC136" s="14"/>
      <c r="BD136" s="15"/>
      <c r="BE136" s="21" t="s">
        <v>465</v>
      </c>
      <c r="BF136" s="12"/>
      <c r="BG136" s="43"/>
      <c r="BH136" s="12"/>
    </row>
    <row r="137" spans="1:60" s="3" customFormat="1" ht="20.399999999999999" x14ac:dyDescent="0.3">
      <c r="A137" s="37" t="s">
        <v>143</v>
      </c>
      <c r="B137" s="38" t="s">
        <v>466</v>
      </c>
      <c r="C137" s="430" t="s">
        <v>467</v>
      </c>
      <c r="D137" s="430"/>
      <c r="E137" s="430"/>
      <c r="F137" s="39" t="s">
        <v>75</v>
      </c>
      <c r="G137" s="40" t="s">
        <v>468</v>
      </c>
      <c r="H137" s="100"/>
      <c r="I137" s="41"/>
      <c r="J137" s="41"/>
      <c r="K137" s="42"/>
      <c r="BC137" s="14"/>
      <c r="BD137" s="15"/>
      <c r="BE137" s="21"/>
      <c r="BF137" s="12"/>
      <c r="BG137" s="43" t="s">
        <v>467</v>
      </c>
      <c r="BH137" s="12"/>
    </row>
    <row r="138" spans="1:60" s="3" customFormat="1" ht="20.399999999999999" x14ac:dyDescent="0.3">
      <c r="A138" s="25" t="s">
        <v>129</v>
      </c>
      <c r="B138" s="26" t="s">
        <v>469</v>
      </c>
      <c r="C138" s="419" t="s">
        <v>467</v>
      </c>
      <c r="D138" s="419"/>
      <c r="E138" s="419"/>
      <c r="F138" s="27" t="s">
        <v>70</v>
      </c>
      <c r="G138" s="22" t="s">
        <v>470</v>
      </c>
      <c r="H138" s="58"/>
      <c r="I138" s="28"/>
      <c r="J138" s="28"/>
      <c r="K138" s="29"/>
      <c r="BC138" s="14"/>
      <c r="BD138" s="15"/>
      <c r="BE138" s="21"/>
      <c r="BF138" s="12"/>
      <c r="BG138" s="43"/>
      <c r="BH138" s="12" t="s">
        <v>467</v>
      </c>
    </row>
    <row r="139" spans="1:60" s="3" customFormat="1" ht="31.8" x14ac:dyDescent="0.3">
      <c r="A139" s="16" t="s">
        <v>225</v>
      </c>
      <c r="B139" s="17" t="s">
        <v>471</v>
      </c>
      <c r="C139" s="405" t="s">
        <v>472</v>
      </c>
      <c r="D139" s="405"/>
      <c r="E139" s="405"/>
      <c r="F139" s="16" t="s">
        <v>329</v>
      </c>
      <c r="G139" s="31">
        <v>0.15</v>
      </c>
      <c r="H139" s="57">
        <f>I139/G139</f>
        <v>8353.1333333333332</v>
      </c>
      <c r="I139" s="19">
        <f>1548.39-K139</f>
        <v>1252.97</v>
      </c>
      <c r="J139" s="20">
        <f>K139/G139</f>
        <v>1969.4666666666669</v>
      </c>
      <c r="K139" s="19">
        <v>295.42</v>
      </c>
      <c r="BC139" s="14"/>
      <c r="BD139" s="15"/>
      <c r="BE139" s="21" t="s">
        <v>472</v>
      </c>
      <c r="BF139" s="12"/>
      <c r="BG139" s="43"/>
      <c r="BH139" s="12"/>
    </row>
    <row r="140" spans="1:60" s="3" customFormat="1" ht="20.399999999999999" x14ac:dyDescent="0.3">
      <c r="A140" s="25"/>
      <c r="B140" s="26" t="s">
        <v>339</v>
      </c>
      <c r="C140" s="419" t="s">
        <v>340</v>
      </c>
      <c r="D140" s="419"/>
      <c r="E140" s="419"/>
      <c r="F140" s="27" t="s">
        <v>75</v>
      </c>
      <c r="G140" s="22" t="s">
        <v>473</v>
      </c>
      <c r="H140" s="58"/>
      <c r="I140" s="28"/>
      <c r="J140" s="28"/>
      <c r="K140" s="29"/>
      <c r="BC140" s="14"/>
      <c r="BD140" s="15"/>
      <c r="BE140" s="21"/>
      <c r="BF140" s="12" t="s">
        <v>340</v>
      </c>
      <c r="BG140" s="43"/>
      <c r="BH140" s="12"/>
    </row>
    <row r="141" spans="1:60" s="3" customFormat="1" ht="20.399999999999999" x14ac:dyDescent="0.3">
      <c r="A141" s="25"/>
      <c r="B141" s="26" t="s">
        <v>353</v>
      </c>
      <c r="C141" s="419" t="s">
        <v>354</v>
      </c>
      <c r="D141" s="419"/>
      <c r="E141" s="419"/>
      <c r="F141" s="27" t="s">
        <v>75</v>
      </c>
      <c r="G141" s="22" t="s">
        <v>474</v>
      </c>
      <c r="H141" s="58"/>
      <c r="I141" s="28"/>
      <c r="J141" s="28"/>
      <c r="K141" s="29"/>
      <c r="BC141" s="14"/>
      <c r="BD141" s="15"/>
      <c r="BE141" s="21"/>
      <c r="BF141" s="12" t="s">
        <v>354</v>
      </c>
      <c r="BG141" s="43"/>
      <c r="BH141" s="12"/>
    </row>
    <row r="142" spans="1:60" s="3" customFormat="1" ht="15" customHeight="1" x14ac:dyDescent="0.3">
      <c r="A142" s="437" t="s">
        <v>475</v>
      </c>
      <c r="B142" s="418"/>
      <c r="C142" s="418"/>
      <c r="D142" s="418"/>
      <c r="E142" s="418"/>
      <c r="F142" s="418"/>
      <c r="G142" s="418"/>
      <c r="H142" s="123"/>
      <c r="I142" s="123"/>
      <c r="J142" s="123"/>
      <c r="K142" s="124"/>
      <c r="BC142" s="14"/>
      <c r="BD142" s="15" t="s">
        <v>475</v>
      </c>
      <c r="BE142" s="21"/>
      <c r="BF142" s="12"/>
      <c r="BG142" s="43"/>
      <c r="BH142" s="12"/>
    </row>
    <row r="143" spans="1:60" s="3" customFormat="1" ht="14.4" x14ac:dyDescent="0.3">
      <c r="A143" s="16" t="s">
        <v>227</v>
      </c>
      <c r="B143" s="17" t="s">
        <v>476</v>
      </c>
      <c r="C143" s="405" t="s">
        <v>477</v>
      </c>
      <c r="D143" s="405"/>
      <c r="E143" s="405"/>
      <c r="F143" s="16" t="s">
        <v>158</v>
      </c>
      <c r="G143" s="23">
        <v>15</v>
      </c>
      <c r="H143" s="57">
        <f>I143/G143</f>
        <v>67.273333333333341</v>
      </c>
      <c r="I143" s="19">
        <v>1009.1</v>
      </c>
      <c r="J143" s="20">
        <v>0</v>
      </c>
      <c r="K143" s="19">
        <v>0</v>
      </c>
      <c r="BC143" s="14"/>
      <c r="BD143" s="15"/>
      <c r="BE143" s="21" t="s">
        <v>477</v>
      </c>
      <c r="BF143" s="12"/>
      <c r="BG143" s="43"/>
      <c r="BH143" s="12"/>
    </row>
    <row r="144" spans="1:60" s="3" customFormat="1" ht="24.75" customHeight="1" x14ac:dyDescent="0.3">
      <c r="A144" s="437" t="s">
        <v>478</v>
      </c>
      <c r="B144" s="418"/>
      <c r="C144" s="418"/>
      <c r="D144" s="418"/>
      <c r="E144" s="418"/>
      <c r="F144" s="418"/>
      <c r="G144" s="418"/>
      <c r="H144" s="123"/>
      <c r="I144" s="123"/>
      <c r="J144" s="123"/>
      <c r="K144" s="124"/>
      <c r="BC144" s="14"/>
      <c r="BD144" s="15" t="s">
        <v>478</v>
      </c>
      <c r="BE144" s="21"/>
      <c r="BF144" s="12"/>
      <c r="BG144" s="43"/>
      <c r="BH144" s="12"/>
    </row>
    <row r="145" spans="1:60" s="3" customFormat="1" ht="21.6" x14ac:dyDescent="0.3">
      <c r="A145" s="16" t="s">
        <v>230</v>
      </c>
      <c r="B145" s="17" t="s">
        <v>452</v>
      </c>
      <c r="C145" s="405" t="s">
        <v>453</v>
      </c>
      <c r="D145" s="405"/>
      <c r="E145" s="405"/>
      <c r="F145" s="16" t="s">
        <v>329</v>
      </c>
      <c r="G145" s="31">
        <v>0.15</v>
      </c>
      <c r="H145" s="57">
        <f>I145/G145</f>
        <v>4417.4666666666599</v>
      </c>
      <c r="I145" s="19">
        <f>16582.46-K145</f>
        <v>662.61999999999898</v>
      </c>
      <c r="J145" s="20">
        <f>K145/G145</f>
        <v>106132.26666666668</v>
      </c>
      <c r="K145" s="19">
        <v>15919.84</v>
      </c>
      <c r="BC145" s="14"/>
      <c r="BD145" s="15"/>
      <c r="BE145" s="21" t="s">
        <v>453</v>
      </c>
      <c r="BF145" s="12"/>
      <c r="BG145" s="43"/>
      <c r="BH145" s="12"/>
    </row>
    <row r="146" spans="1:60" s="3" customFormat="1" ht="31.8" x14ac:dyDescent="0.3">
      <c r="A146" s="25"/>
      <c r="B146" s="26" t="s">
        <v>454</v>
      </c>
      <c r="C146" s="419" t="s">
        <v>455</v>
      </c>
      <c r="D146" s="419"/>
      <c r="E146" s="419"/>
      <c r="F146" s="27" t="s">
        <v>70</v>
      </c>
      <c r="G146" s="22" t="s">
        <v>479</v>
      </c>
      <c r="H146" s="58"/>
      <c r="I146" s="28"/>
      <c r="J146" s="28"/>
      <c r="K146" s="29"/>
      <c r="BC146" s="14"/>
      <c r="BD146" s="15"/>
      <c r="BE146" s="21"/>
      <c r="BF146" s="12" t="s">
        <v>455</v>
      </c>
      <c r="BG146" s="43"/>
      <c r="BH146" s="12"/>
    </row>
    <row r="147" spans="1:60" s="3" customFormat="1" ht="20.399999999999999" x14ac:dyDescent="0.3">
      <c r="A147" s="25"/>
      <c r="B147" s="26" t="s">
        <v>370</v>
      </c>
      <c r="C147" s="419" t="s">
        <v>371</v>
      </c>
      <c r="D147" s="419"/>
      <c r="E147" s="419"/>
      <c r="F147" s="27" t="s">
        <v>75</v>
      </c>
      <c r="G147" s="22" t="s">
        <v>480</v>
      </c>
      <c r="H147" s="58"/>
      <c r="I147" s="28"/>
      <c r="J147" s="28"/>
      <c r="K147" s="29"/>
      <c r="BC147" s="14"/>
      <c r="BD147" s="15"/>
      <c r="BE147" s="21"/>
      <c r="BF147" s="12" t="s">
        <v>371</v>
      </c>
      <c r="BG147" s="43"/>
      <c r="BH147" s="12"/>
    </row>
    <row r="148" spans="1:60" s="3" customFormat="1" ht="31.8" x14ac:dyDescent="0.3">
      <c r="A148" s="25" t="s">
        <v>129</v>
      </c>
      <c r="B148" s="26" t="s">
        <v>458</v>
      </c>
      <c r="C148" s="419" t="s">
        <v>455</v>
      </c>
      <c r="D148" s="419"/>
      <c r="E148" s="419"/>
      <c r="F148" s="27" t="s">
        <v>70</v>
      </c>
      <c r="G148" s="22" t="s">
        <v>481</v>
      </c>
      <c r="H148" s="58"/>
      <c r="I148" s="28"/>
      <c r="J148" s="28"/>
      <c r="K148" s="29"/>
      <c r="BC148" s="14"/>
      <c r="BD148" s="15"/>
      <c r="BE148" s="21"/>
      <c r="BF148" s="12"/>
      <c r="BG148" s="43"/>
      <c r="BH148" s="12" t="s">
        <v>455</v>
      </c>
    </row>
    <row r="149" spans="1:60" s="3" customFormat="1" ht="21.6" x14ac:dyDescent="0.3">
      <c r="A149" s="25" t="s">
        <v>129</v>
      </c>
      <c r="B149" s="26" t="s">
        <v>460</v>
      </c>
      <c r="C149" s="419" t="s">
        <v>461</v>
      </c>
      <c r="D149" s="419"/>
      <c r="E149" s="419"/>
      <c r="F149" s="27" t="s">
        <v>75</v>
      </c>
      <c r="G149" s="22" t="s">
        <v>474</v>
      </c>
      <c r="H149" s="58"/>
      <c r="I149" s="28"/>
      <c r="J149" s="28"/>
      <c r="K149" s="29"/>
      <c r="BC149" s="14"/>
      <c r="BD149" s="15"/>
      <c r="BE149" s="21"/>
      <c r="BF149" s="12"/>
      <c r="BG149" s="43"/>
      <c r="BH149" s="12" t="s">
        <v>461</v>
      </c>
    </row>
    <row r="150" spans="1:60" s="3" customFormat="1" ht="15" customHeight="1" x14ac:dyDescent="0.3">
      <c r="A150" s="437" t="s">
        <v>482</v>
      </c>
      <c r="B150" s="418"/>
      <c r="C150" s="418"/>
      <c r="D150" s="418"/>
      <c r="E150" s="418"/>
      <c r="F150" s="418"/>
      <c r="G150" s="418"/>
      <c r="H150" s="123"/>
      <c r="I150" s="123"/>
      <c r="J150" s="123"/>
      <c r="K150" s="124"/>
      <c r="BC150" s="14"/>
      <c r="BD150" s="15" t="s">
        <v>482</v>
      </c>
      <c r="BE150" s="21"/>
      <c r="BF150" s="12"/>
      <c r="BG150" s="43"/>
      <c r="BH150" s="12"/>
    </row>
    <row r="151" spans="1:60" s="3" customFormat="1" ht="31.8" x14ac:dyDescent="0.3">
      <c r="A151" s="16" t="s">
        <v>233</v>
      </c>
      <c r="B151" s="17" t="s">
        <v>471</v>
      </c>
      <c r="C151" s="405" t="s">
        <v>472</v>
      </c>
      <c r="D151" s="405"/>
      <c r="E151" s="405"/>
      <c r="F151" s="16" t="s">
        <v>329</v>
      </c>
      <c r="G151" s="24">
        <v>1.5</v>
      </c>
      <c r="H151" s="57">
        <f>I151/G151</f>
        <v>8353.126666666667</v>
      </c>
      <c r="I151" s="19">
        <f>15483.91-K151</f>
        <v>12529.69</v>
      </c>
      <c r="J151" s="20">
        <f>K151/G151</f>
        <v>1969.4799999999998</v>
      </c>
      <c r="K151" s="19">
        <v>2954.22</v>
      </c>
      <c r="BC151" s="14"/>
      <c r="BD151" s="15"/>
      <c r="BE151" s="21" t="s">
        <v>472</v>
      </c>
      <c r="BF151" s="12"/>
      <c r="BG151" s="43"/>
      <c r="BH151" s="12"/>
    </row>
    <row r="152" spans="1:60" s="3" customFormat="1" ht="20.399999999999999" x14ac:dyDescent="0.3">
      <c r="A152" s="25"/>
      <c r="B152" s="26" t="s">
        <v>339</v>
      </c>
      <c r="C152" s="419" t="s">
        <v>340</v>
      </c>
      <c r="D152" s="419"/>
      <c r="E152" s="419"/>
      <c r="F152" s="27" t="s">
        <v>75</v>
      </c>
      <c r="G152" s="22" t="s">
        <v>483</v>
      </c>
      <c r="H152" s="58"/>
      <c r="I152" s="28"/>
      <c r="J152" s="28"/>
      <c r="K152" s="29"/>
      <c r="BC152" s="14"/>
      <c r="BD152" s="15"/>
      <c r="BE152" s="21"/>
      <c r="BF152" s="12" t="s">
        <v>340</v>
      </c>
      <c r="BG152" s="43"/>
      <c r="BH152" s="12"/>
    </row>
    <row r="153" spans="1:60" s="3" customFormat="1" ht="20.399999999999999" x14ac:dyDescent="0.3">
      <c r="A153" s="25"/>
      <c r="B153" s="26" t="s">
        <v>353</v>
      </c>
      <c r="C153" s="419" t="s">
        <v>354</v>
      </c>
      <c r="D153" s="419"/>
      <c r="E153" s="419"/>
      <c r="F153" s="27" t="s">
        <v>75</v>
      </c>
      <c r="G153" s="22" t="s">
        <v>462</v>
      </c>
      <c r="H153" s="58"/>
      <c r="I153" s="28"/>
      <c r="J153" s="28"/>
      <c r="K153" s="29"/>
      <c r="BC153" s="14"/>
      <c r="BD153" s="15"/>
      <c r="BE153" s="21"/>
      <c r="BF153" s="12" t="s">
        <v>354</v>
      </c>
      <c r="BG153" s="43"/>
      <c r="BH153" s="12"/>
    </row>
    <row r="154" spans="1:60" s="3" customFormat="1" ht="15" customHeight="1" x14ac:dyDescent="0.3">
      <c r="A154" s="437" t="s">
        <v>484</v>
      </c>
      <c r="B154" s="418"/>
      <c r="C154" s="418"/>
      <c r="D154" s="418"/>
      <c r="E154" s="418"/>
      <c r="F154" s="418"/>
      <c r="G154" s="418"/>
      <c r="H154" s="123"/>
      <c r="I154" s="123"/>
      <c r="J154" s="123"/>
      <c r="K154" s="124"/>
      <c r="BC154" s="14"/>
      <c r="BD154" s="15" t="s">
        <v>484</v>
      </c>
      <c r="BE154" s="21"/>
      <c r="BF154" s="12"/>
      <c r="BG154" s="43"/>
      <c r="BH154" s="12"/>
    </row>
    <row r="155" spans="1:60" s="3" customFormat="1" ht="15" customHeight="1" x14ac:dyDescent="0.3">
      <c r="A155" s="437" t="s">
        <v>485</v>
      </c>
      <c r="B155" s="418"/>
      <c r="C155" s="418"/>
      <c r="D155" s="418"/>
      <c r="E155" s="418"/>
      <c r="F155" s="418"/>
      <c r="G155" s="418"/>
      <c r="H155" s="123"/>
      <c r="I155" s="123"/>
      <c r="J155" s="123"/>
      <c r="K155" s="124"/>
      <c r="BC155" s="14"/>
      <c r="BD155" s="15" t="s">
        <v>485</v>
      </c>
      <c r="BE155" s="21"/>
      <c r="BF155" s="12"/>
      <c r="BG155" s="43"/>
      <c r="BH155" s="12"/>
    </row>
    <row r="156" spans="1:60" s="3" customFormat="1" ht="42" x14ac:dyDescent="0.3">
      <c r="A156" s="16" t="s">
        <v>235</v>
      </c>
      <c r="B156" s="17" t="s">
        <v>486</v>
      </c>
      <c r="C156" s="405" t="s">
        <v>487</v>
      </c>
      <c r="D156" s="405"/>
      <c r="E156" s="405"/>
      <c r="F156" s="16" t="s">
        <v>329</v>
      </c>
      <c r="G156" s="24">
        <v>1.5</v>
      </c>
      <c r="H156" s="57">
        <f>I156/G156</f>
        <v>2420.2066666666651</v>
      </c>
      <c r="I156" s="19">
        <f>102395.25-K156</f>
        <v>3630.3099999999977</v>
      </c>
      <c r="J156" s="20">
        <f>K156/G156</f>
        <v>65843.293333333335</v>
      </c>
      <c r="K156" s="19">
        <v>98764.94</v>
      </c>
      <c r="BC156" s="14"/>
      <c r="BD156" s="15"/>
      <c r="BE156" s="21" t="s">
        <v>487</v>
      </c>
      <c r="BF156" s="12"/>
      <c r="BG156" s="43"/>
      <c r="BH156" s="12"/>
    </row>
    <row r="157" spans="1:60" s="3" customFormat="1" ht="42" x14ac:dyDescent="0.3">
      <c r="A157" s="25"/>
      <c r="B157" s="26" t="s">
        <v>488</v>
      </c>
      <c r="C157" s="419" t="s">
        <v>489</v>
      </c>
      <c r="D157" s="419"/>
      <c r="E157" s="419"/>
      <c r="F157" s="27" t="s">
        <v>75</v>
      </c>
      <c r="G157" s="22" t="s">
        <v>490</v>
      </c>
      <c r="H157" s="58"/>
      <c r="I157" s="28"/>
      <c r="J157" s="28"/>
      <c r="K157" s="29"/>
      <c r="BC157" s="14"/>
      <c r="BD157" s="15"/>
      <c r="BE157" s="21"/>
      <c r="BF157" s="12" t="s">
        <v>489</v>
      </c>
      <c r="BG157" s="43"/>
      <c r="BH157" s="12"/>
    </row>
    <row r="158" spans="1:60" s="3" customFormat="1" ht="20.399999999999999" x14ac:dyDescent="0.3">
      <c r="A158" s="25"/>
      <c r="B158" s="26" t="s">
        <v>370</v>
      </c>
      <c r="C158" s="419" t="s">
        <v>371</v>
      </c>
      <c r="D158" s="419"/>
      <c r="E158" s="419"/>
      <c r="F158" s="27" t="s">
        <v>75</v>
      </c>
      <c r="G158" s="22" t="s">
        <v>491</v>
      </c>
      <c r="H158" s="58"/>
      <c r="I158" s="28"/>
      <c r="J158" s="28"/>
      <c r="K158" s="29"/>
      <c r="BC158" s="14"/>
      <c r="BD158" s="15"/>
      <c r="BE158" s="21"/>
      <c r="BF158" s="12" t="s">
        <v>371</v>
      </c>
      <c r="BG158" s="43"/>
      <c r="BH158" s="12"/>
    </row>
    <row r="159" spans="1:60" s="3" customFormat="1" ht="42" x14ac:dyDescent="0.3">
      <c r="A159" s="25" t="s">
        <v>129</v>
      </c>
      <c r="B159" s="26" t="s">
        <v>492</v>
      </c>
      <c r="C159" s="419" t="s">
        <v>489</v>
      </c>
      <c r="D159" s="419"/>
      <c r="E159" s="419"/>
      <c r="F159" s="27" t="s">
        <v>75</v>
      </c>
      <c r="G159" s="22" t="s">
        <v>493</v>
      </c>
      <c r="H159" s="58"/>
      <c r="I159" s="28"/>
      <c r="J159" s="28"/>
      <c r="K159" s="29"/>
      <c r="BC159" s="14"/>
      <c r="BD159" s="15"/>
      <c r="BE159" s="21"/>
      <c r="BF159" s="12"/>
      <c r="BG159" s="43"/>
      <c r="BH159" s="12" t="s">
        <v>489</v>
      </c>
    </row>
    <row r="160" spans="1:60" s="3" customFormat="1" ht="20.399999999999999" x14ac:dyDescent="0.3">
      <c r="A160" s="25" t="s">
        <v>129</v>
      </c>
      <c r="B160" s="26" t="s">
        <v>494</v>
      </c>
      <c r="C160" s="419" t="s">
        <v>495</v>
      </c>
      <c r="D160" s="419"/>
      <c r="E160" s="419"/>
      <c r="F160" s="27" t="s">
        <v>75</v>
      </c>
      <c r="G160" s="22" t="s">
        <v>496</v>
      </c>
      <c r="H160" s="58"/>
      <c r="I160" s="28"/>
      <c r="J160" s="28"/>
      <c r="K160" s="29"/>
      <c r="BC160" s="14"/>
      <c r="BD160" s="15"/>
      <c r="BE160" s="21"/>
      <c r="BF160" s="12"/>
      <c r="BG160" s="43"/>
      <c r="BH160" s="12" t="s">
        <v>495</v>
      </c>
    </row>
    <row r="161" spans="1:60" s="3" customFormat="1" ht="15" customHeight="1" x14ac:dyDescent="0.3">
      <c r="A161" s="437" t="s">
        <v>497</v>
      </c>
      <c r="B161" s="418"/>
      <c r="C161" s="418"/>
      <c r="D161" s="418"/>
      <c r="E161" s="418"/>
      <c r="F161" s="418"/>
      <c r="G161" s="418"/>
      <c r="H161" s="123"/>
      <c r="I161" s="123"/>
      <c r="J161" s="123"/>
      <c r="K161" s="124"/>
      <c r="BC161" s="14"/>
      <c r="BD161" s="15" t="s">
        <v>497</v>
      </c>
      <c r="BE161" s="21"/>
      <c r="BF161" s="12"/>
      <c r="BG161" s="43"/>
      <c r="BH161" s="12"/>
    </row>
    <row r="162" spans="1:60" s="3" customFormat="1" ht="42" x14ac:dyDescent="0.3">
      <c r="A162" s="16" t="s">
        <v>237</v>
      </c>
      <c r="B162" s="17" t="s">
        <v>486</v>
      </c>
      <c r="C162" s="405" t="s">
        <v>487</v>
      </c>
      <c r="D162" s="405"/>
      <c r="E162" s="405"/>
      <c r="F162" s="16" t="s">
        <v>329</v>
      </c>
      <c r="G162" s="24">
        <v>1.5</v>
      </c>
      <c r="H162" s="57">
        <f>I162/G162</f>
        <v>2420.2066666666651</v>
      </c>
      <c r="I162" s="19">
        <f>102395.25-K162</f>
        <v>3630.3099999999977</v>
      </c>
      <c r="J162" s="20">
        <f>K162/G162</f>
        <v>65843.293333333335</v>
      </c>
      <c r="K162" s="19">
        <v>98764.94</v>
      </c>
      <c r="BC162" s="14"/>
      <c r="BD162" s="15"/>
      <c r="BE162" s="21" t="s">
        <v>487</v>
      </c>
      <c r="BF162" s="12"/>
      <c r="BG162" s="43"/>
      <c r="BH162" s="12"/>
    </row>
    <row r="163" spans="1:60" s="3" customFormat="1" ht="42" x14ac:dyDescent="0.3">
      <c r="A163" s="25"/>
      <c r="B163" s="26" t="s">
        <v>488</v>
      </c>
      <c r="C163" s="419" t="s">
        <v>489</v>
      </c>
      <c r="D163" s="419"/>
      <c r="E163" s="419"/>
      <c r="F163" s="27" t="s">
        <v>75</v>
      </c>
      <c r="G163" s="22" t="s">
        <v>490</v>
      </c>
      <c r="H163" s="58"/>
      <c r="I163" s="28"/>
      <c r="J163" s="28"/>
      <c r="K163" s="29"/>
      <c r="BC163" s="14"/>
      <c r="BD163" s="15"/>
      <c r="BE163" s="21"/>
      <c r="BF163" s="12" t="s">
        <v>489</v>
      </c>
      <c r="BG163" s="43"/>
      <c r="BH163" s="12"/>
    </row>
    <row r="164" spans="1:60" s="3" customFormat="1" ht="20.399999999999999" x14ac:dyDescent="0.3">
      <c r="A164" s="25"/>
      <c r="B164" s="26" t="s">
        <v>370</v>
      </c>
      <c r="C164" s="419" t="s">
        <v>371</v>
      </c>
      <c r="D164" s="419"/>
      <c r="E164" s="419"/>
      <c r="F164" s="27" t="s">
        <v>75</v>
      </c>
      <c r="G164" s="22" t="s">
        <v>491</v>
      </c>
      <c r="H164" s="58"/>
      <c r="I164" s="28"/>
      <c r="J164" s="28"/>
      <c r="K164" s="29"/>
      <c r="BC164" s="14"/>
      <c r="BD164" s="15"/>
      <c r="BE164" s="21"/>
      <c r="BF164" s="12" t="s">
        <v>371</v>
      </c>
      <c r="BG164" s="43"/>
      <c r="BH164" s="12"/>
    </row>
    <row r="165" spans="1:60" s="3" customFormat="1" ht="42" x14ac:dyDescent="0.3">
      <c r="A165" s="25" t="s">
        <v>129</v>
      </c>
      <c r="B165" s="26" t="s">
        <v>492</v>
      </c>
      <c r="C165" s="419" t="s">
        <v>489</v>
      </c>
      <c r="D165" s="419"/>
      <c r="E165" s="419"/>
      <c r="F165" s="27" t="s">
        <v>75</v>
      </c>
      <c r="G165" s="22" t="s">
        <v>493</v>
      </c>
      <c r="H165" s="58"/>
      <c r="I165" s="28"/>
      <c r="J165" s="28"/>
      <c r="K165" s="29"/>
      <c r="BC165" s="14"/>
      <c r="BD165" s="15"/>
      <c r="BE165" s="21"/>
      <c r="BF165" s="12"/>
      <c r="BG165" s="43"/>
      <c r="BH165" s="12" t="s">
        <v>489</v>
      </c>
    </row>
    <row r="166" spans="1:60" s="3" customFormat="1" ht="20.399999999999999" x14ac:dyDescent="0.3">
      <c r="A166" s="25" t="s">
        <v>129</v>
      </c>
      <c r="B166" s="26" t="s">
        <v>494</v>
      </c>
      <c r="C166" s="419" t="s">
        <v>495</v>
      </c>
      <c r="D166" s="419"/>
      <c r="E166" s="419"/>
      <c r="F166" s="27" t="s">
        <v>75</v>
      </c>
      <c r="G166" s="22" t="s">
        <v>496</v>
      </c>
      <c r="H166" s="58"/>
      <c r="I166" s="28"/>
      <c r="J166" s="28"/>
      <c r="K166" s="29"/>
      <c r="BC166" s="14"/>
      <c r="BD166" s="15"/>
      <c r="BE166" s="21"/>
      <c r="BF166" s="12"/>
      <c r="BG166" s="43"/>
      <c r="BH166" s="12" t="s">
        <v>495</v>
      </c>
    </row>
    <row r="167" spans="1:60" s="3" customFormat="1" ht="15" customHeight="1" x14ac:dyDescent="0.3">
      <c r="A167" s="437" t="s">
        <v>498</v>
      </c>
      <c r="B167" s="418"/>
      <c r="C167" s="418"/>
      <c r="D167" s="418"/>
      <c r="E167" s="418"/>
      <c r="F167" s="418"/>
      <c r="G167" s="418"/>
      <c r="H167" s="123"/>
      <c r="I167" s="123"/>
      <c r="J167" s="123"/>
      <c r="K167" s="124"/>
      <c r="BC167" s="14"/>
      <c r="BD167" s="15" t="s">
        <v>498</v>
      </c>
      <c r="BE167" s="21"/>
      <c r="BF167" s="12"/>
      <c r="BG167" s="43"/>
      <c r="BH167" s="12"/>
    </row>
    <row r="168" spans="1:60" s="3" customFormat="1" ht="15" customHeight="1" x14ac:dyDescent="0.3">
      <c r="A168" s="437" t="s">
        <v>499</v>
      </c>
      <c r="B168" s="418"/>
      <c r="C168" s="418"/>
      <c r="D168" s="418"/>
      <c r="E168" s="418"/>
      <c r="F168" s="418"/>
      <c r="G168" s="418"/>
      <c r="H168" s="123"/>
      <c r="I168" s="123"/>
      <c r="J168" s="123"/>
      <c r="K168" s="124"/>
      <c r="BC168" s="14"/>
      <c r="BD168" s="15" t="s">
        <v>499</v>
      </c>
      <c r="BE168" s="21"/>
      <c r="BF168" s="12"/>
      <c r="BG168" s="43"/>
      <c r="BH168" s="12"/>
    </row>
    <row r="169" spans="1:60" s="3" customFormat="1" ht="21.6" x14ac:dyDescent="0.3">
      <c r="A169" s="16" t="s">
        <v>243</v>
      </c>
      <c r="B169" s="17" t="s">
        <v>500</v>
      </c>
      <c r="C169" s="405" t="s">
        <v>501</v>
      </c>
      <c r="D169" s="405"/>
      <c r="E169" s="405"/>
      <c r="F169" s="16" t="s">
        <v>70</v>
      </c>
      <c r="G169" s="31">
        <v>3.88</v>
      </c>
      <c r="H169" s="57">
        <f>I169/G169</f>
        <v>43937.548969072166</v>
      </c>
      <c r="I169" s="19">
        <f>433489.26-K169</f>
        <v>170477.69</v>
      </c>
      <c r="J169" s="20">
        <f>K169/G169</f>
        <v>67786.487113402065</v>
      </c>
      <c r="K169" s="19">
        <v>263011.57</v>
      </c>
      <c r="BC169" s="14"/>
      <c r="BD169" s="15"/>
      <c r="BE169" s="21" t="s">
        <v>501</v>
      </c>
      <c r="BF169" s="12"/>
      <c r="BG169" s="43"/>
      <c r="BH169" s="12"/>
    </row>
    <row r="170" spans="1:60" s="3" customFormat="1" ht="20.399999999999999" x14ac:dyDescent="0.3">
      <c r="A170" s="25"/>
      <c r="B170" s="26" t="s">
        <v>384</v>
      </c>
      <c r="C170" s="419" t="s">
        <v>385</v>
      </c>
      <c r="D170" s="419"/>
      <c r="E170" s="419"/>
      <c r="F170" s="27" t="s">
        <v>46</v>
      </c>
      <c r="G170" s="22" t="s">
        <v>502</v>
      </c>
      <c r="H170" s="58"/>
      <c r="I170" s="28"/>
      <c r="J170" s="28"/>
      <c r="K170" s="29"/>
      <c r="BC170" s="14"/>
      <c r="BD170" s="15"/>
      <c r="BE170" s="21"/>
      <c r="BF170" s="12" t="s">
        <v>385</v>
      </c>
      <c r="BG170" s="43"/>
      <c r="BH170" s="12"/>
    </row>
    <row r="171" spans="1:60" s="3" customFormat="1" ht="20.399999999999999" x14ac:dyDescent="0.3">
      <c r="A171" s="25"/>
      <c r="B171" s="26" t="s">
        <v>387</v>
      </c>
      <c r="C171" s="419" t="s">
        <v>388</v>
      </c>
      <c r="D171" s="419"/>
      <c r="E171" s="419"/>
      <c r="F171" s="27" t="s">
        <v>75</v>
      </c>
      <c r="G171" s="22" t="s">
        <v>503</v>
      </c>
      <c r="H171" s="58"/>
      <c r="I171" s="28"/>
      <c r="J171" s="28"/>
      <c r="K171" s="29"/>
      <c r="BC171" s="14"/>
      <c r="BD171" s="15"/>
      <c r="BE171" s="21"/>
      <c r="BF171" s="12" t="s">
        <v>388</v>
      </c>
      <c r="BG171" s="43"/>
      <c r="BH171" s="12"/>
    </row>
    <row r="172" spans="1:60" s="3" customFormat="1" ht="20.399999999999999" x14ac:dyDescent="0.3">
      <c r="A172" s="25"/>
      <c r="B172" s="26" t="s">
        <v>504</v>
      </c>
      <c r="C172" s="419" t="s">
        <v>505</v>
      </c>
      <c r="D172" s="419"/>
      <c r="E172" s="419"/>
      <c r="F172" s="27" t="s">
        <v>75</v>
      </c>
      <c r="G172" s="22" t="s">
        <v>506</v>
      </c>
      <c r="H172" s="58"/>
      <c r="I172" s="28"/>
      <c r="J172" s="28"/>
      <c r="K172" s="29"/>
      <c r="BC172" s="14"/>
      <c r="BD172" s="15"/>
      <c r="BE172" s="21"/>
      <c r="BF172" s="12" t="s">
        <v>505</v>
      </c>
      <c r="BG172" s="43"/>
      <c r="BH172" s="12"/>
    </row>
    <row r="173" spans="1:60" s="3" customFormat="1" ht="20.399999999999999" x14ac:dyDescent="0.3">
      <c r="A173" s="37" t="s">
        <v>78</v>
      </c>
      <c r="B173" s="38" t="s">
        <v>391</v>
      </c>
      <c r="C173" s="430" t="s">
        <v>392</v>
      </c>
      <c r="D173" s="430"/>
      <c r="E173" s="430"/>
      <c r="F173" s="39" t="s">
        <v>75</v>
      </c>
      <c r="G173" s="40" t="s">
        <v>33</v>
      </c>
      <c r="H173" s="100"/>
      <c r="I173" s="41"/>
      <c r="J173" s="41"/>
      <c r="K173" s="42"/>
      <c r="BC173" s="14"/>
      <c r="BD173" s="15"/>
      <c r="BE173" s="21"/>
      <c r="BF173" s="12"/>
      <c r="BG173" s="43" t="s">
        <v>392</v>
      </c>
      <c r="BH173" s="12"/>
    </row>
    <row r="174" spans="1:60" s="3" customFormat="1" ht="20.399999999999999" x14ac:dyDescent="0.3">
      <c r="A174" s="25"/>
      <c r="B174" s="26" t="s">
        <v>76</v>
      </c>
      <c r="C174" s="419" t="s">
        <v>77</v>
      </c>
      <c r="D174" s="419"/>
      <c r="E174" s="419"/>
      <c r="F174" s="27" t="s">
        <v>70</v>
      </c>
      <c r="G174" s="22" t="s">
        <v>507</v>
      </c>
      <c r="H174" s="58"/>
      <c r="I174" s="28"/>
      <c r="J174" s="28"/>
      <c r="K174" s="29"/>
      <c r="BC174" s="14"/>
      <c r="BD174" s="15"/>
      <c r="BE174" s="21"/>
      <c r="BF174" s="12" t="s">
        <v>77</v>
      </c>
      <c r="BG174" s="43"/>
      <c r="BH174" s="12"/>
    </row>
    <row r="175" spans="1:60" s="3" customFormat="1" ht="20.399999999999999" x14ac:dyDescent="0.3">
      <c r="A175" s="25"/>
      <c r="B175" s="26" t="s">
        <v>395</v>
      </c>
      <c r="C175" s="419" t="s">
        <v>396</v>
      </c>
      <c r="D175" s="419"/>
      <c r="E175" s="419"/>
      <c r="F175" s="27" t="s">
        <v>70</v>
      </c>
      <c r="G175" s="22" t="s">
        <v>508</v>
      </c>
      <c r="H175" s="58"/>
      <c r="I175" s="28"/>
      <c r="J175" s="28"/>
      <c r="K175" s="29"/>
      <c r="BC175" s="14"/>
      <c r="BD175" s="15"/>
      <c r="BE175" s="21"/>
      <c r="BF175" s="12" t="s">
        <v>396</v>
      </c>
      <c r="BG175" s="43"/>
      <c r="BH175" s="12"/>
    </row>
    <row r="176" spans="1:60" s="3" customFormat="1" ht="20.399999999999999" x14ac:dyDescent="0.3">
      <c r="A176" s="37" t="s">
        <v>143</v>
      </c>
      <c r="B176" s="38" t="s">
        <v>509</v>
      </c>
      <c r="C176" s="430" t="s">
        <v>510</v>
      </c>
      <c r="D176" s="430"/>
      <c r="E176" s="430"/>
      <c r="F176" s="39" t="s">
        <v>70</v>
      </c>
      <c r="G176" s="40" t="s">
        <v>511</v>
      </c>
      <c r="H176" s="100"/>
      <c r="I176" s="41"/>
      <c r="J176" s="41"/>
      <c r="K176" s="42"/>
      <c r="BC176" s="14"/>
      <c r="BD176" s="15"/>
      <c r="BE176" s="21"/>
      <c r="BF176" s="12"/>
      <c r="BG176" s="43" t="s">
        <v>510</v>
      </c>
      <c r="BH176" s="12"/>
    </row>
    <row r="177" spans="1:60" s="3" customFormat="1" ht="42" x14ac:dyDescent="0.3">
      <c r="A177" s="25"/>
      <c r="B177" s="26" t="s">
        <v>512</v>
      </c>
      <c r="C177" s="419" t="s">
        <v>513</v>
      </c>
      <c r="D177" s="419"/>
      <c r="E177" s="419"/>
      <c r="F177" s="27" t="s">
        <v>70</v>
      </c>
      <c r="G177" s="22" t="s">
        <v>514</v>
      </c>
      <c r="H177" s="58"/>
      <c r="I177" s="28"/>
      <c r="J177" s="28"/>
      <c r="K177" s="29"/>
      <c r="BC177" s="14"/>
      <c r="BD177" s="15"/>
      <c r="BE177" s="21"/>
      <c r="BF177" s="12" t="s">
        <v>513</v>
      </c>
      <c r="BG177" s="43"/>
      <c r="BH177" s="12"/>
    </row>
    <row r="178" spans="1:60" s="3" customFormat="1" ht="42" x14ac:dyDescent="0.3">
      <c r="A178" s="25"/>
      <c r="B178" s="26" t="s">
        <v>404</v>
      </c>
      <c r="C178" s="419" t="s">
        <v>405</v>
      </c>
      <c r="D178" s="419"/>
      <c r="E178" s="419"/>
      <c r="F178" s="27" t="s">
        <v>406</v>
      </c>
      <c r="G178" s="22" t="s">
        <v>515</v>
      </c>
      <c r="H178" s="58"/>
      <c r="I178" s="28"/>
      <c r="J178" s="28"/>
      <c r="K178" s="29"/>
      <c r="BC178" s="14"/>
      <c r="BD178" s="15"/>
      <c r="BE178" s="21"/>
      <c r="BF178" s="12" t="s">
        <v>405</v>
      </c>
      <c r="BG178" s="43"/>
      <c r="BH178" s="12"/>
    </row>
    <row r="179" spans="1:60" s="3" customFormat="1" ht="21.6" x14ac:dyDescent="0.3">
      <c r="A179" s="25"/>
      <c r="B179" s="26" t="s">
        <v>285</v>
      </c>
      <c r="C179" s="419" t="s">
        <v>286</v>
      </c>
      <c r="D179" s="419"/>
      <c r="E179" s="419"/>
      <c r="F179" s="27" t="s">
        <v>70</v>
      </c>
      <c r="G179" s="22" t="s">
        <v>516</v>
      </c>
      <c r="H179" s="58"/>
      <c r="I179" s="28"/>
      <c r="J179" s="28"/>
      <c r="K179" s="29"/>
      <c r="BC179" s="14"/>
      <c r="BD179" s="15"/>
      <c r="BE179" s="21"/>
      <c r="BF179" s="12" t="s">
        <v>286</v>
      </c>
      <c r="BG179" s="43"/>
      <c r="BH179" s="12"/>
    </row>
    <row r="180" spans="1:60" s="3" customFormat="1" ht="20.399999999999999" x14ac:dyDescent="0.3">
      <c r="A180" s="25"/>
      <c r="B180" s="26" t="s">
        <v>409</v>
      </c>
      <c r="C180" s="419" t="s">
        <v>410</v>
      </c>
      <c r="D180" s="419"/>
      <c r="E180" s="419"/>
      <c r="F180" s="27" t="s">
        <v>70</v>
      </c>
      <c r="G180" s="22" t="s">
        <v>517</v>
      </c>
      <c r="H180" s="58"/>
      <c r="I180" s="28"/>
      <c r="J180" s="28"/>
      <c r="K180" s="29"/>
      <c r="BC180" s="14"/>
      <c r="BD180" s="15"/>
      <c r="BE180" s="21"/>
      <c r="BF180" s="12" t="s">
        <v>410</v>
      </c>
      <c r="BG180" s="43"/>
      <c r="BH180" s="12"/>
    </row>
    <row r="181" spans="1:60" s="3" customFormat="1" ht="21.6" x14ac:dyDescent="0.3">
      <c r="A181" s="25"/>
      <c r="B181" s="26" t="s">
        <v>412</v>
      </c>
      <c r="C181" s="419" t="s">
        <v>413</v>
      </c>
      <c r="D181" s="419"/>
      <c r="E181" s="419"/>
      <c r="F181" s="27" t="s">
        <v>46</v>
      </c>
      <c r="G181" s="22" t="s">
        <v>518</v>
      </c>
      <c r="H181" s="58"/>
      <c r="I181" s="28"/>
      <c r="J181" s="28"/>
      <c r="K181" s="29"/>
      <c r="BC181" s="14"/>
      <c r="BD181" s="15"/>
      <c r="BE181" s="21"/>
      <c r="BF181" s="12" t="s">
        <v>413</v>
      </c>
      <c r="BG181" s="43"/>
      <c r="BH181" s="12"/>
    </row>
    <row r="182" spans="1:60" s="3" customFormat="1" ht="20.399999999999999" x14ac:dyDescent="0.3">
      <c r="A182" s="25"/>
      <c r="B182" s="26" t="s">
        <v>415</v>
      </c>
      <c r="C182" s="419" t="s">
        <v>416</v>
      </c>
      <c r="D182" s="419"/>
      <c r="E182" s="419"/>
      <c r="F182" s="27" t="s">
        <v>70</v>
      </c>
      <c r="G182" s="22" t="s">
        <v>519</v>
      </c>
      <c r="H182" s="58"/>
      <c r="I182" s="28"/>
      <c r="J182" s="28"/>
      <c r="K182" s="29"/>
      <c r="BC182" s="14"/>
      <c r="BD182" s="15"/>
      <c r="BE182" s="21"/>
      <c r="BF182" s="12" t="s">
        <v>416</v>
      </c>
      <c r="BG182" s="43"/>
      <c r="BH182" s="12"/>
    </row>
    <row r="183" spans="1:60" s="3" customFormat="1" ht="20.399999999999999" x14ac:dyDescent="0.3">
      <c r="A183" s="25"/>
      <c r="B183" s="26" t="s">
        <v>370</v>
      </c>
      <c r="C183" s="419" t="s">
        <v>371</v>
      </c>
      <c r="D183" s="419"/>
      <c r="E183" s="419"/>
      <c r="F183" s="27" t="s">
        <v>75</v>
      </c>
      <c r="G183" s="22" t="s">
        <v>520</v>
      </c>
      <c r="H183" s="58"/>
      <c r="I183" s="28"/>
      <c r="J183" s="28"/>
      <c r="K183" s="29"/>
      <c r="BC183" s="14"/>
      <c r="BD183" s="15"/>
      <c r="BE183" s="21"/>
      <c r="BF183" s="12" t="s">
        <v>371</v>
      </c>
      <c r="BG183" s="43"/>
      <c r="BH183" s="12"/>
    </row>
    <row r="184" spans="1:60" s="3" customFormat="1" ht="21.6" x14ac:dyDescent="0.3">
      <c r="A184" s="25" t="s">
        <v>129</v>
      </c>
      <c r="B184" s="26" t="s">
        <v>521</v>
      </c>
      <c r="C184" s="419" t="s">
        <v>119</v>
      </c>
      <c r="D184" s="419"/>
      <c r="E184" s="419"/>
      <c r="F184" s="27" t="s">
        <v>70</v>
      </c>
      <c r="G184" s="22" t="s">
        <v>511</v>
      </c>
      <c r="H184" s="58"/>
      <c r="I184" s="28"/>
      <c r="J184" s="28"/>
      <c r="K184" s="29"/>
      <c r="BC184" s="14"/>
      <c r="BD184" s="15"/>
      <c r="BE184" s="21"/>
      <c r="BF184" s="12"/>
      <c r="BG184" s="43"/>
      <c r="BH184" s="12" t="s">
        <v>119</v>
      </c>
    </row>
    <row r="185" spans="1:60" s="3" customFormat="1" ht="15" customHeight="1" x14ac:dyDescent="0.3">
      <c r="A185" s="437" t="s">
        <v>436</v>
      </c>
      <c r="B185" s="418"/>
      <c r="C185" s="418"/>
      <c r="D185" s="418"/>
      <c r="E185" s="418"/>
      <c r="F185" s="418"/>
      <c r="G185" s="418"/>
      <c r="H185" s="123"/>
      <c r="I185" s="123"/>
      <c r="J185" s="123"/>
      <c r="K185" s="124"/>
      <c r="BC185" s="14"/>
      <c r="BD185" s="15" t="s">
        <v>436</v>
      </c>
      <c r="BE185" s="21"/>
      <c r="BF185" s="12"/>
      <c r="BG185" s="43"/>
      <c r="BH185" s="12"/>
    </row>
    <row r="186" spans="1:60" s="3" customFormat="1" ht="14.4" x14ac:dyDescent="0.3">
      <c r="A186" s="16" t="s">
        <v>244</v>
      </c>
      <c r="B186" s="17" t="s">
        <v>437</v>
      </c>
      <c r="C186" s="405" t="s">
        <v>438</v>
      </c>
      <c r="D186" s="405"/>
      <c r="E186" s="405"/>
      <c r="F186" s="16" t="s">
        <v>142</v>
      </c>
      <c r="G186" s="24">
        <v>0.4</v>
      </c>
      <c r="H186" s="57">
        <f>I186/G186</f>
        <v>10268.699999999953</v>
      </c>
      <c r="I186" s="19">
        <f>141286.02-K186</f>
        <v>4107.4799999999814</v>
      </c>
      <c r="J186" s="20">
        <f>K186/G186</f>
        <v>342946.35</v>
      </c>
      <c r="K186" s="19">
        <v>137178.54</v>
      </c>
      <c r="BC186" s="14"/>
      <c r="BD186" s="15"/>
      <c r="BE186" s="21" t="s">
        <v>438</v>
      </c>
      <c r="BF186" s="12"/>
      <c r="BG186" s="43"/>
      <c r="BH186" s="12"/>
    </row>
    <row r="187" spans="1:60" s="3" customFormat="1" ht="20.399999999999999" x14ac:dyDescent="0.3">
      <c r="A187" s="37" t="s">
        <v>143</v>
      </c>
      <c r="B187" s="38" t="s">
        <v>439</v>
      </c>
      <c r="C187" s="430" t="s">
        <v>440</v>
      </c>
      <c r="D187" s="430"/>
      <c r="E187" s="430"/>
      <c r="F187" s="39" t="s">
        <v>38</v>
      </c>
      <c r="G187" s="40" t="s">
        <v>522</v>
      </c>
      <c r="H187" s="100"/>
      <c r="I187" s="41"/>
      <c r="J187" s="41"/>
      <c r="K187" s="42"/>
      <c r="BC187" s="14"/>
      <c r="BD187" s="15"/>
      <c r="BE187" s="21"/>
      <c r="BF187" s="12"/>
      <c r="BG187" s="43" t="s">
        <v>440</v>
      </c>
      <c r="BH187" s="12"/>
    </row>
    <row r="188" spans="1:60" s="3" customFormat="1" ht="20.399999999999999" x14ac:dyDescent="0.3">
      <c r="A188" s="25"/>
      <c r="B188" s="26" t="s">
        <v>442</v>
      </c>
      <c r="C188" s="419" t="s">
        <v>443</v>
      </c>
      <c r="D188" s="419"/>
      <c r="E188" s="419"/>
      <c r="F188" s="27" t="s">
        <v>142</v>
      </c>
      <c r="G188" s="22" t="s">
        <v>523</v>
      </c>
      <c r="H188" s="58"/>
      <c r="I188" s="28"/>
      <c r="J188" s="28"/>
      <c r="K188" s="29"/>
      <c r="BC188" s="14"/>
      <c r="BD188" s="15"/>
      <c r="BE188" s="21"/>
      <c r="BF188" s="12" t="s">
        <v>443</v>
      </c>
      <c r="BG188" s="43"/>
      <c r="BH188" s="12"/>
    </row>
    <row r="189" spans="1:60" s="3" customFormat="1" ht="20.399999999999999" x14ac:dyDescent="0.3">
      <c r="A189" s="37" t="s">
        <v>78</v>
      </c>
      <c r="B189" s="38" t="s">
        <v>445</v>
      </c>
      <c r="C189" s="430" t="s">
        <v>446</v>
      </c>
      <c r="D189" s="430"/>
      <c r="E189" s="430"/>
      <c r="F189" s="39" t="s">
        <v>38</v>
      </c>
      <c r="G189" s="40" t="s">
        <v>33</v>
      </c>
      <c r="H189" s="100"/>
      <c r="I189" s="41"/>
      <c r="J189" s="41"/>
      <c r="K189" s="42"/>
      <c r="BC189" s="14"/>
      <c r="BD189" s="15"/>
      <c r="BE189" s="21"/>
      <c r="BF189" s="12"/>
      <c r="BG189" s="43" t="s">
        <v>446</v>
      </c>
      <c r="BH189" s="12"/>
    </row>
    <row r="190" spans="1:60" s="3" customFormat="1" ht="31.8" x14ac:dyDescent="0.3">
      <c r="A190" s="25" t="s">
        <v>129</v>
      </c>
      <c r="B190" s="26" t="s">
        <v>447</v>
      </c>
      <c r="C190" s="419" t="s">
        <v>448</v>
      </c>
      <c r="D190" s="419"/>
      <c r="E190" s="419"/>
      <c r="F190" s="27" t="s">
        <v>38</v>
      </c>
      <c r="G190" s="22" t="s">
        <v>522</v>
      </c>
      <c r="H190" s="58"/>
      <c r="I190" s="28"/>
      <c r="J190" s="28"/>
      <c r="K190" s="29"/>
      <c r="BC190" s="14"/>
      <c r="BD190" s="15"/>
      <c r="BE190" s="21"/>
      <c r="BF190" s="12"/>
      <c r="BG190" s="43"/>
      <c r="BH190" s="12" t="s">
        <v>448</v>
      </c>
    </row>
    <row r="191" spans="1:60" s="3" customFormat="1" ht="42" x14ac:dyDescent="0.3">
      <c r="A191" s="25" t="s">
        <v>129</v>
      </c>
      <c r="B191" s="26" t="s">
        <v>449</v>
      </c>
      <c r="C191" s="419" t="s">
        <v>450</v>
      </c>
      <c r="D191" s="419"/>
      <c r="E191" s="419"/>
      <c r="F191" s="27" t="s">
        <v>38</v>
      </c>
      <c r="G191" s="22" t="s">
        <v>522</v>
      </c>
      <c r="H191" s="58"/>
      <c r="I191" s="28"/>
      <c r="J191" s="28"/>
      <c r="K191" s="29"/>
      <c r="BC191" s="14"/>
      <c r="BD191" s="15"/>
      <c r="BE191" s="21"/>
      <c r="BF191" s="12"/>
      <c r="BG191" s="43"/>
      <c r="BH191" s="12" t="s">
        <v>450</v>
      </c>
    </row>
    <row r="192" spans="1:60" s="3" customFormat="1" ht="24.75" customHeight="1" x14ac:dyDescent="0.3">
      <c r="A192" s="437" t="s">
        <v>524</v>
      </c>
      <c r="B192" s="418"/>
      <c r="C192" s="418"/>
      <c r="D192" s="418"/>
      <c r="E192" s="418"/>
      <c r="F192" s="418"/>
      <c r="G192" s="418"/>
      <c r="H192" s="123"/>
      <c r="I192" s="123"/>
      <c r="J192" s="123"/>
      <c r="K192" s="124"/>
      <c r="BC192" s="14"/>
      <c r="BD192" s="15" t="s">
        <v>524</v>
      </c>
      <c r="BE192" s="21"/>
      <c r="BF192" s="12"/>
      <c r="BG192" s="43"/>
      <c r="BH192" s="12"/>
    </row>
    <row r="193" spans="1:60" s="3" customFormat="1" ht="21.6" x14ac:dyDescent="0.3">
      <c r="A193" s="16" t="s">
        <v>246</v>
      </c>
      <c r="B193" s="17" t="s">
        <v>452</v>
      </c>
      <c r="C193" s="405" t="s">
        <v>453</v>
      </c>
      <c r="D193" s="405"/>
      <c r="E193" s="405"/>
      <c r="F193" s="16" t="s">
        <v>329</v>
      </c>
      <c r="G193" s="24">
        <v>0.4</v>
      </c>
      <c r="H193" s="57">
        <f>I193/G193</f>
        <v>4417.3250000000007</v>
      </c>
      <c r="I193" s="19">
        <f>44219.85-K193</f>
        <v>1766.9300000000003</v>
      </c>
      <c r="J193" s="20">
        <f>K193/G193</f>
        <v>106132.29999999999</v>
      </c>
      <c r="K193" s="19">
        <v>42452.92</v>
      </c>
      <c r="BC193" s="14"/>
      <c r="BD193" s="15"/>
      <c r="BE193" s="21" t="s">
        <v>453</v>
      </c>
      <c r="BF193" s="12"/>
      <c r="BG193" s="43"/>
      <c r="BH193" s="12"/>
    </row>
    <row r="194" spans="1:60" s="3" customFormat="1" ht="31.8" x14ac:dyDescent="0.3">
      <c r="A194" s="25"/>
      <c r="B194" s="26" t="s">
        <v>454</v>
      </c>
      <c r="C194" s="419" t="s">
        <v>455</v>
      </c>
      <c r="D194" s="419"/>
      <c r="E194" s="419"/>
      <c r="F194" s="27" t="s">
        <v>70</v>
      </c>
      <c r="G194" s="22" t="s">
        <v>525</v>
      </c>
      <c r="H194" s="58"/>
      <c r="I194" s="28"/>
      <c r="J194" s="28"/>
      <c r="K194" s="29"/>
      <c r="BC194" s="14"/>
      <c r="BD194" s="15"/>
      <c r="BE194" s="21"/>
      <c r="BF194" s="12" t="s">
        <v>455</v>
      </c>
      <c r="BG194" s="43"/>
      <c r="BH194" s="12"/>
    </row>
    <row r="195" spans="1:60" s="3" customFormat="1" ht="20.399999999999999" x14ac:dyDescent="0.3">
      <c r="A195" s="25"/>
      <c r="B195" s="26" t="s">
        <v>370</v>
      </c>
      <c r="C195" s="419" t="s">
        <v>371</v>
      </c>
      <c r="D195" s="419"/>
      <c r="E195" s="419"/>
      <c r="F195" s="27" t="s">
        <v>75</v>
      </c>
      <c r="G195" s="22" t="s">
        <v>526</v>
      </c>
      <c r="H195" s="58"/>
      <c r="I195" s="28"/>
      <c r="J195" s="28"/>
      <c r="K195" s="29"/>
      <c r="BC195" s="14"/>
      <c r="BD195" s="15"/>
      <c r="BE195" s="21"/>
      <c r="BF195" s="12" t="s">
        <v>371</v>
      </c>
      <c r="BG195" s="43"/>
      <c r="BH195" s="12"/>
    </row>
    <row r="196" spans="1:60" s="3" customFormat="1" ht="31.8" x14ac:dyDescent="0.3">
      <c r="A196" s="25" t="s">
        <v>129</v>
      </c>
      <c r="B196" s="26" t="s">
        <v>458</v>
      </c>
      <c r="C196" s="419" t="s">
        <v>455</v>
      </c>
      <c r="D196" s="419"/>
      <c r="E196" s="419"/>
      <c r="F196" s="27" t="s">
        <v>70</v>
      </c>
      <c r="G196" s="22" t="s">
        <v>527</v>
      </c>
      <c r="H196" s="58"/>
      <c r="I196" s="28"/>
      <c r="J196" s="28"/>
      <c r="K196" s="29"/>
      <c r="BC196" s="14"/>
      <c r="BD196" s="15"/>
      <c r="BE196" s="21"/>
      <c r="BF196" s="12"/>
      <c r="BG196" s="43"/>
      <c r="BH196" s="12" t="s">
        <v>455</v>
      </c>
    </row>
    <row r="197" spans="1:60" s="3" customFormat="1" ht="21.6" x14ac:dyDescent="0.3">
      <c r="A197" s="25" t="s">
        <v>129</v>
      </c>
      <c r="B197" s="26" t="s">
        <v>460</v>
      </c>
      <c r="C197" s="419" t="s">
        <v>461</v>
      </c>
      <c r="D197" s="419"/>
      <c r="E197" s="419"/>
      <c r="F197" s="27" t="s">
        <v>75</v>
      </c>
      <c r="G197" s="22" t="s">
        <v>528</v>
      </c>
      <c r="H197" s="58"/>
      <c r="I197" s="28"/>
      <c r="J197" s="28"/>
      <c r="K197" s="29"/>
      <c r="BC197" s="14"/>
      <c r="BD197" s="15"/>
      <c r="BE197" s="21"/>
      <c r="BF197" s="12"/>
      <c r="BG197" s="43"/>
      <c r="BH197" s="12" t="s">
        <v>461</v>
      </c>
    </row>
    <row r="198" spans="1:60" s="3" customFormat="1" ht="15" customHeight="1" x14ac:dyDescent="0.3">
      <c r="A198" s="437" t="s">
        <v>463</v>
      </c>
      <c r="B198" s="418"/>
      <c r="C198" s="418"/>
      <c r="D198" s="418"/>
      <c r="E198" s="418"/>
      <c r="F198" s="418"/>
      <c r="G198" s="418"/>
      <c r="H198" s="123"/>
      <c r="I198" s="123"/>
      <c r="J198" s="123"/>
      <c r="K198" s="124"/>
      <c r="BC198" s="14"/>
      <c r="BD198" s="15" t="s">
        <v>463</v>
      </c>
      <c r="BE198" s="21"/>
      <c r="BF198" s="12"/>
      <c r="BG198" s="43"/>
      <c r="BH198" s="12"/>
    </row>
    <row r="199" spans="1:60" s="3" customFormat="1" ht="21.6" x14ac:dyDescent="0.3">
      <c r="A199" s="16" t="s">
        <v>247</v>
      </c>
      <c r="B199" s="17" t="s">
        <v>464</v>
      </c>
      <c r="C199" s="405" t="s">
        <v>465</v>
      </c>
      <c r="D199" s="405"/>
      <c r="E199" s="405"/>
      <c r="F199" s="16" t="s">
        <v>158</v>
      </c>
      <c r="G199" s="23">
        <v>4</v>
      </c>
      <c r="H199" s="57">
        <f>I199/G199</f>
        <v>1501.9225000000001</v>
      </c>
      <c r="I199" s="19">
        <f>6353.55-K199</f>
        <v>6007.6900000000005</v>
      </c>
      <c r="J199" s="20">
        <f>K199/G199</f>
        <v>86.465000000000003</v>
      </c>
      <c r="K199" s="19">
        <v>345.86</v>
      </c>
      <c r="BC199" s="14"/>
      <c r="BD199" s="15"/>
      <c r="BE199" s="21" t="s">
        <v>465</v>
      </c>
      <c r="BF199" s="12"/>
      <c r="BG199" s="43"/>
      <c r="BH199" s="12"/>
    </row>
    <row r="200" spans="1:60" s="3" customFormat="1" ht="20.399999999999999" x14ac:dyDescent="0.3">
      <c r="A200" s="37" t="s">
        <v>143</v>
      </c>
      <c r="B200" s="38" t="s">
        <v>466</v>
      </c>
      <c r="C200" s="430" t="s">
        <v>467</v>
      </c>
      <c r="D200" s="430"/>
      <c r="E200" s="430"/>
      <c r="F200" s="39" t="s">
        <v>75</v>
      </c>
      <c r="G200" s="40" t="s">
        <v>529</v>
      </c>
      <c r="H200" s="100"/>
      <c r="I200" s="41"/>
      <c r="J200" s="41"/>
      <c r="K200" s="42"/>
      <c r="BC200" s="14"/>
      <c r="BD200" s="15"/>
      <c r="BE200" s="21"/>
      <c r="BF200" s="12"/>
      <c r="BG200" s="43" t="s">
        <v>467</v>
      </c>
      <c r="BH200" s="12"/>
    </row>
    <row r="201" spans="1:60" s="3" customFormat="1" ht="20.399999999999999" x14ac:dyDescent="0.3">
      <c r="A201" s="25" t="s">
        <v>129</v>
      </c>
      <c r="B201" s="26" t="s">
        <v>469</v>
      </c>
      <c r="C201" s="419" t="s">
        <v>467</v>
      </c>
      <c r="D201" s="419"/>
      <c r="E201" s="419"/>
      <c r="F201" s="27" t="s">
        <v>70</v>
      </c>
      <c r="G201" s="22" t="s">
        <v>530</v>
      </c>
      <c r="H201" s="58"/>
      <c r="I201" s="28"/>
      <c r="J201" s="28"/>
      <c r="K201" s="29"/>
      <c r="BC201" s="14"/>
      <c r="BD201" s="15"/>
      <c r="BE201" s="21"/>
      <c r="BF201" s="12"/>
      <c r="BG201" s="43"/>
      <c r="BH201" s="12" t="s">
        <v>467</v>
      </c>
    </row>
    <row r="202" spans="1:60" s="3" customFormat="1" ht="15" customHeight="1" x14ac:dyDescent="0.3">
      <c r="A202" s="437" t="s">
        <v>475</v>
      </c>
      <c r="B202" s="418"/>
      <c r="C202" s="418"/>
      <c r="D202" s="418"/>
      <c r="E202" s="418"/>
      <c r="F202" s="418"/>
      <c r="G202" s="418"/>
      <c r="H202" s="123"/>
      <c r="I202" s="123"/>
      <c r="J202" s="123"/>
      <c r="K202" s="124"/>
      <c r="BC202" s="14"/>
      <c r="BD202" s="15" t="s">
        <v>475</v>
      </c>
      <c r="BE202" s="21"/>
      <c r="BF202" s="12"/>
      <c r="BG202" s="43"/>
      <c r="BH202" s="12"/>
    </row>
    <row r="203" spans="1:60" s="3" customFormat="1" ht="14.4" x14ac:dyDescent="0.3">
      <c r="A203" s="16" t="s">
        <v>531</v>
      </c>
      <c r="B203" s="17" t="s">
        <v>476</v>
      </c>
      <c r="C203" s="405" t="s">
        <v>477</v>
      </c>
      <c r="D203" s="405"/>
      <c r="E203" s="405"/>
      <c r="F203" s="16" t="s">
        <v>158</v>
      </c>
      <c r="G203" s="23">
        <v>4</v>
      </c>
      <c r="H203" s="57">
        <f>I203/G203</f>
        <v>67.272499999999994</v>
      </c>
      <c r="I203" s="19">
        <v>269.08999999999997</v>
      </c>
      <c r="J203" s="20"/>
      <c r="K203" s="19"/>
      <c r="BC203" s="14"/>
      <c r="BD203" s="15"/>
      <c r="BE203" s="21" t="s">
        <v>477</v>
      </c>
      <c r="BF203" s="12"/>
      <c r="BG203" s="43"/>
      <c r="BH203" s="12"/>
    </row>
    <row r="204" spans="1:60" s="3" customFormat="1" ht="24.75" customHeight="1" x14ac:dyDescent="0.3">
      <c r="A204" s="437" t="s">
        <v>532</v>
      </c>
      <c r="B204" s="418"/>
      <c r="C204" s="418"/>
      <c r="D204" s="418"/>
      <c r="E204" s="418"/>
      <c r="F204" s="418"/>
      <c r="G204" s="418"/>
      <c r="H204" s="123"/>
      <c r="I204" s="123"/>
      <c r="J204" s="123"/>
      <c r="K204" s="124"/>
      <c r="BC204" s="14"/>
      <c r="BD204" s="15" t="s">
        <v>532</v>
      </c>
      <c r="BE204" s="21"/>
      <c r="BF204" s="12"/>
      <c r="BG204" s="43"/>
      <c r="BH204" s="12"/>
    </row>
    <row r="205" spans="1:60" s="3" customFormat="1" ht="21.6" x14ac:dyDescent="0.3">
      <c r="A205" s="16" t="s">
        <v>533</v>
      </c>
      <c r="B205" s="17" t="s">
        <v>452</v>
      </c>
      <c r="C205" s="405" t="s">
        <v>453</v>
      </c>
      <c r="D205" s="405"/>
      <c r="E205" s="405"/>
      <c r="F205" s="16" t="s">
        <v>329</v>
      </c>
      <c r="G205" s="31">
        <v>0.04</v>
      </c>
      <c r="H205" s="57">
        <f>I205/G205</f>
        <v>4417.24999999999</v>
      </c>
      <c r="I205" s="19">
        <f>4421.98-K205</f>
        <v>176.6899999999996</v>
      </c>
      <c r="J205" s="20">
        <f>K205/G205</f>
        <v>106132.25</v>
      </c>
      <c r="K205" s="19">
        <v>4245.29</v>
      </c>
      <c r="BC205" s="14"/>
      <c r="BD205" s="15"/>
      <c r="BE205" s="21" t="s">
        <v>453</v>
      </c>
      <c r="BF205" s="12"/>
      <c r="BG205" s="43"/>
      <c r="BH205" s="12"/>
    </row>
    <row r="206" spans="1:60" s="3" customFormat="1" ht="31.8" x14ac:dyDescent="0.3">
      <c r="A206" s="25"/>
      <c r="B206" s="26" t="s">
        <v>454</v>
      </c>
      <c r="C206" s="419" t="s">
        <v>455</v>
      </c>
      <c r="D206" s="419"/>
      <c r="E206" s="419"/>
      <c r="F206" s="27" t="s">
        <v>70</v>
      </c>
      <c r="G206" s="22" t="s">
        <v>534</v>
      </c>
      <c r="H206" s="58"/>
      <c r="I206" s="28"/>
      <c r="J206" s="28"/>
      <c r="K206" s="29"/>
      <c r="BC206" s="14"/>
      <c r="BD206" s="15"/>
      <c r="BE206" s="21"/>
      <c r="BF206" s="12" t="s">
        <v>455</v>
      </c>
      <c r="BG206" s="43"/>
      <c r="BH206" s="12"/>
    </row>
    <row r="207" spans="1:60" s="3" customFormat="1" ht="20.399999999999999" x14ac:dyDescent="0.3">
      <c r="A207" s="25"/>
      <c r="B207" s="26" t="s">
        <v>370</v>
      </c>
      <c r="C207" s="419" t="s">
        <v>371</v>
      </c>
      <c r="D207" s="419"/>
      <c r="E207" s="419"/>
      <c r="F207" s="27" t="s">
        <v>75</v>
      </c>
      <c r="G207" s="22" t="s">
        <v>535</v>
      </c>
      <c r="H207" s="58"/>
      <c r="I207" s="28"/>
      <c r="J207" s="28"/>
      <c r="K207" s="29"/>
      <c r="BC207" s="14"/>
      <c r="BD207" s="15"/>
      <c r="BE207" s="21"/>
      <c r="BF207" s="12" t="s">
        <v>371</v>
      </c>
      <c r="BG207" s="43"/>
      <c r="BH207" s="12"/>
    </row>
    <row r="208" spans="1:60" s="3" customFormat="1" ht="31.8" x14ac:dyDescent="0.3">
      <c r="A208" s="25" t="s">
        <v>129</v>
      </c>
      <c r="B208" s="26" t="s">
        <v>458</v>
      </c>
      <c r="C208" s="419" t="s">
        <v>455</v>
      </c>
      <c r="D208" s="419"/>
      <c r="E208" s="419"/>
      <c r="F208" s="27" t="s">
        <v>70</v>
      </c>
      <c r="G208" s="22" t="s">
        <v>536</v>
      </c>
      <c r="H208" s="58"/>
      <c r="I208" s="28"/>
      <c r="J208" s="28"/>
      <c r="K208" s="29"/>
      <c r="BC208" s="14"/>
      <c r="BD208" s="15"/>
      <c r="BE208" s="21"/>
      <c r="BF208" s="12"/>
      <c r="BG208" s="43"/>
      <c r="BH208" s="12" t="s">
        <v>455</v>
      </c>
    </row>
    <row r="209" spans="1:60" s="3" customFormat="1" ht="21.6" x14ac:dyDescent="0.3">
      <c r="A209" s="25" t="s">
        <v>129</v>
      </c>
      <c r="B209" s="26" t="s">
        <v>460</v>
      </c>
      <c r="C209" s="419" t="s">
        <v>461</v>
      </c>
      <c r="D209" s="419"/>
      <c r="E209" s="419"/>
      <c r="F209" s="27" t="s">
        <v>75</v>
      </c>
      <c r="G209" s="22" t="s">
        <v>537</v>
      </c>
      <c r="H209" s="58"/>
      <c r="I209" s="28"/>
      <c r="J209" s="28"/>
      <c r="K209" s="29"/>
      <c r="BC209" s="14"/>
      <c r="BD209" s="15"/>
      <c r="BE209" s="21"/>
      <c r="BF209" s="12"/>
      <c r="BG209" s="43"/>
      <c r="BH209" s="12" t="s">
        <v>461</v>
      </c>
    </row>
    <row r="210" spans="1:60" s="3" customFormat="1" ht="15" customHeight="1" x14ac:dyDescent="0.3">
      <c r="A210" s="437" t="s">
        <v>538</v>
      </c>
      <c r="B210" s="418"/>
      <c r="C210" s="418"/>
      <c r="D210" s="418"/>
      <c r="E210" s="418"/>
      <c r="F210" s="418"/>
      <c r="G210" s="418"/>
      <c r="H210" s="123"/>
      <c r="I210" s="123"/>
      <c r="J210" s="123"/>
      <c r="K210" s="124"/>
      <c r="BC210" s="14"/>
      <c r="BD210" s="15" t="s">
        <v>538</v>
      </c>
      <c r="BE210" s="21"/>
      <c r="BF210" s="12"/>
      <c r="BG210" s="43"/>
      <c r="BH210" s="12"/>
    </row>
    <row r="211" spans="1:60" s="3" customFormat="1" ht="31.8" x14ac:dyDescent="0.3">
      <c r="A211" s="16" t="s">
        <v>539</v>
      </c>
      <c r="B211" s="17" t="s">
        <v>471</v>
      </c>
      <c r="C211" s="405" t="s">
        <v>472</v>
      </c>
      <c r="D211" s="405"/>
      <c r="E211" s="405"/>
      <c r="F211" s="16" t="s">
        <v>329</v>
      </c>
      <c r="G211" s="24">
        <v>0.4</v>
      </c>
      <c r="H211" s="57">
        <f>I211/G211</f>
        <v>8353.15</v>
      </c>
      <c r="I211" s="19">
        <f>4129.05-K211</f>
        <v>3341.26</v>
      </c>
      <c r="J211" s="20">
        <f>K211/G211</f>
        <v>1969.4749999999999</v>
      </c>
      <c r="K211" s="19">
        <v>787.79</v>
      </c>
      <c r="BC211" s="14"/>
      <c r="BD211" s="15"/>
      <c r="BE211" s="21" t="s">
        <v>472</v>
      </c>
      <c r="BF211" s="12"/>
      <c r="BG211" s="43"/>
      <c r="BH211" s="12"/>
    </row>
    <row r="212" spans="1:60" s="3" customFormat="1" ht="20.399999999999999" x14ac:dyDescent="0.3">
      <c r="A212" s="25"/>
      <c r="B212" s="26" t="s">
        <v>339</v>
      </c>
      <c r="C212" s="419" t="s">
        <v>340</v>
      </c>
      <c r="D212" s="419"/>
      <c r="E212" s="419"/>
      <c r="F212" s="27" t="s">
        <v>75</v>
      </c>
      <c r="G212" s="22" t="s">
        <v>540</v>
      </c>
      <c r="H212" s="58"/>
      <c r="I212" s="28"/>
      <c r="J212" s="28"/>
      <c r="K212" s="29"/>
      <c r="BC212" s="14"/>
      <c r="BD212" s="15"/>
      <c r="BE212" s="21"/>
      <c r="BF212" s="12" t="s">
        <v>340</v>
      </c>
      <c r="BG212" s="43"/>
      <c r="BH212" s="12"/>
    </row>
    <row r="213" spans="1:60" s="3" customFormat="1" ht="20.399999999999999" x14ac:dyDescent="0.3">
      <c r="A213" s="25"/>
      <c r="B213" s="26" t="s">
        <v>353</v>
      </c>
      <c r="C213" s="419" t="s">
        <v>354</v>
      </c>
      <c r="D213" s="419"/>
      <c r="E213" s="419"/>
      <c r="F213" s="27" t="s">
        <v>75</v>
      </c>
      <c r="G213" s="22" t="s">
        <v>528</v>
      </c>
      <c r="H213" s="58"/>
      <c r="I213" s="28"/>
      <c r="J213" s="28"/>
      <c r="K213" s="29"/>
      <c r="BC213" s="14"/>
      <c r="BD213" s="15"/>
      <c r="BE213" s="21"/>
      <c r="BF213" s="12" t="s">
        <v>354</v>
      </c>
      <c r="BG213" s="43"/>
      <c r="BH213" s="12"/>
    </row>
    <row r="214" spans="1:60" s="3" customFormat="1" ht="15" customHeight="1" x14ac:dyDescent="0.3">
      <c r="A214" s="437" t="s">
        <v>541</v>
      </c>
      <c r="B214" s="418"/>
      <c r="C214" s="418"/>
      <c r="D214" s="418"/>
      <c r="E214" s="418"/>
      <c r="F214" s="418"/>
      <c r="G214" s="418"/>
      <c r="H214" s="123"/>
      <c r="I214" s="123"/>
      <c r="J214" s="123"/>
      <c r="K214" s="124"/>
      <c r="BC214" s="14"/>
      <c r="BD214" s="15" t="s">
        <v>541</v>
      </c>
      <c r="BE214" s="21"/>
      <c r="BF214" s="12"/>
      <c r="BG214" s="43"/>
      <c r="BH214" s="12"/>
    </row>
    <row r="215" spans="1:60" s="3" customFormat="1" ht="15" customHeight="1" x14ac:dyDescent="0.3">
      <c r="A215" s="437" t="s">
        <v>485</v>
      </c>
      <c r="B215" s="418"/>
      <c r="C215" s="418"/>
      <c r="D215" s="418"/>
      <c r="E215" s="418"/>
      <c r="F215" s="418"/>
      <c r="G215" s="418"/>
      <c r="H215" s="123"/>
      <c r="I215" s="123"/>
      <c r="J215" s="123"/>
      <c r="K215" s="124"/>
      <c r="BC215" s="14"/>
      <c r="BD215" s="15" t="s">
        <v>485</v>
      </c>
      <c r="BE215" s="21"/>
      <c r="BF215" s="12"/>
      <c r="BG215" s="43"/>
      <c r="BH215" s="12"/>
    </row>
    <row r="216" spans="1:60" s="3" customFormat="1" ht="42" x14ac:dyDescent="0.3">
      <c r="A216" s="16" t="s">
        <v>542</v>
      </c>
      <c r="B216" s="17" t="s">
        <v>486</v>
      </c>
      <c r="C216" s="405" t="s">
        <v>487</v>
      </c>
      <c r="D216" s="405"/>
      <c r="E216" s="405"/>
      <c r="F216" s="16" t="s">
        <v>329</v>
      </c>
      <c r="G216" s="24">
        <v>0.4</v>
      </c>
      <c r="H216" s="57">
        <f>I216/G216</f>
        <v>2420.2000000000044</v>
      </c>
      <c r="I216" s="19">
        <f>27305.4-K216</f>
        <v>968.08000000000175</v>
      </c>
      <c r="J216" s="20">
        <f>K216/G216</f>
        <v>65843.299999999988</v>
      </c>
      <c r="K216" s="19">
        <v>26337.32</v>
      </c>
      <c r="BC216" s="14"/>
      <c r="BD216" s="15"/>
      <c r="BE216" s="21" t="s">
        <v>487</v>
      </c>
      <c r="BF216" s="12"/>
      <c r="BG216" s="43"/>
      <c r="BH216" s="12"/>
    </row>
    <row r="217" spans="1:60" s="3" customFormat="1" ht="42" x14ac:dyDescent="0.3">
      <c r="A217" s="25"/>
      <c r="B217" s="26" t="s">
        <v>488</v>
      </c>
      <c r="C217" s="419" t="s">
        <v>489</v>
      </c>
      <c r="D217" s="419"/>
      <c r="E217" s="419"/>
      <c r="F217" s="27" t="s">
        <v>75</v>
      </c>
      <c r="G217" s="22" t="s">
        <v>543</v>
      </c>
      <c r="H217" s="58"/>
      <c r="I217" s="28"/>
      <c r="J217" s="28"/>
      <c r="K217" s="29"/>
      <c r="BC217" s="14"/>
      <c r="BD217" s="15"/>
      <c r="BE217" s="21"/>
      <c r="BF217" s="12" t="s">
        <v>489</v>
      </c>
      <c r="BG217" s="43"/>
      <c r="BH217" s="12"/>
    </row>
    <row r="218" spans="1:60" s="3" customFormat="1" ht="20.399999999999999" x14ac:dyDescent="0.3">
      <c r="A218" s="25"/>
      <c r="B218" s="26" t="s">
        <v>370</v>
      </c>
      <c r="C218" s="419" t="s">
        <v>371</v>
      </c>
      <c r="D218" s="419"/>
      <c r="E218" s="419"/>
      <c r="F218" s="27" t="s">
        <v>75</v>
      </c>
      <c r="G218" s="22" t="s">
        <v>544</v>
      </c>
      <c r="H218" s="58"/>
      <c r="I218" s="28"/>
      <c r="J218" s="28"/>
      <c r="K218" s="29"/>
      <c r="BC218" s="14"/>
      <c r="BD218" s="15"/>
      <c r="BE218" s="21"/>
      <c r="BF218" s="12" t="s">
        <v>371</v>
      </c>
      <c r="BG218" s="43"/>
      <c r="BH218" s="12"/>
    </row>
    <row r="219" spans="1:60" s="3" customFormat="1" ht="42" x14ac:dyDescent="0.3">
      <c r="A219" s="25" t="s">
        <v>129</v>
      </c>
      <c r="B219" s="26" t="s">
        <v>492</v>
      </c>
      <c r="C219" s="419" t="s">
        <v>489</v>
      </c>
      <c r="D219" s="419"/>
      <c r="E219" s="419"/>
      <c r="F219" s="27" t="s">
        <v>75</v>
      </c>
      <c r="G219" s="22" t="s">
        <v>545</v>
      </c>
      <c r="H219" s="58"/>
      <c r="I219" s="28"/>
      <c r="J219" s="28"/>
      <c r="K219" s="29"/>
      <c r="BC219" s="14"/>
      <c r="BD219" s="15"/>
      <c r="BE219" s="21"/>
      <c r="BF219" s="12"/>
      <c r="BG219" s="43"/>
      <c r="BH219" s="12" t="s">
        <v>489</v>
      </c>
    </row>
    <row r="220" spans="1:60" s="3" customFormat="1" ht="20.399999999999999" x14ac:dyDescent="0.3">
      <c r="A220" s="25" t="s">
        <v>129</v>
      </c>
      <c r="B220" s="26" t="s">
        <v>494</v>
      </c>
      <c r="C220" s="419" t="s">
        <v>495</v>
      </c>
      <c r="D220" s="419"/>
      <c r="E220" s="419"/>
      <c r="F220" s="27" t="s">
        <v>75</v>
      </c>
      <c r="G220" s="22" t="s">
        <v>546</v>
      </c>
      <c r="H220" s="58"/>
      <c r="I220" s="28"/>
      <c r="J220" s="28"/>
      <c r="K220" s="29"/>
      <c r="BC220" s="14"/>
      <c r="BD220" s="15"/>
      <c r="BE220" s="21"/>
      <c r="BF220" s="12"/>
      <c r="BG220" s="43"/>
      <c r="BH220" s="12" t="s">
        <v>495</v>
      </c>
    </row>
    <row r="221" spans="1:60" s="3" customFormat="1" ht="15" customHeight="1" x14ac:dyDescent="0.3">
      <c r="A221" s="437" t="s">
        <v>497</v>
      </c>
      <c r="B221" s="418"/>
      <c r="C221" s="418"/>
      <c r="D221" s="418"/>
      <c r="E221" s="418"/>
      <c r="F221" s="418"/>
      <c r="G221" s="418"/>
      <c r="H221" s="123"/>
      <c r="I221" s="123"/>
      <c r="J221" s="123"/>
      <c r="K221" s="124"/>
      <c r="BC221" s="14"/>
      <c r="BD221" s="15" t="s">
        <v>497</v>
      </c>
      <c r="BE221" s="21"/>
      <c r="BF221" s="12"/>
      <c r="BG221" s="43"/>
      <c r="BH221" s="12"/>
    </row>
    <row r="222" spans="1:60" s="3" customFormat="1" ht="42" x14ac:dyDescent="0.3">
      <c r="A222" s="16" t="s">
        <v>547</v>
      </c>
      <c r="B222" s="17" t="s">
        <v>486</v>
      </c>
      <c r="C222" s="405" t="s">
        <v>487</v>
      </c>
      <c r="D222" s="405"/>
      <c r="E222" s="405"/>
      <c r="F222" s="16" t="s">
        <v>329</v>
      </c>
      <c r="G222" s="24">
        <v>0.4</v>
      </c>
      <c r="H222" s="57">
        <f>I222/G222</f>
        <v>2420.2000000000044</v>
      </c>
      <c r="I222" s="19">
        <f>27305.4-K222</f>
        <v>968.08000000000175</v>
      </c>
      <c r="J222" s="20">
        <f>K222/G222</f>
        <v>65843.299999999988</v>
      </c>
      <c r="K222" s="19">
        <v>26337.32</v>
      </c>
      <c r="BC222" s="14"/>
      <c r="BD222" s="15"/>
      <c r="BE222" s="21" t="s">
        <v>487</v>
      </c>
      <c r="BF222" s="12"/>
      <c r="BG222" s="43"/>
      <c r="BH222" s="12"/>
    </row>
    <row r="223" spans="1:60" s="3" customFormat="1" ht="42" x14ac:dyDescent="0.3">
      <c r="A223" s="25"/>
      <c r="B223" s="26" t="s">
        <v>488</v>
      </c>
      <c r="C223" s="419" t="s">
        <v>489</v>
      </c>
      <c r="D223" s="419"/>
      <c r="E223" s="419"/>
      <c r="F223" s="27" t="s">
        <v>75</v>
      </c>
      <c r="G223" s="22" t="s">
        <v>543</v>
      </c>
      <c r="H223" s="58"/>
      <c r="I223" s="28"/>
      <c r="J223" s="28"/>
      <c r="K223" s="29"/>
      <c r="BC223" s="14"/>
      <c r="BD223" s="15"/>
      <c r="BE223" s="21"/>
      <c r="BF223" s="12" t="s">
        <v>489</v>
      </c>
      <c r="BG223" s="43"/>
      <c r="BH223" s="12"/>
    </row>
    <row r="224" spans="1:60" s="3" customFormat="1" ht="20.399999999999999" x14ac:dyDescent="0.3">
      <c r="A224" s="25"/>
      <c r="B224" s="26" t="s">
        <v>370</v>
      </c>
      <c r="C224" s="419" t="s">
        <v>371</v>
      </c>
      <c r="D224" s="419"/>
      <c r="E224" s="419"/>
      <c r="F224" s="27" t="s">
        <v>75</v>
      </c>
      <c r="G224" s="22" t="s">
        <v>544</v>
      </c>
      <c r="H224" s="58"/>
      <c r="I224" s="28"/>
      <c r="J224" s="28"/>
      <c r="K224" s="29"/>
      <c r="BC224" s="14"/>
      <c r="BD224" s="15"/>
      <c r="BE224" s="21"/>
      <c r="BF224" s="12" t="s">
        <v>371</v>
      </c>
      <c r="BG224" s="43"/>
      <c r="BH224" s="12"/>
    </row>
    <row r="225" spans="1:60" s="3" customFormat="1" ht="42" x14ac:dyDescent="0.3">
      <c r="A225" s="25" t="s">
        <v>129</v>
      </c>
      <c r="B225" s="26" t="s">
        <v>492</v>
      </c>
      <c r="C225" s="419" t="s">
        <v>489</v>
      </c>
      <c r="D225" s="419"/>
      <c r="E225" s="419"/>
      <c r="F225" s="27" t="s">
        <v>75</v>
      </c>
      <c r="G225" s="22" t="s">
        <v>545</v>
      </c>
      <c r="H225" s="58"/>
      <c r="I225" s="28"/>
      <c r="J225" s="28"/>
      <c r="K225" s="29"/>
      <c r="BC225" s="14"/>
      <c r="BD225" s="15"/>
      <c r="BE225" s="21"/>
      <c r="BF225" s="12"/>
      <c r="BG225" s="43"/>
      <c r="BH225" s="12" t="s">
        <v>489</v>
      </c>
    </row>
    <row r="226" spans="1:60" s="3" customFormat="1" ht="20.399999999999999" x14ac:dyDescent="0.3">
      <c r="A226" s="25" t="s">
        <v>129</v>
      </c>
      <c r="B226" s="26" t="s">
        <v>494</v>
      </c>
      <c r="C226" s="419" t="s">
        <v>495</v>
      </c>
      <c r="D226" s="419"/>
      <c r="E226" s="419"/>
      <c r="F226" s="27" t="s">
        <v>75</v>
      </c>
      <c r="G226" s="22" t="s">
        <v>546</v>
      </c>
      <c r="H226" s="58"/>
      <c r="I226" s="28"/>
      <c r="J226" s="28"/>
      <c r="K226" s="29"/>
      <c r="BC226" s="14"/>
      <c r="BD226" s="15"/>
      <c r="BE226" s="21"/>
      <c r="BF226" s="12"/>
      <c r="BG226" s="43"/>
      <c r="BH226" s="12" t="s">
        <v>495</v>
      </c>
    </row>
    <row r="227" spans="1:60" s="3" customFormat="1" ht="15" customHeight="1" x14ac:dyDescent="0.3">
      <c r="A227" s="437" t="s">
        <v>498</v>
      </c>
      <c r="B227" s="418"/>
      <c r="C227" s="418"/>
      <c r="D227" s="418"/>
      <c r="E227" s="418"/>
      <c r="F227" s="418"/>
      <c r="G227" s="418"/>
      <c r="H227" s="123"/>
      <c r="I227" s="123"/>
      <c r="J227" s="123"/>
      <c r="K227" s="124"/>
      <c r="BC227" s="14"/>
      <c r="BD227" s="15" t="s">
        <v>498</v>
      </c>
      <c r="BE227" s="21"/>
      <c r="BF227" s="12"/>
      <c r="BG227" s="43"/>
      <c r="BH227" s="12"/>
    </row>
    <row r="228" spans="1:60" s="3" customFormat="1" ht="15" customHeight="1" x14ac:dyDescent="0.3">
      <c r="A228" s="437" t="s">
        <v>548</v>
      </c>
      <c r="B228" s="418"/>
      <c r="C228" s="418"/>
      <c r="D228" s="418"/>
      <c r="E228" s="418"/>
      <c r="F228" s="418"/>
      <c r="G228" s="418"/>
      <c r="H228" s="123"/>
      <c r="I228" s="123"/>
      <c r="J228" s="123"/>
      <c r="K228" s="124"/>
      <c r="BC228" s="14"/>
      <c r="BD228" s="15" t="s">
        <v>548</v>
      </c>
      <c r="BE228" s="21"/>
      <c r="BF228" s="12"/>
      <c r="BG228" s="43"/>
      <c r="BH228" s="12"/>
    </row>
    <row r="229" spans="1:60" s="3" customFormat="1" ht="31.8" x14ac:dyDescent="0.3">
      <c r="A229" s="16" t="s">
        <v>549</v>
      </c>
      <c r="B229" s="17" t="s">
        <v>550</v>
      </c>
      <c r="C229" s="405" t="s">
        <v>551</v>
      </c>
      <c r="D229" s="405"/>
      <c r="E229" s="405"/>
      <c r="F229" s="16" t="s">
        <v>70</v>
      </c>
      <c r="G229" s="18">
        <v>0.20399999999999999</v>
      </c>
      <c r="H229" s="57">
        <f>I229/G229</f>
        <v>47762.843137254902</v>
      </c>
      <c r="I229" s="19">
        <f>17765.46-K229</f>
        <v>9743.619999999999</v>
      </c>
      <c r="J229" s="20">
        <f>K229/G229</f>
        <v>39322.745098039217</v>
      </c>
      <c r="K229" s="19">
        <v>8021.84</v>
      </c>
      <c r="BC229" s="14"/>
      <c r="BD229" s="15"/>
      <c r="BE229" s="21" t="s">
        <v>551</v>
      </c>
      <c r="BF229" s="12"/>
      <c r="BG229" s="43"/>
      <c r="BH229" s="12"/>
    </row>
    <row r="230" spans="1:60" s="3" customFormat="1" ht="20.399999999999999" x14ac:dyDescent="0.3">
      <c r="A230" s="25"/>
      <c r="B230" s="26" t="s">
        <v>384</v>
      </c>
      <c r="C230" s="419" t="s">
        <v>385</v>
      </c>
      <c r="D230" s="419"/>
      <c r="E230" s="419"/>
      <c r="F230" s="27" t="s">
        <v>46</v>
      </c>
      <c r="G230" s="22" t="s">
        <v>552</v>
      </c>
      <c r="H230" s="58"/>
      <c r="I230" s="28"/>
      <c r="J230" s="28"/>
      <c r="K230" s="29"/>
      <c r="BC230" s="14"/>
      <c r="BD230" s="15"/>
      <c r="BE230" s="21"/>
      <c r="BF230" s="12" t="s">
        <v>385</v>
      </c>
      <c r="BG230" s="43"/>
      <c r="BH230" s="12"/>
    </row>
    <row r="231" spans="1:60" s="3" customFormat="1" ht="20.399999999999999" x14ac:dyDescent="0.3">
      <c r="A231" s="25"/>
      <c r="B231" s="26" t="s">
        <v>387</v>
      </c>
      <c r="C231" s="419" t="s">
        <v>388</v>
      </c>
      <c r="D231" s="419"/>
      <c r="E231" s="419"/>
      <c r="F231" s="27" t="s">
        <v>75</v>
      </c>
      <c r="G231" s="22" t="s">
        <v>553</v>
      </c>
      <c r="H231" s="58"/>
      <c r="I231" s="28"/>
      <c r="J231" s="28"/>
      <c r="K231" s="29"/>
      <c r="BC231" s="14"/>
      <c r="BD231" s="15"/>
      <c r="BE231" s="21"/>
      <c r="BF231" s="12" t="s">
        <v>388</v>
      </c>
      <c r="BG231" s="43"/>
      <c r="BH231" s="12"/>
    </row>
    <row r="232" spans="1:60" s="3" customFormat="1" ht="20.399999999999999" x14ac:dyDescent="0.3">
      <c r="A232" s="25"/>
      <c r="B232" s="26" t="s">
        <v>504</v>
      </c>
      <c r="C232" s="419" t="s">
        <v>505</v>
      </c>
      <c r="D232" s="419"/>
      <c r="E232" s="419"/>
      <c r="F232" s="27" t="s">
        <v>75</v>
      </c>
      <c r="G232" s="22" t="s">
        <v>554</v>
      </c>
      <c r="H232" s="58"/>
      <c r="I232" s="28"/>
      <c r="J232" s="28"/>
      <c r="K232" s="29"/>
      <c r="BC232" s="14"/>
      <c r="BD232" s="15"/>
      <c r="BE232" s="21"/>
      <c r="BF232" s="12" t="s">
        <v>505</v>
      </c>
      <c r="BG232" s="43"/>
      <c r="BH232" s="12"/>
    </row>
    <row r="233" spans="1:60" s="3" customFormat="1" ht="20.399999999999999" x14ac:dyDescent="0.3">
      <c r="A233" s="37" t="s">
        <v>78</v>
      </c>
      <c r="B233" s="38" t="s">
        <v>391</v>
      </c>
      <c r="C233" s="430" t="s">
        <v>392</v>
      </c>
      <c r="D233" s="430"/>
      <c r="E233" s="430"/>
      <c r="F233" s="39" t="s">
        <v>75</v>
      </c>
      <c r="G233" s="40" t="s">
        <v>33</v>
      </c>
      <c r="H233" s="100"/>
      <c r="I233" s="41"/>
      <c r="J233" s="41"/>
      <c r="K233" s="42"/>
      <c r="BC233" s="14"/>
      <c r="BD233" s="15"/>
      <c r="BE233" s="21"/>
      <c r="BF233" s="12"/>
      <c r="BG233" s="43" t="s">
        <v>392</v>
      </c>
      <c r="BH233" s="12"/>
    </row>
    <row r="234" spans="1:60" s="3" customFormat="1" ht="20.399999999999999" x14ac:dyDescent="0.3">
      <c r="A234" s="25"/>
      <c r="B234" s="26" t="s">
        <v>76</v>
      </c>
      <c r="C234" s="419" t="s">
        <v>77</v>
      </c>
      <c r="D234" s="419"/>
      <c r="E234" s="419"/>
      <c r="F234" s="27" t="s">
        <v>70</v>
      </c>
      <c r="G234" s="22" t="s">
        <v>555</v>
      </c>
      <c r="H234" s="58"/>
      <c r="I234" s="28"/>
      <c r="J234" s="28"/>
      <c r="K234" s="29"/>
      <c r="BC234" s="14"/>
      <c r="BD234" s="15"/>
      <c r="BE234" s="21"/>
      <c r="BF234" s="12" t="s">
        <v>77</v>
      </c>
      <c r="BG234" s="43"/>
      <c r="BH234" s="12"/>
    </row>
    <row r="235" spans="1:60" s="3" customFormat="1" ht="20.399999999999999" x14ac:dyDescent="0.3">
      <c r="A235" s="25"/>
      <c r="B235" s="26" t="s">
        <v>395</v>
      </c>
      <c r="C235" s="419" t="s">
        <v>396</v>
      </c>
      <c r="D235" s="419"/>
      <c r="E235" s="419"/>
      <c r="F235" s="27" t="s">
        <v>70</v>
      </c>
      <c r="G235" s="22" t="s">
        <v>556</v>
      </c>
      <c r="H235" s="58"/>
      <c r="I235" s="28"/>
      <c r="J235" s="28"/>
      <c r="K235" s="29"/>
      <c r="BC235" s="14"/>
      <c r="BD235" s="15"/>
      <c r="BE235" s="21"/>
      <c r="BF235" s="12" t="s">
        <v>396</v>
      </c>
      <c r="BG235" s="43"/>
      <c r="BH235" s="12"/>
    </row>
    <row r="236" spans="1:60" s="3" customFormat="1" ht="20.399999999999999" x14ac:dyDescent="0.3">
      <c r="A236" s="37" t="s">
        <v>143</v>
      </c>
      <c r="B236" s="38" t="s">
        <v>509</v>
      </c>
      <c r="C236" s="430" t="s">
        <v>557</v>
      </c>
      <c r="D236" s="430"/>
      <c r="E236" s="430"/>
      <c r="F236" s="39" t="s">
        <v>70</v>
      </c>
      <c r="G236" s="40" t="s">
        <v>558</v>
      </c>
      <c r="H236" s="100"/>
      <c r="I236" s="41"/>
      <c r="J236" s="41"/>
      <c r="K236" s="42"/>
      <c r="BC236" s="14"/>
      <c r="BD236" s="15"/>
      <c r="BE236" s="21"/>
      <c r="BF236" s="12"/>
      <c r="BG236" s="43" t="s">
        <v>557</v>
      </c>
      <c r="BH236" s="12"/>
    </row>
    <row r="237" spans="1:60" s="3" customFormat="1" ht="42" x14ac:dyDescent="0.3">
      <c r="A237" s="25"/>
      <c r="B237" s="26" t="s">
        <v>512</v>
      </c>
      <c r="C237" s="419" t="s">
        <v>513</v>
      </c>
      <c r="D237" s="419"/>
      <c r="E237" s="419"/>
      <c r="F237" s="27" t="s">
        <v>70</v>
      </c>
      <c r="G237" s="22" t="s">
        <v>559</v>
      </c>
      <c r="H237" s="58"/>
      <c r="I237" s="28"/>
      <c r="J237" s="28"/>
      <c r="K237" s="29"/>
      <c r="BC237" s="14"/>
      <c r="BD237" s="15"/>
      <c r="BE237" s="21"/>
      <c r="BF237" s="12" t="s">
        <v>513</v>
      </c>
      <c r="BG237" s="43"/>
      <c r="BH237" s="12"/>
    </row>
    <row r="238" spans="1:60" s="3" customFormat="1" ht="42" x14ac:dyDescent="0.3">
      <c r="A238" s="25"/>
      <c r="B238" s="26" t="s">
        <v>404</v>
      </c>
      <c r="C238" s="419" t="s">
        <v>405</v>
      </c>
      <c r="D238" s="419"/>
      <c r="E238" s="419"/>
      <c r="F238" s="27" t="s">
        <v>406</v>
      </c>
      <c r="G238" s="22" t="s">
        <v>560</v>
      </c>
      <c r="H238" s="58"/>
      <c r="I238" s="28"/>
      <c r="J238" s="28"/>
      <c r="K238" s="29"/>
      <c r="BC238" s="14"/>
      <c r="BD238" s="15"/>
      <c r="BE238" s="21"/>
      <c r="BF238" s="12" t="s">
        <v>405</v>
      </c>
      <c r="BG238" s="43"/>
      <c r="BH238" s="12"/>
    </row>
    <row r="239" spans="1:60" s="3" customFormat="1" ht="21.6" x14ac:dyDescent="0.3">
      <c r="A239" s="25"/>
      <c r="B239" s="26" t="s">
        <v>285</v>
      </c>
      <c r="C239" s="419" t="s">
        <v>286</v>
      </c>
      <c r="D239" s="419"/>
      <c r="E239" s="419"/>
      <c r="F239" s="27" t="s">
        <v>70</v>
      </c>
      <c r="G239" s="22" t="s">
        <v>561</v>
      </c>
      <c r="H239" s="58"/>
      <c r="I239" s="28"/>
      <c r="J239" s="28"/>
      <c r="K239" s="29"/>
      <c r="BC239" s="14"/>
      <c r="BD239" s="15"/>
      <c r="BE239" s="21"/>
      <c r="BF239" s="12" t="s">
        <v>286</v>
      </c>
      <c r="BG239" s="43"/>
      <c r="BH239" s="12"/>
    </row>
    <row r="240" spans="1:60" s="3" customFormat="1" ht="20.399999999999999" x14ac:dyDescent="0.3">
      <c r="A240" s="25"/>
      <c r="B240" s="26" t="s">
        <v>409</v>
      </c>
      <c r="C240" s="419" t="s">
        <v>410</v>
      </c>
      <c r="D240" s="419"/>
      <c r="E240" s="419"/>
      <c r="F240" s="27" t="s">
        <v>70</v>
      </c>
      <c r="G240" s="22" t="s">
        <v>562</v>
      </c>
      <c r="H240" s="58"/>
      <c r="I240" s="28"/>
      <c r="J240" s="28"/>
      <c r="K240" s="29"/>
      <c r="BC240" s="14"/>
      <c r="BD240" s="15"/>
      <c r="BE240" s="21"/>
      <c r="BF240" s="12" t="s">
        <v>410</v>
      </c>
      <c r="BG240" s="43"/>
      <c r="BH240" s="12"/>
    </row>
    <row r="241" spans="1:60" s="3" customFormat="1" ht="21.6" x14ac:dyDescent="0.3">
      <c r="A241" s="25"/>
      <c r="B241" s="26" t="s">
        <v>412</v>
      </c>
      <c r="C241" s="419" t="s">
        <v>413</v>
      </c>
      <c r="D241" s="419"/>
      <c r="E241" s="419"/>
      <c r="F241" s="27" t="s">
        <v>46</v>
      </c>
      <c r="G241" s="22" t="s">
        <v>563</v>
      </c>
      <c r="H241" s="58"/>
      <c r="I241" s="28"/>
      <c r="J241" s="28"/>
      <c r="K241" s="29"/>
      <c r="BC241" s="14"/>
      <c r="BD241" s="15"/>
      <c r="BE241" s="21"/>
      <c r="BF241" s="12" t="s">
        <v>413</v>
      </c>
      <c r="BG241" s="43"/>
      <c r="BH241" s="12"/>
    </row>
    <row r="242" spans="1:60" s="3" customFormat="1" ht="20.399999999999999" x14ac:dyDescent="0.3">
      <c r="A242" s="25"/>
      <c r="B242" s="26" t="s">
        <v>415</v>
      </c>
      <c r="C242" s="419" t="s">
        <v>416</v>
      </c>
      <c r="D242" s="419"/>
      <c r="E242" s="419"/>
      <c r="F242" s="27" t="s">
        <v>70</v>
      </c>
      <c r="G242" s="22" t="s">
        <v>564</v>
      </c>
      <c r="H242" s="58"/>
      <c r="I242" s="28"/>
      <c r="J242" s="28"/>
      <c r="K242" s="29"/>
      <c r="BC242" s="14"/>
      <c r="BD242" s="15"/>
      <c r="BE242" s="21"/>
      <c r="BF242" s="12" t="s">
        <v>416</v>
      </c>
      <c r="BG242" s="43"/>
      <c r="BH242" s="12"/>
    </row>
    <row r="243" spans="1:60" s="3" customFormat="1" ht="20.399999999999999" x14ac:dyDescent="0.3">
      <c r="A243" s="25"/>
      <c r="B243" s="26" t="s">
        <v>370</v>
      </c>
      <c r="C243" s="419" t="s">
        <v>371</v>
      </c>
      <c r="D243" s="419"/>
      <c r="E243" s="419"/>
      <c r="F243" s="27" t="s">
        <v>75</v>
      </c>
      <c r="G243" s="22" t="s">
        <v>565</v>
      </c>
      <c r="H243" s="58"/>
      <c r="I243" s="28"/>
      <c r="J243" s="28"/>
      <c r="K243" s="29"/>
      <c r="BC243" s="14"/>
      <c r="BD243" s="15"/>
      <c r="BE243" s="21"/>
      <c r="BF243" s="12" t="s">
        <v>371</v>
      </c>
      <c r="BG243" s="43"/>
      <c r="BH243" s="12"/>
    </row>
    <row r="244" spans="1:60" s="3" customFormat="1" ht="42" x14ac:dyDescent="0.3">
      <c r="A244" s="25" t="s">
        <v>129</v>
      </c>
      <c r="B244" s="26" t="s">
        <v>566</v>
      </c>
      <c r="C244" s="419" t="s">
        <v>567</v>
      </c>
      <c r="D244" s="419"/>
      <c r="E244" s="419"/>
      <c r="F244" s="27" t="s">
        <v>158</v>
      </c>
      <c r="G244" s="22" t="s">
        <v>568</v>
      </c>
      <c r="H244" s="58"/>
      <c r="I244" s="28"/>
      <c r="J244" s="28"/>
      <c r="K244" s="29"/>
      <c r="BC244" s="14"/>
      <c r="BD244" s="15"/>
      <c r="BE244" s="21"/>
      <c r="BF244" s="12"/>
      <c r="BG244" s="43"/>
      <c r="BH244" s="12" t="s">
        <v>567</v>
      </c>
    </row>
    <row r="245" spans="1:60" s="3" customFormat="1" ht="15" customHeight="1" x14ac:dyDescent="0.3">
      <c r="A245" s="437" t="s">
        <v>569</v>
      </c>
      <c r="B245" s="418"/>
      <c r="C245" s="418"/>
      <c r="D245" s="418"/>
      <c r="E245" s="418"/>
      <c r="F245" s="418"/>
      <c r="G245" s="418"/>
      <c r="H245" s="123"/>
      <c r="I245" s="123"/>
      <c r="J245" s="123"/>
      <c r="K245" s="124"/>
      <c r="BC245" s="14"/>
      <c r="BD245" s="15" t="s">
        <v>569</v>
      </c>
      <c r="BE245" s="21"/>
      <c r="BF245" s="12"/>
      <c r="BG245" s="43"/>
      <c r="BH245" s="12"/>
    </row>
    <row r="246" spans="1:60" s="3" customFormat="1" ht="21.6" x14ac:dyDescent="0.3">
      <c r="A246" s="16" t="s">
        <v>570</v>
      </c>
      <c r="B246" s="17" t="s">
        <v>500</v>
      </c>
      <c r="C246" s="405" t="s">
        <v>501</v>
      </c>
      <c r="D246" s="405"/>
      <c r="E246" s="405"/>
      <c r="F246" s="16" t="s">
        <v>70</v>
      </c>
      <c r="G246" s="18">
        <v>0.38500000000000001</v>
      </c>
      <c r="H246" s="57">
        <f>I246/G246</f>
        <v>43937.506493506502</v>
      </c>
      <c r="I246" s="19">
        <f>17217.45-K246</f>
        <v>16915.940000000002</v>
      </c>
      <c r="J246" s="20">
        <f>K246/G246</f>
        <v>783.14285714285711</v>
      </c>
      <c r="K246" s="19">
        <v>301.51</v>
      </c>
      <c r="BC246" s="14"/>
      <c r="BD246" s="15"/>
      <c r="BE246" s="21" t="s">
        <v>501</v>
      </c>
      <c r="BF246" s="12"/>
      <c r="BG246" s="43"/>
      <c r="BH246" s="12"/>
    </row>
    <row r="247" spans="1:60" s="3" customFormat="1" ht="20.399999999999999" x14ac:dyDescent="0.3">
      <c r="A247" s="25"/>
      <c r="B247" s="26" t="s">
        <v>384</v>
      </c>
      <c r="C247" s="419" t="s">
        <v>385</v>
      </c>
      <c r="D247" s="419"/>
      <c r="E247" s="419"/>
      <c r="F247" s="27" t="s">
        <v>46</v>
      </c>
      <c r="G247" s="22" t="s">
        <v>571</v>
      </c>
      <c r="H247" s="58"/>
      <c r="I247" s="28"/>
      <c r="J247" s="28"/>
      <c r="K247" s="29"/>
      <c r="BC247" s="14"/>
      <c r="BD247" s="15"/>
      <c r="BE247" s="21"/>
      <c r="BF247" s="12" t="s">
        <v>385</v>
      </c>
      <c r="BG247" s="43"/>
      <c r="BH247" s="12"/>
    </row>
    <row r="248" spans="1:60" s="3" customFormat="1" ht="20.399999999999999" x14ac:dyDescent="0.3">
      <c r="A248" s="25"/>
      <c r="B248" s="26" t="s">
        <v>387</v>
      </c>
      <c r="C248" s="419" t="s">
        <v>388</v>
      </c>
      <c r="D248" s="419"/>
      <c r="E248" s="419"/>
      <c r="F248" s="27" t="s">
        <v>75</v>
      </c>
      <c r="G248" s="22" t="s">
        <v>572</v>
      </c>
      <c r="H248" s="58"/>
      <c r="I248" s="28"/>
      <c r="J248" s="28"/>
      <c r="K248" s="29"/>
      <c r="BC248" s="14"/>
      <c r="BD248" s="15"/>
      <c r="BE248" s="21"/>
      <c r="BF248" s="12" t="s">
        <v>388</v>
      </c>
      <c r="BG248" s="43"/>
      <c r="BH248" s="12"/>
    </row>
    <row r="249" spans="1:60" s="3" customFormat="1" ht="20.399999999999999" x14ac:dyDescent="0.3">
      <c r="A249" s="25"/>
      <c r="B249" s="26" t="s">
        <v>504</v>
      </c>
      <c r="C249" s="419" t="s">
        <v>505</v>
      </c>
      <c r="D249" s="419"/>
      <c r="E249" s="419"/>
      <c r="F249" s="27" t="s">
        <v>75</v>
      </c>
      <c r="G249" s="22" t="s">
        <v>573</v>
      </c>
      <c r="H249" s="58"/>
      <c r="I249" s="28"/>
      <c r="J249" s="28"/>
      <c r="K249" s="29"/>
      <c r="BC249" s="14"/>
      <c r="BD249" s="15"/>
      <c r="BE249" s="21"/>
      <c r="BF249" s="12" t="s">
        <v>505</v>
      </c>
      <c r="BG249" s="43"/>
      <c r="BH249" s="12"/>
    </row>
    <row r="250" spans="1:60" s="3" customFormat="1" ht="20.399999999999999" x14ac:dyDescent="0.3">
      <c r="A250" s="37" t="s">
        <v>78</v>
      </c>
      <c r="B250" s="38" t="s">
        <v>391</v>
      </c>
      <c r="C250" s="430" t="s">
        <v>392</v>
      </c>
      <c r="D250" s="430"/>
      <c r="E250" s="430"/>
      <c r="F250" s="39" t="s">
        <v>75</v>
      </c>
      <c r="G250" s="40" t="s">
        <v>33</v>
      </c>
      <c r="H250" s="100"/>
      <c r="I250" s="41"/>
      <c r="J250" s="41"/>
      <c r="K250" s="42"/>
      <c r="BC250" s="14"/>
      <c r="BD250" s="15"/>
      <c r="BE250" s="21"/>
      <c r="BF250" s="12"/>
      <c r="BG250" s="43" t="s">
        <v>392</v>
      </c>
      <c r="BH250" s="12"/>
    </row>
    <row r="251" spans="1:60" s="3" customFormat="1" ht="20.399999999999999" x14ac:dyDescent="0.3">
      <c r="A251" s="25"/>
      <c r="B251" s="26" t="s">
        <v>76</v>
      </c>
      <c r="C251" s="419" t="s">
        <v>77</v>
      </c>
      <c r="D251" s="419"/>
      <c r="E251" s="419"/>
      <c r="F251" s="27" t="s">
        <v>70</v>
      </c>
      <c r="G251" s="22" t="s">
        <v>574</v>
      </c>
      <c r="H251" s="58"/>
      <c r="I251" s="28"/>
      <c r="J251" s="28"/>
      <c r="K251" s="29"/>
      <c r="BC251" s="14"/>
      <c r="BD251" s="15"/>
      <c r="BE251" s="21"/>
      <c r="BF251" s="12" t="s">
        <v>77</v>
      </c>
      <c r="BG251" s="43"/>
      <c r="BH251" s="12"/>
    </row>
    <row r="252" spans="1:60" s="3" customFormat="1" ht="20.399999999999999" x14ac:dyDescent="0.3">
      <c r="A252" s="25"/>
      <c r="B252" s="26" t="s">
        <v>395</v>
      </c>
      <c r="C252" s="419" t="s">
        <v>396</v>
      </c>
      <c r="D252" s="419"/>
      <c r="E252" s="419"/>
      <c r="F252" s="27" t="s">
        <v>70</v>
      </c>
      <c r="G252" s="22" t="s">
        <v>575</v>
      </c>
      <c r="H252" s="58"/>
      <c r="I252" s="28"/>
      <c r="J252" s="28"/>
      <c r="K252" s="29"/>
      <c r="BC252" s="14"/>
      <c r="BD252" s="15"/>
      <c r="BE252" s="21"/>
      <c r="BF252" s="12" t="s">
        <v>396</v>
      </c>
      <c r="BG252" s="43"/>
      <c r="BH252" s="12"/>
    </row>
    <row r="253" spans="1:60" s="3" customFormat="1" ht="20.399999999999999" x14ac:dyDescent="0.3">
      <c r="A253" s="37" t="s">
        <v>143</v>
      </c>
      <c r="B253" s="38" t="s">
        <v>509</v>
      </c>
      <c r="C253" s="430" t="s">
        <v>510</v>
      </c>
      <c r="D253" s="430"/>
      <c r="E253" s="430"/>
      <c r="F253" s="39" t="s">
        <v>70</v>
      </c>
      <c r="G253" s="40" t="s">
        <v>576</v>
      </c>
      <c r="H253" s="100"/>
      <c r="I253" s="41"/>
      <c r="J253" s="41"/>
      <c r="K253" s="42"/>
      <c r="BC253" s="14"/>
      <c r="BD253" s="15"/>
      <c r="BE253" s="21"/>
      <c r="BF253" s="12"/>
      <c r="BG253" s="43" t="s">
        <v>510</v>
      </c>
      <c r="BH253" s="12"/>
    </row>
    <row r="254" spans="1:60" s="3" customFormat="1" ht="42" x14ac:dyDescent="0.3">
      <c r="A254" s="25"/>
      <c r="B254" s="26" t="s">
        <v>512</v>
      </c>
      <c r="C254" s="419" t="s">
        <v>513</v>
      </c>
      <c r="D254" s="419"/>
      <c r="E254" s="419"/>
      <c r="F254" s="27" t="s">
        <v>70</v>
      </c>
      <c r="G254" s="22" t="s">
        <v>577</v>
      </c>
      <c r="H254" s="58"/>
      <c r="I254" s="28"/>
      <c r="J254" s="28"/>
      <c r="K254" s="29"/>
      <c r="BC254" s="14"/>
      <c r="BD254" s="15"/>
      <c r="BE254" s="21"/>
      <c r="BF254" s="12" t="s">
        <v>513</v>
      </c>
      <c r="BG254" s="43"/>
      <c r="BH254" s="12"/>
    </row>
    <row r="255" spans="1:60" s="3" customFormat="1" ht="42" x14ac:dyDescent="0.3">
      <c r="A255" s="25"/>
      <c r="B255" s="26" t="s">
        <v>404</v>
      </c>
      <c r="C255" s="419" t="s">
        <v>405</v>
      </c>
      <c r="D255" s="419"/>
      <c r="E255" s="419"/>
      <c r="F255" s="27" t="s">
        <v>406</v>
      </c>
      <c r="G255" s="22" t="s">
        <v>578</v>
      </c>
      <c r="H255" s="58"/>
      <c r="I255" s="28"/>
      <c r="J255" s="28"/>
      <c r="K255" s="29"/>
      <c r="BC255" s="14"/>
      <c r="BD255" s="15"/>
      <c r="BE255" s="21"/>
      <c r="BF255" s="12" t="s">
        <v>405</v>
      </c>
      <c r="BG255" s="43"/>
      <c r="BH255" s="12"/>
    </row>
    <row r="256" spans="1:60" s="3" customFormat="1" ht="21.6" x14ac:dyDescent="0.3">
      <c r="A256" s="25"/>
      <c r="B256" s="26" t="s">
        <v>285</v>
      </c>
      <c r="C256" s="419" t="s">
        <v>286</v>
      </c>
      <c r="D256" s="419"/>
      <c r="E256" s="419"/>
      <c r="F256" s="27" t="s">
        <v>70</v>
      </c>
      <c r="G256" s="22" t="s">
        <v>579</v>
      </c>
      <c r="H256" s="58"/>
      <c r="I256" s="28"/>
      <c r="J256" s="28"/>
      <c r="K256" s="29"/>
      <c r="BC256" s="14"/>
      <c r="BD256" s="15"/>
      <c r="BE256" s="21"/>
      <c r="BF256" s="12" t="s">
        <v>286</v>
      </c>
      <c r="BG256" s="43"/>
      <c r="BH256" s="12"/>
    </row>
    <row r="257" spans="1:60" s="3" customFormat="1" ht="20.399999999999999" x14ac:dyDescent="0.3">
      <c r="A257" s="25"/>
      <c r="B257" s="26" t="s">
        <v>409</v>
      </c>
      <c r="C257" s="419" t="s">
        <v>410</v>
      </c>
      <c r="D257" s="419"/>
      <c r="E257" s="419"/>
      <c r="F257" s="27" t="s">
        <v>70</v>
      </c>
      <c r="G257" s="22" t="s">
        <v>580</v>
      </c>
      <c r="H257" s="58"/>
      <c r="I257" s="28"/>
      <c r="J257" s="28"/>
      <c r="K257" s="29"/>
      <c r="BC257" s="14"/>
      <c r="BD257" s="15"/>
      <c r="BE257" s="21"/>
      <c r="BF257" s="12" t="s">
        <v>410</v>
      </c>
      <c r="BG257" s="43"/>
      <c r="BH257" s="12"/>
    </row>
    <row r="258" spans="1:60" s="3" customFormat="1" ht="21.6" x14ac:dyDescent="0.3">
      <c r="A258" s="25"/>
      <c r="B258" s="26" t="s">
        <v>412</v>
      </c>
      <c r="C258" s="419" t="s">
        <v>413</v>
      </c>
      <c r="D258" s="419"/>
      <c r="E258" s="419"/>
      <c r="F258" s="27" t="s">
        <v>46</v>
      </c>
      <c r="G258" s="22" t="s">
        <v>581</v>
      </c>
      <c r="H258" s="58"/>
      <c r="I258" s="28"/>
      <c r="J258" s="28"/>
      <c r="K258" s="29"/>
      <c r="BC258" s="14"/>
      <c r="BD258" s="15"/>
      <c r="BE258" s="21"/>
      <c r="BF258" s="12" t="s">
        <v>413</v>
      </c>
      <c r="BG258" s="43"/>
      <c r="BH258" s="12"/>
    </row>
    <row r="259" spans="1:60" s="3" customFormat="1" ht="20.399999999999999" x14ac:dyDescent="0.3">
      <c r="A259" s="25"/>
      <c r="B259" s="26" t="s">
        <v>415</v>
      </c>
      <c r="C259" s="419" t="s">
        <v>416</v>
      </c>
      <c r="D259" s="419"/>
      <c r="E259" s="419"/>
      <c r="F259" s="27" t="s">
        <v>70</v>
      </c>
      <c r="G259" s="22" t="s">
        <v>582</v>
      </c>
      <c r="H259" s="58"/>
      <c r="I259" s="28"/>
      <c r="J259" s="28"/>
      <c r="K259" s="29"/>
      <c r="BC259" s="14"/>
      <c r="BD259" s="15"/>
      <c r="BE259" s="21"/>
      <c r="BF259" s="12" t="s">
        <v>416</v>
      </c>
      <c r="BG259" s="43"/>
      <c r="BH259" s="12"/>
    </row>
    <row r="260" spans="1:60" s="3" customFormat="1" ht="20.399999999999999" x14ac:dyDescent="0.3">
      <c r="A260" s="25"/>
      <c r="B260" s="26" t="s">
        <v>370</v>
      </c>
      <c r="C260" s="419" t="s">
        <v>371</v>
      </c>
      <c r="D260" s="419"/>
      <c r="E260" s="419"/>
      <c r="F260" s="27" t="s">
        <v>75</v>
      </c>
      <c r="G260" s="22" t="s">
        <v>583</v>
      </c>
      <c r="H260" s="58"/>
      <c r="I260" s="28"/>
      <c r="J260" s="28"/>
      <c r="K260" s="29"/>
      <c r="BC260" s="14"/>
      <c r="BD260" s="15"/>
      <c r="BE260" s="21"/>
      <c r="BF260" s="12" t="s">
        <v>371</v>
      </c>
      <c r="BG260" s="43"/>
      <c r="BH260" s="12"/>
    </row>
    <row r="261" spans="1:60" s="3" customFormat="1" ht="21.6" x14ac:dyDescent="0.3">
      <c r="A261" s="16" t="s">
        <v>584</v>
      </c>
      <c r="B261" s="17" t="s">
        <v>521</v>
      </c>
      <c r="C261" s="405" t="s">
        <v>119</v>
      </c>
      <c r="D261" s="405"/>
      <c r="E261" s="405"/>
      <c r="F261" s="16" t="s">
        <v>70</v>
      </c>
      <c r="G261" s="18">
        <v>0.38500000000000001</v>
      </c>
      <c r="H261" s="57">
        <v>0</v>
      </c>
      <c r="I261" s="19">
        <v>0</v>
      </c>
      <c r="J261" s="20">
        <f>K261/G261</f>
        <v>67003.350649350643</v>
      </c>
      <c r="K261" s="19">
        <v>25796.29</v>
      </c>
      <c r="BC261" s="14"/>
      <c r="BD261" s="15"/>
      <c r="BE261" s="21" t="s">
        <v>119</v>
      </c>
      <c r="BF261" s="12"/>
      <c r="BG261" s="43"/>
      <c r="BH261" s="12"/>
    </row>
    <row r="262" spans="1:60" s="3" customFormat="1" ht="14.4" x14ac:dyDescent="0.3">
      <c r="A262" s="16" t="s">
        <v>585</v>
      </c>
      <c r="B262" s="17" t="s">
        <v>586</v>
      </c>
      <c r="C262" s="405" t="s">
        <v>587</v>
      </c>
      <c r="D262" s="405"/>
      <c r="E262" s="405"/>
      <c r="F262" s="16" t="s">
        <v>70</v>
      </c>
      <c r="G262" s="18">
        <v>2.3E-2</v>
      </c>
      <c r="H262" s="57">
        <v>0</v>
      </c>
      <c r="I262" s="19">
        <v>0</v>
      </c>
      <c r="J262" s="20">
        <f>K262/G262</f>
        <v>244215.65217391305</v>
      </c>
      <c r="K262" s="19">
        <v>5616.96</v>
      </c>
      <c r="M262" s="56"/>
      <c r="BC262" s="14"/>
      <c r="BD262" s="15"/>
      <c r="BE262" s="21" t="s">
        <v>587</v>
      </c>
      <c r="BF262" s="12"/>
      <c r="BG262" s="43"/>
      <c r="BH262" s="12"/>
    </row>
    <row r="263" spans="1:60" s="3" customFormat="1" ht="20.25" customHeight="1" x14ac:dyDescent="0.3">
      <c r="A263" s="406" t="s">
        <v>57</v>
      </c>
      <c r="B263" s="407"/>
      <c r="C263" s="407"/>
      <c r="D263" s="407"/>
      <c r="E263" s="407"/>
      <c r="F263" s="407"/>
      <c r="G263" s="407"/>
      <c r="H263" s="66"/>
      <c r="I263" s="67">
        <f>SUM(I11:I262)</f>
        <v>1000127.1699999997</v>
      </c>
      <c r="J263" s="72"/>
      <c r="K263" s="67">
        <f>SUM(K11:K262)</f>
        <v>2144400.44</v>
      </c>
    </row>
    <row r="264" spans="1:60" s="53" customFormat="1" ht="20.25" customHeight="1" thickBot="1" x14ac:dyDescent="0.35">
      <c r="A264" s="408" t="s">
        <v>5461</v>
      </c>
      <c r="B264" s="409"/>
      <c r="C264" s="409"/>
      <c r="D264" s="409"/>
      <c r="E264" s="409"/>
      <c r="F264" s="409"/>
      <c r="G264" s="409"/>
      <c r="H264" s="88"/>
      <c r="I264" s="410">
        <f>I263+K263</f>
        <v>3144527.6099999994</v>
      </c>
      <c r="J264" s="411"/>
      <c r="K264" s="412"/>
    </row>
  </sheetData>
  <autoFilter ref="A9:BQ264" xr:uid="{00000000-0001-0000-0300-000000000000}">
    <filterColumn colId="2" showButton="0"/>
    <filterColumn colId="3" showButton="0"/>
  </autoFilter>
  <mergeCells count="263">
    <mergeCell ref="A263:G263"/>
    <mergeCell ref="I264:K264"/>
    <mergeCell ref="A96:G96"/>
    <mergeCell ref="A21:G21"/>
    <mergeCell ref="A10:G10"/>
    <mergeCell ref="A95:G95"/>
    <mergeCell ref="A88:G88"/>
    <mergeCell ref="A81:G81"/>
    <mergeCell ref="A75:G75"/>
    <mergeCell ref="A74:G74"/>
    <mergeCell ref="A66:G66"/>
    <mergeCell ref="A51:G51"/>
    <mergeCell ref="A33:G33"/>
    <mergeCell ref="A27:G27"/>
    <mergeCell ref="A264:G264"/>
    <mergeCell ref="C259:E259"/>
    <mergeCell ref="C260:E260"/>
    <mergeCell ref="C261:E261"/>
    <mergeCell ref="C262:E262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6:E246"/>
    <mergeCell ref="C247:E247"/>
    <mergeCell ref="C248:E248"/>
    <mergeCell ref="A245:G245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A228:G228"/>
    <mergeCell ref="A227:G227"/>
    <mergeCell ref="C219:E219"/>
    <mergeCell ref="C220:E220"/>
    <mergeCell ref="C222:E222"/>
    <mergeCell ref="C223:E223"/>
    <mergeCell ref="A221:G221"/>
    <mergeCell ref="C216:E216"/>
    <mergeCell ref="C217:E217"/>
    <mergeCell ref="C218:E218"/>
    <mergeCell ref="A215:G215"/>
    <mergeCell ref="A214:G214"/>
    <mergeCell ref="C209:E209"/>
    <mergeCell ref="C211:E211"/>
    <mergeCell ref="C212:E212"/>
    <mergeCell ref="C213:E213"/>
    <mergeCell ref="A210:G210"/>
    <mergeCell ref="C205:E205"/>
    <mergeCell ref="C206:E206"/>
    <mergeCell ref="C207:E207"/>
    <mergeCell ref="C208:E208"/>
    <mergeCell ref="A204:G204"/>
    <mergeCell ref="C199:E199"/>
    <mergeCell ref="C200:E200"/>
    <mergeCell ref="C201:E201"/>
    <mergeCell ref="C203:E203"/>
    <mergeCell ref="A202:G202"/>
    <mergeCell ref="C194:E194"/>
    <mergeCell ref="C195:E195"/>
    <mergeCell ref="C196:E196"/>
    <mergeCell ref="C197:E197"/>
    <mergeCell ref="A198:G198"/>
    <mergeCell ref="C189:E189"/>
    <mergeCell ref="C190:E190"/>
    <mergeCell ref="C191:E191"/>
    <mergeCell ref="C193:E193"/>
    <mergeCell ref="A192:G192"/>
    <mergeCell ref="C184:E184"/>
    <mergeCell ref="C186:E186"/>
    <mergeCell ref="C187:E187"/>
    <mergeCell ref="C188:E188"/>
    <mergeCell ref="A185:G185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A168:G168"/>
    <mergeCell ref="A167:G167"/>
    <mergeCell ref="C159:E159"/>
    <mergeCell ref="C160:E160"/>
    <mergeCell ref="C162:E162"/>
    <mergeCell ref="C163:E163"/>
    <mergeCell ref="A161:G161"/>
    <mergeCell ref="C156:E156"/>
    <mergeCell ref="C157:E157"/>
    <mergeCell ref="C158:E158"/>
    <mergeCell ref="A155:G155"/>
    <mergeCell ref="A154:G154"/>
    <mergeCell ref="C149:E149"/>
    <mergeCell ref="C151:E151"/>
    <mergeCell ref="C152:E152"/>
    <mergeCell ref="C153:E153"/>
    <mergeCell ref="A150:G150"/>
    <mergeCell ref="C145:E145"/>
    <mergeCell ref="C146:E146"/>
    <mergeCell ref="C147:E147"/>
    <mergeCell ref="C148:E148"/>
    <mergeCell ref="A144:G144"/>
    <mergeCell ref="C139:E139"/>
    <mergeCell ref="C140:E140"/>
    <mergeCell ref="C141:E141"/>
    <mergeCell ref="C143:E143"/>
    <mergeCell ref="A142:G142"/>
    <mergeCell ref="C134:E134"/>
    <mergeCell ref="C136:E136"/>
    <mergeCell ref="C137:E137"/>
    <mergeCell ref="C138:E138"/>
    <mergeCell ref="A135:G135"/>
    <mergeCell ref="C130:E130"/>
    <mergeCell ref="C131:E131"/>
    <mergeCell ref="C132:E132"/>
    <mergeCell ref="C133:E133"/>
    <mergeCell ref="A129:G129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3:E123"/>
    <mergeCell ref="A122:G122"/>
    <mergeCell ref="C115:E115"/>
    <mergeCell ref="C116:E116"/>
    <mergeCell ref="C117:E117"/>
    <mergeCell ref="C118:E118"/>
    <mergeCell ref="A114:G114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8:E98"/>
    <mergeCell ref="A97:G97"/>
    <mergeCell ref="C89:E89"/>
    <mergeCell ref="C90:E90"/>
    <mergeCell ref="C91:E91"/>
    <mergeCell ref="C92:E92"/>
    <mergeCell ref="C93:E93"/>
    <mergeCell ref="C84:E84"/>
    <mergeCell ref="C85:E85"/>
    <mergeCell ref="C86:E86"/>
    <mergeCell ref="C87:E87"/>
    <mergeCell ref="C79:E79"/>
    <mergeCell ref="C80:E80"/>
    <mergeCell ref="C82:E82"/>
    <mergeCell ref="C83:E83"/>
    <mergeCell ref="C76:E76"/>
    <mergeCell ref="C77:E77"/>
    <mergeCell ref="C78:E78"/>
    <mergeCell ref="C69:E69"/>
    <mergeCell ref="C70:E70"/>
    <mergeCell ref="C71:E71"/>
    <mergeCell ref="C72:E72"/>
    <mergeCell ref="C73:E73"/>
    <mergeCell ref="C64:E64"/>
    <mergeCell ref="C65:E65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C24:E24"/>
    <mergeCell ref="C25:E25"/>
    <mergeCell ref="C26:E26"/>
    <mergeCell ref="C28:E28"/>
    <mergeCell ref="C19:E19"/>
    <mergeCell ref="C20:E20"/>
    <mergeCell ref="C23:E23"/>
    <mergeCell ref="A22:G22"/>
    <mergeCell ref="A2:K2"/>
    <mergeCell ref="A3:K3"/>
    <mergeCell ref="A4:K4"/>
    <mergeCell ref="C14:E14"/>
    <mergeCell ref="C16:E16"/>
    <mergeCell ref="C18:E18"/>
    <mergeCell ref="A17:G17"/>
    <mergeCell ref="A15:G15"/>
    <mergeCell ref="C12:E12"/>
    <mergeCell ref="A13:G13"/>
    <mergeCell ref="A11:G11"/>
    <mergeCell ref="A5:K5"/>
    <mergeCell ref="C6:G6"/>
    <mergeCell ref="C8:E8"/>
    <mergeCell ref="C9:E9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BK101"/>
  <sheetViews>
    <sheetView topLeftCell="A17" workbookViewId="0">
      <selection activeCell="H7" sqref="H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1" width="17.554687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5" t="s">
        <v>5562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8" s="3" customFormat="1" ht="28.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4.4" x14ac:dyDescent="0.3">
      <c r="A4" s="404" t="s">
        <v>970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AD4" s="6" t="s">
        <v>970</v>
      </c>
      <c r="AE4" s="6" t="s">
        <v>1</v>
      </c>
      <c r="AF4" s="6" t="s">
        <v>1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</row>
    <row r="5" spans="1:58" s="3" customFormat="1" ht="15.75" customHeight="1" x14ac:dyDescent="0.3">
      <c r="A5" s="401" t="s">
        <v>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</row>
    <row r="6" spans="1:58" s="3" customFormat="1" ht="14.4" x14ac:dyDescent="0.3">
      <c r="A6" s="4"/>
      <c r="B6" s="8" t="s">
        <v>5</v>
      </c>
      <c r="C6" s="402" t="s">
        <v>971</v>
      </c>
      <c r="D6" s="402"/>
      <c r="E6" s="402"/>
      <c r="F6" s="402"/>
      <c r="G6" s="402"/>
      <c r="H6" s="11"/>
      <c r="I6" s="9"/>
      <c r="J6" s="9"/>
      <c r="K6" s="9"/>
    </row>
    <row r="7" spans="1:58" s="3" customFormat="1" ht="15" thickBot="1" x14ac:dyDescent="0.35">
      <c r="A7" s="13"/>
    </row>
    <row r="8" spans="1:58" s="3" customFormat="1" ht="36" customHeight="1" x14ac:dyDescent="0.3">
      <c r="A8" s="74" t="s">
        <v>7</v>
      </c>
      <c r="B8" s="75" t="s">
        <v>8</v>
      </c>
      <c r="C8" s="414" t="s">
        <v>9</v>
      </c>
      <c r="D8" s="415"/>
      <c r="E8" s="416"/>
      <c r="F8" s="76" t="s">
        <v>10</v>
      </c>
      <c r="G8" s="77" t="s">
        <v>11</v>
      </c>
      <c r="H8" s="78" t="s">
        <v>5739</v>
      </c>
      <c r="I8" s="78" t="s">
        <v>5740</v>
      </c>
      <c r="J8" s="78" t="s">
        <v>5741</v>
      </c>
      <c r="K8" s="110" t="s">
        <v>5742</v>
      </c>
    </row>
    <row r="9" spans="1:58" s="3" customFormat="1" ht="15" thickBot="1" x14ac:dyDescent="0.35">
      <c r="A9" s="89">
        <v>1</v>
      </c>
      <c r="B9" s="90">
        <v>2</v>
      </c>
      <c r="C9" s="424">
        <v>3</v>
      </c>
      <c r="D9" s="425"/>
      <c r="E9" s="426"/>
      <c r="F9" s="92">
        <v>4</v>
      </c>
      <c r="G9" s="90">
        <v>5</v>
      </c>
      <c r="H9" s="125">
        <v>6</v>
      </c>
      <c r="I9" s="112" t="s">
        <v>47</v>
      </c>
      <c r="J9" s="112" t="s">
        <v>52</v>
      </c>
      <c r="K9" s="113" t="s">
        <v>55</v>
      </c>
    </row>
    <row r="10" spans="1:58" s="3" customFormat="1" ht="15" customHeight="1" x14ac:dyDescent="0.3">
      <c r="A10" s="435" t="s">
        <v>972</v>
      </c>
      <c r="B10" s="436"/>
      <c r="C10" s="436"/>
      <c r="D10" s="436"/>
      <c r="E10" s="436"/>
      <c r="F10" s="436"/>
      <c r="G10" s="436"/>
      <c r="H10" s="96"/>
      <c r="I10" s="96"/>
      <c r="J10" s="96"/>
      <c r="K10" s="97"/>
      <c r="BC10" s="14" t="s">
        <v>972</v>
      </c>
    </row>
    <row r="11" spans="1:58" s="3" customFormat="1" ht="31.5" customHeight="1" x14ac:dyDescent="0.3">
      <c r="A11" s="437" t="s">
        <v>973</v>
      </c>
      <c r="B11" s="418"/>
      <c r="C11" s="418"/>
      <c r="D11" s="418"/>
      <c r="E11" s="418"/>
      <c r="F11" s="418"/>
      <c r="G11" s="418"/>
      <c r="H11" s="61"/>
      <c r="I11" s="61"/>
      <c r="J11" s="61"/>
      <c r="K11" s="62"/>
      <c r="BC11" s="14"/>
      <c r="BD11" s="15" t="s">
        <v>973</v>
      </c>
    </row>
    <row r="12" spans="1:58" s="3" customFormat="1" ht="21.6" x14ac:dyDescent="0.3">
      <c r="A12" s="16" t="s">
        <v>15</v>
      </c>
      <c r="B12" s="17" t="s">
        <v>382</v>
      </c>
      <c r="C12" s="451" t="s">
        <v>383</v>
      </c>
      <c r="D12" s="405"/>
      <c r="E12" s="405"/>
      <c r="F12" s="16" t="s">
        <v>70</v>
      </c>
      <c r="G12" s="31">
        <v>23.05</v>
      </c>
      <c r="H12" s="31"/>
      <c r="I12" s="19">
        <f>2943359.47-K12</f>
        <v>1251753.0900000003</v>
      </c>
      <c r="J12" s="19"/>
      <c r="K12" s="19">
        <v>1691606.38</v>
      </c>
      <c r="BC12" s="14"/>
      <c r="BD12" s="15"/>
      <c r="BE12" s="21" t="s">
        <v>383</v>
      </c>
    </row>
    <row r="13" spans="1:58" s="3" customFormat="1" ht="20.399999999999999" x14ac:dyDescent="0.3">
      <c r="A13" s="25"/>
      <c r="B13" s="26" t="s">
        <v>384</v>
      </c>
      <c r="C13" s="419" t="s">
        <v>385</v>
      </c>
      <c r="D13" s="419"/>
      <c r="E13" s="419"/>
      <c r="F13" s="27" t="s">
        <v>46</v>
      </c>
      <c r="G13" s="22" t="s">
        <v>974</v>
      </c>
      <c r="H13" s="22"/>
      <c r="I13" s="28"/>
      <c r="J13" s="28"/>
      <c r="K13" s="29"/>
      <c r="BC13" s="14"/>
      <c r="BD13" s="15"/>
      <c r="BE13" s="21"/>
      <c r="BF13" s="12" t="s">
        <v>385</v>
      </c>
    </row>
    <row r="14" spans="1:58" s="3" customFormat="1" ht="20.399999999999999" x14ac:dyDescent="0.3">
      <c r="A14" s="25"/>
      <c r="B14" s="26" t="s">
        <v>387</v>
      </c>
      <c r="C14" s="419" t="s">
        <v>388</v>
      </c>
      <c r="D14" s="419"/>
      <c r="E14" s="419"/>
      <c r="F14" s="27" t="s">
        <v>75</v>
      </c>
      <c r="G14" s="22" t="s">
        <v>975</v>
      </c>
      <c r="H14" s="22"/>
      <c r="I14" s="28"/>
      <c r="J14" s="28"/>
      <c r="K14" s="29"/>
      <c r="BC14" s="14"/>
      <c r="BD14" s="15"/>
      <c r="BE14" s="21"/>
      <c r="BF14" s="12" t="s">
        <v>388</v>
      </c>
    </row>
    <row r="15" spans="1:58" s="3" customFormat="1" ht="20.399999999999999" x14ac:dyDescent="0.3">
      <c r="A15" s="25"/>
      <c r="B15" s="26" t="s">
        <v>277</v>
      </c>
      <c r="C15" s="419" t="s">
        <v>278</v>
      </c>
      <c r="D15" s="419"/>
      <c r="E15" s="419"/>
      <c r="F15" s="27" t="s">
        <v>70</v>
      </c>
      <c r="G15" s="22" t="s">
        <v>976</v>
      </c>
      <c r="H15" s="22"/>
      <c r="I15" s="28"/>
      <c r="J15" s="28"/>
      <c r="K15" s="29"/>
      <c r="BC15" s="14"/>
      <c r="BD15" s="15"/>
      <c r="BE15" s="21"/>
      <c r="BF15" s="12" t="s">
        <v>278</v>
      </c>
    </row>
    <row r="16" spans="1:58" s="3" customFormat="1" ht="20.399999999999999" x14ac:dyDescent="0.3">
      <c r="A16" s="25"/>
      <c r="B16" s="26" t="s">
        <v>391</v>
      </c>
      <c r="C16" s="419" t="s">
        <v>392</v>
      </c>
      <c r="D16" s="419"/>
      <c r="E16" s="419"/>
      <c r="F16" s="27" t="s">
        <v>75</v>
      </c>
      <c r="G16" s="22" t="s">
        <v>977</v>
      </c>
      <c r="H16" s="22"/>
      <c r="I16" s="28"/>
      <c r="J16" s="28"/>
      <c r="K16" s="29"/>
      <c r="BC16" s="14"/>
      <c r="BD16" s="15"/>
      <c r="BE16" s="21"/>
      <c r="BF16" s="12" t="s">
        <v>392</v>
      </c>
    </row>
    <row r="17" spans="1:60" s="3" customFormat="1" ht="20.399999999999999" x14ac:dyDescent="0.3">
      <c r="A17" s="25"/>
      <c r="B17" s="26" t="s">
        <v>76</v>
      </c>
      <c r="C17" s="419" t="s">
        <v>77</v>
      </c>
      <c r="D17" s="419"/>
      <c r="E17" s="419"/>
      <c r="F17" s="27" t="s">
        <v>70</v>
      </c>
      <c r="G17" s="22" t="s">
        <v>978</v>
      </c>
      <c r="H17" s="22"/>
      <c r="I17" s="28"/>
      <c r="J17" s="28"/>
      <c r="K17" s="29"/>
      <c r="BC17" s="14"/>
      <c r="BD17" s="15"/>
      <c r="BE17" s="21"/>
      <c r="BF17" s="12" t="s">
        <v>77</v>
      </c>
    </row>
    <row r="18" spans="1:60" s="3" customFormat="1" ht="20.399999999999999" x14ac:dyDescent="0.3">
      <c r="A18" s="25"/>
      <c r="B18" s="26" t="s">
        <v>395</v>
      </c>
      <c r="C18" s="419" t="s">
        <v>396</v>
      </c>
      <c r="D18" s="419"/>
      <c r="E18" s="419"/>
      <c r="F18" s="27" t="s">
        <v>70</v>
      </c>
      <c r="G18" s="22" t="s">
        <v>979</v>
      </c>
      <c r="H18" s="22"/>
      <c r="I18" s="28"/>
      <c r="J18" s="28"/>
      <c r="K18" s="29"/>
      <c r="BC18" s="14"/>
      <c r="BD18" s="15"/>
      <c r="BE18" s="21"/>
      <c r="BF18" s="12" t="s">
        <v>396</v>
      </c>
    </row>
    <row r="19" spans="1:60" s="3" customFormat="1" ht="20.399999999999999" x14ac:dyDescent="0.3">
      <c r="A19" s="37" t="s">
        <v>143</v>
      </c>
      <c r="B19" s="38" t="s">
        <v>398</v>
      </c>
      <c r="C19" s="430" t="s">
        <v>399</v>
      </c>
      <c r="D19" s="430"/>
      <c r="E19" s="430"/>
      <c r="F19" s="39" t="s">
        <v>70</v>
      </c>
      <c r="G19" s="40" t="s">
        <v>980</v>
      </c>
      <c r="H19" s="40"/>
      <c r="I19" s="41"/>
      <c r="J19" s="41"/>
      <c r="K19" s="42"/>
      <c r="BC19" s="14"/>
      <c r="BD19" s="15"/>
      <c r="BE19" s="21"/>
      <c r="BF19" s="12"/>
      <c r="BG19" s="43" t="s">
        <v>399</v>
      </c>
    </row>
    <row r="20" spans="1:60" s="3" customFormat="1" ht="31.8" x14ac:dyDescent="0.3">
      <c r="A20" s="25"/>
      <c r="B20" s="26" t="s">
        <v>401</v>
      </c>
      <c r="C20" s="419" t="s">
        <v>402</v>
      </c>
      <c r="D20" s="419"/>
      <c r="E20" s="419"/>
      <c r="F20" s="27" t="s">
        <v>70</v>
      </c>
      <c r="G20" s="22" t="s">
        <v>981</v>
      </c>
      <c r="H20" s="22"/>
      <c r="I20" s="28"/>
      <c r="J20" s="28"/>
      <c r="K20" s="29"/>
      <c r="BC20" s="14"/>
      <c r="BD20" s="15"/>
      <c r="BE20" s="21"/>
      <c r="BF20" s="12" t="s">
        <v>402</v>
      </c>
      <c r="BG20" s="43"/>
    </row>
    <row r="21" spans="1:60" s="3" customFormat="1" ht="42" x14ac:dyDescent="0.3">
      <c r="A21" s="25"/>
      <c r="B21" s="26" t="s">
        <v>404</v>
      </c>
      <c r="C21" s="419" t="s">
        <v>405</v>
      </c>
      <c r="D21" s="419"/>
      <c r="E21" s="419"/>
      <c r="F21" s="27" t="s">
        <v>406</v>
      </c>
      <c r="G21" s="22" t="s">
        <v>982</v>
      </c>
      <c r="H21" s="22"/>
      <c r="I21" s="28"/>
      <c r="J21" s="28"/>
      <c r="K21" s="29"/>
      <c r="BC21" s="14"/>
      <c r="BD21" s="15"/>
      <c r="BE21" s="21"/>
      <c r="BF21" s="12" t="s">
        <v>405</v>
      </c>
      <c r="BG21" s="43"/>
    </row>
    <row r="22" spans="1:60" s="3" customFormat="1" ht="21.6" x14ac:dyDescent="0.3">
      <c r="A22" s="25"/>
      <c r="B22" s="26" t="s">
        <v>285</v>
      </c>
      <c r="C22" s="419" t="s">
        <v>286</v>
      </c>
      <c r="D22" s="419"/>
      <c r="E22" s="419"/>
      <c r="F22" s="27" t="s">
        <v>70</v>
      </c>
      <c r="G22" s="22" t="s">
        <v>983</v>
      </c>
      <c r="H22" s="22"/>
      <c r="I22" s="28"/>
      <c r="J22" s="28"/>
      <c r="K22" s="29"/>
      <c r="BC22" s="14"/>
      <c r="BD22" s="15"/>
      <c r="BE22" s="21"/>
      <c r="BF22" s="12" t="s">
        <v>286</v>
      </c>
      <c r="BG22" s="43"/>
    </row>
    <row r="23" spans="1:60" s="3" customFormat="1" ht="20.399999999999999" x14ac:dyDescent="0.3">
      <c r="A23" s="25"/>
      <c r="B23" s="26" t="s">
        <v>409</v>
      </c>
      <c r="C23" s="419" t="s">
        <v>410</v>
      </c>
      <c r="D23" s="419"/>
      <c r="E23" s="419"/>
      <c r="F23" s="27" t="s">
        <v>70</v>
      </c>
      <c r="G23" s="22" t="s">
        <v>984</v>
      </c>
      <c r="H23" s="22"/>
      <c r="I23" s="28"/>
      <c r="J23" s="28"/>
      <c r="K23" s="29"/>
      <c r="BC23" s="14"/>
      <c r="BD23" s="15"/>
      <c r="BE23" s="21"/>
      <c r="BF23" s="12" t="s">
        <v>410</v>
      </c>
      <c r="BG23" s="43"/>
    </row>
    <row r="24" spans="1:60" s="3" customFormat="1" ht="21.6" x14ac:dyDescent="0.3">
      <c r="A24" s="25"/>
      <c r="B24" s="26" t="s">
        <v>412</v>
      </c>
      <c r="C24" s="419" t="s">
        <v>413</v>
      </c>
      <c r="D24" s="419"/>
      <c r="E24" s="419"/>
      <c r="F24" s="27" t="s">
        <v>46</v>
      </c>
      <c r="G24" s="22" t="s">
        <v>985</v>
      </c>
      <c r="H24" s="22"/>
      <c r="I24" s="28"/>
      <c r="J24" s="28"/>
      <c r="K24" s="29"/>
      <c r="BC24" s="14"/>
      <c r="BD24" s="15"/>
      <c r="BE24" s="21"/>
      <c r="BF24" s="12" t="s">
        <v>413</v>
      </c>
      <c r="BG24" s="43"/>
    </row>
    <row r="25" spans="1:60" s="3" customFormat="1" ht="20.399999999999999" x14ac:dyDescent="0.3">
      <c r="A25" s="25"/>
      <c r="B25" s="26" t="s">
        <v>415</v>
      </c>
      <c r="C25" s="419" t="s">
        <v>416</v>
      </c>
      <c r="D25" s="419"/>
      <c r="E25" s="419"/>
      <c r="F25" s="27" t="s">
        <v>70</v>
      </c>
      <c r="G25" s="22" t="s">
        <v>986</v>
      </c>
      <c r="H25" s="22"/>
      <c r="I25" s="28"/>
      <c r="J25" s="28"/>
      <c r="K25" s="29"/>
      <c r="BC25" s="14"/>
      <c r="BD25" s="15"/>
      <c r="BE25" s="21"/>
      <c r="BF25" s="12" t="s">
        <v>416</v>
      </c>
      <c r="BG25" s="43"/>
    </row>
    <row r="26" spans="1:60" s="3" customFormat="1" ht="20.399999999999999" x14ac:dyDescent="0.3">
      <c r="A26" s="25"/>
      <c r="B26" s="26" t="s">
        <v>370</v>
      </c>
      <c r="C26" s="419" t="s">
        <v>371</v>
      </c>
      <c r="D26" s="419"/>
      <c r="E26" s="419"/>
      <c r="F26" s="27" t="s">
        <v>75</v>
      </c>
      <c r="G26" s="22" t="s">
        <v>987</v>
      </c>
      <c r="H26" s="22"/>
      <c r="I26" s="28"/>
      <c r="J26" s="28"/>
      <c r="K26" s="29"/>
      <c r="BC26" s="14"/>
      <c r="BD26" s="15"/>
      <c r="BE26" s="21"/>
      <c r="BF26" s="12" t="s">
        <v>371</v>
      </c>
      <c r="BG26" s="43"/>
    </row>
    <row r="27" spans="1:60" s="3" customFormat="1" ht="21.6" x14ac:dyDescent="0.3">
      <c r="A27" s="25" t="s">
        <v>129</v>
      </c>
      <c r="B27" s="26" t="s">
        <v>419</v>
      </c>
      <c r="C27" s="419" t="s">
        <v>420</v>
      </c>
      <c r="D27" s="419"/>
      <c r="E27" s="419"/>
      <c r="F27" s="27" t="s">
        <v>70</v>
      </c>
      <c r="G27" s="22" t="s">
        <v>980</v>
      </c>
      <c r="H27" s="22"/>
      <c r="I27" s="28"/>
      <c r="J27" s="28"/>
      <c r="K27" s="29"/>
      <c r="BC27" s="14"/>
      <c r="BD27" s="15"/>
      <c r="BE27" s="21"/>
      <c r="BF27" s="12"/>
      <c r="BG27" s="43"/>
      <c r="BH27" s="12" t="s">
        <v>420</v>
      </c>
    </row>
    <row r="28" spans="1:60" s="3" customFormat="1" ht="15" customHeight="1" x14ac:dyDescent="0.3">
      <c r="A28" s="437" t="s">
        <v>988</v>
      </c>
      <c r="B28" s="418"/>
      <c r="C28" s="418"/>
      <c r="D28" s="418"/>
      <c r="E28" s="418"/>
      <c r="F28" s="418"/>
      <c r="G28" s="418"/>
      <c r="H28" s="61"/>
      <c r="I28" s="61"/>
      <c r="J28" s="61"/>
      <c r="K28" s="62"/>
      <c r="BC28" s="14"/>
      <c r="BD28" s="15" t="s">
        <v>988</v>
      </c>
      <c r="BE28" s="21"/>
      <c r="BF28" s="12"/>
      <c r="BG28" s="43"/>
      <c r="BH28" s="12"/>
    </row>
    <row r="29" spans="1:60" s="3" customFormat="1" ht="21.6" x14ac:dyDescent="0.3">
      <c r="A29" s="16" t="s">
        <v>20</v>
      </c>
      <c r="B29" s="17" t="s">
        <v>382</v>
      </c>
      <c r="C29" s="405" t="s">
        <v>383</v>
      </c>
      <c r="D29" s="405"/>
      <c r="E29" s="405"/>
      <c r="F29" s="16" t="s">
        <v>70</v>
      </c>
      <c r="G29" s="31">
        <v>0.26</v>
      </c>
      <c r="H29" s="31"/>
      <c r="I29" s="19">
        <f>30182.34-K29</f>
        <v>12835.95</v>
      </c>
      <c r="J29" s="19"/>
      <c r="K29" s="19">
        <v>17346.39</v>
      </c>
      <c r="BC29" s="14"/>
      <c r="BD29" s="15"/>
      <c r="BE29" s="21" t="s">
        <v>383</v>
      </c>
      <c r="BF29" s="12"/>
      <c r="BG29" s="43"/>
      <c r="BH29" s="12"/>
    </row>
    <row r="30" spans="1:60" s="3" customFormat="1" ht="20.399999999999999" x14ac:dyDescent="0.3">
      <c r="A30" s="25"/>
      <c r="B30" s="26" t="s">
        <v>384</v>
      </c>
      <c r="C30" s="419" t="s">
        <v>385</v>
      </c>
      <c r="D30" s="419"/>
      <c r="E30" s="419"/>
      <c r="F30" s="27" t="s">
        <v>46</v>
      </c>
      <c r="G30" s="22" t="s">
        <v>989</v>
      </c>
      <c r="H30" s="22"/>
      <c r="I30" s="28"/>
      <c r="J30" s="28"/>
      <c r="K30" s="29"/>
      <c r="BC30" s="14"/>
      <c r="BD30" s="15"/>
      <c r="BE30" s="21"/>
      <c r="BF30" s="12" t="s">
        <v>385</v>
      </c>
      <c r="BG30" s="43"/>
      <c r="BH30" s="12"/>
    </row>
    <row r="31" spans="1:60" s="3" customFormat="1" ht="20.399999999999999" x14ac:dyDescent="0.3">
      <c r="A31" s="25"/>
      <c r="B31" s="26" t="s">
        <v>387</v>
      </c>
      <c r="C31" s="419" t="s">
        <v>388</v>
      </c>
      <c r="D31" s="419"/>
      <c r="E31" s="419"/>
      <c r="F31" s="27" t="s">
        <v>75</v>
      </c>
      <c r="G31" s="22" t="s">
        <v>990</v>
      </c>
      <c r="H31" s="22"/>
      <c r="I31" s="28"/>
      <c r="J31" s="28"/>
      <c r="K31" s="29"/>
      <c r="BC31" s="14"/>
      <c r="BD31" s="15"/>
      <c r="BE31" s="21"/>
      <c r="BF31" s="12" t="s">
        <v>388</v>
      </c>
      <c r="BG31" s="43"/>
      <c r="BH31" s="12"/>
    </row>
    <row r="32" spans="1:60" s="3" customFormat="1" ht="20.399999999999999" x14ac:dyDescent="0.3">
      <c r="A32" s="25"/>
      <c r="B32" s="26" t="s">
        <v>277</v>
      </c>
      <c r="C32" s="419" t="s">
        <v>278</v>
      </c>
      <c r="D32" s="419"/>
      <c r="E32" s="419"/>
      <c r="F32" s="27" t="s">
        <v>70</v>
      </c>
      <c r="G32" s="22" t="s">
        <v>991</v>
      </c>
      <c r="H32" s="22"/>
      <c r="I32" s="28"/>
      <c r="J32" s="28"/>
      <c r="K32" s="29"/>
      <c r="BC32" s="14"/>
      <c r="BD32" s="15"/>
      <c r="BE32" s="21"/>
      <c r="BF32" s="12" t="s">
        <v>278</v>
      </c>
      <c r="BG32" s="43"/>
      <c r="BH32" s="12"/>
    </row>
    <row r="33" spans="1:60" s="3" customFormat="1" ht="20.399999999999999" x14ac:dyDescent="0.3">
      <c r="A33" s="25"/>
      <c r="B33" s="26" t="s">
        <v>391</v>
      </c>
      <c r="C33" s="419" t="s">
        <v>392</v>
      </c>
      <c r="D33" s="419"/>
      <c r="E33" s="419"/>
      <c r="F33" s="27" t="s">
        <v>75</v>
      </c>
      <c r="G33" s="22" t="s">
        <v>992</v>
      </c>
      <c r="H33" s="22"/>
      <c r="I33" s="28"/>
      <c r="J33" s="28"/>
      <c r="K33" s="29"/>
      <c r="BC33" s="14"/>
      <c r="BD33" s="15"/>
      <c r="BE33" s="21"/>
      <c r="BF33" s="12" t="s">
        <v>392</v>
      </c>
      <c r="BG33" s="43"/>
      <c r="BH33" s="12"/>
    </row>
    <row r="34" spans="1:60" s="3" customFormat="1" ht="20.399999999999999" x14ac:dyDescent="0.3">
      <c r="A34" s="25"/>
      <c r="B34" s="26" t="s">
        <v>76</v>
      </c>
      <c r="C34" s="419" t="s">
        <v>77</v>
      </c>
      <c r="D34" s="419"/>
      <c r="E34" s="419"/>
      <c r="F34" s="27" t="s">
        <v>70</v>
      </c>
      <c r="G34" s="22" t="s">
        <v>993</v>
      </c>
      <c r="H34" s="22"/>
      <c r="I34" s="28"/>
      <c r="J34" s="28"/>
      <c r="K34" s="29"/>
      <c r="BC34" s="14"/>
      <c r="BD34" s="15"/>
      <c r="BE34" s="21"/>
      <c r="BF34" s="12" t="s">
        <v>77</v>
      </c>
      <c r="BG34" s="43"/>
      <c r="BH34" s="12"/>
    </row>
    <row r="35" spans="1:60" s="3" customFormat="1" ht="20.399999999999999" x14ac:dyDescent="0.3">
      <c r="A35" s="25"/>
      <c r="B35" s="26" t="s">
        <v>395</v>
      </c>
      <c r="C35" s="419" t="s">
        <v>396</v>
      </c>
      <c r="D35" s="419"/>
      <c r="E35" s="419"/>
      <c r="F35" s="27" t="s">
        <v>70</v>
      </c>
      <c r="G35" s="22" t="s">
        <v>994</v>
      </c>
      <c r="H35" s="22"/>
      <c r="I35" s="28"/>
      <c r="J35" s="28"/>
      <c r="K35" s="29"/>
      <c r="BC35" s="14"/>
      <c r="BD35" s="15"/>
      <c r="BE35" s="21"/>
      <c r="BF35" s="12" t="s">
        <v>396</v>
      </c>
      <c r="BG35" s="43"/>
      <c r="BH35" s="12"/>
    </row>
    <row r="36" spans="1:60" s="3" customFormat="1" ht="20.399999999999999" x14ac:dyDescent="0.3">
      <c r="A36" s="37" t="s">
        <v>143</v>
      </c>
      <c r="B36" s="38" t="s">
        <v>398</v>
      </c>
      <c r="C36" s="430" t="s">
        <v>399</v>
      </c>
      <c r="D36" s="430"/>
      <c r="E36" s="430"/>
      <c r="F36" s="39" t="s">
        <v>70</v>
      </c>
      <c r="G36" s="40" t="s">
        <v>995</v>
      </c>
      <c r="H36" s="40"/>
      <c r="I36" s="41"/>
      <c r="J36" s="41"/>
      <c r="K36" s="42"/>
      <c r="BC36" s="14"/>
      <c r="BD36" s="15"/>
      <c r="BE36" s="21"/>
      <c r="BF36" s="12"/>
      <c r="BG36" s="43" t="s">
        <v>399</v>
      </c>
      <c r="BH36" s="12"/>
    </row>
    <row r="37" spans="1:60" s="3" customFormat="1" ht="31.8" x14ac:dyDescent="0.3">
      <c r="A37" s="25"/>
      <c r="B37" s="26" t="s">
        <v>401</v>
      </c>
      <c r="C37" s="419" t="s">
        <v>402</v>
      </c>
      <c r="D37" s="419"/>
      <c r="E37" s="419"/>
      <c r="F37" s="27" t="s">
        <v>70</v>
      </c>
      <c r="G37" s="22" t="s">
        <v>996</v>
      </c>
      <c r="H37" s="22"/>
      <c r="I37" s="28"/>
      <c r="J37" s="28"/>
      <c r="K37" s="29"/>
      <c r="BC37" s="14"/>
      <c r="BD37" s="15"/>
      <c r="BE37" s="21"/>
      <c r="BF37" s="12" t="s">
        <v>402</v>
      </c>
      <c r="BG37" s="43"/>
      <c r="BH37" s="12"/>
    </row>
    <row r="38" spans="1:60" s="3" customFormat="1" ht="42" x14ac:dyDescent="0.3">
      <c r="A38" s="25"/>
      <c r="B38" s="26" t="s">
        <v>404</v>
      </c>
      <c r="C38" s="419" t="s">
        <v>405</v>
      </c>
      <c r="D38" s="419"/>
      <c r="E38" s="419"/>
      <c r="F38" s="27" t="s">
        <v>406</v>
      </c>
      <c r="G38" s="22" t="s">
        <v>997</v>
      </c>
      <c r="H38" s="22"/>
      <c r="I38" s="28"/>
      <c r="J38" s="28"/>
      <c r="K38" s="29"/>
      <c r="BC38" s="14"/>
      <c r="BD38" s="15"/>
      <c r="BE38" s="21"/>
      <c r="BF38" s="12" t="s">
        <v>405</v>
      </c>
      <c r="BG38" s="43"/>
      <c r="BH38" s="12"/>
    </row>
    <row r="39" spans="1:60" s="3" customFormat="1" ht="21.6" x14ac:dyDescent="0.3">
      <c r="A39" s="25"/>
      <c r="B39" s="26" t="s">
        <v>285</v>
      </c>
      <c r="C39" s="419" t="s">
        <v>286</v>
      </c>
      <c r="D39" s="419"/>
      <c r="E39" s="419"/>
      <c r="F39" s="27" t="s">
        <v>70</v>
      </c>
      <c r="G39" s="22" t="s">
        <v>998</v>
      </c>
      <c r="H39" s="22"/>
      <c r="I39" s="28"/>
      <c r="J39" s="28"/>
      <c r="K39" s="29"/>
      <c r="BC39" s="14"/>
      <c r="BD39" s="15"/>
      <c r="BE39" s="21"/>
      <c r="BF39" s="12" t="s">
        <v>286</v>
      </c>
      <c r="BG39" s="43"/>
      <c r="BH39" s="12"/>
    </row>
    <row r="40" spans="1:60" s="3" customFormat="1" ht="20.399999999999999" x14ac:dyDescent="0.3">
      <c r="A40" s="25"/>
      <c r="B40" s="26" t="s">
        <v>409</v>
      </c>
      <c r="C40" s="419" t="s">
        <v>410</v>
      </c>
      <c r="D40" s="419"/>
      <c r="E40" s="419"/>
      <c r="F40" s="27" t="s">
        <v>70</v>
      </c>
      <c r="G40" s="22" t="s">
        <v>999</v>
      </c>
      <c r="H40" s="22"/>
      <c r="I40" s="28"/>
      <c r="J40" s="28"/>
      <c r="K40" s="29"/>
      <c r="BC40" s="14"/>
      <c r="BD40" s="15"/>
      <c r="BE40" s="21"/>
      <c r="BF40" s="12" t="s">
        <v>410</v>
      </c>
      <c r="BG40" s="43"/>
      <c r="BH40" s="12"/>
    </row>
    <row r="41" spans="1:60" s="3" customFormat="1" ht="21.6" x14ac:dyDescent="0.3">
      <c r="A41" s="25"/>
      <c r="B41" s="26" t="s">
        <v>412</v>
      </c>
      <c r="C41" s="419" t="s">
        <v>413</v>
      </c>
      <c r="D41" s="419"/>
      <c r="E41" s="419"/>
      <c r="F41" s="27" t="s">
        <v>46</v>
      </c>
      <c r="G41" s="22" t="s">
        <v>1000</v>
      </c>
      <c r="H41" s="22"/>
      <c r="I41" s="28"/>
      <c r="J41" s="28"/>
      <c r="K41" s="29"/>
      <c r="BC41" s="14"/>
      <c r="BD41" s="15"/>
      <c r="BE41" s="21"/>
      <c r="BF41" s="12" t="s">
        <v>413</v>
      </c>
      <c r="BG41" s="43"/>
      <c r="BH41" s="12"/>
    </row>
    <row r="42" spans="1:60" s="3" customFormat="1" ht="20.399999999999999" x14ac:dyDescent="0.3">
      <c r="A42" s="25"/>
      <c r="B42" s="26" t="s">
        <v>415</v>
      </c>
      <c r="C42" s="419" t="s">
        <v>416</v>
      </c>
      <c r="D42" s="419"/>
      <c r="E42" s="419"/>
      <c r="F42" s="27" t="s">
        <v>70</v>
      </c>
      <c r="G42" s="22" t="s">
        <v>1001</v>
      </c>
      <c r="H42" s="22"/>
      <c r="I42" s="28"/>
      <c r="J42" s="28"/>
      <c r="K42" s="29"/>
      <c r="BC42" s="14"/>
      <c r="BD42" s="15"/>
      <c r="BE42" s="21"/>
      <c r="BF42" s="12" t="s">
        <v>416</v>
      </c>
      <c r="BG42" s="43"/>
      <c r="BH42" s="12"/>
    </row>
    <row r="43" spans="1:60" s="3" customFormat="1" ht="20.399999999999999" x14ac:dyDescent="0.3">
      <c r="A43" s="25"/>
      <c r="B43" s="26" t="s">
        <v>370</v>
      </c>
      <c r="C43" s="419" t="s">
        <v>371</v>
      </c>
      <c r="D43" s="419"/>
      <c r="E43" s="419"/>
      <c r="F43" s="27" t="s">
        <v>75</v>
      </c>
      <c r="G43" s="22" t="s">
        <v>1002</v>
      </c>
      <c r="H43" s="22"/>
      <c r="I43" s="28"/>
      <c r="J43" s="28"/>
      <c r="K43" s="29"/>
      <c r="BC43" s="14"/>
      <c r="BD43" s="15"/>
      <c r="BE43" s="21"/>
      <c r="BF43" s="12" t="s">
        <v>371</v>
      </c>
      <c r="BG43" s="43"/>
      <c r="BH43" s="12"/>
    </row>
    <row r="44" spans="1:60" s="3" customFormat="1" ht="21.6" x14ac:dyDescent="0.3">
      <c r="A44" s="25" t="s">
        <v>129</v>
      </c>
      <c r="B44" s="26" t="s">
        <v>419</v>
      </c>
      <c r="C44" s="419" t="s">
        <v>420</v>
      </c>
      <c r="D44" s="419"/>
      <c r="E44" s="419"/>
      <c r="F44" s="27" t="s">
        <v>70</v>
      </c>
      <c r="G44" s="22" t="s">
        <v>995</v>
      </c>
      <c r="H44" s="22"/>
      <c r="I44" s="28"/>
      <c r="J44" s="28"/>
      <c r="K44" s="29"/>
      <c r="BC44" s="14"/>
      <c r="BD44" s="15"/>
      <c r="BE44" s="21"/>
      <c r="BF44" s="12"/>
      <c r="BG44" s="43"/>
      <c r="BH44" s="12" t="s">
        <v>420</v>
      </c>
    </row>
    <row r="45" spans="1:60" s="3" customFormat="1" ht="15" customHeight="1" x14ac:dyDescent="0.3">
      <c r="A45" s="437" t="s">
        <v>1003</v>
      </c>
      <c r="B45" s="418"/>
      <c r="C45" s="418"/>
      <c r="D45" s="418"/>
      <c r="E45" s="418"/>
      <c r="F45" s="418"/>
      <c r="G45" s="418"/>
      <c r="H45" s="61"/>
      <c r="I45" s="61"/>
      <c r="J45" s="61"/>
      <c r="K45" s="62"/>
      <c r="BC45" s="14"/>
      <c r="BD45" s="15" t="s">
        <v>1003</v>
      </c>
      <c r="BE45" s="21"/>
      <c r="BF45" s="12"/>
      <c r="BG45" s="43"/>
      <c r="BH45" s="12"/>
    </row>
    <row r="46" spans="1:60" s="3" customFormat="1" ht="24.75" customHeight="1" x14ac:dyDescent="0.3">
      <c r="A46" s="437" t="s">
        <v>1004</v>
      </c>
      <c r="B46" s="418"/>
      <c r="C46" s="418"/>
      <c r="D46" s="418"/>
      <c r="E46" s="418"/>
      <c r="F46" s="418"/>
      <c r="G46" s="418"/>
      <c r="H46" s="61"/>
      <c r="I46" s="61"/>
      <c r="J46" s="61"/>
      <c r="K46" s="62"/>
      <c r="BC46" s="14"/>
      <c r="BD46" s="15" t="s">
        <v>1004</v>
      </c>
      <c r="BE46" s="21"/>
      <c r="BF46" s="12"/>
      <c r="BG46" s="43"/>
      <c r="BH46" s="12"/>
    </row>
    <row r="47" spans="1:60" s="3" customFormat="1" ht="31.8" x14ac:dyDescent="0.3">
      <c r="A47" s="16" t="s">
        <v>22</v>
      </c>
      <c r="B47" s="17" t="s">
        <v>550</v>
      </c>
      <c r="C47" s="405" t="s">
        <v>551</v>
      </c>
      <c r="D47" s="405"/>
      <c r="E47" s="405"/>
      <c r="F47" s="16" t="s">
        <v>70</v>
      </c>
      <c r="G47" s="31">
        <v>1.42</v>
      </c>
      <c r="H47" s="31"/>
      <c r="I47" s="19">
        <f>68935.36-K47</f>
        <v>67823.31</v>
      </c>
      <c r="J47" s="19"/>
      <c r="K47" s="19">
        <v>1112.05</v>
      </c>
      <c r="BC47" s="14"/>
      <c r="BD47" s="15"/>
      <c r="BE47" s="21" t="s">
        <v>551</v>
      </c>
      <c r="BF47" s="12"/>
      <c r="BG47" s="43"/>
      <c r="BH47" s="12"/>
    </row>
    <row r="48" spans="1:60" s="3" customFormat="1" ht="20.399999999999999" x14ac:dyDescent="0.3">
      <c r="A48" s="25"/>
      <c r="B48" s="26" t="s">
        <v>384</v>
      </c>
      <c r="C48" s="419" t="s">
        <v>385</v>
      </c>
      <c r="D48" s="419"/>
      <c r="E48" s="419"/>
      <c r="F48" s="27" t="s">
        <v>46</v>
      </c>
      <c r="G48" s="22" t="s">
        <v>1005</v>
      </c>
      <c r="H48" s="22"/>
      <c r="I48" s="28"/>
      <c r="J48" s="28"/>
      <c r="K48" s="29"/>
      <c r="BC48" s="14"/>
      <c r="BD48" s="15"/>
      <c r="BE48" s="21"/>
      <c r="BF48" s="12" t="s">
        <v>385</v>
      </c>
      <c r="BG48" s="43"/>
      <c r="BH48" s="12"/>
    </row>
    <row r="49" spans="1:60" s="3" customFormat="1" ht="20.399999999999999" x14ac:dyDescent="0.3">
      <c r="A49" s="25"/>
      <c r="B49" s="26" t="s">
        <v>387</v>
      </c>
      <c r="C49" s="419" t="s">
        <v>388</v>
      </c>
      <c r="D49" s="419"/>
      <c r="E49" s="419"/>
      <c r="F49" s="27" t="s">
        <v>75</v>
      </c>
      <c r="G49" s="22" t="s">
        <v>1006</v>
      </c>
      <c r="H49" s="22"/>
      <c r="I49" s="28"/>
      <c r="J49" s="28"/>
      <c r="K49" s="29"/>
      <c r="BC49" s="14"/>
      <c r="BD49" s="15"/>
      <c r="BE49" s="21"/>
      <c r="BF49" s="12" t="s">
        <v>388</v>
      </c>
      <c r="BG49" s="43"/>
      <c r="BH49" s="12"/>
    </row>
    <row r="50" spans="1:60" s="3" customFormat="1" ht="20.399999999999999" x14ac:dyDescent="0.3">
      <c r="A50" s="25"/>
      <c r="B50" s="26" t="s">
        <v>504</v>
      </c>
      <c r="C50" s="419" t="s">
        <v>505</v>
      </c>
      <c r="D50" s="419"/>
      <c r="E50" s="419"/>
      <c r="F50" s="27" t="s">
        <v>75</v>
      </c>
      <c r="G50" s="22" t="s">
        <v>1007</v>
      </c>
      <c r="H50" s="22"/>
      <c r="I50" s="28"/>
      <c r="J50" s="28"/>
      <c r="K50" s="29"/>
      <c r="BC50" s="14"/>
      <c r="BD50" s="15"/>
      <c r="BE50" s="21"/>
      <c r="BF50" s="12" t="s">
        <v>505</v>
      </c>
      <c r="BG50" s="43"/>
      <c r="BH50" s="12"/>
    </row>
    <row r="51" spans="1:60" s="3" customFormat="1" ht="20.399999999999999" x14ac:dyDescent="0.3">
      <c r="A51" s="37" t="s">
        <v>78</v>
      </c>
      <c r="B51" s="38" t="s">
        <v>391</v>
      </c>
      <c r="C51" s="430" t="s">
        <v>392</v>
      </c>
      <c r="D51" s="430"/>
      <c r="E51" s="430"/>
      <c r="F51" s="39" t="s">
        <v>75</v>
      </c>
      <c r="G51" s="40" t="s">
        <v>33</v>
      </c>
      <c r="H51" s="40"/>
      <c r="I51" s="41"/>
      <c r="J51" s="41"/>
      <c r="K51" s="42"/>
      <c r="BC51" s="14"/>
      <c r="BD51" s="15"/>
      <c r="BE51" s="21"/>
      <c r="BF51" s="12"/>
      <c r="BG51" s="43" t="s">
        <v>392</v>
      </c>
      <c r="BH51" s="12"/>
    </row>
    <row r="52" spans="1:60" s="3" customFormat="1" ht="20.399999999999999" x14ac:dyDescent="0.3">
      <c r="A52" s="25"/>
      <c r="B52" s="26" t="s">
        <v>76</v>
      </c>
      <c r="C52" s="419" t="s">
        <v>77</v>
      </c>
      <c r="D52" s="419"/>
      <c r="E52" s="419"/>
      <c r="F52" s="27" t="s">
        <v>70</v>
      </c>
      <c r="G52" s="22" t="s">
        <v>1008</v>
      </c>
      <c r="H52" s="22"/>
      <c r="I52" s="28"/>
      <c r="J52" s="28"/>
      <c r="K52" s="29"/>
      <c r="BC52" s="14"/>
      <c r="BD52" s="15"/>
      <c r="BE52" s="21"/>
      <c r="BF52" s="12" t="s">
        <v>77</v>
      </c>
      <c r="BG52" s="43"/>
      <c r="BH52" s="12"/>
    </row>
    <row r="53" spans="1:60" s="3" customFormat="1" ht="20.399999999999999" x14ac:dyDescent="0.3">
      <c r="A53" s="25"/>
      <c r="B53" s="26" t="s">
        <v>395</v>
      </c>
      <c r="C53" s="419" t="s">
        <v>396</v>
      </c>
      <c r="D53" s="419"/>
      <c r="E53" s="419"/>
      <c r="F53" s="27" t="s">
        <v>70</v>
      </c>
      <c r="G53" s="22" t="s">
        <v>1009</v>
      </c>
      <c r="H53" s="22"/>
      <c r="I53" s="28"/>
      <c r="J53" s="28"/>
      <c r="K53" s="29"/>
      <c r="BC53" s="14"/>
      <c r="BD53" s="15"/>
      <c r="BE53" s="21"/>
      <c r="BF53" s="12" t="s">
        <v>396</v>
      </c>
      <c r="BG53" s="43"/>
      <c r="BH53" s="12"/>
    </row>
    <row r="54" spans="1:60" s="3" customFormat="1" ht="20.399999999999999" x14ac:dyDescent="0.3">
      <c r="A54" s="37" t="s">
        <v>143</v>
      </c>
      <c r="B54" s="38" t="s">
        <v>509</v>
      </c>
      <c r="C54" s="430" t="s">
        <v>557</v>
      </c>
      <c r="D54" s="430"/>
      <c r="E54" s="430"/>
      <c r="F54" s="39" t="s">
        <v>70</v>
      </c>
      <c r="G54" s="40" t="s">
        <v>1010</v>
      </c>
      <c r="H54" s="40"/>
      <c r="I54" s="41"/>
      <c r="J54" s="41"/>
      <c r="K54" s="42"/>
      <c r="BC54" s="14"/>
      <c r="BD54" s="15"/>
      <c r="BE54" s="21"/>
      <c r="BF54" s="12"/>
      <c r="BG54" s="43" t="s">
        <v>557</v>
      </c>
      <c r="BH54" s="12"/>
    </row>
    <row r="55" spans="1:60" s="3" customFormat="1" ht="42" x14ac:dyDescent="0.3">
      <c r="A55" s="25"/>
      <c r="B55" s="26" t="s">
        <v>512</v>
      </c>
      <c r="C55" s="419" t="s">
        <v>513</v>
      </c>
      <c r="D55" s="419"/>
      <c r="E55" s="419"/>
      <c r="F55" s="27" t="s">
        <v>70</v>
      </c>
      <c r="G55" s="22" t="s">
        <v>1011</v>
      </c>
      <c r="H55" s="22"/>
      <c r="I55" s="28"/>
      <c r="J55" s="28"/>
      <c r="K55" s="29"/>
      <c r="BC55" s="14"/>
      <c r="BD55" s="15"/>
      <c r="BE55" s="21"/>
      <c r="BF55" s="12" t="s">
        <v>513</v>
      </c>
      <c r="BG55" s="43"/>
      <c r="BH55" s="12"/>
    </row>
    <row r="56" spans="1:60" s="3" customFormat="1" ht="42" x14ac:dyDescent="0.3">
      <c r="A56" s="25"/>
      <c r="B56" s="26" t="s">
        <v>404</v>
      </c>
      <c r="C56" s="419" t="s">
        <v>405</v>
      </c>
      <c r="D56" s="419"/>
      <c r="E56" s="419"/>
      <c r="F56" s="27" t="s">
        <v>406</v>
      </c>
      <c r="G56" s="22" t="s">
        <v>1012</v>
      </c>
      <c r="H56" s="22"/>
      <c r="I56" s="28"/>
      <c r="J56" s="28"/>
      <c r="K56" s="29"/>
      <c r="BC56" s="14"/>
      <c r="BD56" s="15"/>
      <c r="BE56" s="21"/>
      <c r="BF56" s="12" t="s">
        <v>405</v>
      </c>
      <c r="BG56" s="43"/>
      <c r="BH56" s="12"/>
    </row>
    <row r="57" spans="1:60" s="3" customFormat="1" ht="21.6" x14ac:dyDescent="0.3">
      <c r="A57" s="25"/>
      <c r="B57" s="26" t="s">
        <v>285</v>
      </c>
      <c r="C57" s="419" t="s">
        <v>286</v>
      </c>
      <c r="D57" s="419"/>
      <c r="E57" s="419"/>
      <c r="F57" s="27" t="s">
        <v>70</v>
      </c>
      <c r="G57" s="22" t="s">
        <v>1013</v>
      </c>
      <c r="H57" s="22"/>
      <c r="I57" s="28"/>
      <c r="J57" s="28"/>
      <c r="K57" s="29"/>
      <c r="BC57" s="14"/>
      <c r="BD57" s="15"/>
      <c r="BE57" s="21"/>
      <c r="BF57" s="12" t="s">
        <v>286</v>
      </c>
      <c r="BG57" s="43"/>
      <c r="BH57" s="12"/>
    </row>
    <row r="58" spans="1:60" s="3" customFormat="1" ht="20.399999999999999" x14ac:dyDescent="0.3">
      <c r="A58" s="25"/>
      <c r="B58" s="26" t="s">
        <v>409</v>
      </c>
      <c r="C58" s="419" t="s">
        <v>410</v>
      </c>
      <c r="D58" s="419"/>
      <c r="E58" s="419"/>
      <c r="F58" s="27" t="s">
        <v>70</v>
      </c>
      <c r="G58" s="22" t="s">
        <v>1014</v>
      </c>
      <c r="H58" s="22"/>
      <c r="I58" s="28"/>
      <c r="J58" s="28"/>
      <c r="K58" s="29"/>
      <c r="BC58" s="14"/>
      <c r="BD58" s="15"/>
      <c r="BE58" s="21"/>
      <c r="BF58" s="12" t="s">
        <v>410</v>
      </c>
      <c r="BG58" s="43"/>
      <c r="BH58" s="12"/>
    </row>
    <row r="59" spans="1:60" s="3" customFormat="1" ht="21.6" x14ac:dyDescent="0.3">
      <c r="A59" s="25"/>
      <c r="B59" s="26" t="s">
        <v>412</v>
      </c>
      <c r="C59" s="419" t="s">
        <v>413</v>
      </c>
      <c r="D59" s="419"/>
      <c r="E59" s="419"/>
      <c r="F59" s="27" t="s">
        <v>46</v>
      </c>
      <c r="G59" s="22" t="s">
        <v>1015</v>
      </c>
      <c r="H59" s="22"/>
      <c r="I59" s="28"/>
      <c r="J59" s="28"/>
      <c r="K59" s="29"/>
      <c r="BC59" s="14"/>
      <c r="BD59" s="15"/>
      <c r="BE59" s="21"/>
      <c r="BF59" s="12" t="s">
        <v>413</v>
      </c>
      <c r="BG59" s="43"/>
      <c r="BH59" s="12"/>
    </row>
    <row r="60" spans="1:60" s="3" customFormat="1" ht="20.399999999999999" x14ac:dyDescent="0.3">
      <c r="A60" s="25"/>
      <c r="B60" s="26" t="s">
        <v>415</v>
      </c>
      <c r="C60" s="419" t="s">
        <v>416</v>
      </c>
      <c r="D60" s="419"/>
      <c r="E60" s="419"/>
      <c r="F60" s="27" t="s">
        <v>70</v>
      </c>
      <c r="G60" s="22" t="s">
        <v>1016</v>
      </c>
      <c r="H60" s="22"/>
      <c r="I60" s="28"/>
      <c r="J60" s="28"/>
      <c r="K60" s="29"/>
      <c r="BC60" s="14"/>
      <c r="BD60" s="15"/>
      <c r="BE60" s="21"/>
      <c r="BF60" s="12" t="s">
        <v>416</v>
      </c>
      <c r="BG60" s="43"/>
      <c r="BH60" s="12"/>
    </row>
    <row r="61" spans="1:60" s="3" customFormat="1" ht="20.399999999999999" x14ac:dyDescent="0.3">
      <c r="A61" s="25"/>
      <c r="B61" s="26" t="s">
        <v>370</v>
      </c>
      <c r="C61" s="419" t="s">
        <v>371</v>
      </c>
      <c r="D61" s="419"/>
      <c r="E61" s="419"/>
      <c r="F61" s="27" t="s">
        <v>75</v>
      </c>
      <c r="G61" s="22" t="s">
        <v>1017</v>
      </c>
      <c r="H61" s="22"/>
      <c r="I61" s="28"/>
      <c r="J61" s="28"/>
      <c r="K61" s="29"/>
      <c r="BC61" s="14"/>
      <c r="BD61" s="15"/>
      <c r="BE61" s="21"/>
      <c r="BF61" s="12" t="s">
        <v>371</v>
      </c>
      <c r="BG61" s="43"/>
      <c r="BH61" s="12"/>
    </row>
    <row r="62" spans="1:60" s="3" customFormat="1" ht="42" x14ac:dyDescent="0.3">
      <c r="A62" s="16" t="s">
        <v>27</v>
      </c>
      <c r="B62" s="17" t="s">
        <v>566</v>
      </c>
      <c r="C62" s="405" t="s">
        <v>567</v>
      </c>
      <c r="D62" s="405"/>
      <c r="E62" s="405"/>
      <c r="F62" s="16" t="s">
        <v>158</v>
      </c>
      <c r="G62" s="23">
        <v>40</v>
      </c>
      <c r="H62" s="23"/>
      <c r="I62" s="19">
        <f>72545.22-K62</f>
        <v>0</v>
      </c>
      <c r="J62" s="19"/>
      <c r="K62" s="19">
        <v>72545.22</v>
      </c>
      <c r="BC62" s="14"/>
      <c r="BD62" s="15"/>
      <c r="BE62" s="21" t="s">
        <v>567</v>
      </c>
      <c r="BF62" s="12"/>
      <c r="BG62" s="43"/>
      <c r="BH62" s="12"/>
    </row>
    <row r="63" spans="1:60" s="3" customFormat="1" ht="14.4" x14ac:dyDescent="0.3">
      <c r="A63" s="16" t="s">
        <v>35</v>
      </c>
      <c r="B63" s="17" t="s">
        <v>586</v>
      </c>
      <c r="C63" s="405" t="s">
        <v>587</v>
      </c>
      <c r="D63" s="405"/>
      <c r="E63" s="405"/>
      <c r="F63" s="16" t="s">
        <v>70</v>
      </c>
      <c r="G63" s="24">
        <v>1.1000000000000001</v>
      </c>
      <c r="H63" s="24"/>
      <c r="I63" s="19">
        <f>268637.33-K63</f>
        <v>0</v>
      </c>
      <c r="J63" s="19"/>
      <c r="K63" s="19">
        <v>268637.33</v>
      </c>
      <c r="BC63" s="14"/>
      <c r="BD63" s="15"/>
      <c r="BE63" s="21" t="s">
        <v>587</v>
      </c>
      <c r="BF63" s="12"/>
      <c r="BG63" s="43"/>
      <c r="BH63" s="12"/>
    </row>
    <row r="64" spans="1:60" s="3" customFormat="1" ht="24.75" customHeight="1" x14ac:dyDescent="0.3">
      <c r="A64" s="437" t="s">
        <v>1018</v>
      </c>
      <c r="B64" s="418"/>
      <c r="C64" s="418"/>
      <c r="D64" s="418"/>
      <c r="E64" s="418"/>
      <c r="F64" s="418"/>
      <c r="G64" s="418"/>
      <c r="H64" s="61"/>
      <c r="I64" s="61"/>
      <c r="J64" s="61"/>
      <c r="K64" s="62"/>
      <c r="BC64" s="14"/>
      <c r="BD64" s="15" t="s">
        <v>1018</v>
      </c>
      <c r="BE64" s="21"/>
      <c r="BF64" s="12"/>
      <c r="BG64" s="43"/>
      <c r="BH64" s="12"/>
    </row>
    <row r="65" spans="1:60" s="3" customFormat="1" ht="21.6" x14ac:dyDescent="0.3">
      <c r="A65" s="16" t="s">
        <v>40</v>
      </c>
      <c r="B65" s="17" t="s">
        <v>452</v>
      </c>
      <c r="C65" s="405" t="s">
        <v>453</v>
      </c>
      <c r="D65" s="405"/>
      <c r="E65" s="405"/>
      <c r="F65" s="16" t="s">
        <v>329</v>
      </c>
      <c r="G65" s="31">
        <v>3.75</v>
      </c>
      <c r="H65" s="31"/>
      <c r="I65" s="19">
        <f>414561.17-K65</f>
        <v>16565.049999999988</v>
      </c>
      <c r="J65" s="19"/>
      <c r="K65" s="19">
        <v>397996.12</v>
      </c>
      <c r="BC65" s="14"/>
      <c r="BD65" s="15"/>
      <c r="BE65" s="21" t="s">
        <v>453</v>
      </c>
      <c r="BF65" s="12"/>
      <c r="BG65" s="43"/>
      <c r="BH65" s="12"/>
    </row>
    <row r="66" spans="1:60" s="3" customFormat="1" ht="31.8" x14ac:dyDescent="0.3">
      <c r="A66" s="25"/>
      <c r="B66" s="26" t="s">
        <v>454</v>
      </c>
      <c r="C66" s="419" t="s">
        <v>455</v>
      </c>
      <c r="D66" s="419"/>
      <c r="E66" s="419"/>
      <c r="F66" s="27" t="s">
        <v>70</v>
      </c>
      <c r="G66" s="22" t="s">
        <v>1019</v>
      </c>
      <c r="H66" s="22"/>
      <c r="I66" s="28"/>
      <c r="J66" s="28"/>
      <c r="K66" s="29"/>
      <c r="BC66" s="14"/>
      <c r="BD66" s="15"/>
      <c r="BE66" s="21"/>
      <c r="BF66" s="12" t="s">
        <v>455</v>
      </c>
      <c r="BG66" s="43"/>
      <c r="BH66" s="12"/>
    </row>
    <row r="67" spans="1:60" s="3" customFormat="1" ht="20.399999999999999" x14ac:dyDescent="0.3">
      <c r="A67" s="25"/>
      <c r="B67" s="26" t="s">
        <v>370</v>
      </c>
      <c r="C67" s="419" t="s">
        <v>371</v>
      </c>
      <c r="D67" s="419"/>
      <c r="E67" s="419"/>
      <c r="F67" s="27" t="s">
        <v>75</v>
      </c>
      <c r="G67" s="22" t="s">
        <v>1020</v>
      </c>
      <c r="H67" s="22"/>
      <c r="I67" s="28"/>
      <c r="J67" s="28"/>
      <c r="K67" s="29"/>
      <c r="BC67" s="14"/>
      <c r="BD67" s="15"/>
      <c r="BE67" s="21"/>
      <c r="BF67" s="12" t="s">
        <v>371</v>
      </c>
      <c r="BG67" s="43"/>
      <c r="BH67" s="12"/>
    </row>
    <row r="68" spans="1:60" s="3" customFormat="1" ht="31.8" x14ac:dyDescent="0.3">
      <c r="A68" s="25" t="s">
        <v>129</v>
      </c>
      <c r="B68" s="26" t="s">
        <v>458</v>
      </c>
      <c r="C68" s="419" t="s">
        <v>455</v>
      </c>
      <c r="D68" s="419"/>
      <c r="E68" s="419"/>
      <c r="F68" s="27" t="s">
        <v>70</v>
      </c>
      <c r="G68" s="22" t="s">
        <v>1021</v>
      </c>
      <c r="H68" s="22"/>
      <c r="I68" s="28"/>
      <c r="J68" s="28"/>
      <c r="K68" s="29"/>
      <c r="BC68" s="14"/>
      <c r="BD68" s="15"/>
      <c r="BE68" s="21"/>
      <c r="BF68" s="12"/>
      <c r="BG68" s="43"/>
      <c r="BH68" s="12" t="s">
        <v>455</v>
      </c>
    </row>
    <row r="69" spans="1:60" s="3" customFormat="1" ht="21.6" x14ac:dyDescent="0.3">
      <c r="A69" s="25" t="s">
        <v>129</v>
      </c>
      <c r="B69" s="26" t="s">
        <v>460</v>
      </c>
      <c r="C69" s="419" t="s">
        <v>461</v>
      </c>
      <c r="D69" s="419"/>
      <c r="E69" s="419"/>
      <c r="F69" s="27" t="s">
        <v>75</v>
      </c>
      <c r="G69" s="22" t="s">
        <v>1022</v>
      </c>
      <c r="H69" s="22"/>
      <c r="I69" s="28"/>
      <c r="J69" s="28"/>
      <c r="K69" s="29"/>
      <c r="BC69" s="14"/>
      <c r="BD69" s="15"/>
      <c r="BE69" s="21"/>
      <c r="BF69" s="12"/>
      <c r="BG69" s="43"/>
      <c r="BH69" s="12" t="s">
        <v>461</v>
      </c>
    </row>
    <row r="70" spans="1:60" s="3" customFormat="1" ht="15" customHeight="1" x14ac:dyDescent="0.3">
      <c r="A70" s="437" t="s">
        <v>1023</v>
      </c>
      <c r="B70" s="418"/>
      <c r="C70" s="418"/>
      <c r="D70" s="418"/>
      <c r="E70" s="418"/>
      <c r="F70" s="418"/>
      <c r="G70" s="418"/>
      <c r="H70" s="61"/>
      <c r="I70" s="61"/>
      <c r="J70" s="61"/>
      <c r="K70" s="62"/>
      <c r="BC70" s="14"/>
      <c r="BD70" s="15" t="s">
        <v>1023</v>
      </c>
      <c r="BE70" s="21"/>
      <c r="BF70" s="12"/>
      <c r="BG70" s="43"/>
      <c r="BH70" s="12"/>
    </row>
    <row r="71" spans="1:60" s="3" customFormat="1" ht="21.6" x14ac:dyDescent="0.3">
      <c r="A71" s="16" t="s">
        <v>47</v>
      </c>
      <c r="B71" s="17" t="s">
        <v>464</v>
      </c>
      <c r="C71" s="405" t="s">
        <v>465</v>
      </c>
      <c r="D71" s="405"/>
      <c r="E71" s="405"/>
      <c r="F71" s="16" t="s">
        <v>158</v>
      </c>
      <c r="G71" s="23">
        <v>38</v>
      </c>
      <c r="H71" s="23"/>
      <c r="I71" s="19">
        <f>60358.77-K71</f>
        <v>57073.119999999995</v>
      </c>
      <c r="J71" s="19"/>
      <c r="K71" s="19">
        <v>3285.65</v>
      </c>
      <c r="BC71" s="14"/>
      <c r="BD71" s="15"/>
      <c r="BE71" s="21" t="s">
        <v>465</v>
      </c>
      <c r="BF71" s="12"/>
      <c r="BG71" s="43"/>
      <c r="BH71" s="12"/>
    </row>
    <row r="72" spans="1:60" s="3" customFormat="1" ht="20.399999999999999" x14ac:dyDescent="0.3">
      <c r="A72" s="37" t="s">
        <v>143</v>
      </c>
      <c r="B72" s="38" t="s">
        <v>466</v>
      </c>
      <c r="C72" s="430" t="s">
        <v>467</v>
      </c>
      <c r="D72" s="430"/>
      <c r="E72" s="430"/>
      <c r="F72" s="39" t="s">
        <v>75</v>
      </c>
      <c r="G72" s="40" t="s">
        <v>1024</v>
      </c>
      <c r="H72" s="40"/>
      <c r="I72" s="41"/>
      <c r="J72" s="41"/>
      <c r="K72" s="42"/>
      <c r="BC72" s="14"/>
      <c r="BD72" s="15"/>
      <c r="BE72" s="21"/>
      <c r="BF72" s="12"/>
      <c r="BG72" s="43" t="s">
        <v>467</v>
      </c>
      <c r="BH72" s="12"/>
    </row>
    <row r="73" spans="1:60" s="3" customFormat="1" ht="20.399999999999999" x14ac:dyDescent="0.3">
      <c r="A73" s="25" t="s">
        <v>129</v>
      </c>
      <c r="B73" s="26" t="s">
        <v>469</v>
      </c>
      <c r="C73" s="419" t="s">
        <v>467</v>
      </c>
      <c r="D73" s="419"/>
      <c r="E73" s="419"/>
      <c r="F73" s="27" t="s">
        <v>70</v>
      </c>
      <c r="G73" s="22" t="s">
        <v>1025</v>
      </c>
      <c r="H73" s="22"/>
      <c r="I73" s="28"/>
      <c r="J73" s="28"/>
      <c r="K73" s="29"/>
      <c r="BC73" s="14"/>
      <c r="BD73" s="15"/>
      <c r="BE73" s="21"/>
      <c r="BF73" s="12"/>
      <c r="BG73" s="43"/>
      <c r="BH73" s="12" t="s">
        <v>467</v>
      </c>
    </row>
    <row r="74" spans="1:60" s="3" customFormat="1" ht="15" customHeight="1" x14ac:dyDescent="0.3">
      <c r="A74" s="437" t="s">
        <v>1026</v>
      </c>
      <c r="B74" s="418"/>
      <c r="C74" s="418"/>
      <c r="D74" s="418"/>
      <c r="E74" s="418"/>
      <c r="F74" s="418"/>
      <c r="G74" s="418"/>
      <c r="H74" s="61"/>
      <c r="I74" s="61"/>
      <c r="J74" s="61"/>
      <c r="K74" s="62"/>
      <c r="BC74" s="14"/>
      <c r="BD74" s="15" t="s">
        <v>1026</v>
      </c>
      <c r="BE74" s="21"/>
      <c r="BF74" s="12"/>
      <c r="BG74" s="43"/>
      <c r="BH74" s="12"/>
    </row>
    <row r="75" spans="1:60" s="3" customFormat="1" ht="14.4" x14ac:dyDescent="0.3">
      <c r="A75" s="16" t="s">
        <v>52</v>
      </c>
      <c r="B75" s="17" t="s">
        <v>476</v>
      </c>
      <c r="C75" s="405" t="s">
        <v>477</v>
      </c>
      <c r="D75" s="405"/>
      <c r="E75" s="405"/>
      <c r="F75" s="16" t="s">
        <v>158</v>
      </c>
      <c r="G75" s="23">
        <v>38</v>
      </c>
      <c r="H75" s="23"/>
      <c r="I75" s="19">
        <f>2556.4-K75</f>
        <v>2556.4</v>
      </c>
      <c r="J75" s="19"/>
      <c r="K75" s="19">
        <v>0</v>
      </c>
      <c r="BC75" s="14"/>
      <c r="BD75" s="15"/>
      <c r="BE75" s="21" t="s">
        <v>477</v>
      </c>
      <c r="BF75" s="12"/>
      <c r="BG75" s="43"/>
      <c r="BH75" s="12"/>
    </row>
    <row r="76" spans="1:60" s="3" customFormat="1" ht="24.75" customHeight="1" x14ac:dyDescent="0.3">
      <c r="A76" s="437" t="s">
        <v>1027</v>
      </c>
      <c r="B76" s="418"/>
      <c r="C76" s="418"/>
      <c r="D76" s="418"/>
      <c r="E76" s="418"/>
      <c r="F76" s="418"/>
      <c r="G76" s="418"/>
      <c r="H76" s="61"/>
      <c r="I76" s="61"/>
      <c r="J76" s="61"/>
      <c r="K76" s="62"/>
      <c r="BC76" s="14"/>
      <c r="BD76" s="15" t="s">
        <v>1027</v>
      </c>
      <c r="BE76" s="21"/>
      <c r="BF76" s="12"/>
      <c r="BG76" s="43"/>
      <c r="BH76" s="12"/>
    </row>
    <row r="77" spans="1:60" s="3" customFormat="1" ht="21.6" x14ac:dyDescent="0.3">
      <c r="A77" s="16" t="s">
        <v>55</v>
      </c>
      <c r="B77" s="17" t="s">
        <v>452</v>
      </c>
      <c r="C77" s="405" t="s">
        <v>453</v>
      </c>
      <c r="D77" s="405"/>
      <c r="E77" s="405"/>
      <c r="F77" s="16" t="s">
        <v>329</v>
      </c>
      <c r="G77" s="31">
        <v>0.38</v>
      </c>
      <c r="H77" s="31"/>
      <c r="I77" s="19">
        <f>42008.84-K77</f>
        <v>1678.5699999999997</v>
      </c>
      <c r="J77" s="19"/>
      <c r="K77" s="19">
        <v>40330.269999999997</v>
      </c>
      <c r="BC77" s="14"/>
      <c r="BD77" s="15"/>
      <c r="BE77" s="21" t="s">
        <v>453</v>
      </c>
      <c r="BF77" s="12"/>
      <c r="BG77" s="43"/>
      <c r="BH77" s="12"/>
    </row>
    <row r="78" spans="1:60" s="3" customFormat="1" ht="31.8" x14ac:dyDescent="0.3">
      <c r="A78" s="25"/>
      <c r="B78" s="26" t="s">
        <v>454</v>
      </c>
      <c r="C78" s="419" t="s">
        <v>455</v>
      </c>
      <c r="D78" s="419"/>
      <c r="E78" s="419"/>
      <c r="F78" s="27" t="s">
        <v>70</v>
      </c>
      <c r="G78" s="22" t="s">
        <v>1028</v>
      </c>
      <c r="H78" s="22"/>
      <c r="I78" s="28"/>
      <c r="J78" s="28"/>
      <c r="K78" s="29"/>
      <c r="BC78" s="14"/>
      <c r="BD78" s="15"/>
      <c r="BE78" s="21"/>
      <c r="BF78" s="12" t="s">
        <v>455</v>
      </c>
      <c r="BG78" s="43"/>
      <c r="BH78" s="12"/>
    </row>
    <row r="79" spans="1:60" s="3" customFormat="1" ht="20.399999999999999" x14ac:dyDescent="0.3">
      <c r="A79" s="25"/>
      <c r="B79" s="26" t="s">
        <v>370</v>
      </c>
      <c r="C79" s="419" t="s">
        <v>371</v>
      </c>
      <c r="D79" s="419"/>
      <c r="E79" s="419"/>
      <c r="F79" s="27" t="s">
        <v>75</v>
      </c>
      <c r="G79" s="22" t="s">
        <v>1029</v>
      </c>
      <c r="H79" s="22"/>
      <c r="I79" s="28"/>
      <c r="J79" s="28"/>
      <c r="K79" s="29"/>
      <c r="BC79" s="14"/>
      <c r="BD79" s="15"/>
      <c r="BE79" s="21"/>
      <c r="BF79" s="12" t="s">
        <v>371</v>
      </c>
      <c r="BG79" s="43"/>
      <c r="BH79" s="12"/>
    </row>
    <row r="80" spans="1:60" s="3" customFormat="1" ht="31.8" x14ac:dyDescent="0.3">
      <c r="A80" s="25" t="s">
        <v>129</v>
      </c>
      <c r="B80" s="26" t="s">
        <v>458</v>
      </c>
      <c r="C80" s="419" t="s">
        <v>455</v>
      </c>
      <c r="D80" s="419"/>
      <c r="E80" s="419"/>
      <c r="F80" s="27" t="s">
        <v>70</v>
      </c>
      <c r="G80" s="22" t="s">
        <v>1030</v>
      </c>
      <c r="H80" s="22"/>
      <c r="I80" s="28"/>
      <c r="J80" s="28"/>
      <c r="K80" s="29"/>
      <c r="BC80" s="14"/>
      <c r="BD80" s="15"/>
      <c r="BE80" s="21"/>
      <c r="BF80" s="12"/>
      <c r="BG80" s="43"/>
      <c r="BH80" s="12" t="s">
        <v>455</v>
      </c>
    </row>
    <row r="81" spans="1:60" s="3" customFormat="1" ht="21.6" x14ac:dyDescent="0.3">
      <c r="A81" s="25" t="s">
        <v>129</v>
      </c>
      <c r="B81" s="26" t="s">
        <v>460</v>
      </c>
      <c r="C81" s="419" t="s">
        <v>461</v>
      </c>
      <c r="D81" s="419"/>
      <c r="E81" s="419"/>
      <c r="F81" s="27" t="s">
        <v>75</v>
      </c>
      <c r="G81" s="22" t="s">
        <v>1031</v>
      </c>
      <c r="H81" s="22"/>
      <c r="I81" s="28"/>
      <c r="J81" s="28"/>
      <c r="K81" s="29"/>
      <c r="BC81" s="14"/>
      <c r="BD81" s="15"/>
      <c r="BE81" s="21"/>
      <c r="BF81" s="12"/>
      <c r="BG81" s="43"/>
      <c r="BH81" s="12" t="s">
        <v>461</v>
      </c>
    </row>
    <row r="82" spans="1:60" s="3" customFormat="1" ht="15" customHeight="1" x14ac:dyDescent="0.3">
      <c r="A82" s="437" t="s">
        <v>1032</v>
      </c>
      <c r="B82" s="418"/>
      <c r="C82" s="418"/>
      <c r="D82" s="418"/>
      <c r="E82" s="418"/>
      <c r="F82" s="418"/>
      <c r="G82" s="418"/>
      <c r="H82" s="61"/>
      <c r="I82" s="61"/>
      <c r="J82" s="61"/>
      <c r="K82" s="62"/>
      <c r="BC82" s="14"/>
      <c r="BD82" s="15" t="s">
        <v>1032</v>
      </c>
      <c r="BE82" s="21"/>
      <c r="BF82" s="12"/>
      <c r="BG82" s="43"/>
      <c r="BH82" s="12"/>
    </row>
    <row r="83" spans="1:60" s="3" customFormat="1" ht="31.8" x14ac:dyDescent="0.3">
      <c r="A83" s="16" t="s">
        <v>56</v>
      </c>
      <c r="B83" s="17" t="s">
        <v>471</v>
      </c>
      <c r="C83" s="405" t="s">
        <v>472</v>
      </c>
      <c r="D83" s="405"/>
      <c r="E83" s="405"/>
      <c r="F83" s="16" t="s">
        <v>329</v>
      </c>
      <c r="G83" s="31">
        <v>3.75</v>
      </c>
      <c r="H83" s="31"/>
      <c r="I83" s="19">
        <f>38709.74-K83</f>
        <v>31324.19</v>
      </c>
      <c r="J83" s="19"/>
      <c r="K83" s="19">
        <v>7385.55</v>
      </c>
      <c r="BC83" s="14"/>
      <c r="BD83" s="15"/>
      <c r="BE83" s="21" t="s">
        <v>472</v>
      </c>
      <c r="BF83" s="12"/>
      <c r="BG83" s="43"/>
      <c r="BH83" s="12"/>
    </row>
    <row r="84" spans="1:60" s="3" customFormat="1" ht="20.399999999999999" x14ac:dyDescent="0.3">
      <c r="A84" s="25"/>
      <c r="B84" s="26" t="s">
        <v>339</v>
      </c>
      <c r="C84" s="419" t="s">
        <v>340</v>
      </c>
      <c r="D84" s="419"/>
      <c r="E84" s="419"/>
      <c r="F84" s="27" t="s">
        <v>75</v>
      </c>
      <c r="G84" s="22" t="s">
        <v>1033</v>
      </c>
      <c r="H84" s="22"/>
      <c r="I84" s="28"/>
      <c r="J84" s="28"/>
      <c r="K84" s="29"/>
      <c r="BC84" s="14"/>
      <c r="BD84" s="15"/>
      <c r="BE84" s="21"/>
      <c r="BF84" s="12" t="s">
        <v>340</v>
      </c>
      <c r="BG84" s="43"/>
      <c r="BH84" s="12"/>
    </row>
    <row r="85" spans="1:60" s="3" customFormat="1" ht="20.399999999999999" x14ac:dyDescent="0.3">
      <c r="A85" s="25"/>
      <c r="B85" s="26" t="s">
        <v>353</v>
      </c>
      <c r="C85" s="419" t="s">
        <v>354</v>
      </c>
      <c r="D85" s="419"/>
      <c r="E85" s="419"/>
      <c r="F85" s="27" t="s">
        <v>75</v>
      </c>
      <c r="G85" s="22" t="s">
        <v>1022</v>
      </c>
      <c r="H85" s="22"/>
      <c r="I85" s="28"/>
      <c r="J85" s="28"/>
      <c r="K85" s="29"/>
      <c r="BC85" s="14"/>
      <c r="BD85" s="15"/>
      <c r="BE85" s="21"/>
      <c r="BF85" s="12" t="s">
        <v>354</v>
      </c>
      <c r="BG85" s="43"/>
      <c r="BH85" s="12"/>
    </row>
    <row r="86" spans="1:60" s="3" customFormat="1" ht="15" customHeight="1" x14ac:dyDescent="0.3">
      <c r="A86" s="437" t="s">
        <v>1034</v>
      </c>
      <c r="B86" s="418"/>
      <c r="C86" s="418"/>
      <c r="D86" s="418"/>
      <c r="E86" s="418"/>
      <c r="F86" s="418"/>
      <c r="G86" s="418"/>
      <c r="H86" s="61"/>
      <c r="I86" s="61"/>
      <c r="J86" s="61"/>
      <c r="K86" s="62"/>
      <c r="BC86" s="14"/>
      <c r="BD86" s="15" t="s">
        <v>1034</v>
      </c>
      <c r="BE86" s="21"/>
      <c r="BF86" s="12"/>
      <c r="BG86" s="43"/>
      <c r="BH86" s="12"/>
    </row>
    <row r="87" spans="1:60" s="3" customFormat="1" ht="15" customHeight="1" x14ac:dyDescent="0.3">
      <c r="A87" s="437" t="s">
        <v>1035</v>
      </c>
      <c r="B87" s="418"/>
      <c r="C87" s="418"/>
      <c r="D87" s="418"/>
      <c r="E87" s="418"/>
      <c r="F87" s="418"/>
      <c r="G87" s="418"/>
      <c r="H87" s="61"/>
      <c r="I87" s="61"/>
      <c r="J87" s="61"/>
      <c r="K87" s="62"/>
      <c r="BC87" s="14"/>
      <c r="BD87" s="15" t="s">
        <v>1035</v>
      </c>
      <c r="BE87" s="21"/>
      <c r="BF87" s="12"/>
      <c r="BG87" s="43"/>
      <c r="BH87" s="12"/>
    </row>
    <row r="88" spans="1:60" s="3" customFormat="1" ht="42" x14ac:dyDescent="0.3">
      <c r="A88" s="16" t="s">
        <v>166</v>
      </c>
      <c r="B88" s="17" t="s">
        <v>486</v>
      </c>
      <c r="C88" s="405" t="s">
        <v>487</v>
      </c>
      <c r="D88" s="405"/>
      <c r="E88" s="405"/>
      <c r="F88" s="16" t="s">
        <v>329</v>
      </c>
      <c r="G88" s="31">
        <v>3.75</v>
      </c>
      <c r="H88" s="31"/>
      <c r="I88" s="19">
        <f>255988.16-K88</f>
        <v>9075.8099999999977</v>
      </c>
      <c r="J88" s="19"/>
      <c r="K88" s="19">
        <v>246912.35</v>
      </c>
      <c r="BC88" s="14"/>
      <c r="BD88" s="15"/>
      <c r="BE88" s="21" t="s">
        <v>487</v>
      </c>
      <c r="BF88" s="12"/>
      <c r="BG88" s="43"/>
      <c r="BH88" s="12"/>
    </row>
    <row r="89" spans="1:60" s="3" customFormat="1" ht="42" x14ac:dyDescent="0.3">
      <c r="A89" s="25"/>
      <c r="B89" s="26" t="s">
        <v>488</v>
      </c>
      <c r="C89" s="419" t="s">
        <v>489</v>
      </c>
      <c r="D89" s="419"/>
      <c r="E89" s="419"/>
      <c r="F89" s="27" t="s">
        <v>75</v>
      </c>
      <c r="G89" s="22" t="s">
        <v>1036</v>
      </c>
      <c r="H89" s="22"/>
      <c r="I89" s="28"/>
      <c r="J89" s="28"/>
      <c r="K89" s="29"/>
      <c r="BC89" s="14"/>
      <c r="BD89" s="15"/>
      <c r="BE89" s="21"/>
      <c r="BF89" s="12" t="s">
        <v>489</v>
      </c>
      <c r="BG89" s="43"/>
      <c r="BH89" s="12"/>
    </row>
    <row r="90" spans="1:60" s="3" customFormat="1" ht="20.399999999999999" x14ac:dyDescent="0.3">
      <c r="A90" s="25"/>
      <c r="B90" s="26" t="s">
        <v>370</v>
      </c>
      <c r="C90" s="419" t="s">
        <v>371</v>
      </c>
      <c r="D90" s="419"/>
      <c r="E90" s="419"/>
      <c r="F90" s="27" t="s">
        <v>75</v>
      </c>
      <c r="G90" s="22" t="s">
        <v>1037</v>
      </c>
      <c r="H90" s="22"/>
      <c r="I90" s="28"/>
      <c r="J90" s="28"/>
      <c r="K90" s="29"/>
      <c r="BC90" s="14"/>
      <c r="BD90" s="15"/>
      <c r="BE90" s="21"/>
      <c r="BF90" s="12" t="s">
        <v>371</v>
      </c>
      <c r="BG90" s="43"/>
      <c r="BH90" s="12"/>
    </row>
    <row r="91" spans="1:60" s="3" customFormat="1" ht="42" x14ac:dyDescent="0.3">
      <c r="A91" s="25" t="s">
        <v>129</v>
      </c>
      <c r="B91" s="26" t="s">
        <v>492</v>
      </c>
      <c r="C91" s="419" t="s">
        <v>489</v>
      </c>
      <c r="D91" s="419"/>
      <c r="E91" s="419"/>
      <c r="F91" s="27" t="s">
        <v>75</v>
      </c>
      <c r="G91" s="22" t="s">
        <v>1038</v>
      </c>
      <c r="H91" s="22"/>
      <c r="I91" s="28"/>
      <c r="J91" s="28"/>
      <c r="K91" s="29"/>
      <c r="BC91" s="14"/>
      <c r="BD91" s="15"/>
      <c r="BE91" s="21"/>
      <c r="BF91" s="12"/>
      <c r="BG91" s="43"/>
      <c r="BH91" s="12" t="s">
        <v>489</v>
      </c>
    </row>
    <row r="92" spans="1:60" s="3" customFormat="1" ht="20.399999999999999" x14ac:dyDescent="0.3">
      <c r="A92" s="25" t="s">
        <v>129</v>
      </c>
      <c r="B92" s="26" t="s">
        <v>494</v>
      </c>
      <c r="C92" s="419" t="s">
        <v>495</v>
      </c>
      <c r="D92" s="419"/>
      <c r="E92" s="419"/>
      <c r="F92" s="27" t="s">
        <v>75</v>
      </c>
      <c r="G92" s="22" t="s">
        <v>1039</v>
      </c>
      <c r="H92" s="22"/>
      <c r="I92" s="28"/>
      <c r="J92" s="28"/>
      <c r="K92" s="29"/>
      <c r="BC92" s="14"/>
      <c r="BD92" s="15"/>
      <c r="BE92" s="21"/>
      <c r="BF92" s="12"/>
      <c r="BG92" s="43"/>
      <c r="BH92" s="12" t="s">
        <v>495</v>
      </c>
    </row>
    <row r="93" spans="1:60" s="3" customFormat="1" ht="15" customHeight="1" x14ac:dyDescent="0.3">
      <c r="A93" s="437" t="s">
        <v>1040</v>
      </c>
      <c r="B93" s="418"/>
      <c r="C93" s="418"/>
      <c r="D93" s="418"/>
      <c r="E93" s="418"/>
      <c r="F93" s="418"/>
      <c r="G93" s="418"/>
      <c r="H93" s="61"/>
      <c r="I93" s="61"/>
      <c r="J93" s="61"/>
      <c r="K93" s="62"/>
      <c r="BC93" s="14"/>
      <c r="BD93" s="15" t="s">
        <v>1040</v>
      </c>
      <c r="BE93" s="21"/>
      <c r="BF93" s="12"/>
      <c r="BG93" s="43"/>
      <c r="BH93" s="12"/>
    </row>
    <row r="94" spans="1:60" s="3" customFormat="1" ht="42" x14ac:dyDescent="0.3">
      <c r="A94" s="16" t="s">
        <v>169</v>
      </c>
      <c r="B94" s="17" t="s">
        <v>486</v>
      </c>
      <c r="C94" s="405" t="s">
        <v>487</v>
      </c>
      <c r="D94" s="405"/>
      <c r="E94" s="405"/>
      <c r="F94" s="16" t="s">
        <v>329</v>
      </c>
      <c r="G94" s="31">
        <v>3.75</v>
      </c>
      <c r="H94" s="31"/>
      <c r="I94" s="19">
        <f>255988.16-K94</f>
        <v>9075.8099999999977</v>
      </c>
      <c r="J94" s="19"/>
      <c r="K94" s="19">
        <v>246912.35</v>
      </c>
      <c r="BC94" s="14"/>
      <c r="BD94" s="15"/>
      <c r="BE94" s="21" t="s">
        <v>487</v>
      </c>
      <c r="BF94" s="12"/>
      <c r="BG94" s="43"/>
      <c r="BH94" s="12"/>
    </row>
    <row r="95" spans="1:60" s="3" customFormat="1" ht="42" x14ac:dyDescent="0.3">
      <c r="A95" s="25"/>
      <c r="B95" s="26" t="s">
        <v>488</v>
      </c>
      <c r="C95" s="419" t="s">
        <v>489</v>
      </c>
      <c r="D95" s="419"/>
      <c r="E95" s="419"/>
      <c r="F95" s="27" t="s">
        <v>75</v>
      </c>
      <c r="G95" s="22" t="s">
        <v>1036</v>
      </c>
      <c r="H95" s="22"/>
      <c r="I95" s="28"/>
      <c r="J95" s="28"/>
      <c r="K95" s="29"/>
      <c r="BC95" s="14"/>
      <c r="BD95" s="15"/>
      <c r="BE95" s="21"/>
      <c r="BF95" s="12" t="s">
        <v>489</v>
      </c>
      <c r="BG95" s="43"/>
      <c r="BH95" s="12"/>
    </row>
    <row r="96" spans="1:60" s="3" customFormat="1" ht="20.399999999999999" x14ac:dyDescent="0.3">
      <c r="A96" s="25"/>
      <c r="B96" s="26" t="s">
        <v>370</v>
      </c>
      <c r="C96" s="419" t="s">
        <v>371</v>
      </c>
      <c r="D96" s="419"/>
      <c r="E96" s="419"/>
      <c r="F96" s="27" t="s">
        <v>75</v>
      </c>
      <c r="G96" s="22" t="s">
        <v>1037</v>
      </c>
      <c r="H96" s="22"/>
      <c r="I96" s="28"/>
      <c r="J96" s="28"/>
      <c r="K96" s="29"/>
      <c r="BC96" s="14"/>
      <c r="BD96" s="15"/>
      <c r="BE96" s="21"/>
      <c r="BF96" s="12" t="s">
        <v>371</v>
      </c>
      <c r="BG96" s="43"/>
      <c r="BH96" s="12"/>
    </row>
    <row r="97" spans="1:60" s="3" customFormat="1" ht="42" x14ac:dyDescent="0.3">
      <c r="A97" s="25" t="s">
        <v>129</v>
      </c>
      <c r="B97" s="26" t="s">
        <v>492</v>
      </c>
      <c r="C97" s="419" t="s">
        <v>489</v>
      </c>
      <c r="D97" s="419"/>
      <c r="E97" s="419"/>
      <c r="F97" s="27" t="s">
        <v>75</v>
      </c>
      <c r="G97" s="22" t="s">
        <v>1038</v>
      </c>
      <c r="H97" s="22"/>
      <c r="I97" s="28"/>
      <c r="J97" s="28"/>
      <c r="K97" s="29"/>
      <c r="BC97" s="14"/>
      <c r="BD97" s="15"/>
      <c r="BE97" s="21"/>
      <c r="BF97" s="12"/>
      <c r="BG97" s="43"/>
      <c r="BH97" s="12" t="s">
        <v>489</v>
      </c>
    </row>
    <row r="98" spans="1:60" s="3" customFormat="1" ht="20.399999999999999" x14ac:dyDescent="0.3">
      <c r="A98" s="25" t="s">
        <v>129</v>
      </c>
      <c r="B98" s="26" t="s">
        <v>494</v>
      </c>
      <c r="C98" s="419" t="s">
        <v>495</v>
      </c>
      <c r="D98" s="419"/>
      <c r="E98" s="419"/>
      <c r="F98" s="27" t="s">
        <v>75</v>
      </c>
      <c r="G98" s="22" t="s">
        <v>1039</v>
      </c>
      <c r="H98" s="22"/>
      <c r="I98" s="28"/>
      <c r="J98" s="28"/>
      <c r="K98" s="29"/>
      <c r="L98" s="56"/>
      <c r="BC98" s="14"/>
      <c r="BD98" s="15"/>
      <c r="BE98" s="21"/>
      <c r="BF98" s="12"/>
      <c r="BG98" s="43"/>
      <c r="BH98" s="12" t="s">
        <v>495</v>
      </c>
    </row>
    <row r="99" spans="1:60" s="3" customFormat="1" ht="15" customHeight="1" x14ac:dyDescent="0.3">
      <c r="A99" s="437" t="s">
        <v>498</v>
      </c>
      <c r="B99" s="418"/>
      <c r="C99" s="418"/>
      <c r="D99" s="418"/>
      <c r="E99" s="418"/>
      <c r="F99" s="418"/>
      <c r="G99" s="418"/>
      <c r="H99" s="61"/>
      <c r="I99" s="61"/>
      <c r="J99" s="61"/>
      <c r="K99" s="62"/>
      <c r="L99" s="56"/>
      <c r="BC99" s="14"/>
      <c r="BD99" s="15" t="s">
        <v>498</v>
      </c>
      <c r="BE99" s="21"/>
      <c r="BF99" s="12"/>
      <c r="BG99" s="43"/>
      <c r="BH99" s="12"/>
    </row>
    <row r="100" spans="1:60" s="3" customFormat="1" ht="20.25" customHeight="1" x14ac:dyDescent="0.3">
      <c r="A100" s="406" t="s">
        <v>57</v>
      </c>
      <c r="B100" s="407"/>
      <c r="C100" s="407"/>
      <c r="D100" s="407"/>
      <c r="E100" s="407"/>
      <c r="F100" s="407"/>
      <c r="G100" s="407"/>
      <c r="H100" s="66"/>
      <c r="I100" s="67">
        <f>SUM(I12:I99)</f>
        <v>1459761.3000000005</v>
      </c>
      <c r="J100" s="72"/>
      <c r="K100" s="67">
        <f>SUM(K12:K99)</f>
        <v>2994069.6599999997</v>
      </c>
    </row>
    <row r="101" spans="1:60" s="53" customFormat="1" ht="20.25" customHeight="1" thickBot="1" x14ac:dyDescent="0.35">
      <c r="A101" s="408" t="s">
        <v>5461</v>
      </c>
      <c r="B101" s="409"/>
      <c r="C101" s="409"/>
      <c r="D101" s="409"/>
      <c r="E101" s="409"/>
      <c r="F101" s="409"/>
      <c r="G101" s="409"/>
      <c r="H101" s="88"/>
      <c r="I101" s="410">
        <f>I100+K100</f>
        <v>4453830.96</v>
      </c>
      <c r="J101" s="411"/>
      <c r="K101" s="412"/>
    </row>
  </sheetData>
  <autoFilter ref="A9:K9" xr:uid="{00000000-0001-0000-0B00-000000000000}">
    <filterColumn colId="2" showButton="0"/>
    <filterColumn colId="3" showButton="0"/>
  </autoFilter>
  <mergeCells count="100">
    <mergeCell ref="A101:G101"/>
    <mergeCell ref="I101:K101"/>
    <mergeCell ref="A10:G10"/>
    <mergeCell ref="A93:G93"/>
    <mergeCell ref="A87:G87"/>
    <mergeCell ref="A86:G86"/>
    <mergeCell ref="A82:G82"/>
    <mergeCell ref="A76:G76"/>
    <mergeCell ref="A74:G74"/>
    <mergeCell ref="A70:G70"/>
    <mergeCell ref="A64:G64"/>
    <mergeCell ref="A100:G100"/>
    <mergeCell ref="A99:G99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84:E84"/>
    <mergeCell ref="C85:E85"/>
    <mergeCell ref="C88:E88"/>
    <mergeCell ref="C79:E79"/>
    <mergeCell ref="C80:E80"/>
    <mergeCell ref="C81:E81"/>
    <mergeCell ref="C83:E83"/>
    <mergeCell ref="C75:E75"/>
    <mergeCell ref="C77:E77"/>
    <mergeCell ref="C78:E78"/>
    <mergeCell ref="C69:E69"/>
    <mergeCell ref="C71:E71"/>
    <mergeCell ref="C72:E72"/>
    <mergeCell ref="C73:E73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7:E47"/>
    <mergeCell ref="C48:E48"/>
    <mergeCell ref="A46:G46"/>
    <mergeCell ref="A45:G45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C33:E33"/>
    <mergeCell ref="C24:E24"/>
    <mergeCell ref="C25:E25"/>
    <mergeCell ref="C26:E26"/>
    <mergeCell ref="C27:E27"/>
    <mergeCell ref="A28:G28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A2:K2"/>
    <mergeCell ref="A3:K3"/>
    <mergeCell ref="A4:K4"/>
    <mergeCell ref="C12:E12"/>
    <mergeCell ref="C13:E13"/>
    <mergeCell ref="A11:G11"/>
    <mergeCell ref="A5:K5"/>
    <mergeCell ref="C6:G6"/>
    <mergeCell ref="C8:E8"/>
    <mergeCell ref="C9:E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BJ36"/>
  <sheetViews>
    <sheetView workbookViewId="0">
      <selection activeCell="A9" sqref="A9:K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7.33203125" style="1" customWidth="1"/>
    <col min="9" max="9" width="15.88671875" style="1" customWidth="1"/>
    <col min="10" max="10" width="16.88671875" style="1" customWidth="1"/>
    <col min="11" max="11" width="15.4414062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59" width="34.109375" style="2" hidden="1" customWidth="1"/>
    <col min="60" max="62" width="127.5546875" style="2" hidden="1" customWidth="1"/>
    <col min="63" max="16384" width="9.109375" style="1"/>
  </cols>
  <sheetData>
    <row r="1" spans="1:59" s="3" customFormat="1" ht="14.4" x14ac:dyDescent="0.3">
      <c r="A1" s="95" t="s">
        <v>5560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pans="1:59" s="3" customFormat="1" ht="29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9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9" s="3" customFormat="1" ht="14.4" x14ac:dyDescent="0.3">
      <c r="A5" s="404" t="s">
        <v>915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915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9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9" s="3" customFormat="1" ht="30.75" customHeight="1" x14ac:dyDescent="0.3">
      <c r="A7" s="4"/>
      <c r="B7" s="8" t="s">
        <v>5</v>
      </c>
      <c r="C7" s="402" t="s">
        <v>916</v>
      </c>
      <c r="D7" s="402"/>
      <c r="E7" s="402"/>
      <c r="F7" s="402"/>
      <c r="G7" s="402"/>
      <c r="H7" s="11"/>
      <c r="I7" s="9"/>
      <c r="J7" s="9"/>
      <c r="K7" s="9"/>
    </row>
    <row r="8" spans="1:59" s="3" customFormat="1" ht="15" thickBot="1" x14ac:dyDescent="0.35">
      <c r="A8" s="13"/>
    </row>
    <row r="9" spans="1:59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9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9" s="3" customFormat="1" ht="15" customHeight="1" x14ac:dyDescent="0.3">
      <c r="A11" s="445" t="s">
        <v>917</v>
      </c>
      <c r="B11" s="436"/>
      <c r="C11" s="436"/>
      <c r="D11" s="436"/>
      <c r="E11" s="436"/>
      <c r="F11" s="436"/>
      <c r="G11" s="436"/>
      <c r="H11" s="96"/>
      <c r="I11" s="96"/>
      <c r="J11" s="96"/>
      <c r="K11" s="145"/>
      <c r="BC11" s="14" t="s">
        <v>917</v>
      </c>
    </row>
    <row r="12" spans="1:59" s="3" customFormat="1" ht="15" customHeight="1" x14ac:dyDescent="0.3">
      <c r="A12" s="417" t="s">
        <v>896</v>
      </c>
      <c r="B12" s="418"/>
      <c r="C12" s="418"/>
      <c r="D12" s="418"/>
      <c r="E12" s="418"/>
      <c r="F12" s="418"/>
      <c r="G12" s="418"/>
      <c r="H12" s="61"/>
      <c r="I12" s="61"/>
      <c r="J12" s="61"/>
      <c r="K12" s="146"/>
      <c r="BC12" s="14"/>
      <c r="BD12" s="15" t="s">
        <v>896</v>
      </c>
    </row>
    <row r="13" spans="1:59" s="3" customFormat="1" ht="21.6" x14ac:dyDescent="0.3">
      <c r="A13" s="80" t="s">
        <v>15</v>
      </c>
      <c r="B13" s="17" t="s">
        <v>382</v>
      </c>
      <c r="C13" s="451" t="s">
        <v>5558</v>
      </c>
      <c r="D13" s="405"/>
      <c r="E13" s="405"/>
      <c r="F13" s="16" t="s">
        <v>70</v>
      </c>
      <c r="G13" s="24">
        <v>34.1</v>
      </c>
      <c r="H13" s="24"/>
      <c r="I13" s="19">
        <v>1178440.03</v>
      </c>
      <c r="J13" s="20"/>
      <c r="K13" s="131"/>
      <c r="BC13" s="14"/>
      <c r="BD13" s="15"/>
      <c r="BE13" s="21" t="s">
        <v>383</v>
      </c>
    </row>
    <row r="14" spans="1:59" s="3" customFormat="1" ht="15" customHeight="1" x14ac:dyDescent="0.3">
      <c r="A14" s="417" t="s">
        <v>897</v>
      </c>
      <c r="B14" s="418"/>
      <c r="C14" s="418"/>
      <c r="D14" s="418"/>
      <c r="E14" s="418"/>
      <c r="F14" s="418"/>
      <c r="G14" s="418"/>
      <c r="H14" s="61"/>
      <c r="I14" s="61"/>
      <c r="J14" s="61"/>
      <c r="K14" s="146"/>
      <c r="BC14" s="14"/>
      <c r="BD14" s="15" t="s">
        <v>897</v>
      </c>
      <c r="BE14" s="21"/>
      <c r="BF14" s="12"/>
      <c r="BG14" s="43"/>
    </row>
    <row r="15" spans="1:59" s="3" customFormat="1" ht="15" customHeight="1" x14ac:dyDescent="0.3">
      <c r="A15" s="417" t="s">
        <v>898</v>
      </c>
      <c r="B15" s="418"/>
      <c r="C15" s="418"/>
      <c r="D15" s="418"/>
      <c r="E15" s="418"/>
      <c r="F15" s="418"/>
      <c r="G15" s="418"/>
      <c r="H15" s="61"/>
      <c r="I15" s="61"/>
      <c r="J15" s="61"/>
      <c r="K15" s="146"/>
      <c r="BC15" s="14"/>
      <c r="BD15" s="15" t="s">
        <v>898</v>
      </c>
      <c r="BE15" s="21"/>
      <c r="BF15" s="12"/>
      <c r="BG15" s="43"/>
    </row>
    <row r="16" spans="1:59" s="3" customFormat="1" ht="15" customHeight="1" x14ac:dyDescent="0.3">
      <c r="A16" s="417" t="s">
        <v>899</v>
      </c>
      <c r="B16" s="418"/>
      <c r="C16" s="418"/>
      <c r="D16" s="418"/>
      <c r="E16" s="418"/>
      <c r="F16" s="418"/>
      <c r="G16" s="418"/>
      <c r="H16" s="61"/>
      <c r="I16" s="61"/>
      <c r="J16" s="61"/>
      <c r="K16" s="146"/>
      <c r="BC16" s="14"/>
      <c r="BD16" s="15" t="s">
        <v>899</v>
      </c>
      <c r="BE16" s="21"/>
      <c r="BF16" s="12"/>
      <c r="BG16" s="43"/>
    </row>
    <row r="17" spans="1:59" s="3" customFormat="1" ht="21.6" x14ac:dyDescent="0.3">
      <c r="A17" s="80" t="s">
        <v>20</v>
      </c>
      <c r="B17" s="17" t="s">
        <v>500</v>
      </c>
      <c r="C17" s="451" t="s">
        <v>5559</v>
      </c>
      <c r="D17" s="405"/>
      <c r="E17" s="405"/>
      <c r="F17" s="16" t="s">
        <v>70</v>
      </c>
      <c r="G17" s="24">
        <v>30.3</v>
      </c>
      <c r="H17" s="24"/>
      <c r="I17" s="19">
        <v>931915.5</v>
      </c>
      <c r="J17" s="20"/>
      <c r="K17" s="131"/>
      <c r="BC17" s="14"/>
      <c r="BD17" s="15"/>
      <c r="BE17" s="21" t="s">
        <v>501</v>
      </c>
      <c r="BF17" s="12"/>
      <c r="BG17" s="43"/>
    </row>
    <row r="18" spans="1:59" s="3" customFormat="1" ht="15" customHeight="1" x14ac:dyDescent="0.3">
      <c r="A18" s="417" t="s">
        <v>900</v>
      </c>
      <c r="B18" s="418"/>
      <c r="C18" s="418"/>
      <c r="D18" s="418"/>
      <c r="E18" s="418"/>
      <c r="F18" s="418"/>
      <c r="G18" s="418"/>
      <c r="H18" s="61"/>
      <c r="I18" s="61"/>
      <c r="J18" s="61"/>
      <c r="K18" s="146"/>
      <c r="BC18" s="14"/>
      <c r="BD18" s="15" t="s">
        <v>900</v>
      </c>
      <c r="BE18" s="21"/>
      <c r="BF18" s="12"/>
      <c r="BG18" s="43"/>
    </row>
    <row r="19" spans="1:59" s="3" customFormat="1" ht="42" x14ac:dyDescent="0.3">
      <c r="A19" s="80" t="s">
        <v>22</v>
      </c>
      <c r="B19" s="17" t="s">
        <v>901</v>
      </c>
      <c r="C19" s="405" t="s">
        <v>902</v>
      </c>
      <c r="D19" s="405"/>
      <c r="E19" s="405"/>
      <c r="F19" s="16" t="s">
        <v>43</v>
      </c>
      <c r="G19" s="30">
        <v>3.4200000000000001E-2</v>
      </c>
      <c r="H19" s="30"/>
      <c r="I19" s="19">
        <v>1458.32</v>
      </c>
      <c r="J19" s="20"/>
      <c r="K19" s="131"/>
      <c r="BC19" s="14"/>
      <c r="BD19" s="15"/>
      <c r="BE19" s="21" t="s">
        <v>902</v>
      </c>
      <c r="BF19" s="12"/>
      <c r="BG19" s="43"/>
    </row>
    <row r="20" spans="1:59" s="3" customFormat="1" ht="31.8" x14ac:dyDescent="0.3">
      <c r="A20" s="80" t="s">
        <v>27</v>
      </c>
      <c r="B20" s="17" t="s">
        <v>903</v>
      </c>
      <c r="C20" s="405" t="s">
        <v>904</v>
      </c>
      <c r="D20" s="405"/>
      <c r="E20" s="405"/>
      <c r="F20" s="16" t="s">
        <v>125</v>
      </c>
      <c r="G20" s="18">
        <v>3.7999999999999999E-2</v>
      </c>
      <c r="H20" s="18"/>
      <c r="I20" s="19">
        <v>4670.7</v>
      </c>
      <c r="J20" s="20"/>
      <c r="K20" s="131"/>
      <c r="BC20" s="14"/>
      <c r="BD20" s="15"/>
      <c r="BE20" s="21" t="s">
        <v>904</v>
      </c>
      <c r="BF20" s="12"/>
      <c r="BG20" s="43"/>
    </row>
    <row r="21" spans="1:59" s="3" customFormat="1" ht="23.25" customHeight="1" x14ac:dyDescent="0.3">
      <c r="A21" s="417" t="s">
        <v>905</v>
      </c>
      <c r="B21" s="418"/>
      <c r="C21" s="418"/>
      <c r="D21" s="418"/>
      <c r="E21" s="418"/>
      <c r="F21" s="418"/>
      <c r="G21" s="418"/>
      <c r="H21" s="61"/>
      <c r="I21" s="61"/>
      <c r="J21" s="61"/>
      <c r="K21" s="146"/>
      <c r="BC21" s="14"/>
      <c r="BD21" s="15" t="s">
        <v>905</v>
      </c>
      <c r="BE21" s="21"/>
      <c r="BF21" s="12"/>
      <c r="BG21" s="43"/>
    </row>
    <row r="22" spans="1:59" s="3" customFormat="1" ht="31.8" x14ac:dyDescent="0.3">
      <c r="A22" s="80" t="s">
        <v>35</v>
      </c>
      <c r="B22" s="17" t="s">
        <v>906</v>
      </c>
      <c r="C22" s="405" t="s">
        <v>907</v>
      </c>
      <c r="D22" s="405"/>
      <c r="E22" s="405"/>
      <c r="F22" s="16" t="s">
        <v>46</v>
      </c>
      <c r="G22" s="31">
        <v>43.92</v>
      </c>
      <c r="H22" s="31"/>
      <c r="I22" s="19">
        <f>907507.45-K22</f>
        <v>899337.1399999999</v>
      </c>
      <c r="J22" s="20"/>
      <c r="K22" s="131">
        <v>8170.31</v>
      </c>
      <c r="BC22" s="14"/>
      <c r="BD22" s="15"/>
      <c r="BE22" s="21" t="s">
        <v>907</v>
      </c>
      <c r="BF22" s="12"/>
      <c r="BG22" s="43"/>
    </row>
    <row r="23" spans="1:59" s="3" customFormat="1" ht="20.399999999999999" x14ac:dyDescent="0.3">
      <c r="A23" s="83"/>
      <c r="B23" s="26" t="s">
        <v>858</v>
      </c>
      <c r="C23" s="419" t="s">
        <v>859</v>
      </c>
      <c r="D23" s="419"/>
      <c r="E23" s="419"/>
      <c r="F23" s="27" t="s">
        <v>46</v>
      </c>
      <c r="G23" s="22" t="s">
        <v>918</v>
      </c>
      <c r="H23" s="22"/>
      <c r="I23" s="28"/>
      <c r="J23" s="28"/>
      <c r="K23" s="132"/>
      <c r="BC23" s="14"/>
      <c r="BD23" s="15"/>
      <c r="BE23" s="21"/>
      <c r="BF23" s="12" t="s">
        <v>859</v>
      </c>
      <c r="BG23" s="43"/>
    </row>
    <row r="24" spans="1:59" s="3" customFormat="1" ht="20.399999999999999" x14ac:dyDescent="0.3">
      <c r="A24" s="83"/>
      <c r="B24" s="26" t="s">
        <v>384</v>
      </c>
      <c r="C24" s="419" t="s">
        <v>385</v>
      </c>
      <c r="D24" s="419"/>
      <c r="E24" s="419"/>
      <c r="F24" s="27" t="s">
        <v>46</v>
      </c>
      <c r="G24" s="22" t="s">
        <v>919</v>
      </c>
      <c r="H24" s="22"/>
      <c r="I24" s="28"/>
      <c r="J24" s="28"/>
      <c r="K24" s="132"/>
      <c r="BC24" s="14"/>
      <c r="BD24" s="15"/>
      <c r="BE24" s="21"/>
      <c r="BF24" s="12" t="s">
        <v>385</v>
      </c>
      <c r="BG24" s="43"/>
    </row>
    <row r="25" spans="1:59" s="3" customFormat="1" ht="31.8" x14ac:dyDescent="0.3">
      <c r="A25" s="80" t="s">
        <v>40</v>
      </c>
      <c r="B25" s="17" t="s">
        <v>910</v>
      </c>
      <c r="C25" s="405" t="s">
        <v>911</v>
      </c>
      <c r="D25" s="405"/>
      <c r="E25" s="405"/>
      <c r="F25" s="16" t="s">
        <v>46</v>
      </c>
      <c r="G25" s="31">
        <v>4.88</v>
      </c>
      <c r="H25" s="31"/>
      <c r="I25" s="19">
        <f>305639.2-K25</f>
        <v>304669.63</v>
      </c>
      <c r="J25" s="20"/>
      <c r="K25" s="131">
        <v>969.57</v>
      </c>
      <c r="BC25" s="14"/>
      <c r="BD25" s="15"/>
      <c r="BE25" s="21" t="s">
        <v>911</v>
      </c>
      <c r="BF25" s="12"/>
      <c r="BG25" s="43"/>
    </row>
    <row r="26" spans="1:59" s="3" customFormat="1" ht="20.399999999999999" x14ac:dyDescent="0.3">
      <c r="A26" s="83"/>
      <c r="B26" s="26" t="s">
        <v>858</v>
      </c>
      <c r="C26" s="419" t="s">
        <v>859</v>
      </c>
      <c r="D26" s="419"/>
      <c r="E26" s="419"/>
      <c r="F26" s="27" t="s">
        <v>46</v>
      </c>
      <c r="G26" s="22" t="s">
        <v>920</v>
      </c>
      <c r="H26" s="22"/>
      <c r="I26" s="28"/>
      <c r="J26" s="28"/>
      <c r="K26" s="132"/>
      <c r="BC26" s="14"/>
      <c r="BD26" s="15"/>
      <c r="BE26" s="21"/>
      <c r="BF26" s="12" t="s">
        <v>859</v>
      </c>
      <c r="BG26" s="43"/>
    </row>
    <row r="27" spans="1:59" s="3" customFormat="1" ht="20.399999999999999" x14ac:dyDescent="0.3">
      <c r="A27" s="83"/>
      <c r="B27" s="26" t="s">
        <v>384</v>
      </c>
      <c r="C27" s="419" t="s">
        <v>385</v>
      </c>
      <c r="D27" s="419"/>
      <c r="E27" s="419"/>
      <c r="F27" s="27" t="s">
        <v>46</v>
      </c>
      <c r="G27" s="22" t="s">
        <v>921</v>
      </c>
      <c r="H27" s="22"/>
      <c r="I27" s="28"/>
      <c r="J27" s="28"/>
      <c r="K27" s="132"/>
      <c r="BC27" s="14"/>
      <c r="BD27" s="15"/>
      <c r="BE27" s="21"/>
      <c r="BF27" s="12" t="s">
        <v>385</v>
      </c>
      <c r="BG27" s="43"/>
    </row>
    <row r="28" spans="1:59" s="3" customFormat="1" ht="22.5" customHeight="1" x14ac:dyDescent="0.3">
      <c r="A28" s="417" t="s">
        <v>914</v>
      </c>
      <c r="B28" s="418"/>
      <c r="C28" s="418"/>
      <c r="D28" s="418"/>
      <c r="E28" s="418"/>
      <c r="F28" s="418"/>
      <c r="G28" s="418"/>
      <c r="H28" s="61"/>
      <c r="I28" s="61"/>
      <c r="J28" s="61"/>
      <c r="K28" s="146"/>
      <c r="BC28" s="14"/>
      <c r="BD28" s="15" t="s">
        <v>914</v>
      </c>
      <c r="BE28" s="21"/>
      <c r="BF28" s="12"/>
      <c r="BG28" s="43"/>
    </row>
    <row r="29" spans="1:59" s="3" customFormat="1" ht="42" x14ac:dyDescent="0.3">
      <c r="A29" s="80" t="s">
        <v>47</v>
      </c>
      <c r="B29" s="17" t="s">
        <v>257</v>
      </c>
      <c r="C29" s="405" t="s">
        <v>258</v>
      </c>
      <c r="D29" s="405"/>
      <c r="E29" s="405"/>
      <c r="F29" s="16" t="s">
        <v>43</v>
      </c>
      <c r="G29" s="18">
        <v>3.7999999999999999E-2</v>
      </c>
      <c r="H29" s="18"/>
      <c r="I29" s="19">
        <v>424.31</v>
      </c>
      <c r="J29" s="20"/>
      <c r="K29" s="131"/>
      <c r="BC29" s="14"/>
      <c r="BD29" s="15"/>
      <c r="BE29" s="21" t="s">
        <v>258</v>
      </c>
      <c r="BF29" s="12"/>
      <c r="BG29" s="43"/>
    </row>
    <row r="30" spans="1:59" s="3" customFormat="1" ht="31.8" x14ac:dyDescent="0.3">
      <c r="A30" s="80" t="s">
        <v>52</v>
      </c>
      <c r="B30" s="17" t="s">
        <v>96</v>
      </c>
      <c r="C30" s="405" t="s">
        <v>97</v>
      </c>
      <c r="D30" s="405"/>
      <c r="E30" s="405"/>
      <c r="F30" s="16" t="s">
        <v>50</v>
      </c>
      <c r="G30" s="24">
        <v>159.4</v>
      </c>
      <c r="H30" s="24"/>
      <c r="I30" s="19">
        <v>7136.66</v>
      </c>
      <c r="J30" s="20"/>
      <c r="K30" s="131"/>
      <c r="BC30" s="14"/>
      <c r="BD30" s="15"/>
      <c r="BE30" s="21" t="s">
        <v>97</v>
      </c>
      <c r="BF30" s="12"/>
      <c r="BG30" s="43"/>
    </row>
    <row r="31" spans="1:59" s="3" customFormat="1" ht="42" x14ac:dyDescent="0.3">
      <c r="A31" s="80" t="s">
        <v>55</v>
      </c>
      <c r="B31" s="17" t="s">
        <v>48</v>
      </c>
      <c r="C31" s="405" t="s">
        <v>49</v>
      </c>
      <c r="D31" s="405"/>
      <c r="E31" s="405"/>
      <c r="F31" s="16" t="s">
        <v>50</v>
      </c>
      <c r="G31" s="24">
        <v>159.4</v>
      </c>
      <c r="H31" s="24"/>
      <c r="I31" s="19">
        <v>95381.1</v>
      </c>
      <c r="J31" s="20"/>
      <c r="K31" s="131"/>
      <c r="BC31" s="14"/>
      <c r="BD31" s="15"/>
      <c r="BE31" s="21" t="s">
        <v>49</v>
      </c>
      <c r="BF31" s="12"/>
      <c r="BG31" s="43"/>
    </row>
    <row r="32" spans="1:59" s="3" customFormat="1" ht="20.25" customHeight="1" x14ac:dyDescent="0.3">
      <c r="A32" s="406" t="s">
        <v>57</v>
      </c>
      <c r="B32" s="407"/>
      <c r="C32" s="407"/>
      <c r="D32" s="407"/>
      <c r="E32" s="407"/>
      <c r="F32" s="407"/>
      <c r="G32" s="407"/>
      <c r="H32" s="66"/>
      <c r="I32" s="67">
        <f>SUM(I13:I31)</f>
        <v>3423433.3900000006</v>
      </c>
      <c r="J32" s="72"/>
      <c r="K32" s="135">
        <f>SUM(K13:K31)</f>
        <v>9139.880000000001</v>
      </c>
    </row>
    <row r="33" spans="1:62" s="53" customFormat="1" ht="20.25" customHeight="1" thickBot="1" x14ac:dyDescent="0.35">
      <c r="A33" s="408" t="s">
        <v>5461</v>
      </c>
      <c r="B33" s="409"/>
      <c r="C33" s="409"/>
      <c r="D33" s="409"/>
      <c r="E33" s="409"/>
      <c r="F33" s="409"/>
      <c r="G33" s="409"/>
      <c r="H33" s="88"/>
      <c r="I33" s="410">
        <f>I32+K32</f>
        <v>3432573.2700000005</v>
      </c>
      <c r="J33" s="411"/>
      <c r="K33" s="412"/>
    </row>
    <row r="34" spans="1:62" s="3" customFormat="1" ht="53.2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62" s="10" customFormat="1" ht="13.5" customHeight="1" x14ac:dyDescent="0.3">
      <c r="A35" s="8"/>
      <c r="B35" s="8"/>
      <c r="C35" s="8"/>
      <c r="D35" s="8"/>
      <c r="E35" s="8"/>
      <c r="F35" s="8"/>
      <c r="G35" s="8"/>
      <c r="H35" s="8"/>
      <c r="I35" s="35"/>
      <c r="J35" s="8"/>
      <c r="K35" s="8"/>
      <c r="L35" s="3"/>
      <c r="M35" s="3"/>
      <c r="N35" s="56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</row>
    <row r="36" spans="1:62" s="3" customFormat="1" ht="14.4" x14ac:dyDescent="0.3">
      <c r="A36" s="4"/>
      <c r="B36" s="4"/>
      <c r="C36" s="4"/>
      <c r="D36" s="4"/>
      <c r="E36" s="4"/>
      <c r="F36" s="4"/>
      <c r="G36" s="4"/>
      <c r="H36" s="4"/>
      <c r="I36" s="36"/>
      <c r="J36" s="4"/>
      <c r="K36" s="4"/>
      <c r="N36" s="56"/>
    </row>
  </sheetData>
  <autoFilter ref="A10:BP10" xr:uid="{00000000-0001-0000-0900-000000000000}">
    <filterColumn colId="2" showButton="0"/>
    <filterColumn colId="3" showButton="0"/>
  </autoFilter>
  <mergeCells count="31">
    <mergeCell ref="A32:G32"/>
    <mergeCell ref="A33:G33"/>
    <mergeCell ref="I33:K33"/>
    <mergeCell ref="C27:E27"/>
    <mergeCell ref="C29:E29"/>
    <mergeCell ref="C30:E30"/>
    <mergeCell ref="C31:E31"/>
    <mergeCell ref="A28:G28"/>
    <mergeCell ref="C22:E22"/>
    <mergeCell ref="C23:E23"/>
    <mergeCell ref="C24:E24"/>
    <mergeCell ref="C25:E25"/>
    <mergeCell ref="C26:E26"/>
    <mergeCell ref="C19:E19"/>
    <mergeCell ref="C20:E20"/>
    <mergeCell ref="A21:G21"/>
    <mergeCell ref="A18:G18"/>
    <mergeCell ref="C17:E17"/>
    <mergeCell ref="A16:G16"/>
    <mergeCell ref="A15:G15"/>
    <mergeCell ref="A14:G14"/>
    <mergeCell ref="C13:E13"/>
    <mergeCell ref="C9:E9"/>
    <mergeCell ref="C10:E10"/>
    <mergeCell ref="A11:G11"/>
    <mergeCell ref="A12:G12"/>
    <mergeCell ref="A6:K6"/>
    <mergeCell ref="C7:G7"/>
    <mergeCell ref="A2:K2"/>
    <mergeCell ref="A3:K3"/>
    <mergeCell ref="A5:K5"/>
  </mergeCells>
  <printOptions horizontalCentered="1"/>
  <pageMargins left="0.39370077848434498" right="0.39370077848434498" top="0.35433071851730302" bottom="0.31496062874794001" header="0.118110239505768" footer="0.118110239505768"/>
  <pageSetup paperSize="9" scale="85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  <pageSetUpPr fitToPage="1"/>
  </sheetPr>
  <dimension ref="A1:BJ137"/>
  <sheetViews>
    <sheetView workbookViewId="0">
      <selection activeCell="H1" sqref="H1:K104857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5.44140625" style="1" customWidth="1"/>
    <col min="5" max="5" width="19.5546875" style="1" customWidth="1"/>
    <col min="6" max="6" width="10.6640625" style="1" customWidth="1"/>
    <col min="7" max="7" width="11.88671875" style="1" customWidth="1"/>
    <col min="8" max="11" width="17.5546875" style="54" customWidth="1"/>
    <col min="12" max="12" width="10.6640625" style="54" customWidth="1"/>
    <col min="13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9" width="34.109375" style="2" hidden="1" customWidth="1"/>
    <col min="60" max="62" width="127.5546875" style="2" hidden="1" customWidth="1"/>
    <col min="63" max="16384" width="9.109375" style="1"/>
  </cols>
  <sheetData>
    <row r="1" spans="1:56" s="3" customFormat="1" ht="14.4" x14ac:dyDescent="0.3">
      <c r="A1" s="95" t="s">
        <v>5590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6"/>
    </row>
    <row r="2" spans="1:56" s="3" customFormat="1" ht="33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56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56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  <c r="L4" s="56"/>
    </row>
    <row r="5" spans="1:56" s="3" customFormat="1" ht="14.4" x14ac:dyDescent="0.3">
      <c r="A5" s="404" t="s">
        <v>2293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56"/>
      <c r="AC5" s="6" t="s">
        <v>2293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56"/>
    </row>
    <row r="7" spans="1:56" s="3" customFormat="1" ht="14.4" x14ac:dyDescent="0.3">
      <c r="A7" s="4"/>
      <c r="B7" s="8" t="s">
        <v>5</v>
      </c>
      <c r="C7" s="402" t="s">
        <v>916</v>
      </c>
      <c r="D7" s="402"/>
      <c r="E7" s="402"/>
      <c r="F7" s="402"/>
      <c r="G7" s="402"/>
      <c r="H7" s="55"/>
      <c r="I7" s="109"/>
      <c r="J7" s="109"/>
      <c r="K7" s="109"/>
      <c r="L7" s="56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  <c r="L8" s="56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  <c r="L9" s="56"/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  <c r="L10" s="56"/>
    </row>
    <row r="11" spans="1:56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  <c r="L11" s="56"/>
    </row>
    <row r="12" spans="1:56" s="3" customFormat="1" ht="15" customHeight="1" x14ac:dyDescent="0.3">
      <c r="A12" s="435" t="s">
        <v>2294</v>
      </c>
      <c r="B12" s="436"/>
      <c r="C12" s="436"/>
      <c r="D12" s="436"/>
      <c r="E12" s="436"/>
      <c r="F12" s="436"/>
      <c r="G12" s="436"/>
      <c r="H12" s="103"/>
      <c r="I12" s="103"/>
      <c r="J12" s="103"/>
      <c r="K12" s="104"/>
      <c r="L12" s="56"/>
      <c r="BB12" s="14" t="s">
        <v>2294</v>
      </c>
    </row>
    <row r="13" spans="1:56" s="3" customFormat="1" ht="15" customHeight="1" x14ac:dyDescent="0.3">
      <c r="A13" s="437" t="s">
        <v>251</v>
      </c>
      <c r="B13" s="418"/>
      <c r="C13" s="418"/>
      <c r="D13" s="418"/>
      <c r="E13" s="418"/>
      <c r="F13" s="418"/>
      <c r="G13" s="418"/>
      <c r="H13" s="154"/>
      <c r="I13" s="154"/>
      <c r="J13" s="154"/>
      <c r="K13" s="155"/>
      <c r="L13" s="56"/>
      <c r="BB13" s="14"/>
      <c r="BC13" s="15" t="s">
        <v>251</v>
      </c>
    </row>
    <row r="14" spans="1:56" s="3" customFormat="1" ht="52.2" x14ac:dyDescent="0.3">
      <c r="A14" s="16" t="s">
        <v>15</v>
      </c>
      <c r="B14" s="17" t="s">
        <v>223</v>
      </c>
      <c r="C14" s="405" t="s">
        <v>224</v>
      </c>
      <c r="D14" s="405"/>
      <c r="E14" s="405"/>
      <c r="F14" s="16" t="s">
        <v>43</v>
      </c>
      <c r="G14" s="30">
        <v>0.13719999999999999</v>
      </c>
      <c r="H14" s="57">
        <f>I14/G14</f>
        <v>56854.446064139949</v>
      </c>
      <c r="I14" s="19">
        <v>7800.43</v>
      </c>
      <c r="J14" s="19">
        <f>K14/G14</f>
        <v>0</v>
      </c>
      <c r="K14" s="19">
        <v>0</v>
      </c>
      <c r="L14" s="56"/>
      <c r="BB14" s="14"/>
      <c r="BC14" s="15"/>
      <c r="BD14" s="21" t="s">
        <v>224</v>
      </c>
    </row>
    <row r="15" spans="1:56" s="3" customFormat="1" ht="27.75" customHeight="1" x14ac:dyDescent="0.3">
      <c r="A15" s="437" t="s">
        <v>252</v>
      </c>
      <c r="B15" s="418"/>
      <c r="C15" s="418"/>
      <c r="D15" s="418"/>
      <c r="E15" s="418"/>
      <c r="F15" s="418"/>
      <c r="G15" s="418"/>
      <c r="H15" s="154"/>
      <c r="I15" s="154"/>
      <c r="J15" s="154"/>
      <c r="K15" s="155"/>
      <c r="L15" s="56"/>
      <c r="BB15" s="14"/>
      <c r="BC15" s="15" t="s">
        <v>252</v>
      </c>
      <c r="BD15" s="21"/>
    </row>
    <row r="16" spans="1:56" s="3" customFormat="1" ht="42" x14ac:dyDescent="0.3">
      <c r="A16" s="16" t="s">
        <v>20</v>
      </c>
      <c r="B16" s="17" t="s">
        <v>48</v>
      </c>
      <c r="C16" s="405" t="s">
        <v>49</v>
      </c>
      <c r="D16" s="405"/>
      <c r="E16" s="405"/>
      <c r="F16" s="16" t="s">
        <v>50</v>
      </c>
      <c r="G16" s="24">
        <v>104.8</v>
      </c>
      <c r="H16" s="57">
        <f>I16/G16</f>
        <v>598.37576335877861</v>
      </c>
      <c r="I16" s="19">
        <v>62709.78</v>
      </c>
      <c r="J16" s="19">
        <f>K16/G16</f>
        <v>0</v>
      </c>
      <c r="K16" s="19">
        <v>0</v>
      </c>
      <c r="L16" s="56"/>
      <c r="BB16" s="14"/>
      <c r="BC16" s="15"/>
      <c r="BD16" s="21" t="s">
        <v>49</v>
      </c>
    </row>
    <row r="17" spans="1:58" s="3" customFormat="1" ht="24.75" customHeight="1" x14ac:dyDescent="0.3">
      <c r="A17" s="437" t="s">
        <v>253</v>
      </c>
      <c r="B17" s="418"/>
      <c r="C17" s="418"/>
      <c r="D17" s="418"/>
      <c r="E17" s="418"/>
      <c r="F17" s="418"/>
      <c r="G17" s="418"/>
      <c r="H17" s="154"/>
      <c r="I17" s="154"/>
      <c r="J17" s="154"/>
      <c r="K17" s="155"/>
      <c r="L17" s="56"/>
      <c r="BB17" s="14"/>
      <c r="BC17" s="15" t="s">
        <v>253</v>
      </c>
      <c r="BD17" s="21"/>
    </row>
    <row r="18" spans="1:58" s="3" customFormat="1" ht="42" x14ac:dyDescent="0.3">
      <c r="A18" s="16" t="s">
        <v>22</v>
      </c>
      <c r="B18" s="17" t="s">
        <v>254</v>
      </c>
      <c r="C18" s="405" t="s">
        <v>255</v>
      </c>
      <c r="D18" s="405"/>
      <c r="E18" s="405"/>
      <c r="F18" s="16" t="s">
        <v>50</v>
      </c>
      <c r="G18" s="24">
        <v>179.8</v>
      </c>
      <c r="H18" s="57">
        <f>I18/G18</f>
        <v>45.134093437152387</v>
      </c>
      <c r="I18" s="19">
        <v>8115.11</v>
      </c>
      <c r="J18" s="19">
        <f>K18/G18</f>
        <v>0</v>
      </c>
      <c r="K18" s="19">
        <v>0</v>
      </c>
      <c r="L18" s="56"/>
      <c r="BB18" s="14"/>
      <c r="BC18" s="15"/>
      <c r="BD18" s="21" t="s">
        <v>255</v>
      </c>
    </row>
    <row r="19" spans="1:58" s="3" customFormat="1" ht="15" customHeight="1" x14ac:dyDescent="0.3">
      <c r="A19" s="437" t="s">
        <v>812</v>
      </c>
      <c r="B19" s="418"/>
      <c r="C19" s="418"/>
      <c r="D19" s="418"/>
      <c r="E19" s="418"/>
      <c r="F19" s="418"/>
      <c r="G19" s="418"/>
      <c r="H19" s="154"/>
      <c r="I19" s="154"/>
      <c r="J19" s="154"/>
      <c r="K19" s="155"/>
      <c r="L19" s="56"/>
      <c r="BB19" s="14"/>
      <c r="BC19" s="15" t="s">
        <v>812</v>
      </c>
      <c r="BD19" s="21"/>
    </row>
    <row r="20" spans="1:58" s="3" customFormat="1" ht="31.8" x14ac:dyDescent="0.3">
      <c r="A20" s="16" t="s">
        <v>27</v>
      </c>
      <c r="B20" s="17" t="s">
        <v>813</v>
      </c>
      <c r="C20" s="405" t="s">
        <v>814</v>
      </c>
      <c r="D20" s="405"/>
      <c r="E20" s="405"/>
      <c r="F20" s="16" t="s">
        <v>115</v>
      </c>
      <c r="G20" s="23">
        <v>72</v>
      </c>
      <c r="H20" s="57">
        <f>I20/G20</f>
        <v>1320.4822222222222</v>
      </c>
      <c r="I20" s="19">
        <f>100650.22-K20</f>
        <v>95074.72</v>
      </c>
      <c r="J20" s="19">
        <f>K20/G20</f>
        <v>77.4375</v>
      </c>
      <c r="K20" s="19">
        <v>5575.5</v>
      </c>
      <c r="L20" s="56"/>
      <c r="BB20" s="14"/>
      <c r="BC20" s="15"/>
      <c r="BD20" s="21" t="s">
        <v>814</v>
      </c>
    </row>
    <row r="21" spans="1:58" s="3" customFormat="1" ht="20.399999999999999" x14ac:dyDescent="0.3">
      <c r="A21" s="37" t="s">
        <v>78</v>
      </c>
      <c r="B21" s="38" t="s">
        <v>815</v>
      </c>
      <c r="C21" s="430" t="s">
        <v>816</v>
      </c>
      <c r="D21" s="430"/>
      <c r="E21" s="430"/>
      <c r="F21" s="39" t="s">
        <v>70</v>
      </c>
      <c r="G21" s="40" t="s">
        <v>33</v>
      </c>
      <c r="H21" s="100"/>
      <c r="I21" s="41"/>
      <c r="J21" s="41"/>
      <c r="K21" s="42"/>
      <c r="L21" s="56"/>
      <c r="BB21" s="14"/>
      <c r="BC21" s="15"/>
      <c r="BD21" s="21"/>
      <c r="BE21" s="43" t="s">
        <v>816</v>
      </c>
    </row>
    <row r="22" spans="1:58" s="3" customFormat="1" ht="20.399999999999999" x14ac:dyDescent="0.3">
      <c r="A22" s="37" t="s">
        <v>78</v>
      </c>
      <c r="B22" s="38" t="s">
        <v>817</v>
      </c>
      <c r="C22" s="430" t="s">
        <v>818</v>
      </c>
      <c r="D22" s="430"/>
      <c r="E22" s="430"/>
      <c r="F22" s="39" t="s">
        <v>25</v>
      </c>
      <c r="G22" s="40" t="s">
        <v>33</v>
      </c>
      <c r="H22" s="100"/>
      <c r="I22" s="41"/>
      <c r="J22" s="41"/>
      <c r="K22" s="42"/>
      <c r="L22" s="56"/>
      <c r="BB22" s="14"/>
      <c r="BC22" s="15"/>
      <c r="BD22" s="21"/>
      <c r="BE22" s="43" t="s">
        <v>818</v>
      </c>
    </row>
    <row r="23" spans="1:58" s="3" customFormat="1" ht="20.399999999999999" x14ac:dyDescent="0.3">
      <c r="A23" s="25"/>
      <c r="B23" s="26" t="s">
        <v>154</v>
      </c>
      <c r="C23" s="419" t="s">
        <v>155</v>
      </c>
      <c r="D23" s="419"/>
      <c r="E23" s="419"/>
      <c r="F23" s="27" t="s">
        <v>46</v>
      </c>
      <c r="G23" s="22" t="s">
        <v>2295</v>
      </c>
      <c r="H23" s="58"/>
      <c r="I23" s="28"/>
      <c r="J23" s="28"/>
      <c r="K23" s="29"/>
      <c r="L23" s="56"/>
      <c r="BB23" s="14"/>
      <c r="BC23" s="15"/>
      <c r="BD23" s="21"/>
      <c r="BE23" s="43"/>
      <c r="BF23" s="12" t="s">
        <v>155</v>
      </c>
    </row>
    <row r="24" spans="1:58" s="3" customFormat="1" ht="20.399999999999999" x14ac:dyDescent="0.3">
      <c r="A24" s="37" t="s">
        <v>78</v>
      </c>
      <c r="B24" s="38" t="s">
        <v>820</v>
      </c>
      <c r="C24" s="430" t="s">
        <v>821</v>
      </c>
      <c r="D24" s="430"/>
      <c r="E24" s="430"/>
      <c r="F24" s="39" t="s">
        <v>46</v>
      </c>
      <c r="G24" s="40" t="s">
        <v>33</v>
      </c>
      <c r="H24" s="100"/>
      <c r="I24" s="41"/>
      <c r="J24" s="41"/>
      <c r="K24" s="42"/>
      <c r="L24" s="56"/>
      <c r="BB24" s="14"/>
      <c r="BC24" s="15"/>
      <c r="BD24" s="21"/>
      <c r="BE24" s="43" t="s">
        <v>821</v>
      </c>
      <c r="BF24" s="12"/>
    </row>
    <row r="25" spans="1:58" s="3" customFormat="1" ht="31.8" x14ac:dyDescent="0.3">
      <c r="A25" s="25"/>
      <c r="B25" s="26" t="s">
        <v>822</v>
      </c>
      <c r="C25" s="419" t="s">
        <v>823</v>
      </c>
      <c r="D25" s="419"/>
      <c r="E25" s="419"/>
      <c r="F25" s="27" t="s">
        <v>115</v>
      </c>
      <c r="G25" s="22" t="s">
        <v>2296</v>
      </c>
      <c r="H25" s="58"/>
      <c r="I25" s="28"/>
      <c r="J25" s="28"/>
      <c r="K25" s="29"/>
      <c r="L25" s="56"/>
      <c r="BB25" s="14"/>
      <c r="BC25" s="15"/>
      <c r="BD25" s="21"/>
      <c r="BE25" s="43"/>
      <c r="BF25" s="12" t="s">
        <v>823</v>
      </c>
    </row>
    <row r="26" spans="1:58" s="3" customFormat="1" ht="15" customHeight="1" x14ac:dyDescent="0.3">
      <c r="A26" s="437" t="s">
        <v>2297</v>
      </c>
      <c r="B26" s="418"/>
      <c r="C26" s="418"/>
      <c r="D26" s="418"/>
      <c r="E26" s="418"/>
      <c r="F26" s="418"/>
      <c r="G26" s="418"/>
      <c r="H26" s="154"/>
      <c r="I26" s="154"/>
      <c r="J26" s="154"/>
      <c r="K26" s="155"/>
      <c r="L26" s="56"/>
      <c r="BB26" s="14"/>
      <c r="BC26" s="15" t="s">
        <v>2297</v>
      </c>
      <c r="BD26" s="21"/>
      <c r="BE26" s="43"/>
      <c r="BF26" s="12"/>
    </row>
    <row r="27" spans="1:58" s="3" customFormat="1" ht="15" customHeight="1" x14ac:dyDescent="0.3">
      <c r="A27" s="437" t="s">
        <v>826</v>
      </c>
      <c r="B27" s="418"/>
      <c r="C27" s="418"/>
      <c r="D27" s="418"/>
      <c r="E27" s="418"/>
      <c r="F27" s="418"/>
      <c r="G27" s="418"/>
      <c r="H27" s="154"/>
      <c r="I27" s="154"/>
      <c r="J27" s="154"/>
      <c r="K27" s="155"/>
      <c r="L27" s="56"/>
      <c r="BB27" s="14"/>
      <c r="BC27" s="15" t="s">
        <v>826</v>
      </c>
      <c r="BD27" s="21"/>
      <c r="BE27" s="43"/>
      <c r="BF27" s="12"/>
    </row>
    <row r="28" spans="1:58" s="3" customFormat="1" ht="42" x14ac:dyDescent="0.3">
      <c r="A28" s="16" t="s">
        <v>35</v>
      </c>
      <c r="B28" s="17" t="s">
        <v>827</v>
      </c>
      <c r="C28" s="405" t="s">
        <v>828</v>
      </c>
      <c r="D28" s="405"/>
      <c r="E28" s="405"/>
      <c r="F28" s="16" t="s">
        <v>46</v>
      </c>
      <c r="G28" s="24">
        <v>1.7</v>
      </c>
      <c r="H28" s="57">
        <f>I28/G28</f>
        <v>12426.364705882357</v>
      </c>
      <c r="I28" s="19">
        <f>102057.44-K28</f>
        <v>21124.820000000007</v>
      </c>
      <c r="J28" s="19">
        <f>K28/G28</f>
        <v>47607.423529411761</v>
      </c>
      <c r="K28" s="19">
        <v>80932.62</v>
      </c>
      <c r="L28" s="56"/>
      <c r="BB28" s="14"/>
      <c r="BC28" s="15"/>
      <c r="BD28" s="21" t="s">
        <v>828</v>
      </c>
      <c r="BE28" s="43"/>
      <c r="BF28" s="12"/>
    </row>
    <row r="29" spans="1:58" s="3" customFormat="1" ht="20.399999999999999" x14ac:dyDescent="0.3">
      <c r="A29" s="25"/>
      <c r="B29" s="26" t="s">
        <v>76</v>
      </c>
      <c r="C29" s="419" t="s">
        <v>77</v>
      </c>
      <c r="D29" s="419"/>
      <c r="E29" s="419"/>
      <c r="F29" s="27" t="s">
        <v>70</v>
      </c>
      <c r="G29" s="22" t="s">
        <v>2298</v>
      </c>
      <c r="H29" s="58"/>
      <c r="I29" s="28"/>
      <c r="J29" s="28"/>
      <c r="K29" s="29"/>
      <c r="L29" s="56"/>
      <c r="BB29" s="14"/>
      <c r="BC29" s="15"/>
      <c r="BD29" s="21"/>
      <c r="BE29" s="43"/>
      <c r="BF29" s="12" t="s">
        <v>77</v>
      </c>
    </row>
    <row r="30" spans="1:58" s="3" customFormat="1" ht="20.399999999999999" x14ac:dyDescent="0.3">
      <c r="A30" s="37" t="s">
        <v>143</v>
      </c>
      <c r="B30" s="38" t="s">
        <v>830</v>
      </c>
      <c r="C30" s="430" t="s">
        <v>831</v>
      </c>
      <c r="D30" s="430"/>
      <c r="E30" s="430"/>
      <c r="F30" s="39" t="s">
        <v>46</v>
      </c>
      <c r="G30" s="40" t="s">
        <v>2299</v>
      </c>
      <c r="H30" s="100"/>
      <c r="I30" s="41"/>
      <c r="J30" s="41"/>
      <c r="K30" s="42"/>
      <c r="L30" s="56"/>
      <c r="BB30" s="14"/>
      <c r="BC30" s="15"/>
      <c r="BD30" s="21"/>
      <c r="BE30" s="43" t="s">
        <v>831</v>
      </c>
      <c r="BF30" s="12"/>
    </row>
    <row r="31" spans="1:58" s="3" customFormat="1" ht="62.4" x14ac:dyDescent="0.3">
      <c r="A31" s="25"/>
      <c r="B31" s="26" t="s">
        <v>833</v>
      </c>
      <c r="C31" s="419" t="s">
        <v>834</v>
      </c>
      <c r="D31" s="419"/>
      <c r="E31" s="419"/>
      <c r="F31" s="27" t="s">
        <v>70</v>
      </c>
      <c r="G31" s="22" t="s">
        <v>2300</v>
      </c>
      <c r="H31" s="58"/>
      <c r="I31" s="28"/>
      <c r="J31" s="28"/>
      <c r="K31" s="29"/>
      <c r="L31" s="56"/>
      <c r="BB31" s="14"/>
      <c r="BC31" s="15"/>
      <c r="BD31" s="21"/>
      <c r="BE31" s="43"/>
      <c r="BF31" s="12" t="s">
        <v>834</v>
      </c>
    </row>
    <row r="32" spans="1:58" s="3" customFormat="1" ht="20.399999999999999" x14ac:dyDescent="0.3">
      <c r="A32" s="25"/>
      <c r="B32" s="26" t="s">
        <v>836</v>
      </c>
      <c r="C32" s="419" t="s">
        <v>837</v>
      </c>
      <c r="D32" s="419"/>
      <c r="E32" s="419"/>
      <c r="F32" s="27" t="s">
        <v>46</v>
      </c>
      <c r="G32" s="22" t="s">
        <v>2301</v>
      </c>
      <c r="H32" s="58"/>
      <c r="I32" s="28"/>
      <c r="J32" s="28"/>
      <c r="K32" s="29"/>
      <c r="L32" s="56"/>
      <c r="BB32" s="14"/>
      <c r="BC32" s="15"/>
      <c r="BD32" s="21"/>
      <c r="BE32" s="43"/>
      <c r="BF32" s="12" t="s">
        <v>837</v>
      </c>
    </row>
    <row r="33" spans="1:59" s="3" customFormat="1" ht="21.6" x14ac:dyDescent="0.3">
      <c r="A33" s="25"/>
      <c r="B33" s="26" t="s">
        <v>839</v>
      </c>
      <c r="C33" s="419" t="s">
        <v>840</v>
      </c>
      <c r="D33" s="419"/>
      <c r="E33" s="419"/>
      <c r="F33" s="27" t="s">
        <v>75</v>
      </c>
      <c r="G33" s="22" t="s">
        <v>2302</v>
      </c>
      <c r="H33" s="58"/>
      <c r="I33" s="28"/>
      <c r="J33" s="28"/>
      <c r="K33" s="29"/>
      <c r="L33" s="56"/>
      <c r="BB33" s="14"/>
      <c r="BC33" s="15"/>
      <c r="BD33" s="21"/>
      <c r="BE33" s="43"/>
      <c r="BF33" s="12" t="s">
        <v>840</v>
      </c>
    </row>
    <row r="34" spans="1:59" s="3" customFormat="1" ht="21.6" x14ac:dyDescent="0.3">
      <c r="A34" s="25" t="s">
        <v>129</v>
      </c>
      <c r="B34" s="26" t="s">
        <v>842</v>
      </c>
      <c r="C34" s="419" t="s">
        <v>843</v>
      </c>
      <c r="D34" s="419"/>
      <c r="E34" s="419"/>
      <c r="F34" s="27" t="s">
        <v>38</v>
      </c>
      <c r="G34" s="22" t="s">
        <v>2303</v>
      </c>
      <c r="H34" s="57"/>
      <c r="I34" s="28"/>
      <c r="J34" s="19"/>
      <c r="K34" s="29"/>
      <c r="L34" s="56"/>
      <c r="BB34" s="14"/>
      <c r="BC34" s="15"/>
      <c r="BD34" s="21"/>
      <c r="BE34" s="43"/>
      <c r="BF34" s="12"/>
      <c r="BG34" s="12" t="s">
        <v>843</v>
      </c>
    </row>
    <row r="35" spans="1:59" s="3" customFormat="1" ht="26.25" customHeight="1" x14ac:dyDescent="0.3">
      <c r="A35" s="437" t="s">
        <v>845</v>
      </c>
      <c r="B35" s="418"/>
      <c r="C35" s="418"/>
      <c r="D35" s="418"/>
      <c r="E35" s="418"/>
      <c r="F35" s="418"/>
      <c r="G35" s="418"/>
      <c r="H35" s="154"/>
      <c r="I35" s="154"/>
      <c r="J35" s="154"/>
      <c r="K35" s="155"/>
      <c r="L35" s="56"/>
      <c r="BB35" s="14"/>
      <c r="BC35" s="15" t="s">
        <v>845</v>
      </c>
      <c r="BD35" s="21"/>
      <c r="BE35" s="43"/>
      <c r="BF35" s="12"/>
      <c r="BG35" s="12"/>
    </row>
    <row r="36" spans="1:59" s="3" customFormat="1" ht="42" x14ac:dyDescent="0.3">
      <c r="A36" s="16" t="s">
        <v>40</v>
      </c>
      <c r="B36" s="17" t="s">
        <v>846</v>
      </c>
      <c r="C36" s="405" t="s">
        <v>847</v>
      </c>
      <c r="D36" s="405"/>
      <c r="E36" s="405"/>
      <c r="F36" s="16" t="s">
        <v>46</v>
      </c>
      <c r="G36" s="24">
        <v>10.3</v>
      </c>
      <c r="H36" s="57">
        <f>I36/G36</f>
        <v>16725.299029126207</v>
      </c>
      <c r="I36" s="19">
        <f>540319.83-K36</f>
        <v>172270.57999999996</v>
      </c>
      <c r="J36" s="19">
        <f>K36/G36</f>
        <v>35732.936893203878</v>
      </c>
      <c r="K36" s="19">
        <v>368049.25</v>
      </c>
      <c r="L36" s="56"/>
      <c r="BB36" s="14"/>
      <c r="BC36" s="15"/>
      <c r="BD36" s="21" t="s">
        <v>847</v>
      </c>
      <c r="BE36" s="43"/>
      <c r="BF36" s="12"/>
      <c r="BG36" s="12"/>
    </row>
    <row r="37" spans="1:59" s="3" customFormat="1" ht="20.399999999999999" x14ac:dyDescent="0.3">
      <c r="A37" s="25"/>
      <c r="B37" s="26" t="s">
        <v>76</v>
      </c>
      <c r="C37" s="419" t="s">
        <v>77</v>
      </c>
      <c r="D37" s="419"/>
      <c r="E37" s="419"/>
      <c r="F37" s="27" t="s">
        <v>70</v>
      </c>
      <c r="G37" s="22" t="s">
        <v>2304</v>
      </c>
      <c r="H37" s="58"/>
      <c r="I37" s="28"/>
      <c r="J37" s="28"/>
      <c r="K37" s="29"/>
      <c r="L37" s="56"/>
      <c r="BB37" s="14"/>
      <c r="BC37" s="15"/>
      <c r="BD37" s="21"/>
      <c r="BE37" s="43"/>
      <c r="BF37" s="12" t="s">
        <v>77</v>
      </c>
      <c r="BG37" s="12"/>
    </row>
    <row r="38" spans="1:59" s="3" customFormat="1" ht="20.399999999999999" x14ac:dyDescent="0.3">
      <c r="A38" s="37" t="s">
        <v>143</v>
      </c>
      <c r="B38" s="38" t="s">
        <v>830</v>
      </c>
      <c r="C38" s="430" t="s">
        <v>831</v>
      </c>
      <c r="D38" s="430"/>
      <c r="E38" s="430"/>
      <c r="F38" s="39" t="s">
        <v>46</v>
      </c>
      <c r="G38" s="40" t="s">
        <v>2305</v>
      </c>
      <c r="H38" s="100"/>
      <c r="I38" s="41"/>
      <c r="J38" s="41"/>
      <c r="K38" s="42"/>
      <c r="L38" s="56"/>
      <c r="BB38" s="14"/>
      <c r="BC38" s="15"/>
      <c r="BD38" s="21"/>
      <c r="BE38" s="43" t="s">
        <v>831</v>
      </c>
      <c r="BF38" s="12"/>
      <c r="BG38" s="12"/>
    </row>
    <row r="39" spans="1:59" s="3" customFormat="1" ht="62.4" x14ac:dyDescent="0.3">
      <c r="A39" s="25"/>
      <c r="B39" s="26" t="s">
        <v>833</v>
      </c>
      <c r="C39" s="419" t="s">
        <v>834</v>
      </c>
      <c r="D39" s="419"/>
      <c r="E39" s="419"/>
      <c r="F39" s="27" t="s">
        <v>70</v>
      </c>
      <c r="G39" s="22" t="s">
        <v>2304</v>
      </c>
      <c r="H39" s="58"/>
      <c r="I39" s="28"/>
      <c r="J39" s="28"/>
      <c r="K39" s="29"/>
      <c r="L39" s="56"/>
      <c r="BB39" s="14"/>
      <c r="BC39" s="15"/>
      <c r="BD39" s="21"/>
      <c r="BE39" s="43"/>
      <c r="BF39" s="12" t="s">
        <v>834</v>
      </c>
      <c r="BG39" s="12"/>
    </row>
    <row r="40" spans="1:59" s="3" customFormat="1" ht="20.399999999999999" x14ac:dyDescent="0.3">
      <c r="A40" s="25"/>
      <c r="B40" s="26" t="s">
        <v>836</v>
      </c>
      <c r="C40" s="419" t="s">
        <v>837</v>
      </c>
      <c r="D40" s="419"/>
      <c r="E40" s="419"/>
      <c r="F40" s="27" t="s">
        <v>46</v>
      </c>
      <c r="G40" s="22" t="s">
        <v>2306</v>
      </c>
      <c r="H40" s="58"/>
      <c r="I40" s="28"/>
      <c r="J40" s="28"/>
      <c r="K40" s="29"/>
      <c r="L40" s="56"/>
      <c r="BB40" s="14"/>
      <c r="BC40" s="15"/>
      <c r="BD40" s="21"/>
      <c r="BE40" s="43"/>
      <c r="BF40" s="12" t="s">
        <v>837</v>
      </c>
      <c r="BG40" s="12"/>
    </row>
    <row r="41" spans="1:59" s="3" customFormat="1" ht="21.6" x14ac:dyDescent="0.3">
      <c r="A41" s="25"/>
      <c r="B41" s="26" t="s">
        <v>839</v>
      </c>
      <c r="C41" s="419" t="s">
        <v>840</v>
      </c>
      <c r="D41" s="419"/>
      <c r="E41" s="419"/>
      <c r="F41" s="27" t="s">
        <v>75</v>
      </c>
      <c r="G41" s="22" t="s">
        <v>2307</v>
      </c>
      <c r="H41" s="58"/>
      <c r="I41" s="28"/>
      <c r="J41" s="28"/>
      <c r="K41" s="29"/>
      <c r="L41" s="56"/>
      <c r="BB41" s="14"/>
      <c r="BC41" s="15"/>
      <c r="BD41" s="21"/>
      <c r="BE41" s="43"/>
      <c r="BF41" s="12" t="s">
        <v>840</v>
      </c>
      <c r="BG41" s="12"/>
    </row>
    <row r="42" spans="1:59" s="3" customFormat="1" ht="21.6" x14ac:dyDescent="0.3">
      <c r="A42" s="25" t="s">
        <v>129</v>
      </c>
      <c r="B42" s="26" t="s">
        <v>842</v>
      </c>
      <c r="C42" s="419" t="s">
        <v>843</v>
      </c>
      <c r="D42" s="419"/>
      <c r="E42" s="419"/>
      <c r="F42" s="27" t="s">
        <v>38</v>
      </c>
      <c r="G42" s="22" t="s">
        <v>2308</v>
      </c>
      <c r="H42" s="57"/>
      <c r="I42" s="28"/>
      <c r="J42" s="19"/>
      <c r="K42" s="29"/>
      <c r="L42" s="56"/>
      <c r="BB42" s="14"/>
      <c r="BC42" s="15"/>
      <c r="BD42" s="21"/>
      <c r="BE42" s="43"/>
      <c r="BF42" s="12"/>
      <c r="BG42" s="12" t="s">
        <v>843</v>
      </c>
    </row>
    <row r="43" spans="1:59" s="3" customFormat="1" ht="15" customHeight="1" x14ac:dyDescent="0.3">
      <c r="A43" s="437" t="s">
        <v>853</v>
      </c>
      <c r="B43" s="418"/>
      <c r="C43" s="418"/>
      <c r="D43" s="418"/>
      <c r="E43" s="418"/>
      <c r="F43" s="418"/>
      <c r="G43" s="418"/>
      <c r="H43" s="154"/>
      <c r="I43" s="154"/>
      <c r="J43" s="154"/>
      <c r="K43" s="155"/>
      <c r="L43" s="56"/>
      <c r="BB43" s="14"/>
      <c r="BC43" s="15" t="s">
        <v>853</v>
      </c>
      <c r="BD43" s="21"/>
      <c r="BE43" s="43"/>
      <c r="BF43" s="12"/>
      <c r="BG43" s="12"/>
    </row>
    <row r="44" spans="1:59" s="3" customFormat="1" ht="15" customHeight="1" x14ac:dyDescent="0.3">
      <c r="A44" s="437" t="s">
        <v>854</v>
      </c>
      <c r="B44" s="418"/>
      <c r="C44" s="418"/>
      <c r="D44" s="418"/>
      <c r="E44" s="418"/>
      <c r="F44" s="418"/>
      <c r="G44" s="418"/>
      <c r="H44" s="154"/>
      <c r="I44" s="154"/>
      <c r="J44" s="154"/>
      <c r="K44" s="155"/>
      <c r="L44" s="56"/>
      <c r="BB44" s="14"/>
      <c r="BC44" s="15" t="s">
        <v>854</v>
      </c>
      <c r="BD44" s="21"/>
      <c r="BE44" s="43"/>
      <c r="BF44" s="12"/>
      <c r="BG44" s="12"/>
    </row>
    <row r="45" spans="1:59" s="3" customFormat="1" ht="15" customHeight="1" x14ac:dyDescent="0.3">
      <c r="A45" s="437" t="s">
        <v>855</v>
      </c>
      <c r="B45" s="418"/>
      <c r="C45" s="418"/>
      <c r="D45" s="418"/>
      <c r="E45" s="418"/>
      <c r="F45" s="418"/>
      <c r="G45" s="418"/>
      <c r="H45" s="154"/>
      <c r="I45" s="154"/>
      <c r="J45" s="154"/>
      <c r="K45" s="155"/>
      <c r="L45" s="56"/>
      <c r="BB45" s="14"/>
      <c r="BC45" s="15" t="s">
        <v>855</v>
      </c>
      <c r="BD45" s="21"/>
      <c r="BE45" s="43"/>
      <c r="BF45" s="12"/>
      <c r="BG45" s="12"/>
    </row>
    <row r="46" spans="1:59" s="3" customFormat="1" ht="31.8" x14ac:dyDescent="0.3">
      <c r="A46" s="16" t="s">
        <v>47</v>
      </c>
      <c r="B46" s="17" t="s">
        <v>856</v>
      </c>
      <c r="C46" s="405" t="s">
        <v>857</v>
      </c>
      <c r="D46" s="405"/>
      <c r="E46" s="405"/>
      <c r="F46" s="16" t="s">
        <v>38</v>
      </c>
      <c r="G46" s="23">
        <v>12</v>
      </c>
      <c r="H46" s="57">
        <f>I46/G46</f>
        <v>2733.5008333333335</v>
      </c>
      <c r="I46" s="19">
        <f>32884.85-K46</f>
        <v>32802.01</v>
      </c>
      <c r="J46" s="19">
        <f>K46/G46</f>
        <v>6.9033333333333333</v>
      </c>
      <c r="K46" s="19">
        <v>82.84</v>
      </c>
      <c r="L46" s="56"/>
      <c r="BB46" s="14"/>
      <c r="BC46" s="15"/>
      <c r="BD46" s="21" t="s">
        <v>857</v>
      </c>
      <c r="BE46" s="43"/>
      <c r="BF46" s="12"/>
      <c r="BG46" s="12"/>
    </row>
    <row r="47" spans="1:59" s="3" customFormat="1" ht="20.399999999999999" x14ac:dyDescent="0.3">
      <c r="A47" s="25"/>
      <c r="B47" s="26" t="s">
        <v>858</v>
      </c>
      <c r="C47" s="419" t="s">
        <v>859</v>
      </c>
      <c r="D47" s="419"/>
      <c r="E47" s="419"/>
      <c r="F47" s="27" t="s">
        <v>46</v>
      </c>
      <c r="G47" s="22" t="s">
        <v>2309</v>
      </c>
      <c r="H47" s="58"/>
      <c r="I47" s="28"/>
      <c r="J47" s="28"/>
      <c r="K47" s="29"/>
      <c r="L47" s="56"/>
      <c r="BB47" s="14"/>
      <c r="BC47" s="15"/>
      <c r="BD47" s="21"/>
      <c r="BE47" s="43"/>
      <c r="BF47" s="12" t="s">
        <v>859</v>
      </c>
      <c r="BG47" s="12"/>
    </row>
    <row r="48" spans="1:59" s="3" customFormat="1" ht="20.399999999999999" x14ac:dyDescent="0.3">
      <c r="A48" s="25"/>
      <c r="B48" s="26" t="s">
        <v>384</v>
      </c>
      <c r="C48" s="419" t="s">
        <v>385</v>
      </c>
      <c r="D48" s="419"/>
      <c r="E48" s="419"/>
      <c r="F48" s="27" t="s">
        <v>46</v>
      </c>
      <c r="G48" s="22" t="s">
        <v>2310</v>
      </c>
      <c r="H48" s="58"/>
      <c r="I48" s="28"/>
      <c r="J48" s="28"/>
      <c r="K48" s="29"/>
      <c r="L48" s="56"/>
      <c r="BB48" s="14"/>
      <c r="BC48" s="15"/>
      <c r="BD48" s="21"/>
      <c r="BE48" s="43"/>
      <c r="BF48" s="12" t="s">
        <v>385</v>
      </c>
      <c r="BG48" s="12"/>
    </row>
    <row r="49" spans="1:59" s="3" customFormat="1" ht="31.8" x14ac:dyDescent="0.3">
      <c r="A49" s="16" t="s">
        <v>52</v>
      </c>
      <c r="B49" s="17" t="s">
        <v>96</v>
      </c>
      <c r="C49" s="405" t="s">
        <v>97</v>
      </c>
      <c r="D49" s="405"/>
      <c r="E49" s="405"/>
      <c r="F49" s="16" t="s">
        <v>50</v>
      </c>
      <c r="G49" s="31">
        <v>3.12</v>
      </c>
      <c r="H49" s="57">
        <f t="shared" ref="H49:H50" si="0">I49/G49</f>
        <v>44.772435897435898</v>
      </c>
      <c r="I49" s="19">
        <v>139.69</v>
      </c>
      <c r="J49" s="19">
        <f t="shared" ref="J49:J50" si="1">K49/G49</f>
        <v>0</v>
      </c>
      <c r="K49" s="19">
        <v>0</v>
      </c>
      <c r="L49" s="56"/>
      <c r="BB49" s="14"/>
      <c r="BC49" s="15"/>
      <c r="BD49" s="21" t="s">
        <v>97</v>
      </c>
      <c r="BE49" s="43"/>
      <c r="BF49" s="12"/>
      <c r="BG49" s="12"/>
    </row>
    <row r="50" spans="1:59" s="3" customFormat="1" ht="42" x14ac:dyDescent="0.3">
      <c r="A50" s="16" t="s">
        <v>55</v>
      </c>
      <c r="B50" s="17" t="s">
        <v>48</v>
      </c>
      <c r="C50" s="405" t="s">
        <v>49</v>
      </c>
      <c r="D50" s="405"/>
      <c r="E50" s="405"/>
      <c r="F50" s="16" t="s">
        <v>50</v>
      </c>
      <c r="G50" s="31">
        <v>3.12</v>
      </c>
      <c r="H50" s="57">
        <f t="shared" si="0"/>
        <v>598.375</v>
      </c>
      <c r="I50" s="19">
        <v>1866.93</v>
      </c>
      <c r="J50" s="19">
        <f t="shared" si="1"/>
        <v>0</v>
      </c>
      <c r="K50" s="19">
        <v>0</v>
      </c>
      <c r="L50" s="56"/>
      <c r="BB50" s="14"/>
      <c r="BC50" s="15"/>
      <c r="BD50" s="21" t="s">
        <v>49</v>
      </c>
      <c r="BE50" s="43"/>
      <c r="BF50" s="12"/>
      <c r="BG50" s="12"/>
    </row>
    <row r="51" spans="1:59" s="3" customFormat="1" ht="15" customHeight="1" x14ac:dyDescent="0.3">
      <c r="A51" s="437" t="s">
        <v>862</v>
      </c>
      <c r="B51" s="418"/>
      <c r="C51" s="418"/>
      <c r="D51" s="418"/>
      <c r="E51" s="418"/>
      <c r="F51" s="418"/>
      <c r="G51" s="418"/>
      <c r="H51" s="154"/>
      <c r="I51" s="154"/>
      <c r="J51" s="154"/>
      <c r="K51" s="155"/>
      <c r="L51" s="56"/>
      <c r="BB51" s="14"/>
      <c r="BC51" s="15" t="s">
        <v>862</v>
      </c>
      <c r="BD51" s="21"/>
      <c r="BE51" s="43"/>
      <c r="BF51" s="12"/>
      <c r="BG51" s="12"/>
    </row>
    <row r="52" spans="1:59" s="3" customFormat="1" ht="21.6" x14ac:dyDescent="0.3">
      <c r="A52" s="16" t="s">
        <v>56</v>
      </c>
      <c r="B52" s="17" t="s">
        <v>261</v>
      </c>
      <c r="C52" s="405" t="s">
        <v>262</v>
      </c>
      <c r="D52" s="405"/>
      <c r="E52" s="405"/>
      <c r="F52" s="16" t="s">
        <v>46</v>
      </c>
      <c r="G52" s="24">
        <v>5.4</v>
      </c>
      <c r="H52" s="57">
        <f>I52/G52</f>
        <v>979.22037037037035</v>
      </c>
      <c r="I52" s="19">
        <f>10334.41-K52</f>
        <v>5287.79</v>
      </c>
      <c r="J52" s="19">
        <f>K52/G52</f>
        <v>934.55925925925919</v>
      </c>
      <c r="K52" s="19">
        <v>5046.62</v>
      </c>
      <c r="L52" s="56"/>
      <c r="BB52" s="14"/>
      <c r="BC52" s="15"/>
      <c r="BD52" s="21" t="s">
        <v>262</v>
      </c>
      <c r="BE52" s="43"/>
      <c r="BF52" s="12"/>
      <c r="BG52" s="12"/>
    </row>
    <row r="53" spans="1:59" s="3" customFormat="1" ht="20.399999999999999" x14ac:dyDescent="0.3">
      <c r="A53" s="25"/>
      <c r="B53" s="26" t="s">
        <v>154</v>
      </c>
      <c r="C53" s="419" t="s">
        <v>155</v>
      </c>
      <c r="D53" s="419"/>
      <c r="E53" s="419"/>
      <c r="F53" s="27" t="s">
        <v>46</v>
      </c>
      <c r="G53" s="22" t="s">
        <v>2311</v>
      </c>
      <c r="H53" s="58"/>
      <c r="I53" s="28"/>
      <c r="J53" s="28"/>
      <c r="K53" s="29"/>
      <c r="L53" s="56"/>
      <c r="BB53" s="14"/>
      <c r="BC53" s="15"/>
      <c r="BD53" s="21"/>
      <c r="BE53" s="43"/>
      <c r="BF53" s="12" t="s">
        <v>155</v>
      </c>
      <c r="BG53" s="12"/>
    </row>
    <row r="54" spans="1:59" s="3" customFormat="1" ht="20.399999999999999" x14ac:dyDescent="0.3">
      <c r="A54" s="37" t="s">
        <v>143</v>
      </c>
      <c r="B54" s="38" t="s">
        <v>79</v>
      </c>
      <c r="C54" s="430" t="s">
        <v>264</v>
      </c>
      <c r="D54" s="430"/>
      <c r="E54" s="430"/>
      <c r="F54" s="39" t="s">
        <v>46</v>
      </c>
      <c r="G54" s="40" t="s">
        <v>2312</v>
      </c>
      <c r="H54" s="100"/>
      <c r="I54" s="41"/>
      <c r="J54" s="41"/>
      <c r="K54" s="42"/>
      <c r="L54" s="56"/>
      <c r="BB54" s="14"/>
      <c r="BC54" s="15"/>
      <c r="BD54" s="21"/>
      <c r="BE54" s="43" t="s">
        <v>264</v>
      </c>
      <c r="BF54" s="12"/>
      <c r="BG54" s="12"/>
    </row>
    <row r="55" spans="1:59" s="3" customFormat="1" ht="20.399999999999999" x14ac:dyDescent="0.3">
      <c r="A55" s="25" t="s">
        <v>129</v>
      </c>
      <c r="B55" s="26" t="s">
        <v>266</v>
      </c>
      <c r="C55" s="419" t="s">
        <v>267</v>
      </c>
      <c r="D55" s="419"/>
      <c r="E55" s="419"/>
      <c r="F55" s="27" t="s">
        <v>46</v>
      </c>
      <c r="G55" s="22" t="s">
        <v>2312</v>
      </c>
      <c r="H55" s="57"/>
      <c r="I55" s="28"/>
      <c r="J55" s="19"/>
      <c r="K55" s="29"/>
      <c r="L55" s="56"/>
      <c r="BB55" s="14"/>
      <c r="BC55" s="15"/>
      <c r="BD55" s="21"/>
      <c r="BE55" s="43"/>
      <c r="BF55" s="12"/>
      <c r="BG55" s="12" t="s">
        <v>267</v>
      </c>
    </row>
    <row r="56" spans="1:59" s="3" customFormat="1" ht="15" customHeight="1" x14ac:dyDescent="0.3">
      <c r="A56" s="437" t="s">
        <v>865</v>
      </c>
      <c r="B56" s="418"/>
      <c r="C56" s="418"/>
      <c r="D56" s="418"/>
      <c r="E56" s="418"/>
      <c r="F56" s="418"/>
      <c r="G56" s="418"/>
      <c r="H56" s="154"/>
      <c r="I56" s="154"/>
      <c r="J56" s="154"/>
      <c r="K56" s="155"/>
      <c r="L56" s="56"/>
      <c r="BB56" s="14"/>
      <c r="BC56" s="15" t="s">
        <v>865</v>
      </c>
      <c r="BD56" s="21"/>
      <c r="BE56" s="43"/>
      <c r="BF56" s="12"/>
      <c r="BG56" s="12"/>
    </row>
    <row r="57" spans="1:59" s="3" customFormat="1" ht="32.25" customHeight="1" x14ac:dyDescent="0.3">
      <c r="A57" s="16" t="s">
        <v>166</v>
      </c>
      <c r="B57" s="17" t="s">
        <v>152</v>
      </c>
      <c r="C57" s="405" t="s">
        <v>153</v>
      </c>
      <c r="D57" s="405"/>
      <c r="E57" s="405"/>
      <c r="F57" s="16" t="s">
        <v>125</v>
      </c>
      <c r="G57" s="18">
        <v>4.2999999999999997E-2</v>
      </c>
      <c r="H57" s="57">
        <f>I57/G57</f>
        <v>154977.20930232553</v>
      </c>
      <c r="I57" s="19">
        <f>30018.67-K57</f>
        <v>6664.0199999999968</v>
      </c>
      <c r="J57" s="19">
        <f>K57/G57</f>
        <v>543131.39534883725</v>
      </c>
      <c r="K57" s="19">
        <v>23354.65</v>
      </c>
      <c r="L57" s="56"/>
      <c r="BB57" s="14"/>
      <c r="BC57" s="15"/>
      <c r="BD57" s="21" t="s">
        <v>153</v>
      </c>
      <c r="BE57" s="43"/>
      <c r="BF57" s="12"/>
      <c r="BG57" s="12"/>
    </row>
    <row r="58" spans="1:59" s="3" customFormat="1" ht="20.399999999999999" x14ac:dyDescent="0.3">
      <c r="A58" s="25"/>
      <c r="B58" s="26" t="s">
        <v>154</v>
      </c>
      <c r="C58" s="419" t="s">
        <v>155</v>
      </c>
      <c r="D58" s="419"/>
      <c r="E58" s="419"/>
      <c r="F58" s="27" t="s">
        <v>46</v>
      </c>
      <c r="G58" s="22" t="s">
        <v>2313</v>
      </c>
      <c r="H58" s="58"/>
      <c r="I58" s="28"/>
      <c r="J58" s="28"/>
      <c r="K58" s="29"/>
      <c r="L58" s="56"/>
      <c r="BB58" s="14"/>
      <c r="BC58" s="15"/>
      <c r="BD58" s="21"/>
      <c r="BE58" s="43"/>
      <c r="BF58" s="12" t="s">
        <v>155</v>
      </c>
      <c r="BG58" s="12"/>
    </row>
    <row r="59" spans="1:59" s="3" customFormat="1" ht="20.399999999999999" x14ac:dyDescent="0.3">
      <c r="A59" s="25"/>
      <c r="B59" s="26" t="s">
        <v>156</v>
      </c>
      <c r="C59" s="419" t="s">
        <v>157</v>
      </c>
      <c r="D59" s="419"/>
      <c r="E59" s="419"/>
      <c r="F59" s="27" t="s">
        <v>158</v>
      </c>
      <c r="G59" s="22" t="s">
        <v>2314</v>
      </c>
      <c r="H59" s="58"/>
      <c r="I59" s="28"/>
      <c r="J59" s="28"/>
      <c r="K59" s="29"/>
      <c r="L59" s="56"/>
      <c r="BB59" s="14"/>
      <c r="BC59" s="15"/>
      <c r="BD59" s="21"/>
      <c r="BE59" s="43"/>
      <c r="BF59" s="12" t="s">
        <v>157</v>
      </c>
      <c r="BG59" s="12"/>
    </row>
    <row r="60" spans="1:59" s="3" customFormat="1" ht="20.399999999999999" x14ac:dyDescent="0.3">
      <c r="A60" s="37" t="s">
        <v>143</v>
      </c>
      <c r="B60" s="38" t="s">
        <v>159</v>
      </c>
      <c r="C60" s="430" t="s">
        <v>160</v>
      </c>
      <c r="D60" s="430"/>
      <c r="E60" s="430"/>
      <c r="F60" s="39" t="s">
        <v>46</v>
      </c>
      <c r="G60" s="40" t="s">
        <v>2315</v>
      </c>
      <c r="H60" s="100"/>
      <c r="I60" s="41"/>
      <c r="J60" s="41"/>
      <c r="K60" s="42"/>
      <c r="L60" s="56"/>
      <c r="BB60" s="14"/>
      <c r="BC60" s="15"/>
      <c r="BD60" s="21"/>
      <c r="BE60" s="43" t="s">
        <v>160</v>
      </c>
      <c r="BF60" s="12"/>
      <c r="BG60" s="12"/>
    </row>
    <row r="61" spans="1:59" s="3" customFormat="1" ht="21.6" x14ac:dyDescent="0.3">
      <c r="A61" s="25" t="s">
        <v>129</v>
      </c>
      <c r="B61" s="26" t="s">
        <v>161</v>
      </c>
      <c r="C61" s="419" t="s">
        <v>162</v>
      </c>
      <c r="D61" s="419"/>
      <c r="E61" s="419"/>
      <c r="F61" s="27" t="s">
        <v>46</v>
      </c>
      <c r="G61" s="22" t="s">
        <v>2315</v>
      </c>
      <c r="H61" s="57"/>
      <c r="I61" s="28"/>
      <c r="J61" s="19"/>
      <c r="K61" s="29"/>
      <c r="L61" s="56"/>
      <c r="BB61" s="14"/>
      <c r="BC61" s="15"/>
      <c r="BD61" s="21"/>
      <c r="BE61" s="43"/>
      <c r="BF61" s="12"/>
      <c r="BG61" s="12" t="s">
        <v>162</v>
      </c>
    </row>
    <row r="62" spans="1:59" s="3" customFormat="1" ht="15" customHeight="1" x14ac:dyDescent="0.3">
      <c r="A62" s="437" t="s">
        <v>869</v>
      </c>
      <c r="B62" s="418"/>
      <c r="C62" s="418"/>
      <c r="D62" s="418"/>
      <c r="E62" s="418"/>
      <c r="F62" s="418"/>
      <c r="G62" s="418"/>
      <c r="H62" s="154"/>
      <c r="I62" s="154"/>
      <c r="J62" s="154"/>
      <c r="K62" s="155"/>
      <c r="L62" s="56"/>
      <c r="BB62" s="14"/>
      <c r="BC62" s="15" t="s">
        <v>869</v>
      </c>
      <c r="BD62" s="21"/>
      <c r="BE62" s="43"/>
      <c r="BF62" s="12"/>
      <c r="BG62" s="12"/>
    </row>
    <row r="63" spans="1:59" s="3" customFormat="1" ht="21.6" x14ac:dyDescent="0.3">
      <c r="A63" s="16" t="s">
        <v>169</v>
      </c>
      <c r="B63" s="17" t="s">
        <v>273</v>
      </c>
      <c r="C63" s="405" t="s">
        <v>274</v>
      </c>
      <c r="D63" s="405"/>
      <c r="E63" s="405"/>
      <c r="F63" s="16" t="s">
        <v>125</v>
      </c>
      <c r="G63" s="18">
        <v>0.376</v>
      </c>
      <c r="H63" s="57">
        <f>I63/G63</f>
        <v>229999.49468085106</v>
      </c>
      <c r="I63" s="19">
        <f>88105.08-K63</f>
        <v>86479.81</v>
      </c>
      <c r="J63" s="19">
        <f>K63/G63</f>
        <v>4322.5265957446809</v>
      </c>
      <c r="K63" s="19">
        <v>1625.27</v>
      </c>
      <c r="L63" s="56"/>
      <c r="BB63" s="14"/>
      <c r="BC63" s="15"/>
      <c r="BD63" s="21" t="s">
        <v>274</v>
      </c>
      <c r="BE63" s="43"/>
      <c r="BF63" s="12"/>
      <c r="BG63" s="12"/>
    </row>
    <row r="64" spans="1:59" s="3" customFormat="1" ht="20.399999999999999" x14ac:dyDescent="0.3">
      <c r="A64" s="25"/>
      <c r="B64" s="26" t="s">
        <v>154</v>
      </c>
      <c r="C64" s="419" t="s">
        <v>155</v>
      </c>
      <c r="D64" s="419"/>
      <c r="E64" s="419"/>
      <c r="F64" s="27" t="s">
        <v>46</v>
      </c>
      <c r="G64" s="22" t="s">
        <v>2316</v>
      </c>
      <c r="H64" s="58"/>
      <c r="I64" s="28"/>
      <c r="J64" s="28"/>
      <c r="K64" s="29"/>
      <c r="L64" s="56"/>
      <c r="BB64" s="14"/>
      <c r="BC64" s="15"/>
      <c r="BD64" s="21"/>
      <c r="BE64" s="43"/>
      <c r="BF64" s="12" t="s">
        <v>155</v>
      </c>
      <c r="BG64" s="12"/>
    </row>
    <row r="65" spans="1:59" s="3" customFormat="1" ht="20.399999999999999" x14ac:dyDescent="0.3">
      <c r="A65" s="25"/>
      <c r="B65" s="26" t="s">
        <v>156</v>
      </c>
      <c r="C65" s="419" t="s">
        <v>157</v>
      </c>
      <c r="D65" s="419"/>
      <c r="E65" s="419"/>
      <c r="F65" s="27" t="s">
        <v>158</v>
      </c>
      <c r="G65" s="22" t="s">
        <v>2317</v>
      </c>
      <c r="H65" s="58"/>
      <c r="I65" s="28"/>
      <c r="J65" s="28"/>
      <c r="K65" s="29"/>
      <c r="L65" s="56"/>
      <c r="BB65" s="14"/>
      <c r="BC65" s="15"/>
      <c r="BD65" s="21"/>
      <c r="BE65" s="43"/>
      <c r="BF65" s="12" t="s">
        <v>157</v>
      </c>
      <c r="BG65" s="12"/>
    </row>
    <row r="66" spans="1:59" s="3" customFormat="1" ht="20.399999999999999" x14ac:dyDescent="0.3">
      <c r="A66" s="25"/>
      <c r="B66" s="26" t="s">
        <v>277</v>
      </c>
      <c r="C66" s="419" t="s">
        <v>278</v>
      </c>
      <c r="D66" s="419"/>
      <c r="E66" s="419"/>
      <c r="F66" s="27" t="s">
        <v>70</v>
      </c>
      <c r="G66" s="22" t="s">
        <v>2318</v>
      </c>
      <c r="H66" s="58"/>
      <c r="I66" s="28"/>
      <c r="J66" s="28"/>
      <c r="K66" s="29"/>
      <c r="L66" s="56"/>
      <c r="BB66" s="14"/>
      <c r="BC66" s="15"/>
      <c r="BD66" s="21"/>
      <c r="BE66" s="43"/>
      <c r="BF66" s="12" t="s">
        <v>278</v>
      </c>
      <c r="BG66" s="12"/>
    </row>
    <row r="67" spans="1:59" s="3" customFormat="1" ht="20.399999999999999" x14ac:dyDescent="0.3">
      <c r="A67" s="25"/>
      <c r="B67" s="26" t="s">
        <v>76</v>
      </c>
      <c r="C67" s="419" t="s">
        <v>77</v>
      </c>
      <c r="D67" s="419"/>
      <c r="E67" s="419"/>
      <c r="F67" s="27" t="s">
        <v>70</v>
      </c>
      <c r="G67" s="22" t="s">
        <v>2319</v>
      </c>
      <c r="H67" s="58"/>
      <c r="I67" s="28"/>
      <c r="J67" s="28"/>
      <c r="K67" s="29"/>
      <c r="L67" s="56"/>
      <c r="BB67" s="14"/>
      <c r="BC67" s="15"/>
      <c r="BD67" s="21"/>
      <c r="BE67" s="43"/>
      <c r="BF67" s="12" t="s">
        <v>77</v>
      </c>
      <c r="BG67" s="12"/>
    </row>
    <row r="68" spans="1:59" s="3" customFormat="1" ht="21.6" x14ac:dyDescent="0.3">
      <c r="A68" s="25"/>
      <c r="B68" s="26" t="s">
        <v>281</v>
      </c>
      <c r="C68" s="419" t="s">
        <v>282</v>
      </c>
      <c r="D68" s="419"/>
      <c r="E68" s="419"/>
      <c r="F68" s="27" t="s">
        <v>70</v>
      </c>
      <c r="G68" s="22" t="s">
        <v>2320</v>
      </c>
      <c r="H68" s="58"/>
      <c r="I68" s="28"/>
      <c r="J68" s="28"/>
      <c r="K68" s="29"/>
      <c r="L68" s="56"/>
      <c r="BB68" s="14"/>
      <c r="BC68" s="15"/>
      <c r="BD68" s="21"/>
      <c r="BE68" s="43"/>
      <c r="BF68" s="12" t="s">
        <v>282</v>
      </c>
      <c r="BG68" s="12"/>
    </row>
    <row r="69" spans="1:59" s="3" customFormat="1" ht="20.399999999999999" x14ac:dyDescent="0.3">
      <c r="A69" s="37" t="s">
        <v>143</v>
      </c>
      <c r="B69" s="38" t="s">
        <v>159</v>
      </c>
      <c r="C69" s="430" t="s">
        <v>160</v>
      </c>
      <c r="D69" s="430"/>
      <c r="E69" s="430"/>
      <c r="F69" s="39" t="s">
        <v>46</v>
      </c>
      <c r="G69" s="40" t="s">
        <v>2321</v>
      </c>
      <c r="H69" s="100"/>
      <c r="I69" s="41"/>
      <c r="J69" s="41"/>
      <c r="K69" s="42"/>
      <c r="L69" s="56"/>
      <c r="BB69" s="14"/>
      <c r="BC69" s="15"/>
      <c r="BD69" s="21"/>
      <c r="BE69" s="43" t="s">
        <v>160</v>
      </c>
      <c r="BF69" s="12"/>
      <c r="BG69" s="12"/>
    </row>
    <row r="70" spans="1:59" s="3" customFormat="1" ht="21.6" x14ac:dyDescent="0.3">
      <c r="A70" s="25"/>
      <c r="B70" s="26" t="s">
        <v>285</v>
      </c>
      <c r="C70" s="419" t="s">
        <v>286</v>
      </c>
      <c r="D70" s="419"/>
      <c r="E70" s="419"/>
      <c r="F70" s="27" t="s">
        <v>70</v>
      </c>
      <c r="G70" s="22" t="s">
        <v>2322</v>
      </c>
      <c r="H70" s="58"/>
      <c r="I70" s="28"/>
      <c r="J70" s="28"/>
      <c r="K70" s="29"/>
      <c r="L70" s="56"/>
      <c r="BB70" s="14"/>
      <c r="BC70" s="15"/>
      <c r="BD70" s="21"/>
      <c r="BE70" s="43"/>
      <c r="BF70" s="12" t="s">
        <v>286</v>
      </c>
      <c r="BG70" s="12"/>
    </row>
    <row r="71" spans="1:59" s="3" customFormat="1" ht="20.399999999999999" x14ac:dyDescent="0.3">
      <c r="A71" s="37" t="s">
        <v>143</v>
      </c>
      <c r="B71" s="38" t="s">
        <v>288</v>
      </c>
      <c r="C71" s="430" t="s">
        <v>289</v>
      </c>
      <c r="D71" s="430"/>
      <c r="E71" s="430"/>
      <c r="F71" s="39" t="s">
        <v>70</v>
      </c>
      <c r="G71" s="40" t="s">
        <v>2323</v>
      </c>
      <c r="H71" s="100"/>
      <c r="I71" s="41"/>
      <c r="J71" s="41"/>
      <c r="K71" s="42"/>
      <c r="L71" s="56"/>
      <c r="BB71" s="14"/>
      <c r="BC71" s="15"/>
      <c r="BD71" s="21"/>
      <c r="BE71" s="43" t="s">
        <v>289</v>
      </c>
      <c r="BF71" s="12"/>
      <c r="BG71" s="12"/>
    </row>
    <row r="72" spans="1:59" s="3" customFormat="1" ht="31.8" x14ac:dyDescent="0.3">
      <c r="A72" s="25"/>
      <c r="B72" s="26" t="s">
        <v>291</v>
      </c>
      <c r="C72" s="419" t="s">
        <v>292</v>
      </c>
      <c r="D72" s="419"/>
      <c r="E72" s="419"/>
      <c r="F72" s="27" t="s">
        <v>46</v>
      </c>
      <c r="G72" s="22" t="s">
        <v>2324</v>
      </c>
      <c r="H72" s="58"/>
      <c r="I72" s="28"/>
      <c r="J72" s="28"/>
      <c r="K72" s="29"/>
      <c r="L72" s="56"/>
      <c r="BB72" s="14"/>
      <c r="BC72" s="15"/>
      <c r="BD72" s="21"/>
      <c r="BE72" s="43"/>
      <c r="BF72" s="12" t="s">
        <v>292</v>
      </c>
      <c r="BG72" s="12"/>
    </row>
    <row r="73" spans="1:59" s="3" customFormat="1" ht="20.399999999999999" x14ac:dyDescent="0.3">
      <c r="A73" s="25"/>
      <c r="B73" s="26" t="s">
        <v>294</v>
      </c>
      <c r="C73" s="419" t="s">
        <v>295</v>
      </c>
      <c r="D73" s="419"/>
      <c r="E73" s="419"/>
      <c r="F73" s="27" t="s">
        <v>158</v>
      </c>
      <c r="G73" s="22" t="s">
        <v>2325</v>
      </c>
      <c r="H73" s="58"/>
      <c r="I73" s="28"/>
      <c r="J73" s="28"/>
      <c r="K73" s="29"/>
      <c r="L73" s="56"/>
      <c r="BB73" s="14"/>
      <c r="BC73" s="15"/>
      <c r="BD73" s="21"/>
      <c r="BE73" s="43"/>
      <c r="BF73" s="12" t="s">
        <v>295</v>
      </c>
      <c r="BG73" s="12"/>
    </row>
    <row r="74" spans="1:59" s="3" customFormat="1" ht="21.6" x14ac:dyDescent="0.3">
      <c r="A74" s="16" t="s">
        <v>170</v>
      </c>
      <c r="B74" s="17" t="s">
        <v>305</v>
      </c>
      <c r="C74" s="405" t="s">
        <v>306</v>
      </c>
      <c r="D74" s="405"/>
      <c r="E74" s="405"/>
      <c r="F74" s="16" t="s">
        <v>46</v>
      </c>
      <c r="G74" s="18">
        <v>38.164000000000001</v>
      </c>
      <c r="H74" s="57">
        <f t="shared" ref="H74:H79" si="2">I74/G74</f>
        <v>0</v>
      </c>
      <c r="I74" s="19">
        <f>266823.61-K74</f>
        <v>0</v>
      </c>
      <c r="J74" s="19">
        <f t="shared" ref="J74:J79" si="3">K74/G74</f>
        <v>6991.5001048108161</v>
      </c>
      <c r="K74" s="19">
        <v>266823.61</v>
      </c>
      <c r="L74" s="56"/>
      <c r="BB74" s="14"/>
      <c r="BC74" s="15"/>
      <c r="BD74" s="21" t="s">
        <v>306</v>
      </c>
      <c r="BE74" s="43"/>
      <c r="BF74" s="12"/>
      <c r="BG74" s="12"/>
    </row>
    <row r="75" spans="1:59" s="3" customFormat="1" ht="31.8" x14ac:dyDescent="0.3">
      <c r="A75" s="16" t="s">
        <v>173</v>
      </c>
      <c r="B75" s="17" t="s">
        <v>297</v>
      </c>
      <c r="C75" s="405" t="s">
        <v>298</v>
      </c>
      <c r="D75" s="405"/>
      <c r="E75" s="405"/>
      <c r="F75" s="16" t="s">
        <v>70</v>
      </c>
      <c r="G75" s="31">
        <v>1.78</v>
      </c>
      <c r="H75" s="57">
        <f t="shared" si="2"/>
        <v>0</v>
      </c>
      <c r="I75" s="19">
        <f>125334.18-K75</f>
        <v>0</v>
      </c>
      <c r="J75" s="19">
        <f t="shared" si="3"/>
        <v>70412.460674157293</v>
      </c>
      <c r="K75" s="19">
        <v>125334.18</v>
      </c>
      <c r="L75" s="56"/>
      <c r="BB75" s="14"/>
      <c r="BC75" s="15"/>
      <c r="BD75" s="21" t="s">
        <v>298</v>
      </c>
      <c r="BE75" s="43"/>
      <c r="BF75" s="12"/>
      <c r="BG75" s="12"/>
    </row>
    <row r="76" spans="1:59" s="3" customFormat="1" ht="31.8" x14ac:dyDescent="0.3">
      <c r="A76" s="16" t="s">
        <v>176</v>
      </c>
      <c r="B76" s="17" t="s">
        <v>300</v>
      </c>
      <c r="C76" s="405" t="s">
        <v>301</v>
      </c>
      <c r="D76" s="405"/>
      <c r="E76" s="405"/>
      <c r="F76" s="16" t="s">
        <v>70</v>
      </c>
      <c r="G76" s="31">
        <v>0.03</v>
      </c>
      <c r="H76" s="57">
        <f t="shared" si="2"/>
        <v>0</v>
      </c>
      <c r="I76" s="19">
        <f>2123.26-K76</f>
        <v>0</v>
      </c>
      <c r="J76" s="19">
        <f t="shared" si="3"/>
        <v>70775.333333333343</v>
      </c>
      <c r="K76" s="19">
        <v>2123.2600000000002</v>
      </c>
      <c r="L76" s="56"/>
      <c r="BB76" s="14"/>
      <c r="BC76" s="15"/>
      <c r="BD76" s="21" t="s">
        <v>301</v>
      </c>
      <c r="BE76" s="43"/>
      <c r="BF76" s="12"/>
      <c r="BG76" s="12"/>
    </row>
    <row r="77" spans="1:59" s="3" customFormat="1" ht="31.8" x14ac:dyDescent="0.3">
      <c r="A77" s="16" t="s">
        <v>177</v>
      </c>
      <c r="B77" s="17" t="s">
        <v>307</v>
      </c>
      <c r="C77" s="405" t="s">
        <v>308</v>
      </c>
      <c r="D77" s="405"/>
      <c r="E77" s="405"/>
      <c r="F77" s="16" t="s">
        <v>70</v>
      </c>
      <c r="G77" s="31">
        <v>0.11</v>
      </c>
      <c r="H77" s="57">
        <f t="shared" si="2"/>
        <v>0</v>
      </c>
      <c r="I77" s="19">
        <f>7785.3-K77</f>
        <v>0</v>
      </c>
      <c r="J77" s="19">
        <f t="shared" si="3"/>
        <v>70775.454545454544</v>
      </c>
      <c r="K77" s="19">
        <v>7785.3</v>
      </c>
      <c r="L77" s="56"/>
      <c r="BB77" s="14"/>
      <c r="BC77" s="15"/>
      <c r="BD77" s="21" t="s">
        <v>308</v>
      </c>
      <c r="BE77" s="43"/>
      <c r="BF77" s="12"/>
      <c r="BG77" s="12"/>
    </row>
    <row r="78" spans="1:59" s="3" customFormat="1" ht="21.6" x14ac:dyDescent="0.3">
      <c r="A78" s="16" t="s">
        <v>180</v>
      </c>
      <c r="B78" s="17" t="s">
        <v>303</v>
      </c>
      <c r="C78" s="405" t="s">
        <v>304</v>
      </c>
      <c r="D78" s="405"/>
      <c r="E78" s="405"/>
      <c r="F78" s="16" t="s">
        <v>70</v>
      </c>
      <c r="G78" s="31">
        <v>0.11</v>
      </c>
      <c r="H78" s="57">
        <f t="shared" si="2"/>
        <v>0</v>
      </c>
      <c r="I78" s="19">
        <f>8547.42-K78</f>
        <v>0</v>
      </c>
      <c r="J78" s="19">
        <f t="shared" si="3"/>
        <v>77703.818181818177</v>
      </c>
      <c r="K78" s="19">
        <v>8547.42</v>
      </c>
      <c r="L78" s="56"/>
      <c r="BB78" s="14"/>
      <c r="BC78" s="15"/>
      <c r="BD78" s="21" t="s">
        <v>304</v>
      </c>
      <c r="BE78" s="43"/>
      <c r="BF78" s="12"/>
      <c r="BG78" s="12"/>
    </row>
    <row r="79" spans="1:59" s="3" customFormat="1" ht="42" x14ac:dyDescent="0.3">
      <c r="A79" s="16" t="s">
        <v>182</v>
      </c>
      <c r="B79" s="17" t="s">
        <v>309</v>
      </c>
      <c r="C79" s="405" t="s">
        <v>310</v>
      </c>
      <c r="D79" s="405"/>
      <c r="E79" s="405"/>
      <c r="F79" s="16" t="s">
        <v>311</v>
      </c>
      <c r="G79" s="24">
        <v>37.6</v>
      </c>
      <c r="H79" s="57">
        <f t="shared" si="2"/>
        <v>0</v>
      </c>
      <c r="I79" s="19">
        <f>9433.75-K79</f>
        <v>0</v>
      </c>
      <c r="J79" s="19">
        <f t="shared" si="3"/>
        <v>250.89760638297872</v>
      </c>
      <c r="K79" s="19">
        <v>9433.75</v>
      </c>
      <c r="L79" s="56"/>
      <c r="BB79" s="14"/>
      <c r="BC79" s="15"/>
      <c r="BD79" s="21" t="s">
        <v>310</v>
      </c>
      <c r="BE79" s="43"/>
      <c r="BF79" s="12"/>
      <c r="BG79" s="12"/>
    </row>
    <row r="80" spans="1:59" s="3" customFormat="1" ht="21.6" x14ac:dyDescent="0.3">
      <c r="A80" s="16" t="s">
        <v>186</v>
      </c>
      <c r="B80" s="17" t="s">
        <v>2326</v>
      </c>
      <c r="C80" s="405" t="s">
        <v>2327</v>
      </c>
      <c r="D80" s="405"/>
      <c r="E80" s="405"/>
      <c r="F80" s="16" t="s">
        <v>70</v>
      </c>
      <c r="G80" s="44">
        <v>0.10549</v>
      </c>
      <c r="H80" s="57">
        <f>I80/G80</f>
        <v>20809.271020949844</v>
      </c>
      <c r="I80" s="19">
        <f>8543.56-K80</f>
        <v>2195.1699999999992</v>
      </c>
      <c r="J80" s="19">
        <f>K80/G80</f>
        <v>60180.017063228748</v>
      </c>
      <c r="K80" s="19">
        <v>6348.39</v>
      </c>
      <c r="L80" s="56"/>
      <c r="BB80" s="14"/>
      <c r="BC80" s="15"/>
      <c r="BD80" s="21" t="s">
        <v>2327</v>
      </c>
      <c r="BE80" s="43"/>
      <c r="BF80" s="12"/>
      <c r="BG80" s="12"/>
    </row>
    <row r="81" spans="1:59" s="3" customFormat="1" ht="20.399999999999999" x14ac:dyDescent="0.3">
      <c r="A81" s="37" t="s">
        <v>143</v>
      </c>
      <c r="B81" s="38" t="s">
        <v>2048</v>
      </c>
      <c r="C81" s="430" t="s">
        <v>2049</v>
      </c>
      <c r="D81" s="430"/>
      <c r="E81" s="430"/>
      <c r="F81" s="39" t="s">
        <v>70</v>
      </c>
      <c r="G81" s="40" t="s">
        <v>2328</v>
      </c>
      <c r="H81" s="100"/>
      <c r="I81" s="41"/>
      <c r="J81" s="41"/>
      <c r="K81" s="42"/>
      <c r="L81" s="56"/>
      <c r="BB81" s="14"/>
      <c r="BC81" s="15"/>
      <c r="BD81" s="21"/>
      <c r="BE81" s="43" t="s">
        <v>2049</v>
      </c>
      <c r="BF81" s="12"/>
      <c r="BG81" s="12"/>
    </row>
    <row r="82" spans="1:59" s="3" customFormat="1" ht="52.2" x14ac:dyDescent="0.3">
      <c r="A82" s="25" t="s">
        <v>129</v>
      </c>
      <c r="B82" s="26" t="s">
        <v>2329</v>
      </c>
      <c r="C82" s="419" t="s">
        <v>2330</v>
      </c>
      <c r="D82" s="419"/>
      <c r="E82" s="419"/>
      <c r="F82" s="27" t="s">
        <v>70</v>
      </c>
      <c r="G82" s="22" t="s">
        <v>2328</v>
      </c>
      <c r="H82" s="57"/>
      <c r="I82" s="28"/>
      <c r="J82" s="19"/>
      <c r="K82" s="29"/>
      <c r="L82" s="56"/>
      <c r="BB82" s="14"/>
      <c r="BC82" s="15"/>
      <c r="BD82" s="21"/>
      <c r="BE82" s="43"/>
      <c r="BF82" s="12"/>
      <c r="BG82" s="12" t="s">
        <v>2330</v>
      </c>
    </row>
    <row r="83" spans="1:59" s="3" customFormat="1" ht="15" customHeight="1" x14ac:dyDescent="0.3">
      <c r="A83" s="437" t="s">
        <v>256</v>
      </c>
      <c r="B83" s="418"/>
      <c r="C83" s="418"/>
      <c r="D83" s="418"/>
      <c r="E83" s="418"/>
      <c r="F83" s="418"/>
      <c r="G83" s="418"/>
      <c r="H83" s="154"/>
      <c r="I83" s="154"/>
      <c r="J83" s="154"/>
      <c r="K83" s="155"/>
      <c r="L83" s="56"/>
      <c r="BB83" s="14"/>
      <c r="BC83" s="15" t="s">
        <v>256</v>
      </c>
      <c r="BD83" s="21"/>
      <c r="BE83" s="43"/>
      <c r="BF83" s="12"/>
      <c r="BG83" s="12"/>
    </row>
    <row r="84" spans="1:59" s="3" customFormat="1" ht="52.2" x14ac:dyDescent="0.3">
      <c r="A84" s="16" t="s">
        <v>192</v>
      </c>
      <c r="B84" s="17" t="s">
        <v>223</v>
      </c>
      <c r="C84" s="405" t="s">
        <v>224</v>
      </c>
      <c r="D84" s="405"/>
      <c r="E84" s="405"/>
      <c r="F84" s="16" t="s">
        <v>43</v>
      </c>
      <c r="G84" s="30">
        <v>8.9899999999999994E-2</v>
      </c>
      <c r="H84" s="57">
        <f>I84/G84</f>
        <v>56854.505005561739</v>
      </c>
      <c r="I84" s="19">
        <f>5111.22-K84</f>
        <v>5111.22</v>
      </c>
      <c r="J84" s="19">
        <f>K84/G84</f>
        <v>0</v>
      </c>
      <c r="K84" s="19">
        <v>0</v>
      </c>
      <c r="L84" s="56"/>
      <c r="BB84" s="14"/>
      <c r="BC84" s="15"/>
      <c r="BD84" s="21" t="s">
        <v>224</v>
      </c>
      <c r="BE84" s="43"/>
      <c r="BF84" s="12"/>
      <c r="BG84" s="12"/>
    </row>
    <row r="85" spans="1:59" s="3" customFormat="1" ht="42" x14ac:dyDescent="0.3">
      <c r="A85" s="16" t="s">
        <v>196</v>
      </c>
      <c r="B85" s="17" t="s">
        <v>254</v>
      </c>
      <c r="C85" s="405" t="s">
        <v>255</v>
      </c>
      <c r="D85" s="405"/>
      <c r="E85" s="405"/>
      <c r="F85" s="16" t="s">
        <v>50</v>
      </c>
      <c r="G85" s="24">
        <v>179.8</v>
      </c>
      <c r="H85" s="57">
        <f>I85/G85</f>
        <v>45.134093437152387</v>
      </c>
      <c r="I85" s="19">
        <f>8115.11-K85</f>
        <v>8115.11</v>
      </c>
      <c r="J85" s="19">
        <f>K85/G85</f>
        <v>0</v>
      </c>
      <c r="K85" s="19">
        <v>0</v>
      </c>
      <c r="L85" s="56"/>
      <c r="BB85" s="14"/>
      <c r="BC85" s="15"/>
      <c r="BD85" s="21" t="s">
        <v>255</v>
      </c>
      <c r="BE85" s="43"/>
      <c r="BF85" s="12"/>
      <c r="BG85" s="12"/>
    </row>
    <row r="86" spans="1:59" s="3" customFormat="1" ht="42" x14ac:dyDescent="0.3">
      <c r="A86" s="16" t="s">
        <v>198</v>
      </c>
      <c r="B86" s="17" t="s">
        <v>257</v>
      </c>
      <c r="C86" s="405" t="s">
        <v>258</v>
      </c>
      <c r="D86" s="405"/>
      <c r="E86" s="405"/>
      <c r="F86" s="16" t="s">
        <v>43</v>
      </c>
      <c r="G86" s="30">
        <v>8.9899999999999994E-2</v>
      </c>
      <c r="H86" s="57">
        <f>I86/G86</f>
        <v>11166.073414905452</v>
      </c>
      <c r="I86" s="19">
        <f>1003.83-K86</f>
        <v>1003.83</v>
      </c>
      <c r="J86" s="19">
        <f>K86/G86</f>
        <v>0</v>
      </c>
      <c r="K86" s="19">
        <v>0</v>
      </c>
      <c r="L86" s="56"/>
      <c r="BB86" s="14"/>
      <c r="BC86" s="15"/>
      <c r="BD86" s="21" t="s">
        <v>258</v>
      </c>
      <c r="BE86" s="43"/>
      <c r="BF86" s="12"/>
      <c r="BG86" s="12"/>
    </row>
    <row r="87" spans="1:59" s="3" customFormat="1" ht="15" customHeight="1" x14ac:dyDescent="0.3">
      <c r="A87" s="437" t="s">
        <v>2331</v>
      </c>
      <c r="B87" s="418"/>
      <c r="C87" s="418"/>
      <c r="D87" s="418"/>
      <c r="E87" s="418"/>
      <c r="F87" s="418"/>
      <c r="G87" s="418"/>
      <c r="H87" s="154"/>
      <c r="I87" s="154"/>
      <c r="J87" s="154"/>
      <c r="K87" s="155"/>
      <c r="L87" s="56"/>
      <c r="BB87" s="14"/>
      <c r="BC87" s="15" t="s">
        <v>2331</v>
      </c>
      <c r="BD87" s="21"/>
      <c r="BE87" s="43"/>
      <c r="BF87" s="12"/>
      <c r="BG87" s="12"/>
    </row>
    <row r="88" spans="1:59" s="3" customFormat="1" ht="21.6" x14ac:dyDescent="0.3">
      <c r="A88" s="16" t="s">
        <v>201</v>
      </c>
      <c r="B88" s="17" t="s">
        <v>382</v>
      </c>
      <c r="C88" s="405" t="s">
        <v>383</v>
      </c>
      <c r="D88" s="405"/>
      <c r="E88" s="405"/>
      <c r="F88" s="16" t="s">
        <v>70</v>
      </c>
      <c r="G88" s="24">
        <v>21.7</v>
      </c>
      <c r="H88" s="57">
        <f>I88/G88</f>
        <v>57601.320737327187</v>
      </c>
      <c r="I88" s="19">
        <f>2842480.48-K88</f>
        <v>1249948.6599999999</v>
      </c>
      <c r="J88" s="19">
        <f>K88/G88</f>
        <v>73388.563133640564</v>
      </c>
      <c r="K88" s="19">
        <v>1592531.82</v>
      </c>
      <c r="L88" s="56"/>
      <c r="BB88" s="14"/>
      <c r="BC88" s="15"/>
      <c r="BD88" s="21" t="s">
        <v>383</v>
      </c>
      <c r="BE88" s="43"/>
      <c r="BF88" s="12"/>
      <c r="BG88" s="12"/>
    </row>
    <row r="89" spans="1:59" s="3" customFormat="1" ht="20.399999999999999" x14ac:dyDescent="0.3">
      <c r="A89" s="25"/>
      <c r="B89" s="26" t="s">
        <v>384</v>
      </c>
      <c r="C89" s="419" t="s">
        <v>385</v>
      </c>
      <c r="D89" s="419"/>
      <c r="E89" s="419"/>
      <c r="F89" s="27" t="s">
        <v>46</v>
      </c>
      <c r="G89" s="22" t="s">
        <v>2332</v>
      </c>
      <c r="H89" s="58"/>
      <c r="I89" s="28"/>
      <c r="J89" s="28"/>
      <c r="K89" s="29"/>
      <c r="L89" s="56"/>
      <c r="BB89" s="14"/>
      <c r="BC89" s="15"/>
      <c r="BD89" s="21"/>
      <c r="BE89" s="43"/>
      <c r="BF89" s="12" t="s">
        <v>385</v>
      </c>
      <c r="BG89" s="12"/>
    </row>
    <row r="90" spans="1:59" s="3" customFormat="1" ht="20.399999999999999" x14ac:dyDescent="0.3">
      <c r="A90" s="25"/>
      <c r="B90" s="26" t="s">
        <v>387</v>
      </c>
      <c r="C90" s="419" t="s">
        <v>388</v>
      </c>
      <c r="D90" s="419"/>
      <c r="E90" s="419"/>
      <c r="F90" s="27" t="s">
        <v>75</v>
      </c>
      <c r="G90" s="22" t="s">
        <v>2333</v>
      </c>
      <c r="H90" s="58"/>
      <c r="I90" s="28"/>
      <c r="J90" s="28"/>
      <c r="K90" s="29"/>
      <c r="L90" s="56"/>
      <c r="BB90" s="14"/>
      <c r="BC90" s="15"/>
      <c r="BD90" s="21"/>
      <c r="BE90" s="43"/>
      <c r="BF90" s="12" t="s">
        <v>388</v>
      </c>
      <c r="BG90" s="12"/>
    </row>
    <row r="91" spans="1:59" s="3" customFormat="1" ht="20.399999999999999" x14ac:dyDescent="0.3">
      <c r="A91" s="25"/>
      <c r="B91" s="26" t="s">
        <v>277</v>
      </c>
      <c r="C91" s="419" t="s">
        <v>278</v>
      </c>
      <c r="D91" s="419"/>
      <c r="E91" s="419"/>
      <c r="F91" s="27" t="s">
        <v>70</v>
      </c>
      <c r="G91" s="22" t="s">
        <v>2334</v>
      </c>
      <c r="H91" s="58"/>
      <c r="I91" s="28"/>
      <c r="J91" s="28"/>
      <c r="K91" s="29"/>
      <c r="L91" s="56"/>
      <c r="BB91" s="14"/>
      <c r="BC91" s="15"/>
      <c r="BD91" s="21"/>
      <c r="BE91" s="43"/>
      <c r="BF91" s="12" t="s">
        <v>278</v>
      </c>
      <c r="BG91" s="12"/>
    </row>
    <row r="92" spans="1:59" s="3" customFormat="1" ht="20.399999999999999" x14ac:dyDescent="0.3">
      <c r="A92" s="25"/>
      <c r="B92" s="26" t="s">
        <v>391</v>
      </c>
      <c r="C92" s="419" t="s">
        <v>392</v>
      </c>
      <c r="D92" s="419"/>
      <c r="E92" s="419"/>
      <c r="F92" s="27" t="s">
        <v>75</v>
      </c>
      <c r="G92" s="22" t="s">
        <v>2335</v>
      </c>
      <c r="H92" s="58"/>
      <c r="I92" s="28"/>
      <c r="J92" s="28"/>
      <c r="K92" s="29"/>
      <c r="L92" s="56"/>
      <c r="BB92" s="14"/>
      <c r="BC92" s="15"/>
      <c r="BD92" s="21"/>
      <c r="BE92" s="43"/>
      <c r="BF92" s="12" t="s">
        <v>392</v>
      </c>
      <c r="BG92" s="12"/>
    </row>
    <row r="93" spans="1:59" s="3" customFormat="1" ht="20.399999999999999" x14ac:dyDescent="0.3">
      <c r="A93" s="25"/>
      <c r="B93" s="26" t="s">
        <v>76</v>
      </c>
      <c r="C93" s="419" t="s">
        <v>77</v>
      </c>
      <c r="D93" s="419"/>
      <c r="E93" s="419"/>
      <c r="F93" s="27" t="s">
        <v>70</v>
      </c>
      <c r="G93" s="22" t="s">
        <v>2336</v>
      </c>
      <c r="H93" s="58"/>
      <c r="I93" s="28"/>
      <c r="J93" s="28"/>
      <c r="K93" s="29"/>
      <c r="L93" s="56"/>
      <c r="BB93" s="14"/>
      <c r="BC93" s="15"/>
      <c r="BD93" s="21"/>
      <c r="BE93" s="43"/>
      <c r="BF93" s="12" t="s">
        <v>77</v>
      </c>
      <c r="BG93" s="12"/>
    </row>
    <row r="94" spans="1:59" s="3" customFormat="1" ht="20.399999999999999" x14ac:dyDescent="0.3">
      <c r="A94" s="25"/>
      <c r="B94" s="26" t="s">
        <v>395</v>
      </c>
      <c r="C94" s="419" t="s">
        <v>396</v>
      </c>
      <c r="D94" s="419"/>
      <c r="E94" s="419"/>
      <c r="F94" s="27" t="s">
        <v>70</v>
      </c>
      <c r="G94" s="22" t="s">
        <v>2337</v>
      </c>
      <c r="H94" s="58"/>
      <c r="I94" s="28"/>
      <c r="J94" s="28"/>
      <c r="K94" s="29"/>
      <c r="L94" s="56"/>
      <c r="BB94" s="14"/>
      <c r="BC94" s="15"/>
      <c r="BD94" s="21"/>
      <c r="BE94" s="43"/>
      <c r="BF94" s="12" t="s">
        <v>396</v>
      </c>
      <c r="BG94" s="12"/>
    </row>
    <row r="95" spans="1:59" s="3" customFormat="1" ht="20.399999999999999" x14ac:dyDescent="0.3">
      <c r="A95" s="37" t="s">
        <v>143</v>
      </c>
      <c r="B95" s="38" t="s">
        <v>398</v>
      </c>
      <c r="C95" s="430" t="s">
        <v>399</v>
      </c>
      <c r="D95" s="430"/>
      <c r="E95" s="430"/>
      <c r="F95" s="39" t="s">
        <v>70</v>
      </c>
      <c r="G95" s="40" t="s">
        <v>2338</v>
      </c>
      <c r="H95" s="100"/>
      <c r="I95" s="41"/>
      <c r="J95" s="41"/>
      <c r="K95" s="42"/>
      <c r="L95" s="56"/>
      <c r="BB95" s="14"/>
      <c r="BC95" s="15"/>
      <c r="BD95" s="21"/>
      <c r="BE95" s="43" t="s">
        <v>399</v>
      </c>
      <c r="BF95" s="12"/>
      <c r="BG95" s="12"/>
    </row>
    <row r="96" spans="1:59" s="3" customFormat="1" ht="31.8" x14ac:dyDescent="0.3">
      <c r="A96" s="25"/>
      <c r="B96" s="26" t="s">
        <v>401</v>
      </c>
      <c r="C96" s="419" t="s">
        <v>402</v>
      </c>
      <c r="D96" s="419"/>
      <c r="E96" s="419"/>
      <c r="F96" s="27" t="s">
        <v>70</v>
      </c>
      <c r="G96" s="22" t="s">
        <v>2339</v>
      </c>
      <c r="H96" s="58"/>
      <c r="I96" s="28"/>
      <c r="J96" s="28"/>
      <c r="K96" s="29"/>
      <c r="L96" s="56"/>
      <c r="BB96" s="14"/>
      <c r="BC96" s="15"/>
      <c r="BD96" s="21"/>
      <c r="BE96" s="43"/>
      <c r="BF96" s="12" t="s">
        <v>402</v>
      </c>
      <c r="BG96" s="12"/>
    </row>
    <row r="97" spans="1:59" s="3" customFormat="1" ht="42" x14ac:dyDescent="0.3">
      <c r="A97" s="25"/>
      <c r="B97" s="26" t="s">
        <v>404</v>
      </c>
      <c r="C97" s="419" t="s">
        <v>405</v>
      </c>
      <c r="D97" s="419"/>
      <c r="E97" s="419"/>
      <c r="F97" s="27" t="s">
        <v>406</v>
      </c>
      <c r="G97" s="22" t="s">
        <v>2340</v>
      </c>
      <c r="H97" s="58"/>
      <c r="I97" s="28"/>
      <c r="J97" s="28"/>
      <c r="K97" s="29"/>
      <c r="L97" s="56"/>
      <c r="BB97" s="14"/>
      <c r="BC97" s="15"/>
      <c r="BD97" s="21"/>
      <c r="BE97" s="43"/>
      <c r="BF97" s="12" t="s">
        <v>405</v>
      </c>
      <c r="BG97" s="12"/>
    </row>
    <row r="98" spans="1:59" s="3" customFormat="1" ht="21.6" x14ac:dyDescent="0.3">
      <c r="A98" s="25"/>
      <c r="B98" s="26" t="s">
        <v>285</v>
      </c>
      <c r="C98" s="419" t="s">
        <v>286</v>
      </c>
      <c r="D98" s="419"/>
      <c r="E98" s="419"/>
      <c r="F98" s="27" t="s">
        <v>70</v>
      </c>
      <c r="G98" s="22" t="s">
        <v>2341</v>
      </c>
      <c r="H98" s="58"/>
      <c r="I98" s="28"/>
      <c r="J98" s="28"/>
      <c r="K98" s="29"/>
      <c r="L98" s="56"/>
      <c r="BB98" s="14"/>
      <c r="BC98" s="15"/>
      <c r="BD98" s="21"/>
      <c r="BE98" s="43"/>
      <c r="BF98" s="12" t="s">
        <v>286</v>
      </c>
      <c r="BG98" s="12"/>
    </row>
    <row r="99" spans="1:59" s="3" customFormat="1" ht="20.399999999999999" x14ac:dyDescent="0.3">
      <c r="A99" s="25"/>
      <c r="B99" s="26" t="s">
        <v>409</v>
      </c>
      <c r="C99" s="419" t="s">
        <v>410</v>
      </c>
      <c r="D99" s="419"/>
      <c r="E99" s="419"/>
      <c r="F99" s="27" t="s">
        <v>70</v>
      </c>
      <c r="G99" s="22" t="s">
        <v>2342</v>
      </c>
      <c r="H99" s="58"/>
      <c r="I99" s="28"/>
      <c r="J99" s="28"/>
      <c r="K99" s="29"/>
      <c r="L99" s="56"/>
      <c r="BB99" s="14"/>
      <c r="BC99" s="15"/>
      <c r="BD99" s="21"/>
      <c r="BE99" s="43"/>
      <c r="BF99" s="12" t="s">
        <v>410</v>
      </c>
      <c r="BG99" s="12"/>
    </row>
    <row r="100" spans="1:59" s="3" customFormat="1" ht="21.6" x14ac:dyDescent="0.3">
      <c r="A100" s="25"/>
      <c r="B100" s="26" t="s">
        <v>412</v>
      </c>
      <c r="C100" s="419" t="s">
        <v>413</v>
      </c>
      <c r="D100" s="419"/>
      <c r="E100" s="419"/>
      <c r="F100" s="27" t="s">
        <v>46</v>
      </c>
      <c r="G100" s="22" t="s">
        <v>2343</v>
      </c>
      <c r="H100" s="58"/>
      <c r="I100" s="28"/>
      <c r="J100" s="28"/>
      <c r="K100" s="29"/>
      <c r="L100" s="56"/>
      <c r="BB100" s="14"/>
      <c r="BC100" s="15"/>
      <c r="BD100" s="21"/>
      <c r="BE100" s="43"/>
      <c r="BF100" s="12" t="s">
        <v>413</v>
      </c>
      <c r="BG100" s="12"/>
    </row>
    <row r="101" spans="1:59" s="3" customFormat="1" ht="20.399999999999999" x14ac:dyDescent="0.3">
      <c r="A101" s="25"/>
      <c r="B101" s="26" t="s">
        <v>415</v>
      </c>
      <c r="C101" s="419" t="s">
        <v>416</v>
      </c>
      <c r="D101" s="419"/>
      <c r="E101" s="419"/>
      <c r="F101" s="27" t="s">
        <v>70</v>
      </c>
      <c r="G101" s="22" t="s">
        <v>2344</v>
      </c>
      <c r="H101" s="58"/>
      <c r="I101" s="28"/>
      <c r="J101" s="28"/>
      <c r="K101" s="29"/>
      <c r="L101" s="56"/>
      <c r="BB101" s="14"/>
      <c r="BC101" s="15"/>
      <c r="BD101" s="21"/>
      <c r="BE101" s="43"/>
      <c r="BF101" s="12" t="s">
        <v>416</v>
      </c>
      <c r="BG101" s="12"/>
    </row>
    <row r="102" spans="1:59" s="3" customFormat="1" ht="20.399999999999999" x14ac:dyDescent="0.3">
      <c r="A102" s="25"/>
      <c r="B102" s="26" t="s">
        <v>370</v>
      </c>
      <c r="C102" s="419" t="s">
        <v>371</v>
      </c>
      <c r="D102" s="419"/>
      <c r="E102" s="419"/>
      <c r="F102" s="27" t="s">
        <v>75</v>
      </c>
      <c r="G102" s="22" t="s">
        <v>2345</v>
      </c>
      <c r="H102" s="58"/>
      <c r="I102" s="28"/>
      <c r="J102" s="28"/>
      <c r="K102" s="29"/>
      <c r="L102" s="56"/>
      <c r="BB102" s="14"/>
      <c r="BC102" s="15"/>
      <c r="BD102" s="21"/>
      <c r="BE102" s="43"/>
      <c r="BF102" s="12" t="s">
        <v>371</v>
      </c>
      <c r="BG102" s="12"/>
    </row>
    <row r="103" spans="1:59" s="3" customFormat="1" ht="21.6" x14ac:dyDescent="0.3">
      <c r="A103" s="25" t="s">
        <v>129</v>
      </c>
      <c r="B103" s="26" t="s">
        <v>419</v>
      </c>
      <c r="C103" s="419" t="s">
        <v>420</v>
      </c>
      <c r="D103" s="419"/>
      <c r="E103" s="419"/>
      <c r="F103" s="27" t="s">
        <v>70</v>
      </c>
      <c r="G103" s="22" t="s">
        <v>2338</v>
      </c>
      <c r="H103" s="57"/>
      <c r="I103" s="28"/>
      <c r="J103" s="19"/>
      <c r="K103" s="29"/>
      <c r="L103" s="56"/>
      <c r="BB103" s="14"/>
      <c r="BC103" s="15"/>
      <c r="BD103" s="21"/>
      <c r="BE103" s="43"/>
      <c r="BF103" s="12"/>
      <c r="BG103" s="12" t="s">
        <v>420</v>
      </c>
    </row>
    <row r="104" spans="1:59" s="3" customFormat="1" ht="15" customHeight="1" x14ac:dyDescent="0.3">
      <c r="A104" s="437" t="s">
        <v>326</v>
      </c>
      <c r="B104" s="418"/>
      <c r="C104" s="418"/>
      <c r="D104" s="418"/>
      <c r="E104" s="418"/>
      <c r="F104" s="418"/>
      <c r="G104" s="418"/>
      <c r="H104" s="154"/>
      <c r="I104" s="154"/>
      <c r="J104" s="154"/>
      <c r="K104" s="155"/>
      <c r="L104" s="56"/>
      <c r="BB104" s="14"/>
      <c r="BC104" s="15" t="s">
        <v>326</v>
      </c>
      <c r="BD104" s="21"/>
      <c r="BE104" s="43"/>
      <c r="BF104" s="12"/>
      <c r="BG104" s="12"/>
    </row>
    <row r="105" spans="1:59" s="3" customFormat="1" ht="42" x14ac:dyDescent="0.3">
      <c r="A105" s="16" t="s">
        <v>219</v>
      </c>
      <c r="B105" s="17" t="s">
        <v>327</v>
      </c>
      <c r="C105" s="405" t="s">
        <v>328</v>
      </c>
      <c r="D105" s="405"/>
      <c r="E105" s="405"/>
      <c r="F105" s="16" t="s">
        <v>329</v>
      </c>
      <c r="G105" s="31">
        <v>0.24</v>
      </c>
      <c r="H105" s="57">
        <f>I105/G105</f>
        <v>25173.666666666668</v>
      </c>
      <c r="I105" s="19">
        <f>7931.76-K105</f>
        <v>6041.68</v>
      </c>
      <c r="J105" s="19">
        <f>K105/G105</f>
        <v>7875.333333333333</v>
      </c>
      <c r="K105" s="19">
        <v>1890.08</v>
      </c>
      <c r="L105" s="56"/>
      <c r="BB105" s="14"/>
      <c r="BC105" s="15"/>
      <c r="BD105" s="21" t="s">
        <v>328</v>
      </c>
      <c r="BE105" s="43"/>
      <c r="BF105" s="12"/>
      <c r="BG105" s="12"/>
    </row>
    <row r="106" spans="1:59" s="3" customFormat="1" ht="20.399999999999999" x14ac:dyDescent="0.3">
      <c r="A106" s="37" t="s">
        <v>143</v>
      </c>
      <c r="B106" s="38" t="s">
        <v>330</v>
      </c>
      <c r="C106" s="430" t="s">
        <v>331</v>
      </c>
      <c r="D106" s="430"/>
      <c r="E106" s="430"/>
      <c r="F106" s="39" t="s">
        <v>70</v>
      </c>
      <c r="G106" s="40" t="s">
        <v>2346</v>
      </c>
      <c r="H106" s="100"/>
      <c r="I106" s="41"/>
      <c r="J106" s="41"/>
      <c r="K106" s="42"/>
      <c r="L106" s="56"/>
      <c r="BB106" s="14"/>
      <c r="BC106" s="15"/>
      <c r="BD106" s="21"/>
      <c r="BE106" s="43" t="s">
        <v>331</v>
      </c>
      <c r="BF106" s="12"/>
      <c r="BG106" s="12"/>
    </row>
    <row r="107" spans="1:59" s="3" customFormat="1" ht="20.399999999999999" x14ac:dyDescent="0.3">
      <c r="A107" s="37" t="s">
        <v>143</v>
      </c>
      <c r="B107" s="38" t="s">
        <v>333</v>
      </c>
      <c r="C107" s="430" t="s">
        <v>334</v>
      </c>
      <c r="D107" s="430"/>
      <c r="E107" s="430"/>
      <c r="F107" s="39" t="s">
        <v>70</v>
      </c>
      <c r="G107" s="40" t="s">
        <v>2347</v>
      </c>
      <c r="H107" s="100"/>
      <c r="I107" s="41"/>
      <c r="J107" s="41"/>
      <c r="K107" s="42"/>
      <c r="L107" s="56"/>
      <c r="BB107" s="14"/>
      <c r="BC107" s="15"/>
      <c r="BD107" s="21"/>
      <c r="BE107" s="43" t="s">
        <v>334</v>
      </c>
      <c r="BF107" s="12"/>
      <c r="BG107" s="12"/>
    </row>
    <row r="108" spans="1:59" s="3" customFormat="1" ht="20.399999999999999" x14ac:dyDescent="0.3">
      <c r="A108" s="25"/>
      <c r="B108" s="26" t="s">
        <v>336</v>
      </c>
      <c r="C108" s="419" t="s">
        <v>337</v>
      </c>
      <c r="D108" s="419"/>
      <c r="E108" s="419"/>
      <c r="F108" s="27" t="s">
        <v>70</v>
      </c>
      <c r="G108" s="22" t="s">
        <v>2348</v>
      </c>
      <c r="H108" s="58"/>
      <c r="I108" s="28"/>
      <c r="J108" s="28"/>
      <c r="K108" s="29"/>
      <c r="L108" s="56"/>
      <c r="BB108" s="14"/>
      <c r="BC108" s="15"/>
      <c r="BD108" s="21"/>
      <c r="BE108" s="43"/>
      <c r="BF108" s="12" t="s">
        <v>337</v>
      </c>
      <c r="BG108" s="12"/>
    </row>
    <row r="109" spans="1:59" s="3" customFormat="1" ht="20.399999999999999" x14ac:dyDescent="0.3">
      <c r="A109" s="25"/>
      <c r="B109" s="26" t="s">
        <v>339</v>
      </c>
      <c r="C109" s="419" t="s">
        <v>340</v>
      </c>
      <c r="D109" s="419"/>
      <c r="E109" s="419"/>
      <c r="F109" s="27" t="s">
        <v>75</v>
      </c>
      <c r="G109" s="22" t="s">
        <v>2349</v>
      </c>
      <c r="H109" s="58"/>
      <c r="I109" s="28"/>
      <c r="J109" s="28"/>
      <c r="K109" s="29"/>
      <c r="L109" s="56"/>
      <c r="BB109" s="14"/>
      <c r="BC109" s="15"/>
      <c r="BD109" s="21"/>
      <c r="BE109" s="43"/>
      <c r="BF109" s="12" t="s">
        <v>340</v>
      </c>
      <c r="BG109" s="12"/>
    </row>
    <row r="110" spans="1:59" s="3" customFormat="1" ht="20.399999999999999" x14ac:dyDescent="0.3">
      <c r="A110" s="25" t="s">
        <v>129</v>
      </c>
      <c r="B110" s="26" t="s">
        <v>342</v>
      </c>
      <c r="C110" s="419" t="s">
        <v>343</v>
      </c>
      <c r="D110" s="419"/>
      <c r="E110" s="419"/>
      <c r="F110" s="27" t="s">
        <v>70</v>
      </c>
      <c r="G110" s="22" t="s">
        <v>2347</v>
      </c>
      <c r="H110" s="57"/>
      <c r="I110" s="28"/>
      <c r="J110" s="19"/>
      <c r="K110" s="29"/>
      <c r="L110" s="56"/>
      <c r="BB110" s="14"/>
      <c r="BC110" s="15"/>
      <c r="BD110" s="21"/>
      <c r="BE110" s="43"/>
      <c r="BF110" s="12"/>
      <c r="BG110" s="12" t="s">
        <v>343</v>
      </c>
    </row>
    <row r="111" spans="1:59" s="3" customFormat="1" ht="20.399999999999999" x14ac:dyDescent="0.3">
      <c r="A111" s="25" t="s">
        <v>129</v>
      </c>
      <c r="B111" s="26" t="s">
        <v>344</v>
      </c>
      <c r="C111" s="419" t="s">
        <v>345</v>
      </c>
      <c r="D111" s="419"/>
      <c r="E111" s="419"/>
      <c r="F111" s="27" t="s">
        <v>70</v>
      </c>
      <c r="G111" s="22" t="s">
        <v>2346</v>
      </c>
      <c r="H111" s="57"/>
      <c r="I111" s="28"/>
      <c r="J111" s="19"/>
      <c r="K111" s="29"/>
      <c r="L111" s="56"/>
      <c r="BB111" s="14"/>
      <c r="BC111" s="15"/>
      <c r="BD111" s="21"/>
      <c r="BE111" s="43"/>
      <c r="BF111" s="12"/>
      <c r="BG111" s="12" t="s">
        <v>345</v>
      </c>
    </row>
    <row r="112" spans="1:59" s="3" customFormat="1" ht="15" customHeight="1" x14ac:dyDescent="0.3">
      <c r="A112" s="437" t="s">
        <v>884</v>
      </c>
      <c r="B112" s="418"/>
      <c r="C112" s="418"/>
      <c r="D112" s="418"/>
      <c r="E112" s="418"/>
      <c r="F112" s="418"/>
      <c r="G112" s="418"/>
      <c r="H112" s="154"/>
      <c r="I112" s="154"/>
      <c r="J112" s="154"/>
      <c r="K112" s="155"/>
      <c r="L112" s="56"/>
      <c r="BB112" s="14"/>
      <c r="BC112" s="15" t="s">
        <v>884</v>
      </c>
      <c r="BD112" s="21"/>
      <c r="BE112" s="43"/>
      <c r="BF112" s="12"/>
      <c r="BG112" s="12"/>
    </row>
    <row r="113" spans="1:59" s="3" customFormat="1" ht="15" customHeight="1" x14ac:dyDescent="0.3">
      <c r="A113" s="437" t="s">
        <v>347</v>
      </c>
      <c r="B113" s="418"/>
      <c r="C113" s="418"/>
      <c r="D113" s="418"/>
      <c r="E113" s="418"/>
      <c r="F113" s="418"/>
      <c r="G113" s="418"/>
      <c r="H113" s="154"/>
      <c r="I113" s="154"/>
      <c r="J113" s="154"/>
      <c r="K113" s="155"/>
      <c r="L113" s="56"/>
      <c r="BB113" s="14"/>
      <c r="BC113" s="15" t="s">
        <v>347</v>
      </c>
      <c r="BD113" s="21"/>
      <c r="BE113" s="43"/>
      <c r="BF113" s="12"/>
      <c r="BG113" s="12"/>
    </row>
    <row r="114" spans="1:59" s="3" customFormat="1" ht="21.6" x14ac:dyDescent="0.3">
      <c r="A114" s="16" t="s">
        <v>222</v>
      </c>
      <c r="B114" s="17" t="s">
        <v>348</v>
      </c>
      <c r="C114" s="405" t="s">
        <v>349</v>
      </c>
      <c r="D114" s="405"/>
      <c r="E114" s="405"/>
      <c r="F114" s="16" t="s">
        <v>329</v>
      </c>
      <c r="G114" s="31">
        <v>0.44</v>
      </c>
      <c r="H114" s="57">
        <f>I114/G114</f>
        <v>6117.0909090909099</v>
      </c>
      <c r="I114" s="19">
        <f>21626.52-K114</f>
        <v>2691.5200000000004</v>
      </c>
      <c r="J114" s="19">
        <f>K114/G114</f>
        <v>43034.090909090912</v>
      </c>
      <c r="K114" s="19">
        <v>18935</v>
      </c>
      <c r="L114" s="56"/>
      <c r="BB114" s="14"/>
      <c r="BC114" s="15"/>
      <c r="BD114" s="21" t="s">
        <v>349</v>
      </c>
      <c r="BE114" s="43"/>
      <c r="BF114" s="12"/>
      <c r="BG114" s="12"/>
    </row>
    <row r="115" spans="1:59" s="3" customFormat="1" ht="20.399999999999999" x14ac:dyDescent="0.3">
      <c r="A115" s="25"/>
      <c r="B115" s="26" t="s">
        <v>350</v>
      </c>
      <c r="C115" s="419" t="s">
        <v>351</v>
      </c>
      <c r="D115" s="419"/>
      <c r="E115" s="419"/>
      <c r="F115" s="27" t="s">
        <v>70</v>
      </c>
      <c r="G115" s="22" t="s">
        <v>2350</v>
      </c>
      <c r="H115" s="58"/>
      <c r="I115" s="28"/>
      <c r="J115" s="28"/>
      <c r="K115" s="29"/>
      <c r="L115" s="56"/>
      <c r="BB115" s="14"/>
      <c r="BC115" s="15"/>
      <c r="BD115" s="21"/>
      <c r="BE115" s="43"/>
      <c r="BF115" s="12" t="s">
        <v>351</v>
      </c>
      <c r="BG115" s="12"/>
    </row>
    <row r="116" spans="1:59" s="3" customFormat="1" ht="20.399999999999999" x14ac:dyDescent="0.3">
      <c r="A116" s="25"/>
      <c r="B116" s="26" t="s">
        <v>353</v>
      </c>
      <c r="C116" s="419" t="s">
        <v>354</v>
      </c>
      <c r="D116" s="419"/>
      <c r="E116" s="419"/>
      <c r="F116" s="27" t="s">
        <v>75</v>
      </c>
      <c r="G116" s="22" t="s">
        <v>2351</v>
      </c>
      <c r="H116" s="58"/>
      <c r="I116" s="28"/>
      <c r="J116" s="28"/>
      <c r="K116" s="29"/>
      <c r="L116" s="56"/>
      <c r="BB116" s="14"/>
      <c r="BC116" s="15"/>
      <c r="BD116" s="21"/>
      <c r="BE116" s="43"/>
      <c r="BF116" s="12" t="s">
        <v>354</v>
      </c>
      <c r="BG116" s="12"/>
    </row>
    <row r="117" spans="1:59" s="3" customFormat="1" ht="20.399999999999999" x14ac:dyDescent="0.3">
      <c r="A117" s="25" t="s">
        <v>129</v>
      </c>
      <c r="B117" s="26" t="s">
        <v>356</v>
      </c>
      <c r="C117" s="419" t="s">
        <v>351</v>
      </c>
      <c r="D117" s="419"/>
      <c r="E117" s="419"/>
      <c r="F117" s="27" t="s">
        <v>70</v>
      </c>
      <c r="G117" s="22" t="s">
        <v>2352</v>
      </c>
      <c r="H117" s="57"/>
      <c r="I117" s="28"/>
      <c r="J117" s="19"/>
      <c r="K117" s="29"/>
      <c r="L117" s="56"/>
      <c r="BB117" s="14"/>
      <c r="BC117" s="15"/>
      <c r="BD117" s="21"/>
      <c r="BE117" s="43"/>
      <c r="BF117" s="12"/>
      <c r="BG117" s="12" t="s">
        <v>351</v>
      </c>
    </row>
    <row r="118" spans="1:59" s="3" customFormat="1" ht="20.399999999999999" x14ac:dyDescent="0.3">
      <c r="A118" s="25" t="s">
        <v>129</v>
      </c>
      <c r="B118" s="26" t="s">
        <v>358</v>
      </c>
      <c r="C118" s="419" t="s">
        <v>359</v>
      </c>
      <c r="D118" s="419"/>
      <c r="E118" s="419"/>
      <c r="F118" s="27" t="s">
        <v>75</v>
      </c>
      <c r="G118" s="22" t="s">
        <v>2353</v>
      </c>
      <c r="H118" s="57"/>
      <c r="I118" s="28"/>
      <c r="J118" s="19"/>
      <c r="K118" s="29"/>
      <c r="L118" s="56"/>
      <c r="BB118" s="14"/>
      <c r="BC118" s="15"/>
      <c r="BD118" s="21"/>
      <c r="BE118" s="43"/>
      <c r="BF118" s="12"/>
      <c r="BG118" s="12" t="s">
        <v>359</v>
      </c>
    </row>
    <row r="119" spans="1:59" s="3" customFormat="1" ht="15" customHeight="1" x14ac:dyDescent="0.3">
      <c r="A119" s="437" t="s">
        <v>361</v>
      </c>
      <c r="B119" s="418"/>
      <c r="C119" s="418"/>
      <c r="D119" s="418"/>
      <c r="E119" s="418"/>
      <c r="F119" s="418"/>
      <c r="G119" s="418"/>
      <c r="H119" s="154"/>
      <c r="I119" s="154"/>
      <c r="J119" s="154"/>
      <c r="K119" s="155"/>
      <c r="L119" s="56"/>
      <c r="BB119" s="14"/>
      <c r="BC119" s="15" t="s">
        <v>361</v>
      </c>
      <c r="BD119" s="21"/>
      <c r="BE119" s="43"/>
      <c r="BF119" s="12"/>
      <c r="BG119" s="12"/>
    </row>
    <row r="120" spans="1:59" s="3" customFormat="1" ht="31.8" x14ac:dyDescent="0.3">
      <c r="A120" s="16" t="s">
        <v>225</v>
      </c>
      <c r="B120" s="17" t="s">
        <v>362</v>
      </c>
      <c r="C120" s="405" t="s">
        <v>363</v>
      </c>
      <c r="D120" s="405"/>
      <c r="E120" s="405"/>
      <c r="F120" s="16" t="s">
        <v>329</v>
      </c>
      <c r="G120" s="31">
        <v>0.44</v>
      </c>
      <c r="H120" s="57">
        <f>I120/G120</f>
        <v>7196.6136363636369</v>
      </c>
      <c r="I120" s="19">
        <f>16644.54-K120</f>
        <v>3166.51</v>
      </c>
      <c r="J120" s="19">
        <f>K120/G120</f>
        <v>30631.886363636364</v>
      </c>
      <c r="K120" s="19">
        <v>13478.03</v>
      </c>
      <c r="L120" s="56"/>
      <c r="BB120" s="14"/>
      <c r="BC120" s="15"/>
      <c r="BD120" s="21" t="s">
        <v>363</v>
      </c>
      <c r="BE120" s="43"/>
      <c r="BF120" s="12"/>
      <c r="BG120" s="12"/>
    </row>
    <row r="121" spans="1:59" s="3" customFormat="1" ht="20.399999999999999" x14ac:dyDescent="0.3">
      <c r="A121" s="25"/>
      <c r="B121" s="26" t="s">
        <v>364</v>
      </c>
      <c r="C121" s="419" t="s">
        <v>365</v>
      </c>
      <c r="D121" s="419"/>
      <c r="E121" s="419"/>
      <c r="F121" s="27" t="s">
        <v>70</v>
      </c>
      <c r="G121" s="22" t="s">
        <v>2354</v>
      </c>
      <c r="H121" s="58"/>
      <c r="I121" s="28"/>
      <c r="J121" s="28"/>
      <c r="K121" s="29"/>
      <c r="L121" s="56"/>
      <c r="BB121" s="14"/>
      <c r="BC121" s="15"/>
      <c r="BD121" s="21"/>
      <c r="BE121" s="43"/>
      <c r="BF121" s="12" t="s">
        <v>365</v>
      </c>
      <c r="BG121" s="12"/>
    </row>
    <row r="122" spans="1:59" s="3" customFormat="1" ht="20.399999999999999" x14ac:dyDescent="0.3">
      <c r="A122" s="25"/>
      <c r="B122" s="26" t="s">
        <v>367</v>
      </c>
      <c r="C122" s="419" t="s">
        <v>368</v>
      </c>
      <c r="D122" s="419"/>
      <c r="E122" s="419"/>
      <c r="F122" s="27" t="s">
        <v>70</v>
      </c>
      <c r="G122" s="22" t="s">
        <v>2355</v>
      </c>
      <c r="H122" s="58"/>
      <c r="I122" s="28"/>
      <c r="J122" s="28"/>
      <c r="K122" s="29"/>
      <c r="L122" s="56"/>
      <c r="BB122" s="14"/>
      <c r="BC122" s="15"/>
      <c r="BD122" s="21"/>
      <c r="BE122" s="43"/>
      <c r="BF122" s="12" t="s">
        <v>368</v>
      </c>
      <c r="BG122" s="12"/>
    </row>
    <row r="123" spans="1:59" s="3" customFormat="1" ht="20.399999999999999" x14ac:dyDescent="0.3">
      <c r="A123" s="25"/>
      <c r="B123" s="26" t="s">
        <v>370</v>
      </c>
      <c r="C123" s="419" t="s">
        <v>371</v>
      </c>
      <c r="D123" s="419"/>
      <c r="E123" s="419"/>
      <c r="F123" s="27" t="s">
        <v>75</v>
      </c>
      <c r="G123" s="22" t="s">
        <v>2356</v>
      </c>
      <c r="H123" s="58"/>
      <c r="I123" s="28"/>
      <c r="J123" s="28"/>
      <c r="K123" s="29"/>
      <c r="L123" s="56"/>
      <c r="BB123" s="14"/>
      <c r="BC123" s="15"/>
      <c r="BD123" s="21"/>
      <c r="BE123" s="43"/>
      <c r="BF123" s="12" t="s">
        <v>371</v>
      </c>
      <c r="BG123" s="12"/>
    </row>
    <row r="124" spans="1:59" s="3" customFormat="1" ht="20.399999999999999" x14ac:dyDescent="0.3">
      <c r="A124" s="25" t="s">
        <v>129</v>
      </c>
      <c r="B124" s="26" t="s">
        <v>373</v>
      </c>
      <c r="C124" s="419" t="s">
        <v>365</v>
      </c>
      <c r="D124" s="419"/>
      <c r="E124" s="419"/>
      <c r="F124" s="27" t="s">
        <v>70</v>
      </c>
      <c r="G124" s="22" t="s">
        <v>2357</v>
      </c>
      <c r="H124" s="57"/>
      <c r="I124" s="28"/>
      <c r="J124" s="19"/>
      <c r="K124" s="29"/>
      <c r="L124" s="56"/>
      <c r="BB124" s="14"/>
      <c r="BC124" s="15"/>
      <c r="BD124" s="21"/>
      <c r="BE124" s="43"/>
      <c r="BF124" s="12"/>
      <c r="BG124" s="12" t="s">
        <v>365</v>
      </c>
    </row>
    <row r="125" spans="1:59" s="3" customFormat="1" ht="21.6" x14ac:dyDescent="0.3">
      <c r="A125" s="25" t="s">
        <v>129</v>
      </c>
      <c r="B125" s="26" t="s">
        <v>375</v>
      </c>
      <c r="C125" s="419" t="s">
        <v>376</v>
      </c>
      <c r="D125" s="419"/>
      <c r="E125" s="419"/>
      <c r="F125" s="27" t="s">
        <v>75</v>
      </c>
      <c r="G125" s="22" t="s">
        <v>2358</v>
      </c>
      <c r="H125" s="57"/>
      <c r="I125" s="28"/>
      <c r="J125" s="19"/>
      <c r="K125" s="29"/>
      <c r="L125" s="56"/>
      <c r="BB125" s="14"/>
      <c r="BC125" s="15"/>
      <c r="BD125" s="21"/>
      <c r="BE125" s="43"/>
      <c r="BF125" s="12"/>
      <c r="BG125" s="12" t="s">
        <v>376</v>
      </c>
    </row>
    <row r="126" spans="1:59" s="3" customFormat="1" ht="15" customHeight="1" x14ac:dyDescent="0.3">
      <c r="A126" s="437" t="s">
        <v>378</v>
      </c>
      <c r="B126" s="418"/>
      <c r="C126" s="418"/>
      <c r="D126" s="418"/>
      <c r="E126" s="418"/>
      <c r="F126" s="418"/>
      <c r="G126" s="418"/>
      <c r="H126" s="154"/>
      <c r="I126" s="154"/>
      <c r="J126" s="154"/>
      <c r="K126" s="155"/>
      <c r="L126" s="56"/>
      <c r="BB126" s="14"/>
      <c r="BC126" s="15" t="s">
        <v>378</v>
      </c>
      <c r="BD126" s="21"/>
      <c r="BE126" s="43"/>
      <c r="BF126" s="12"/>
      <c r="BG126" s="12"/>
    </row>
    <row r="127" spans="1:59" s="3" customFormat="1" ht="31.8" x14ac:dyDescent="0.3">
      <c r="A127" s="16" t="s">
        <v>227</v>
      </c>
      <c r="B127" s="17" t="s">
        <v>362</v>
      </c>
      <c r="C127" s="405" t="s">
        <v>363</v>
      </c>
      <c r="D127" s="405"/>
      <c r="E127" s="405"/>
      <c r="F127" s="16" t="s">
        <v>329</v>
      </c>
      <c r="G127" s="31">
        <v>0.44</v>
      </c>
      <c r="H127" s="57">
        <f>I127/G127</f>
        <v>7196.6136363636369</v>
      </c>
      <c r="I127" s="19">
        <f>16644.54-K127</f>
        <v>3166.51</v>
      </c>
      <c r="J127" s="19">
        <f>K127/G127</f>
        <v>30631.886363636364</v>
      </c>
      <c r="K127" s="19">
        <v>13478.03</v>
      </c>
      <c r="L127" s="56"/>
      <c r="BB127" s="14"/>
      <c r="BC127" s="15"/>
      <c r="BD127" s="21" t="s">
        <v>363</v>
      </c>
      <c r="BE127" s="43"/>
      <c r="BF127" s="12"/>
      <c r="BG127" s="12"/>
    </row>
    <row r="128" spans="1:59" s="3" customFormat="1" ht="20.399999999999999" x14ac:dyDescent="0.3">
      <c r="A128" s="25"/>
      <c r="B128" s="26" t="s">
        <v>364</v>
      </c>
      <c r="C128" s="419" t="s">
        <v>365</v>
      </c>
      <c r="D128" s="419"/>
      <c r="E128" s="419"/>
      <c r="F128" s="27" t="s">
        <v>70</v>
      </c>
      <c r="G128" s="22" t="s">
        <v>2354</v>
      </c>
      <c r="H128" s="58"/>
      <c r="I128" s="28"/>
      <c r="J128" s="28"/>
      <c r="K128" s="29"/>
      <c r="L128" s="56"/>
      <c r="BB128" s="14"/>
      <c r="BC128" s="15"/>
      <c r="BD128" s="21"/>
      <c r="BE128" s="43"/>
      <c r="BF128" s="12" t="s">
        <v>365</v>
      </c>
      <c r="BG128" s="12"/>
    </row>
    <row r="129" spans="1:59" s="3" customFormat="1" ht="20.399999999999999" x14ac:dyDescent="0.3">
      <c r="A129" s="25"/>
      <c r="B129" s="26" t="s">
        <v>367</v>
      </c>
      <c r="C129" s="419" t="s">
        <v>368</v>
      </c>
      <c r="D129" s="419"/>
      <c r="E129" s="419"/>
      <c r="F129" s="27" t="s">
        <v>70</v>
      </c>
      <c r="G129" s="22" t="s">
        <v>2355</v>
      </c>
      <c r="H129" s="58"/>
      <c r="I129" s="28"/>
      <c r="J129" s="28"/>
      <c r="K129" s="29"/>
      <c r="L129" s="56"/>
      <c r="BB129" s="14"/>
      <c r="BC129" s="15"/>
      <c r="BD129" s="21"/>
      <c r="BE129" s="43"/>
      <c r="BF129" s="12" t="s">
        <v>368</v>
      </c>
      <c r="BG129" s="12"/>
    </row>
    <row r="130" spans="1:59" s="3" customFormat="1" ht="20.399999999999999" x14ac:dyDescent="0.3">
      <c r="A130" s="25"/>
      <c r="B130" s="26" t="s">
        <v>370</v>
      </c>
      <c r="C130" s="419" t="s">
        <v>371</v>
      </c>
      <c r="D130" s="419"/>
      <c r="E130" s="419"/>
      <c r="F130" s="27" t="s">
        <v>75</v>
      </c>
      <c r="G130" s="22" t="s">
        <v>2356</v>
      </c>
      <c r="H130" s="58"/>
      <c r="I130" s="28"/>
      <c r="J130" s="28"/>
      <c r="K130" s="29"/>
      <c r="L130" s="56"/>
      <c r="BB130" s="14"/>
      <c r="BC130" s="15"/>
      <c r="BD130" s="21"/>
      <c r="BE130" s="43"/>
      <c r="BF130" s="12" t="s">
        <v>371</v>
      </c>
      <c r="BG130" s="12"/>
    </row>
    <row r="131" spans="1:59" s="3" customFormat="1" ht="20.399999999999999" x14ac:dyDescent="0.3">
      <c r="A131" s="25" t="s">
        <v>129</v>
      </c>
      <c r="B131" s="26" t="s">
        <v>373</v>
      </c>
      <c r="C131" s="419" t="s">
        <v>365</v>
      </c>
      <c r="D131" s="419"/>
      <c r="E131" s="419"/>
      <c r="F131" s="27" t="s">
        <v>70</v>
      </c>
      <c r="G131" s="22" t="s">
        <v>2357</v>
      </c>
      <c r="H131" s="57"/>
      <c r="I131" s="28"/>
      <c r="J131" s="19"/>
      <c r="K131" s="29"/>
      <c r="L131" s="56"/>
      <c r="BB131" s="14"/>
      <c r="BC131" s="15"/>
      <c r="BD131" s="21"/>
      <c r="BE131" s="43"/>
      <c r="BF131" s="12"/>
      <c r="BG131" s="12" t="s">
        <v>365</v>
      </c>
    </row>
    <row r="132" spans="1:59" s="3" customFormat="1" ht="21.6" x14ac:dyDescent="0.3">
      <c r="A132" s="25" t="s">
        <v>129</v>
      </c>
      <c r="B132" s="26" t="s">
        <v>375</v>
      </c>
      <c r="C132" s="419" t="s">
        <v>376</v>
      </c>
      <c r="D132" s="419"/>
      <c r="E132" s="419"/>
      <c r="F132" s="27" t="s">
        <v>75</v>
      </c>
      <c r="G132" s="22" t="s">
        <v>2358</v>
      </c>
      <c r="H132" s="57"/>
      <c r="I132" s="28"/>
      <c r="J132" s="19"/>
      <c r="K132" s="29"/>
      <c r="L132" s="56"/>
      <c r="BB132" s="14"/>
      <c r="BC132" s="15"/>
      <c r="BD132" s="21"/>
      <c r="BE132" s="43"/>
      <c r="BF132" s="12"/>
      <c r="BG132" s="12" t="s">
        <v>376</v>
      </c>
    </row>
    <row r="133" spans="1:59" s="3" customFormat="1" ht="24.75" customHeight="1" x14ac:dyDescent="0.3">
      <c r="A133" s="437" t="s">
        <v>379</v>
      </c>
      <c r="B133" s="418"/>
      <c r="C133" s="418"/>
      <c r="D133" s="418"/>
      <c r="E133" s="418"/>
      <c r="F133" s="418"/>
      <c r="G133" s="418"/>
      <c r="H133" s="154"/>
      <c r="I133" s="154"/>
      <c r="J133" s="154"/>
      <c r="K133" s="155"/>
      <c r="L133" s="56"/>
      <c r="BB133" s="14"/>
      <c r="BC133" s="15" t="s">
        <v>379</v>
      </c>
      <c r="BD133" s="21"/>
      <c r="BE133" s="43"/>
      <c r="BF133" s="12"/>
      <c r="BG133" s="12"/>
    </row>
    <row r="134" spans="1:59" s="3" customFormat="1" ht="20.25" customHeight="1" x14ac:dyDescent="0.3">
      <c r="A134" s="406" t="s">
        <v>57</v>
      </c>
      <c r="B134" s="407"/>
      <c r="C134" s="407"/>
      <c r="D134" s="407"/>
      <c r="E134" s="407"/>
      <c r="F134" s="407"/>
      <c r="G134" s="407"/>
      <c r="H134" s="66"/>
      <c r="I134" s="67">
        <f>SUM(I14:I133)</f>
        <v>1781775.8999999997</v>
      </c>
      <c r="J134" s="72"/>
      <c r="K134" s="67">
        <f>SUM(K14:K133)</f>
        <v>2551375.62</v>
      </c>
      <c r="L134" s="56"/>
    </row>
    <row r="135" spans="1:59" s="53" customFormat="1" ht="20.25" customHeight="1" thickBot="1" x14ac:dyDescent="0.35">
      <c r="A135" s="408" t="s">
        <v>5461</v>
      </c>
      <c r="B135" s="409"/>
      <c r="C135" s="409"/>
      <c r="D135" s="409"/>
      <c r="E135" s="409"/>
      <c r="F135" s="409"/>
      <c r="G135" s="409"/>
      <c r="H135" s="88"/>
      <c r="I135" s="410">
        <f>I134+K134</f>
        <v>4333151.5199999996</v>
      </c>
      <c r="J135" s="411"/>
      <c r="K135" s="412"/>
      <c r="L135" s="153"/>
    </row>
    <row r="137" spans="1:59" s="3" customFormat="1" ht="14.4" x14ac:dyDescent="0.3">
      <c r="A137" s="4"/>
      <c r="B137" s="4"/>
      <c r="C137" s="4"/>
      <c r="D137" s="4"/>
      <c r="E137" s="4"/>
      <c r="F137" s="4"/>
      <c r="G137" s="4"/>
      <c r="H137" s="54"/>
      <c r="I137" s="141"/>
      <c r="J137" s="141"/>
      <c r="K137" s="54"/>
      <c r="L137" s="56"/>
    </row>
  </sheetData>
  <autoFilter ref="A11:BJ135" xr:uid="{00000000-0001-0000-1600-000000000000}"/>
  <mergeCells count="132">
    <mergeCell ref="A135:G135"/>
    <mergeCell ref="C131:E131"/>
    <mergeCell ref="C132:E132"/>
    <mergeCell ref="A133:G133"/>
    <mergeCell ref="A134:G134"/>
    <mergeCell ref="C120:E120"/>
    <mergeCell ref="C111:E111"/>
    <mergeCell ref="C114:E114"/>
    <mergeCell ref="C115:E115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09:E109"/>
    <mergeCell ref="C110:E110"/>
    <mergeCell ref="C101:E101"/>
    <mergeCell ref="C102:E102"/>
    <mergeCell ref="C103:E103"/>
    <mergeCell ref="C105:E105"/>
    <mergeCell ref="C116:E116"/>
    <mergeCell ref="C117:E117"/>
    <mergeCell ref="C118:E118"/>
    <mergeCell ref="C100:E100"/>
    <mergeCell ref="C91:E91"/>
    <mergeCell ref="C92:E92"/>
    <mergeCell ref="C93:E93"/>
    <mergeCell ref="C94:E94"/>
    <mergeCell ref="C95:E95"/>
    <mergeCell ref="C106:E106"/>
    <mergeCell ref="C107:E107"/>
    <mergeCell ref="C108:E108"/>
    <mergeCell ref="C90:E90"/>
    <mergeCell ref="C81:E81"/>
    <mergeCell ref="C82:E82"/>
    <mergeCell ref="C84:E84"/>
    <mergeCell ref="C85:E85"/>
    <mergeCell ref="C96:E96"/>
    <mergeCell ref="C97:E97"/>
    <mergeCell ref="C98:E98"/>
    <mergeCell ref="C99:E99"/>
    <mergeCell ref="C80:E80"/>
    <mergeCell ref="C71:E71"/>
    <mergeCell ref="C72:E72"/>
    <mergeCell ref="C73:E73"/>
    <mergeCell ref="C74:E74"/>
    <mergeCell ref="C75:E75"/>
    <mergeCell ref="C86:E86"/>
    <mergeCell ref="C88:E88"/>
    <mergeCell ref="C89:E89"/>
    <mergeCell ref="C70:E70"/>
    <mergeCell ref="C61:E61"/>
    <mergeCell ref="C63:E63"/>
    <mergeCell ref="C64:E64"/>
    <mergeCell ref="C65:E65"/>
    <mergeCell ref="C76:E76"/>
    <mergeCell ref="C77:E77"/>
    <mergeCell ref="C78:E78"/>
    <mergeCell ref="C79:E79"/>
    <mergeCell ref="C60:E60"/>
    <mergeCell ref="C52:E52"/>
    <mergeCell ref="C53:E53"/>
    <mergeCell ref="C54:E54"/>
    <mergeCell ref="C55:E55"/>
    <mergeCell ref="C66:E66"/>
    <mergeCell ref="C67:E67"/>
    <mergeCell ref="C68:E68"/>
    <mergeCell ref="C69:E69"/>
    <mergeCell ref="C47:E47"/>
    <mergeCell ref="C48:E48"/>
    <mergeCell ref="C49:E49"/>
    <mergeCell ref="C50:E50"/>
    <mergeCell ref="C41:E41"/>
    <mergeCell ref="C42:E42"/>
    <mergeCell ref="C57:E57"/>
    <mergeCell ref="C58:E58"/>
    <mergeCell ref="C59:E59"/>
    <mergeCell ref="C37:E37"/>
    <mergeCell ref="C38:E38"/>
    <mergeCell ref="C39:E39"/>
    <mergeCell ref="C40:E40"/>
    <mergeCell ref="C31:E31"/>
    <mergeCell ref="C32:E32"/>
    <mergeCell ref="C33:E33"/>
    <mergeCell ref="C34:E34"/>
    <mergeCell ref="C46:E46"/>
    <mergeCell ref="C29:E29"/>
    <mergeCell ref="C30:E30"/>
    <mergeCell ref="C21:E21"/>
    <mergeCell ref="C22:E22"/>
    <mergeCell ref="C23:E23"/>
    <mergeCell ref="C24:E24"/>
    <mergeCell ref="C25:E25"/>
    <mergeCell ref="A26:G26"/>
    <mergeCell ref="C36:E36"/>
    <mergeCell ref="C16:E16"/>
    <mergeCell ref="C18:E18"/>
    <mergeCell ref="C20:E20"/>
    <mergeCell ref="C14:E14"/>
    <mergeCell ref="A19:G19"/>
    <mergeCell ref="A17:G17"/>
    <mergeCell ref="A15:G15"/>
    <mergeCell ref="A13:G13"/>
    <mergeCell ref="C28:E28"/>
    <mergeCell ref="A2:K2"/>
    <mergeCell ref="A3:K3"/>
    <mergeCell ref="A5:K5"/>
    <mergeCell ref="C9:E9"/>
    <mergeCell ref="C10:E10"/>
    <mergeCell ref="I135:K135"/>
    <mergeCell ref="A12:G12"/>
    <mergeCell ref="A126:G126"/>
    <mergeCell ref="A119:G119"/>
    <mergeCell ref="A113:G113"/>
    <mergeCell ref="A112:G112"/>
    <mergeCell ref="A104:G104"/>
    <mergeCell ref="A87:G87"/>
    <mergeCell ref="A83:G83"/>
    <mergeCell ref="A62:G62"/>
    <mergeCell ref="A56:G56"/>
    <mergeCell ref="A51:G51"/>
    <mergeCell ref="A45:G45"/>
    <mergeCell ref="A44:G44"/>
    <mergeCell ref="A43:G43"/>
    <mergeCell ref="A35:G35"/>
    <mergeCell ref="A27:G27"/>
    <mergeCell ref="A6:K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33"/>
  <sheetViews>
    <sheetView topLeftCell="A22" zoomScaleNormal="100" workbookViewId="0">
      <selection activeCell="C13" sqref="C13:E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4.109375" style="1" customWidth="1"/>
    <col min="6" max="7" width="10.6640625" style="1" customWidth="1"/>
    <col min="8" max="8" width="15.109375" style="54" customWidth="1"/>
    <col min="9" max="9" width="14.5546875" style="1" customWidth="1"/>
    <col min="10" max="10" width="18.6640625" style="73" customWidth="1"/>
    <col min="11" max="11" width="16.88671875" style="73" customWidth="1"/>
    <col min="12" max="12" width="13" style="1" customWidth="1"/>
    <col min="13" max="16384" width="9.109375" style="1"/>
  </cols>
  <sheetData>
    <row r="1" spans="1:11" s="3" customFormat="1" ht="14.4" x14ac:dyDescent="0.3">
      <c r="A1" s="95" t="s">
        <v>5462</v>
      </c>
      <c r="B1" s="4"/>
      <c r="C1" s="4"/>
      <c r="D1" s="4"/>
      <c r="E1" s="4"/>
      <c r="F1" s="4"/>
      <c r="G1" s="4"/>
      <c r="H1" s="54"/>
      <c r="I1" s="4"/>
      <c r="J1" s="68"/>
      <c r="K1" s="68"/>
    </row>
    <row r="2" spans="1:11" s="3" customFormat="1" ht="30.7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3" spans="1:11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11" s="3" customFormat="1" ht="14.4" x14ac:dyDescent="0.3">
      <c r="A4" s="404" t="s">
        <v>3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</row>
    <row r="5" spans="1:11" s="3" customFormat="1" ht="15.75" customHeight="1" x14ac:dyDescent="0.3">
      <c r="A5" s="401" t="s">
        <v>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</row>
    <row r="6" spans="1:11" s="3" customFormat="1" ht="14.4" x14ac:dyDescent="0.3">
      <c r="A6" s="4"/>
      <c r="B6" s="8" t="s">
        <v>5</v>
      </c>
      <c r="C6" s="402" t="s">
        <v>6</v>
      </c>
      <c r="D6" s="402"/>
      <c r="E6" s="402"/>
      <c r="F6" s="402"/>
      <c r="G6" s="402"/>
      <c r="H6" s="55"/>
      <c r="I6" s="9"/>
      <c r="J6" s="69"/>
      <c r="K6" s="69"/>
    </row>
    <row r="7" spans="1:11" s="3" customFormat="1" ht="6" customHeight="1" thickBot="1" x14ac:dyDescent="0.35">
      <c r="A7" s="13"/>
      <c r="H7" s="56"/>
      <c r="J7" s="70"/>
      <c r="K7" s="70"/>
    </row>
    <row r="8" spans="1:11" s="3" customFormat="1" ht="36" customHeight="1" x14ac:dyDescent="0.3">
      <c r="A8" s="74" t="s">
        <v>7</v>
      </c>
      <c r="B8" s="75" t="s">
        <v>8</v>
      </c>
      <c r="C8" s="414" t="s">
        <v>9</v>
      </c>
      <c r="D8" s="415"/>
      <c r="E8" s="416"/>
      <c r="F8" s="76" t="s">
        <v>10</v>
      </c>
      <c r="G8" s="77" t="s">
        <v>11</v>
      </c>
      <c r="H8" s="78" t="s">
        <v>5739</v>
      </c>
      <c r="I8" s="78" t="s">
        <v>5740</v>
      </c>
      <c r="J8" s="78" t="s">
        <v>5741</v>
      </c>
      <c r="K8" s="110" t="s">
        <v>5742</v>
      </c>
    </row>
    <row r="9" spans="1:11" s="3" customFormat="1" ht="15" thickBot="1" x14ac:dyDescent="0.35">
      <c r="A9" s="89">
        <v>1</v>
      </c>
      <c r="B9" s="90">
        <v>2</v>
      </c>
      <c r="C9" s="420">
        <v>3</v>
      </c>
      <c r="D9" s="420"/>
      <c r="E9" s="420"/>
      <c r="F9" s="92">
        <v>4</v>
      </c>
      <c r="G9" s="90">
        <v>5</v>
      </c>
      <c r="H9" s="90">
        <v>6</v>
      </c>
      <c r="I9" s="93" t="s">
        <v>47</v>
      </c>
      <c r="J9" s="93" t="s">
        <v>52</v>
      </c>
      <c r="K9" s="94" t="s">
        <v>55</v>
      </c>
    </row>
    <row r="10" spans="1:11" s="3" customFormat="1" ht="14.4" x14ac:dyDescent="0.3">
      <c r="A10" s="421" t="s">
        <v>12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3"/>
    </row>
    <row r="11" spans="1:11" s="3" customFormat="1" ht="15" customHeight="1" x14ac:dyDescent="0.3">
      <c r="A11" s="417" t="s">
        <v>13</v>
      </c>
      <c r="B11" s="418"/>
      <c r="C11" s="418"/>
      <c r="D11" s="418"/>
      <c r="E11" s="418"/>
      <c r="F11" s="418"/>
      <c r="G11" s="61"/>
      <c r="H11" s="61"/>
      <c r="I11" s="61"/>
      <c r="J11" s="71"/>
      <c r="K11" s="79"/>
    </row>
    <row r="12" spans="1:11" s="3" customFormat="1" ht="15" customHeight="1" x14ac:dyDescent="0.3">
      <c r="A12" s="417" t="s">
        <v>14</v>
      </c>
      <c r="B12" s="418"/>
      <c r="C12" s="418"/>
      <c r="D12" s="418"/>
      <c r="E12" s="418"/>
      <c r="F12" s="418"/>
      <c r="G12" s="61"/>
      <c r="H12" s="61"/>
      <c r="I12" s="61"/>
      <c r="J12" s="71"/>
      <c r="K12" s="79"/>
    </row>
    <row r="13" spans="1:11" s="3" customFormat="1" ht="25.5" customHeight="1" x14ac:dyDescent="0.3">
      <c r="A13" s="80" t="s">
        <v>15</v>
      </c>
      <c r="B13" s="17" t="s">
        <v>16</v>
      </c>
      <c r="C13" s="405" t="s">
        <v>17</v>
      </c>
      <c r="D13" s="405"/>
      <c r="E13" s="405"/>
      <c r="F13" s="16" t="s">
        <v>18</v>
      </c>
      <c r="G13" s="18">
        <v>0.46200000000000002</v>
      </c>
      <c r="H13" s="57">
        <f>I13/G13</f>
        <v>299388.20346320345</v>
      </c>
      <c r="I13" s="19">
        <v>138317.35</v>
      </c>
      <c r="J13" s="57">
        <f>K13/G13</f>
        <v>0</v>
      </c>
      <c r="K13" s="81">
        <v>0</v>
      </c>
    </row>
    <row r="14" spans="1:11" s="3" customFormat="1" ht="15" customHeight="1" x14ac:dyDescent="0.3">
      <c r="A14" s="417" t="s">
        <v>19</v>
      </c>
      <c r="B14" s="418"/>
      <c r="C14" s="418"/>
      <c r="D14" s="418"/>
      <c r="E14" s="418"/>
      <c r="F14" s="418"/>
      <c r="G14" s="63"/>
      <c r="H14" s="64"/>
      <c r="I14" s="63"/>
      <c r="J14" s="64"/>
      <c r="K14" s="82"/>
    </row>
    <row r="15" spans="1:11" s="3" customFormat="1" ht="25.5" customHeight="1" x14ac:dyDescent="0.3">
      <c r="A15" s="80" t="s">
        <v>20</v>
      </c>
      <c r="B15" s="17" t="s">
        <v>16</v>
      </c>
      <c r="C15" s="405" t="s">
        <v>17</v>
      </c>
      <c r="D15" s="405"/>
      <c r="E15" s="405"/>
      <c r="F15" s="16" t="s">
        <v>18</v>
      </c>
      <c r="G15" s="18">
        <v>1.454</v>
      </c>
      <c r="H15" s="57">
        <f t="shared" ref="H15:H30" si="0">I15/G15</f>
        <v>299388.23246217333</v>
      </c>
      <c r="I15" s="19">
        <v>435310.49</v>
      </c>
      <c r="J15" s="57">
        <f t="shared" ref="J15:J30" si="1">K15/G15</f>
        <v>0</v>
      </c>
      <c r="K15" s="81">
        <v>0</v>
      </c>
    </row>
    <row r="16" spans="1:11" s="3" customFormat="1" ht="15" customHeight="1" x14ac:dyDescent="0.3">
      <c r="A16" s="417" t="s">
        <v>21</v>
      </c>
      <c r="B16" s="418"/>
      <c r="C16" s="418"/>
      <c r="D16" s="418"/>
      <c r="E16" s="418"/>
      <c r="F16" s="418"/>
      <c r="G16" s="63"/>
      <c r="H16" s="64"/>
      <c r="I16" s="63"/>
      <c r="J16" s="64"/>
      <c r="K16" s="82"/>
    </row>
    <row r="17" spans="1:11" s="3" customFormat="1" ht="21.75" customHeight="1" x14ac:dyDescent="0.3">
      <c r="A17" s="80" t="s">
        <v>22</v>
      </c>
      <c r="B17" s="17" t="s">
        <v>23</v>
      </c>
      <c r="C17" s="405" t="s">
        <v>24</v>
      </c>
      <c r="D17" s="405"/>
      <c r="E17" s="405"/>
      <c r="F17" s="16" t="s">
        <v>25</v>
      </c>
      <c r="G17" s="23">
        <v>15</v>
      </c>
      <c r="H17" s="57">
        <f t="shared" si="0"/>
        <v>72293.126666666663</v>
      </c>
      <c r="I17" s="19">
        <v>1084396.8999999999</v>
      </c>
      <c r="J17" s="57">
        <f t="shared" si="1"/>
        <v>0</v>
      </c>
      <c r="K17" s="81">
        <v>0</v>
      </c>
    </row>
    <row r="18" spans="1:11" s="3" customFormat="1" ht="15" customHeight="1" x14ac:dyDescent="0.3">
      <c r="A18" s="417" t="s">
        <v>26</v>
      </c>
      <c r="B18" s="418"/>
      <c r="C18" s="418"/>
      <c r="D18" s="418"/>
      <c r="E18" s="418"/>
      <c r="F18" s="418"/>
      <c r="G18" s="63"/>
      <c r="H18" s="64"/>
      <c r="I18" s="63"/>
      <c r="J18" s="64"/>
      <c r="K18" s="82"/>
    </row>
    <row r="19" spans="1:11" s="3" customFormat="1" ht="30" customHeight="1" x14ac:dyDescent="0.3">
      <c r="A19" s="80" t="s">
        <v>27</v>
      </c>
      <c r="B19" s="17" t="s">
        <v>28</v>
      </c>
      <c r="C19" s="405" t="s">
        <v>29</v>
      </c>
      <c r="D19" s="405"/>
      <c r="E19" s="405"/>
      <c r="F19" s="16" t="s">
        <v>30</v>
      </c>
      <c r="G19" s="24">
        <v>0.1</v>
      </c>
      <c r="H19" s="57">
        <f t="shared" si="0"/>
        <v>142336.5</v>
      </c>
      <c r="I19" s="19">
        <v>14233.65</v>
      </c>
      <c r="J19" s="57">
        <f t="shared" si="1"/>
        <v>0</v>
      </c>
      <c r="K19" s="81">
        <v>0</v>
      </c>
    </row>
    <row r="20" spans="1:11" s="3" customFormat="1" ht="15" customHeight="1" x14ac:dyDescent="0.3">
      <c r="A20" s="417" t="s">
        <v>34</v>
      </c>
      <c r="B20" s="418"/>
      <c r="C20" s="418"/>
      <c r="D20" s="418"/>
      <c r="E20" s="418"/>
      <c r="F20" s="418"/>
      <c r="G20" s="63"/>
      <c r="H20" s="64"/>
      <c r="I20" s="63"/>
      <c r="J20" s="64"/>
      <c r="K20" s="82"/>
    </row>
    <row r="21" spans="1:11" s="3" customFormat="1" ht="18.75" customHeight="1" x14ac:dyDescent="0.3">
      <c r="A21" s="80" t="s">
        <v>35</v>
      </c>
      <c r="B21" s="17" t="s">
        <v>36</v>
      </c>
      <c r="C21" s="405" t="s">
        <v>37</v>
      </c>
      <c r="D21" s="405"/>
      <c r="E21" s="405"/>
      <c r="F21" s="16" t="s">
        <v>38</v>
      </c>
      <c r="G21" s="23">
        <v>10</v>
      </c>
      <c r="H21" s="57">
        <f t="shared" si="0"/>
        <v>115594.329</v>
      </c>
      <c r="I21" s="19">
        <v>1155943.29</v>
      </c>
      <c r="J21" s="57">
        <f t="shared" si="1"/>
        <v>0</v>
      </c>
      <c r="K21" s="81">
        <v>0</v>
      </c>
    </row>
    <row r="22" spans="1:11" s="3" customFormat="1" ht="15" customHeight="1" x14ac:dyDescent="0.3">
      <c r="A22" s="417" t="s">
        <v>39</v>
      </c>
      <c r="B22" s="418"/>
      <c r="C22" s="418"/>
      <c r="D22" s="418"/>
      <c r="E22" s="418"/>
      <c r="F22" s="418"/>
      <c r="G22" s="63"/>
      <c r="H22" s="64"/>
      <c r="I22" s="63"/>
      <c r="J22" s="64"/>
      <c r="K22" s="82"/>
    </row>
    <row r="23" spans="1:11" s="3" customFormat="1" ht="34.5" customHeight="1" x14ac:dyDescent="0.3">
      <c r="A23" s="80" t="s">
        <v>40</v>
      </c>
      <c r="B23" s="17" t="s">
        <v>41</v>
      </c>
      <c r="C23" s="405" t="s">
        <v>42</v>
      </c>
      <c r="D23" s="405"/>
      <c r="E23" s="405"/>
      <c r="F23" s="16" t="s">
        <v>43</v>
      </c>
      <c r="G23" s="24">
        <v>0.2</v>
      </c>
      <c r="H23" s="57">
        <f t="shared" si="0"/>
        <v>46203.7</v>
      </c>
      <c r="I23" s="19">
        <f>9244.58-K23</f>
        <v>9240.74</v>
      </c>
      <c r="J23" s="57">
        <f t="shared" si="1"/>
        <v>19.2</v>
      </c>
      <c r="K23" s="81">
        <v>3.84</v>
      </c>
    </row>
    <row r="24" spans="1:11" s="3" customFormat="1" ht="22.5" customHeight="1" x14ac:dyDescent="0.3">
      <c r="A24" s="83"/>
      <c r="B24" s="26" t="s">
        <v>44</v>
      </c>
      <c r="C24" s="419" t="s">
        <v>45</v>
      </c>
      <c r="D24" s="419"/>
      <c r="E24" s="419"/>
      <c r="F24" s="27" t="s">
        <v>46</v>
      </c>
      <c r="G24" s="49" t="s">
        <v>5460</v>
      </c>
      <c r="H24" s="57"/>
      <c r="I24" s="28"/>
      <c r="J24" s="57"/>
      <c r="K24" s="84"/>
    </row>
    <row r="25" spans="1:11" s="3" customFormat="1" ht="35.25" customHeight="1" x14ac:dyDescent="0.3">
      <c r="A25" s="80" t="s">
        <v>47</v>
      </c>
      <c r="B25" s="17" t="s">
        <v>48</v>
      </c>
      <c r="C25" s="405" t="s">
        <v>49</v>
      </c>
      <c r="D25" s="405"/>
      <c r="E25" s="405"/>
      <c r="F25" s="16" t="s">
        <v>50</v>
      </c>
      <c r="G25" s="23">
        <v>400</v>
      </c>
      <c r="H25" s="57">
        <f t="shared" si="0"/>
        <v>598.37580000000003</v>
      </c>
      <c r="I25" s="19">
        <v>239350.32</v>
      </c>
      <c r="J25" s="57">
        <f t="shared" si="1"/>
        <v>0</v>
      </c>
      <c r="K25" s="81">
        <v>0</v>
      </c>
    </row>
    <row r="26" spans="1:11" s="3" customFormat="1" ht="15" customHeight="1" x14ac:dyDescent="0.3">
      <c r="A26" s="417" t="s">
        <v>51</v>
      </c>
      <c r="B26" s="418"/>
      <c r="C26" s="418"/>
      <c r="D26" s="418"/>
      <c r="E26" s="418"/>
      <c r="F26" s="418"/>
      <c r="G26" s="63"/>
      <c r="H26" s="64"/>
      <c r="I26" s="63"/>
      <c r="J26" s="64"/>
      <c r="K26" s="79"/>
    </row>
    <row r="27" spans="1:11" s="3" customFormat="1" ht="32.25" customHeight="1" x14ac:dyDescent="0.3">
      <c r="A27" s="80" t="s">
        <v>52</v>
      </c>
      <c r="B27" s="17" t="s">
        <v>53</v>
      </c>
      <c r="C27" s="405" t="s">
        <v>54</v>
      </c>
      <c r="D27" s="405"/>
      <c r="E27" s="405"/>
      <c r="F27" s="16" t="s">
        <v>43</v>
      </c>
      <c r="G27" s="30">
        <v>1.9512</v>
      </c>
      <c r="H27" s="57">
        <f t="shared" si="0"/>
        <v>10111.669741697417</v>
      </c>
      <c r="I27" s="19">
        <v>19729.89</v>
      </c>
      <c r="J27" s="57">
        <f t="shared" si="1"/>
        <v>0</v>
      </c>
      <c r="K27" s="81">
        <v>0</v>
      </c>
    </row>
    <row r="28" spans="1:11" s="3" customFormat="1" ht="40.5" customHeight="1" x14ac:dyDescent="0.3">
      <c r="A28" s="80" t="s">
        <v>55</v>
      </c>
      <c r="B28" s="17" t="s">
        <v>41</v>
      </c>
      <c r="C28" s="405" t="s">
        <v>42</v>
      </c>
      <c r="D28" s="405"/>
      <c r="E28" s="405"/>
      <c r="F28" s="16" t="s">
        <v>43</v>
      </c>
      <c r="G28" s="30">
        <v>1.9512</v>
      </c>
      <c r="H28" s="57">
        <f t="shared" si="0"/>
        <v>46203.67466174662</v>
      </c>
      <c r="I28" s="19">
        <f>90190.08-K28</f>
        <v>90152.61</v>
      </c>
      <c r="J28" s="57">
        <f t="shared" si="1"/>
        <v>19.203567035670357</v>
      </c>
      <c r="K28" s="81">
        <v>37.47</v>
      </c>
    </row>
    <row r="29" spans="1:11" s="53" customFormat="1" ht="24.9" customHeight="1" x14ac:dyDescent="0.3">
      <c r="A29" s="85"/>
      <c r="B29" s="51" t="s">
        <v>44</v>
      </c>
      <c r="C29" s="413" t="s">
        <v>45</v>
      </c>
      <c r="D29" s="413"/>
      <c r="E29" s="413"/>
      <c r="F29" s="51" t="s">
        <v>46</v>
      </c>
      <c r="G29" s="50" t="s">
        <v>5459</v>
      </c>
      <c r="H29" s="57"/>
      <c r="I29" s="52"/>
      <c r="J29" s="57"/>
      <c r="K29" s="86"/>
    </row>
    <row r="30" spans="1:11" s="3" customFormat="1" ht="42" customHeight="1" x14ac:dyDescent="0.3">
      <c r="A30" s="80" t="s">
        <v>56</v>
      </c>
      <c r="B30" s="17" t="s">
        <v>48</v>
      </c>
      <c r="C30" s="405" t="s">
        <v>49</v>
      </c>
      <c r="D30" s="405"/>
      <c r="E30" s="405"/>
      <c r="F30" s="16" t="s">
        <v>50</v>
      </c>
      <c r="G30" s="31">
        <v>2731.68</v>
      </c>
      <c r="H30" s="57">
        <f t="shared" si="0"/>
        <v>598.37580170444562</v>
      </c>
      <c r="I30" s="19">
        <v>1634571.21</v>
      </c>
      <c r="J30" s="57">
        <f t="shared" si="1"/>
        <v>0</v>
      </c>
      <c r="K30" s="81">
        <v>0</v>
      </c>
    </row>
    <row r="31" spans="1:11" s="3" customFormat="1" ht="20.25" customHeight="1" x14ac:dyDescent="0.3">
      <c r="A31" s="406" t="s">
        <v>57</v>
      </c>
      <c r="B31" s="407"/>
      <c r="C31" s="407"/>
      <c r="D31" s="407"/>
      <c r="E31" s="407"/>
      <c r="F31" s="407"/>
      <c r="G31" s="407"/>
      <c r="H31" s="66"/>
      <c r="I31" s="67">
        <f>I13+I15+I17+I19+I21+I23+I25+I27+I28+I30</f>
        <v>4821246.4499999993</v>
      </c>
      <c r="J31" s="72"/>
      <c r="K31" s="87">
        <f>K13+K15+K17+K19+K21+K23+K25+K27+K28+K30</f>
        <v>41.31</v>
      </c>
    </row>
    <row r="32" spans="1:11" s="53" customFormat="1" ht="20.25" customHeight="1" thickBot="1" x14ac:dyDescent="0.35">
      <c r="A32" s="408" t="s">
        <v>5461</v>
      </c>
      <c r="B32" s="409"/>
      <c r="C32" s="409"/>
      <c r="D32" s="409"/>
      <c r="E32" s="409"/>
      <c r="F32" s="409"/>
      <c r="G32" s="409"/>
      <c r="H32" s="88"/>
      <c r="I32" s="410">
        <f>I31+K31</f>
        <v>4821287.7599999988</v>
      </c>
      <c r="J32" s="411"/>
      <c r="K32" s="412"/>
    </row>
    <row r="33" spans="1:11" s="3" customFormat="1" ht="14.4" x14ac:dyDescent="0.3">
      <c r="A33" s="4"/>
      <c r="B33" s="4"/>
      <c r="C33" s="4"/>
      <c r="D33" s="4"/>
      <c r="E33" s="4"/>
      <c r="F33" s="4"/>
      <c r="G33" s="4"/>
      <c r="H33" s="54"/>
      <c r="I33" s="4"/>
      <c r="J33" s="68"/>
      <c r="K33" s="68"/>
    </row>
  </sheetData>
  <autoFilter ref="A9:K32" xr:uid="{00000000-0001-0000-0000-000000000000}">
    <filterColumn colId="2" showButton="0"/>
    <filterColumn colId="3" showButton="0"/>
  </autoFilter>
  <mergeCells count="31">
    <mergeCell ref="C8:E8"/>
    <mergeCell ref="A26:F26"/>
    <mergeCell ref="A22:F22"/>
    <mergeCell ref="A20:F20"/>
    <mergeCell ref="A18:F18"/>
    <mergeCell ref="A16:F16"/>
    <mergeCell ref="A14:F14"/>
    <mergeCell ref="A12:F12"/>
    <mergeCell ref="A11:F11"/>
    <mergeCell ref="C23:E23"/>
    <mergeCell ref="C24:E24"/>
    <mergeCell ref="C25:E25"/>
    <mergeCell ref="C9:E9"/>
    <mergeCell ref="A10:K10"/>
    <mergeCell ref="C13:E13"/>
    <mergeCell ref="A31:G31"/>
    <mergeCell ref="A32:G32"/>
    <mergeCell ref="I32:K32"/>
    <mergeCell ref="C28:E28"/>
    <mergeCell ref="C29:E29"/>
    <mergeCell ref="C30:E30"/>
    <mergeCell ref="C27:E27"/>
    <mergeCell ref="C19:E19"/>
    <mergeCell ref="C21:E21"/>
    <mergeCell ref="C15:E15"/>
    <mergeCell ref="C17:E17"/>
    <mergeCell ref="A5:K5"/>
    <mergeCell ref="C6:G6"/>
    <mergeCell ref="A2:K2"/>
    <mergeCell ref="A3:K3"/>
    <mergeCell ref="A4:K4"/>
  </mergeCells>
  <printOptions horizontalCentered="1"/>
  <pageMargins left="0.39370077848434498" right="0.39370077848434498" top="0.35433071851730302" bottom="0.31496062874794001" header="0.118110239505768" footer="0.118110239505768"/>
  <pageSetup paperSize="9" scale="83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  <pageSetUpPr fitToPage="1"/>
  </sheetPr>
  <dimension ref="A1:BK275"/>
  <sheetViews>
    <sheetView workbookViewId="0">
      <selection activeCell="N8" sqref="N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20.5546875" style="1" customWidth="1"/>
    <col min="4" max="4" width="18.5546875" style="1" customWidth="1"/>
    <col min="5" max="5" width="19.33203125" style="1" customWidth="1"/>
    <col min="6" max="7" width="10.6640625" style="1" customWidth="1"/>
    <col min="8" max="11" width="17.88671875" style="54" customWidth="1"/>
    <col min="12" max="13" width="10.6640625" style="1" customWidth="1"/>
    <col min="14" max="14" width="15.554687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5583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33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4211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4211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4.4" x14ac:dyDescent="0.3">
      <c r="A7" s="4"/>
      <c r="B7" s="8" t="s">
        <v>5</v>
      </c>
      <c r="C7" s="402" t="s">
        <v>4212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7" s="3" customFormat="1" ht="15" customHeight="1" x14ac:dyDescent="0.3">
      <c r="A12" s="435" t="s">
        <v>4213</v>
      </c>
      <c r="B12" s="436"/>
      <c r="C12" s="436"/>
      <c r="D12" s="436"/>
      <c r="E12" s="436"/>
      <c r="F12" s="436"/>
      <c r="G12" s="436"/>
      <c r="H12" s="103"/>
      <c r="I12" s="103"/>
      <c r="J12" s="103"/>
      <c r="K12" s="104"/>
      <c r="BC12" s="14" t="s">
        <v>4213</v>
      </c>
    </row>
    <row r="13" spans="1:57" s="3" customFormat="1" ht="15" customHeight="1" x14ac:dyDescent="0.3">
      <c r="A13" s="437" t="s">
        <v>251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C13" s="14"/>
      <c r="BD13" s="15" t="s">
        <v>251</v>
      </c>
    </row>
    <row r="14" spans="1:57" s="3" customFormat="1" ht="52.2" x14ac:dyDescent="0.3">
      <c r="A14" s="16" t="s">
        <v>15</v>
      </c>
      <c r="B14" s="17" t="s">
        <v>223</v>
      </c>
      <c r="C14" s="405" t="s">
        <v>224</v>
      </c>
      <c r="D14" s="405"/>
      <c r="E14" s="405"/>
      <c r="F14" s="16" t="s">
        <v>43</v>
      </c>
      <c r="G14" s="30">
        <v>8.4199999999999997E-2</v>
      </c>
      <c r="H14" s="57">
        <f>I14/G14</f>
        <v>56854.513064133018</v>
      </c>
      <c r="I14" s="19">
        <f>4787.15-K14</f>
        <v>4787.1499999999996</v>
      </c>
      <c r="J14" s="19">
        <f>K14/G14</f>
        <v>0</v>
      </c>
      <c r="K14" s="19">
        <v>0</v>
      </c>
      <c r="BC14" s="14"/>
      <c r="BD14" s="15"/>
      <c r="BE14" s="21" t="s">
        <v>224</v>
      </c>
    </row>
    <row r="15" spans="1:57" s="3" customFormat="1" ht="15" customHeight="1" x14ac:dyDescent="0.3">
      <c r="A15" s="437" t="s">
        <v>252</v>
      </c>
      <c r="B15" s="418"/>
      <c r="C15" s="418"/>
      <c r="D15" s="418"/>
      <c r="E15" s="418"/>
      <c r="F15" s="418"/>
      <c r="G15" s="418"/>
      <c r="H15" s="123"/>
      <c r="I15" s="123"/>
      <c r="J15" s="123"/>
      <c r="K15" s="124"/>
      <c r="BC15" s="14"/>
      <c r="BD15" s="15" t="s">
        <v>252</v>
      </c>
      <c r="BE15" s="21"/>
    </row>
    <row r="16" spans="1:57" s="3" customFormat="1" ht="42" x14ac:dyDescent="0.3">
      <c r="A16" s="16" t="s">
        <v>20</v>
      </c>
      <c r="B16" s="17" t="s">
        <v>48</v>
      </c>
      <c r="C16" s="405" t="s">
        <v>49</v>
      </c>
      <c r="D16" s="405"/>
      <c r="E16" s="405"/>
      <c r="F16" s="16" t="s">
        <v>50</v>
      </c>
      <c r="G16" s="24">
        <v>41.8</v>
      </c>
      <c r="H16" s="57">
        <f>I16/G16</f>
        <v>598.37583732057419</v>
      </c>
      <c r="I16" s="19">
        <v>25012.11</v>
      </c>
      <c r="J16" s="19">
        <f>K16/G16</f>
        <v>0</v>
      </c>
      <c r="K16" s="19">
        <v>0</v>
      </c>
      <c r="BC16" s="14"/>
      <c r="BD16" s="15"/>
      <c r="BE16" s="21" t="s">
        <v>49</v>
      </c>
    </row>
    <row r="17" spans="1:59" s="3" customFormat="1" ht="15" customHeight="1" x14ac:dyDescent="0.3">
      <c r="A17" s="437" t="s">
        <v>253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24"/>
      <c r="BC17" s="14"/>
      <c r="BD17" s="15" t="s">
        <v>253</v>
      </c>
      <c r="BE17" s="21"/>
    </row>
    <row r="18" spans="1:59" s="3" customFormat="1" ht="42" x14ac:dyDescent="0.3">
      <c r="A18" s="16" t="s">
        <v>22</v>
      </c>
      <c r="B18" s="17" t="s">
        <v>254</v>
      </c>
      <c r="C18" s="405" t="s">
        <v>255</v>
      </c>
      <c r="D18" s="405"/>
      <c r="E18" s="405"/>
      <c r="F18" s="16" t="s">
        <v>50</v>
      </c>
      <c r="G18" s="24">
        <v>131.6</v>
      </c>
      <c r="H18" s="57">
        <f>I18/G18</f>
        <v>45.13411854103343</v>
      </c>
      <c r="I18" s="19">
        <v>5939.65</v>
      </c>
      <c r="J18" s="19">
        <f>K18/G18</f>
        <v>0</v>
      </c>
      <c r="K18" s="19">
        <v>0</v>
      </c>
      <c r="BC18" s="14"/>
      <c r="BD18" s="15"/>
      <c r="BE18" s="21" t="s">
        <v>255</v>
      </c>
    </row>
    <row r="19" spans="1:59" s="3" customFormat="1" ht="19.5" customHeight="1" x14ac:dyDescent="0.3">
      <c r="A19" s="437" t="s">
        <v>812</v>
      </c>
      <c r="B19" s="418"/>
      <c r="C19" s="418"/>
      <c r="D19" s="418"/>
      <c r="E19" s="418"/>
      <c r="F19" s="418"/>
      <c r="G19" s="418"/>
      <c r="H19" s="123"/>
      <c r="I19" s="123"/>
      <c r="J19" s="123"/>
      <c r="K19" s="124"/>
      <c r="BC19" s="14"/>
      <c r="BD19" s="15" t="s">
        <v>812</v>
      </c>
      <c r="BE19" s="21"/>
    </row>
    <row r="20" spans="1:59" s="3" customFormat="1" ht="31.8" x14ac:dyDescent="0.3">
      <c r="A20" s="16" t="s">
        <v>27</v>
      </c>
      <c r="B20" s="17" t="s">
        <v>813</v>
      </c>
      <c r="C20" s="405" t="s">
        <v>814</v>
      </c>
      <c r="D20" s="405"/>
      <c r="E20" s="405"/>
      <c r="F20" s="16" t="s">
        <v>115</v>
      </c>
      <c r="G20" s="23">
        <v>36</v>
      </c>
      <c r="H20" s="57">
        <f>I20/G20</f>
        <v>1320.4819444444445</v>
      </c>
      <c r="I20" s="19">
        <f>50325.1-K20</f>
        <v>47537.35</v>
      </c>
      <c r="J20" s="19">
        <f>K20/G20</f>
        <v>77.4375</v>
      </c>
      <c r="K20" s="19">
        <v>2787.75</v>
      </c>
      <c r="BC20" s="14"/>
      <c r="BD20" s="15"/>
      <c r="BE20" s="21" t="s">
        <v>814</v>
      </c>
    </row>
    <row r="21" spans="1:59" s="3" customFormat="1" ht="20.399999999999999" x14ac:dyDescent="0.3">
      <c r="A21" s="37" t="s">
        <v>78</v>
      </c>
      <c r="B21" s="38" t="s">
        <v>815</v>
      </c>
      <c r="C21" s="430" t="s">
        <v>816</v>
      </c>
      <c r="D21" s="430"/>
      <c r="E21" s="430"/>
      <c r="F21" s="39" t="s">
        <v>70</v>
      </c>
      <c r="G21" s="40" t="s">
        <v>33</v>
      </c>
      <c r="H21" s="100"/>
      <c r="I21" s="41"/>
      <c r="J21" s="41"/>
      <c r="K21" s="42"/>
      <c r="BC21" s="14"/>
      <c r="BD21" s="15"/>
      <c r="BE21" s="21"/>
      <c r="BF21" s="43" t="s">
        <v>816</v>
      </c>
    </row>
    <row r="22" spans="1:59" s="3" customFormat="1" ht="20.399999999999999" x14ac:dyDescent="0.3">
      <c r="A22" s="37" t="s">
        <v>78</v>
      </c>
      <c r="B22" s="38" t="s">
        <v>817</v>
      </c>
      <c r="C22" s="430" t="s">
        <v>818</v>
      </c>
      <c r="D22" s="430"/>
      <c r="E22" s="430"/>
      <c r="F22" s="39" t="s">
        <v>25</v>
      </c>
      <c r="G22" s="40" t="s">
        <v>33</v>
      </c>
      <c r="H22" s="100"/>
      <c r="I22" s="41"/>
      <c r="J22" s="41"/>
      <c r="K22" s="42"/>
      <c r="BC22" s="14"/>
      <c r="BD22" s="15"/>
      <c r="BE22" s="21"/>
      <c r="BF22" s="43" t="s">
        <v>818</v>
      </c>
    </row>
    <row r="23" spans="1:59" s="3" customFormat="1" ht="20.399999999999999" x14ac:dyDescent="0.3">
      <c r="A23" s="25"/>
      <c r="B23" s="26" t="s">
        <v>154</v>
      </c>
      <c r="C23" s="419" t="s">
        <v>155</v>
      </c>
      <c r="D23" s="419"/>
      <c r="E23" s="419"/>
      <c r="F23" s="27" t="s">
        <v>46</v>
      </c>
      <c r="G23" s="22" t="s">
        <v>4214</v>
      </c>
      <c r="H23" s="58"/>
      <c r="I23" s="28"/>
      <c r="J23" s="28"/>
      <c r="K23" s="29"/>
      <c r="BC23" s="14"/>
      <c r="BD23" s="15"/>
      <c r="BE23" s="21"/>
      <c r="BF23" s="43"/>
      <c r="BG23" s="12" t="s">
        <v>155</v>
      </c>
    </row>
    <row r="24" spans="1:59" s="3" customFormat="1" ht="20.399999999999999" x14ac:dyDescent="0.3">
      <c r="A24" s="37" t="s">
        <v>78</v>
      </c>
      <c r="B24" s="38" t="s">
        <v>820</v>
      </c>
      <c r="C24" s="430" t="s">
        <v>821</v>
      </c>
      <c r="D24" s="430"/>
      <c r="E24" s="430"/>
      <c r="F24" s="39" t="s">
        <v>46</v>
      </c>
      <c r="G24" s="40" t="s">
        <v>33</v>
      </c>
      <c r="H24" s="100"/>
      <c r="I24" s="41"/>
      <c r="J24" s="41"/>
      <c r="K24" s="42"/>
      <c r="BC24" s="14"/>
      <c r="BD24" s="15"/>
      <c r="BE24" s="21"/>
      <c r="BF24" s="43" t="s">
        <v>821</v>
      </c>
      <c r="BG24" s="12"/>
    </row>
    <row r="25" spans="1:59" s="3" customFormat="1" ht="31.8" x14ac:dyDescent="0.3">
      <c r="A25" s="25"/>
      <c r="B25" s="26" t="s">
        <v>822</v>
      </c>
      <c r="C25" s="419" t="s">
        <v>823</v>
      </c>
      <c r="D25" s="419"/>
      <c r="E25" s="419"/>
      <c r="F25" s="27" t="s">
        <v>115</v>
      </c>
      <c r="G25" s="22" t="s">
        <v>4215</v>
      </c>
      <c r="H25" s="58"/>
      <c r="I25" s="28"/>
      <c r="J25" s="28"/>
      <c r="K25" s="29"/>
      <c r="BC25" s="14"/>
      <c r="BD25" s="15"/>
      <c r="BE25" s="21"/>
      <c r="BF25" s="43"/>
      <c r="BG25" s="12" t="s">
        <v>823</v>
      </c>
    </row>
    <row r="26" spans="1:59" s="3" customFormat="1" ht="20.25" customHeight="1" x14ac:dyDescent="0.3">
      <c r="A26" s="437" t="s">
        <v>256</v>
      </c>
      <c r="B26" s="418"/>
      <c r="C26" s="418"/>
      <c r="D26" s="418"/>
      <c r="E26" s="418"/>
      <c r="F26" s="418"/>
      <c r="G26" s="418"/>
      <c r="H26" s="123"/>
      <c r="I26" s="123"/>
      <c r="J26" s="123"/>
      <c r="K26" s="124"/>
      <c r="BC26" s="14"/>
      <c r="BD26" s="15" t="s">
        <v>256</v>
      </c>
      <c r="BE26" s="21"/>
      <c r="BF26" s="43"/>
      <c r="BG26" s="12"/>
    </row>
    <row r="27" spans="1:59" s="3" customFormat="1" ht="52.2" x14ac:dyDescent="0.3">
      <c r="A27" s="16" t="s">
        <v>35</v>
      </c>
      <c r="B27" s="17" t="s">
        <v>223</v>
      </c>
      <c r="C27" s="405" t="s">
        <v>224</v>
      </c>
      <c r="D27" s="405"/>
      <c r="E27" s="405"/>
      <c r="F27" s="16" t="s">
        <v>43</v>
      </c>
      <c r="G27" s="30">
        <v>6.5799999999999997E-2</v>
      </c>
      <c r="H27" s="57">
        <f>I27/G27</f>
        <v>56854.407294832832</v>
      </c>
      <c r="I27" s="19">
        <f>3741.02-K27</f>
        <v>3741.02</v>
      </c>
      <c r="J27" s="19">
        <f>K27/G27</f>
        <v>0</v>
      </c>
      <c r="K27" s="19">
        <v>0</v>
      </c>
      <c r="BC27" s="14"/>
      <c r="BD27" s="15"/>
      <c r="BE27" s="21" t="s">
        <v>224</v>
      </c>
      <c r="BF27" s="43"/>
      <c r="BG27" s="12"/>
    </row>
    <row r="28" spans="1:59" s="3" customFormat="1" ht="42" x14ac:dyDescent="0.3">
      <c r="A28" s="16" t="s">
        <v>40</v>
      </c>
      <c r="B28" s="17" t="s">
        <v>254</v>
      </c>
      <c r="C28" s="405" t="s">
        <v>255</v>
      </c>
      <c r="D28" s="405"/>
      <c r="E28" s="405"/>
      <c r="F28" s="16" t="s">
        <v>50</v>
      </c>
      <c r="G28" s="24">
        <v>131.6</v>
      </c>
      <c r="H28" s="57">
        <f>I28/G28</f>
        <v>45.13411854103343</v>
      </c>
      <c r="I28" s="19">
        <v>5939.65</v>
      </c>
      <c r="J28" s="19">
        <f>K28/G28</f>
        <v>0</v>
      </c>
      <c r="K28" s="19">
        <v>0</v>
      </c>
      <c r="BC28" s="14"/>
      <c r="BD28" s="15"/>
      <c r="BE28" s="21" t="s">
        <v>255</v>
      </c>
      <c r="BF28" s="43"/>
      <c r="BG28" s="12"/>
    </row>
    <row r="29" spans="1:59" s="3" customFormat="1" ht="42" x14ac:dyDescent="0.3">
      <c r="A29" s="16" t="s">
        <v>47</v>
      </c>
      <c r="B29" s="17" t="s">
        <v>257</v>
      </c>
      <c r="C29" s="405" t="s">
        <v>258</v>
      </c>
      <c r="D29" s="405"/>
      <c r="E29" s="405"/>
      <c r="F29" s="16" t="s">
        <v>43</v>
      </c>
      <c r="G29" s="30">
        <v>6.5799999999999997E-2</v>
      </c>
      <c r="H29" s="57">
        <f>I29/G29</f>
        <v>11165.957446808512</v>
      </c>
      <c r="I29" s="19">
        <f>734.72-K29</f>
        <v>734.72</v>
      </c>
      <c r="J29" s="19">
        <f>K29/G29</f>
        <v>0</v>
      </c>
      <c r="K29" s="19">
        <v>0</v>
      </c>
      <c r="BC29" s="14"/>
      <c r="BD29" s="15"/>
      <c r="BE29" s="21" t="s">
        <v>258</v>
      </c>
      <c r="BF29" s="43"/>
      <c r="BG29" s="12"/>
    </row>
    <row r="30" spans="1:59" s="3" customFormat="1" ht="15" customHeight="1" x14ac:dyDescent="0.3">
      <c r="A30" s="435" t="s">
        <v>4216</v>
      </c>
      <c r="B30" s="436"/>
      <c r="C30" s="436"/>
      <c r="D30" s="436"/>
      <c r="E30" s="436"/>
      <c r="F30" s="436"/>
      <c r="G30" s="436"/>
      <c r="H30" s="103"/>
      <c r="I30" s="103"/>
      <c r="J30" s="103"/>
      <c r="K30" s="104"/>
      <c r="BC30" s="14" t="s">
        <v>4216</v>
      </c>
      <c r="BD30" s="15"/>
      <c r="BE30" s="21"/>
      <c r="BF30" s="43"/>
      <c r="BG30" s="12"/>
    </row>
    <row r="31" spans="1:59" s="3" customFormat="1" ht="15" customHeight="1" x14ac:dyDescent="0.3">
      <c r="A31" s="437" t="s">
        <v>825</v>
      </c>
      <c r="B31" s="418"/>
      <c r="C31" s="418"/>
      <c r="D31" s="418"/>
      <c r="E31" s="418"/>
      <c r="F31" s="61"/>
      <c r="G31" s="61"/>
      <c r="H31" s="123"/>
      <c r="I31" s="123"/>
      <c r="J31" s="123"/>
      <c r="K31" s="124"/>
      <c r="BC31" s="14"/>
      <c r="BD31" s="15" t="s">
        <v>825</v>
      </c>
      <c r="BE31" s="21"/>
      <c r="BF31" s="43"/>
      <c r="BG31" s="12"/>
    </row>
    <row r="32" spans="1:59" s="3" customFormat="1" ht="15" customHeight="1" x14ac:dyDescent="0.3">
      <c r="A32" s="437" t="s">
        <v>4217</v>
      </c>
      <c r="B32" s="418"/>
      <c r="C32" s="418"/>
      <c r="D32" s="418"/>
      <c r="E32" s="418"/>
      <c r="F32" s="61"/>
      <c r="G32" s="61"/>
      <c r="H32" s="123"/>
      <c r="I32" s="123"/>
      <c r="J32" s="123"/>
      <c r="K32" s="124"/>
      <c r="BC32" s="14"/>
      <c r="BD32" s="15" t="s">
        <v>4217</v>
      </c>
      <c r="BE32" s="21"/>
      <c r="BF32" s="43"/>
      <c r="BG32" s="12"/>
    </row>
    <row r="33" spans="1:60" s="3" customFormat="1" ht="42" x14ac:dyDescent="0.3">
      <c r="A33" s="16" t="s">
        <v>52</v>
      </c>
      <c r="B33" s="17" t="s">
        <v>827</v>
      </c>
      <c r="C33" s="405" t="s">
        <v>828</v>
      </c>
      <c r="D33" s="405"/>
      <c r="E33" s="405"/>
      <c r="F33" s="16" t="s">
        <v>46</v>
      </c>
      <c r="G33" s="24">
        <v>0.9</v>
      </c>
      <c r="H33" s="57">
        <f>I33/G33</f>
        <v>12426.400000000001</v>
      </c>
      <c r="I33" s="19">
        <f>68296-K33</f>
        <v>11183.760000000002</v>
      </c>
      <c r="J33" s="19">
        <f>K33/G33</f>
        <v>63458.044444444444</v>
      </c>
      <c r="K33" s="19">
        <v>57112.24</v>
      </c>
      <c r="BC33" s="14"/>
      <c r="BD33" s="15"/>
      <c r="BE33" s="21" t="s">
        <v>828</v>
      </c>
      <c r="BF33" s="43"/>
      <c r="BG33" s="12"/>
    </row>
    <row r="34" spans="1:60" s="3" customFormat="1" ht="20.399999999999999" x14ac:dyDescent="0.3">
      <c r="A34" s="25"/>
      <c r="B34" s="26" t="s">
        <v>76</v>
      </c>
      <c r="C34" s="419" t="s">
        <v>77</v>
      </c>
      <c r="D34" s="419"/>
      <c r="E34" s="419"/>
      <c r="F34" s="27" t="s">
        <v>70</v>
      </c>
      <c r="G34" s="22" t="s">
        <v>4218</v>
      </c>
      <c r="H34" s="58"/>
      <c r="I34" s="28"/>
      <c r="J34" s="28"/>
      <c r="K34" s="29"/>
      <c r="BC34" s="14"/>
      <c r="BD34" s="15"/>
      <c r="BE34" s="21"/>
      <c r="BF34" s="43"/>
      <c r="BG34" s="12" t="s">
        <v>77</v>
      </c>
    </row>
    <row r="35" spans="1:60" s="3" customFormat="1" ht="20.399999999999999" x14ac:dyDescent="0.3">
      <c r="A35" s="37" t="s">
        <v>143</v>
      </c>
      <c r="B35" s="38" t="s">
        <v>830</v>
      </c>
      <c r="C35" s="430" t="s">
        <v>831</v>
      </c>
      <c r="D35" s="430"/>
      <c r="E35" s="430"/>
      <c r="F35" s="39" t="s">
        <v>46</v>
      </c>
      <c r="G35" s="40" t="s">
        <v>4219</v>
      </c>
      <c r="H35" s="100"/>
      <c r="I35" s="41"/>
      <c r="J35" s="41"/>
      <c r="K35" s="42"/>
      <c r="BC35" s="14"/>
      <c r="BD35" s="15"/>
      <c r="BE35" s="21"/>
      <c r="BF35" s="43" t="s">
        <v>831</v>
      </c>
      <c r="BG35" s="12"/>
    </row>
    <row r="36" spans="1:60" s="3" customFormat="1" ht="62.4" x14ac:dyDescent="0.3">
      <c r="A36" s="25"/>
      <c r="B36" s="26" t="s">
        <v>833</v>
      </c>
      <c r="C36" s="419" t="s">
        <v>834</v>
      </c>
      <c r="D36" s="419"/>
      <c r="E36" s="419"/>
      <c r="F36" s="27" t="s">
        <v>70</v>
      </c>
      <c r="G36" s="22" t="s">
        <v>4220</v>
      </c>
      <c r="H36" s="58"/>
      <c r="I36" s="28"/>
      <c r="J36" s="28"/>
      <c r="K36" s="29"/>
      <c r="BC36" s="14"/>
      <c r="BD36" s="15"/>
      <c r="BE36" s="21"/>
      <c r="BF36" s="43"/>
      <c r="BG36" s="12" t="s">
        <v>834</v>
      </c>
    </row>
    <row r="37" spans="1:60" s="3" customFormat="1" ht="20.399999999999999" x14ac:dyDescent="0.3">
      <c r="A37" s="25"/>
      <c r="B37" s="26" t="s">
        <v>836</v>
      </c>
      <c r="C37" s="419" t="s">
        <v>837</v>
      </c>
      <c r="D37" s="419"/>
      <c r="E37" s="419"/>
      <c r="F37" s="27" t="s">
        <v>46</v>
      </c>
      <c r="G37" s="22" t="s">
        <v>4221</v>
      </c>
      <c r="H37" s="58"/>
      <c r="I37" s="28"/>
      <c r="J37" s="28"/>
      <c r="K37" s="29"/>
      <c r="BC37" s="14"/>
      <c r="BD37" s="15"/>
      <c r="BE37" s="21"/>
      <c r="BF37" s="43"/>
      <c r="BG37" s="12" t="s">
        <v>837</v>
      </c>
    </row>
    <row r="38" spans="1:60" s="3" customFormat="1" ht="21.6" x14ac:dyDescent="0.3">
      <c r="A38" s="25"/>
      <c r="B38" s="26" t="s">
        <v>839</v>
      </c>
      <c r="C38" s="419" t="s">
        <v>840</v>
      </c>
      <c r="D38" s="419"/>
      <c r="E38" s="419"/>
      <c r="F38" s="27" t="s">
        <v>75</v>
      </c>
      <c r="G38" s="22" t="s">
        <v>4222</v>
      </c>
      <c r="H38" s="58"/>
      <c r="I38" s="28"/>
      <c r="J38" s="28"/>
      <c r="K38" s="29"/>
      <c r="BC38" s="14"/>
      <c r="BD38" s="15"/>
      <c r="BE38" s="21"/>
      <c r="BF38" s="43"/>
      <c r="BG38" s="12" t="s">
        <v>840</v>
      </c>
    </row>
    <row r="39" spans="1:60" s="3" customFormat="1" ht="21.6" x14ac:dyDescent="0.3">
      <c r="A39" s="25" t="s">
        <v>129</v>
      </c>
      <c r="B39" s="26" t="s">
        <v>842</v>
      </c>
      <c r="C39" s="419" t="s">
        <v>843</v>
      </c>
      <c r="D39" s="419"/>
      <c r="E39" s="419"/>
      <c r="F39" s="27" t="s">
        <v>38</v>
      </c>
      <c r="G39" s="22" t="s">
        <v>4223</v>
      </c>
      <c r="H39" s="57"/>
      <c r="I39" s="28"/>
      <c r="J39" s="19"/>
      <c r="K39" s="29"/>
      <c r="BC39" s="14"/>
      <c r="BD39" s="15"/>
      <c r="BE39" s="21"/>
      <c r="BF39" s="43"/>
      <c r="BG39" s="12"/>
      <c r="BH39" s="12" t="s">
        <v>843</v>
      </c>
    </row>
    <row r="40" spans="1:60" s="3" customFormat="1" ht="15" customHeight="1" x14ac:dyDescent="0.3">
      <c r="A40" s="437" t="s">
        <v>4224</v>
      </c>
      <c r="B40" s="418"/>
      <c r="C40" s="418"/>
      <c r="D40" s="418"/>
      <c r="E40" s="418"/>
      <c r="F40" s="61"/>
      <c r="G40" s="61"/>
      <c r="H40" s="123"/>
      <c r="I40" s="123"/>
      <c r="J40" s="123"/>
      <c r="K40" s="124"/>
      <c r="BC40" s="14"/>
      <c r="BD40" s="15" t="s">
        <v>4224</v>
      </c>
      <c r="BE40" s="21"/>
      <c r="BF40" s="43"/>
      <c r="BG40" s="12"/>
      <c r="BH40" s="12"/>
    </row>
    <row r="41" spans="1:60" s="3" customFormat="1" ht="42" x14ac:dyDescent="0.3">
      <c r="A41" s="16" t="s">
        <v>55</v>
      </c>
      <c r="B41" s="17" t="s">
        <v>846</v>
      </c>
      <c r="C41" s="405" t="s">
        <v>847</v>
      </c>
      <c r="D41" s="405"/>
      <c r="E41" s="405"/>
      <c r="F41" s="16" t="s">
        <v>46</v>
      </c>
      <c r="G41" s="24">
        <v>5.0999999999999996</v>
      </c>
      <c r="H41" s="57">
        <f>I41/G41</f>
        <v>16725.29803921569</v>
      </c>
      <c r="I41" s="19">
        <f>247327.35-K41</f>
        <v>85299.020000000019</v>
      </c>
      <c r="J41" s="19">
        <f>K41/G41</f>
        <v>31770.260784313727</v>
      </c>
      <c r="K41" s="19">
        <v>162028.32999999999</v>
      </c>
      <c r="BC41" s="14"/>
      <c r="BD41" s="15"/>
      <c r="BE41" s="21" t="s">
        <v>847</v>
      </c>
      <c r="BF41" s="43"/>
      <c r="BG41" s="12"/>
      <c r="BH41" s="12"/>
    </row>
    <row r="42" spans="1:60" s="3" customFormat="1" ht="20.399999999999999" x14ac:dyDescent="0.3">
      <c r="A42" s="25"/>
      <c r="B42" s="26" t="s">
        <v>76</v>
      </c>
      <c r="C42" s="419" t="s">
        <v>77</v>
      </c>
      <c r="D42" s="419"/>
      <c r="E42" s="419"/>
      <c r="F42" s="27" t="s">
        <v>70</v>
      </c>
      <c r="G42" s="22" t="s">
        <v>4225</v>
      </c>
      <c r="H42" s="58"/>
      <c r="I42" s="28"/>
      <c r="J42" s="28"/>
      <c r="K42" s="29"/>
      <c r="BC42" s="14"/>
      <c r="BD42" s="15"/>
      <c r="BE42" s="21"/>
      <c r="BF42" s="43"/>
      <c r="BG42" s="12" t="s">
        <v>77</v>
      </c>
      <c r="BH42" s="12"/>
    </row>
    <row r="43" spans="1:60" s="3" customFormat="1" ht="20.399999999999999" x14ac:dyDescent="0.3">
      <c r="A43" s="37" t="s">
        <v>143</v>
      </c>
      <c r="B43" s="38" t="s">
        <v>830</v>
      </c>
      <c r="C43" s="430" t="s">
        <v>831</v>
      </c>
      <c r="D43" s="430"/>
      <c r="E43" s="430"/>
      <c r="F43" s="39" t="s">
        <v>46</v>
      </c>
      <c r="G43" s="40" t="s">
        <v>4226</v>
      </c>
      <c r="H43" s="100"/>
      <c r="I43" s="41"/>
      <c r="J43" s="41"/>
      <c r="K43" s="42"/>
      <c r="BC43" s="14"/>
      <c r="BD43" s="15"/>
      <c r="BE43" s="21"/>
      <c r="BF43" s="43" t="s">
        <v>831</v>
      </c>
      <c r="BG43" s="12"/>
      <c r="BH43" s="12"/>
    </row>
    <row r="44" spans="1:60" s="3" customFormat="1" ht="62.4" x14ac:dyDescent="0.3">
      <c r="A44" s="25"/>
      <c r="B44" s="26" t="s">
        <v>833</v>
      </c>
      <c r="C44" s="419" t="s">
        <v>834</v>
      </c>
      <c r="D44" s="419"/>
      <c r="E44" s="419"/>
      <c r="F44" s="27" t="s">
        <v>70</v>
      </c>
      <c r="G44" s="22" t="s">
        <v>4225</v>
      </c>
      <c r="H44" s="58"/>
      <c r="I44" s="28"/>
      <c r="J44" s="28"/>
      <c r="K44" s="29"/>
      <c r="BC44" s="14"/>
      <c r="BD44" s="15"/>
      <c r="BE44" s="21"/>
      <c r="BF44" s="43"/>
      <c r="BG44" s="12" t="s">
        <v>834</v>
      </c>
      <c r="BH44" s="12"/>
    </row>
    <row r="45" spans="1:60" s="3" customFormat="1" ht="20.399999999999999" x14ac:dyDescent="0.3">
      <c r="A45" s="25"/>
      <c r="B45" s="26" t="s">
        <v>836</v>
      </c>
      <c r="C45" s="419" t="s">
        <v>837</v>
      </c>
      <c r="D45" s="419"/>
      <c r="E45" s="419"/>
      <c r="F45" s="27" t="s">
        <v>46</v>
      </c>
      <c r="G45" s="22" t="s">
        <v>4227</v>
      </c>
      <c r="H45" s="58"/>
      <c r="I45" s="28"/>
      <c r="J45" s="28"/>
      <c r="K45" s="29"/>
      <c r="BC45" s="14"/>
      <c r="BD45" s="15"/>
      <c r="BE45" s="21"/>
      <c r="BF45" s="43"/>
      <c r="BG45" s="12" t="s">
        <v>837</v>
      </c>
      <c r="BH45" s="12"/>
    </row>
    <row r="46" spans="1:60" s="3" customFormat="1" ht="21.6" x14ac:dyDescent="0.3">
      <c r="A46" s="25"/>
      <c r="B46" s="26" t="s">
        <v>839</v>
      </c>
      <c r="C46" s="419" t="s">
        <v>840</v>
      </c>
      <c r="D46" s="419"/>
      <c r="E46" s="419"/>
      <c r="F46" s="27" t="s">
        <v>75</v>
      </c>
      <c r="G46" s="22" t="s">
        <v>4228</v>
      </c>
      <c r="H46" s="58"/>
      <c r="I46" s="28"/>
      <c r="J46" s="28"/>
      <c r="K46" s="29"/>
      <c r="BC46" s="14"/>
      <c r="BD46" s="15"/>
      <c r="BE46" s="21"/>
      <c r="BF46" s="43"/>
      <c r="BG46" s="12" t="s">
        <v>840</v>
      </c>
      <c r="BH46" s="12"/>
    </row>
    <row r="47" spans="1:60" s="3" customFormat="1" ht="21.6" x14ac:dyDescent="0.3">
      <c r="A47" s="25" t="s">
        <v>129</v>
      </c>
      <c r="B47" s="26" t="s">
        <v>842</v>
      </c>
      <c r="C47" s="419" t="s">
        <v>843</v>
      </c>
      <c r="D47" s="419"/>
      <c r="E47" s="419"/>
      <c r="F47" s="27" t="s">
        <v>38</v>
      </c>
      <c r="G47" s="22" t="s">
        <v>4229</v>
      </c>
      <c r="H47" s="57"/>
      <c r="I47" s="28"/>
      <c r="J47" s="19"/>
      <c r="K47" s="29"/>
      <c r="BC47" s="14"/>
      <c r="BD47" s="15"/>
      <c r="BE47" s="21"/>
      <c r="BF47" s="43"/>
      <c r="BG47" s="12"/>
      <c r="BH47" s="12" t="s">
        <v>843</v>
      </c>
    </row>
    <row r="48" spans="1:60" s="3" customFormat="1" ht="15" customHeight="1" x14ac:dyDescent="0.3">
      <c r="A48" s="437" t="s">
        <v>4230</v>
      </c>
      <c r="B48" s="418"/>
      <c r="C48" s="418"/>
      <c r="D48" s="418"/>
      <c r="E48" s="418"/>
      <c r="F48" s="61"/>
      <c r="G48" s="61"/>
      <c r="H48" s="123"/>
      <c r="I48" s="123"/>
      <c r="J48" s="123"/>
      <c r="K48" s="124"/>
      <c r="BC48" s="14"/>
      <c r="BD48" s="15" t="s">
        <v>4230</v>
      </c>
      <c r="BE48" s="21"/>
      <c r="BF48" s="43"/>
      <c r="BG48" s="12"/>
      <c r="BH48" s="12"/>
    </row>
    <row r="49" spans="1:60" s="3" customFormat="1" ht="31.8" x14ac:dyDescent="0.3">
      <c r="A49" s="16" t="s">
        <v>56</v>
      </c>
      <c r="B49" s="17" t="s">
        <v>856</v>
      </c>
      <c r="C49" s="405" t="s">
        <v>857</v>
      </c>
      <c r="D49" s="405"/>
      <c r="E49" s="405"/>
      <c r="F49" s="16" t="s">
        <v>38</v>
      </c>
      <c r="G49" s="23">
        <v>6</v>
      </c>
      <c r="H49" s="57">
        <f>I49/G49</f>
        <v>2733.501666666667</v>
      </c>
      <c r="I49" s="19">
        <f>16442.43-K49</f>
        <v>16401.010000000002</v>
      </c>
      <c r="J49" s="19">
        <f>K49/G49</f>
        <v>6.9033333333333333</v>
      </c>
      <c r="K49" s="19">
        <v>41.42</v>
      </c>
      <c r="BC49" s="14"/>
      <c r="BD49" s="15"/>
      <c r="BE49" s="21" t="s">
        <v>857</v>
      </c>
      <c r="BF49" s="43"/>
      <c r="BG49" s="12"/>
      <c r="BH49" s="12"/>
    </row>
    <row r="50" spans="1:60" s="3" customFormat="1" ht="20.399999999999999" x14ac:dyDescent="0.3">
      <c r="A50" s="25"/>
      <c r="B50" s="26" t="s">
        <v>858</v>
      </c>
      <c r="C50" s="419" t="s">
        <v>859</v>
      </c>
      <c r="D50" s="419"/>
      <c r="E50" s="419"/>
      <c r="F50" s="27" t="s">
        <v>46</v>
      </c>
      <c r="G50" s="22" t="s">
        <v>4231</v>
      </c>
      <c r="H50" s="58"/>
      <c r="I50" s="28"/>
      <c r="J50" s="28"/>
      <c r="K50" s="29"/>
      <c r="BC50" s="14"/>
      <c r="BD50" s="15"/>
      <c r="BE50" s="21"/>
      <c r="BF50" s="43"/>
      <c r="BG50" s="12" t="s">
        <v>859</v>
      </c>
      <c r="BH50" s="12"/>
    </row>
    <row r="51" spans="1:60" s="3" customFormat="1" ht="20.399999999999999" x14ac:dyDescent="0.3">
      <c r="A51" s="25"/>
      <c r="B51" s="26" t="s">
        <v>384</v>
      </c>
      <c r="C51" s="419" t="s">
        <v>385</v>
      </c>
      <c r="D51" s="419"/>
      <c r="E51" s="419"/>
      <c r="F51" s="27" t="s">
        <v>46</v>
      </c>
      <c r="G51" s="22" t="s">
        <v>4232</v>
      </c>
      <c r="H51" s="58"/>
      <c r="I51" s="28"/>
      <c r="J51" s="28"/>
      <c r="K51" s="29"/>
      <c r="BC51" s="14"/>
      <c r="BD51" s="15"/>
      <c r="BE51" s="21"/>
      <c r="BF51" s="43"/>
      <c r="BG51" s="12" t="s">
        <v>385</v>
      </c>
      <c r="BH51" s="12"/>
    </row>
    <row r="52" spans="1:60" s="3" customFormat="1" ht="31.8" x14ac:dyDescent="0.3">
      <c r="A52" s="16" t="s">
        <v>166</v>
      </c>
      <c r="B52" s="17" t="s">
        <v>96</v>
      </c>
      <c r="C52" s="405" t="s">
        <v>97</v>
      </c>
      <c r="D52" s="405"/>
      <c r="E52" s="405"/>
      <c r="F52" s="16" t="s">
        <v>50</v>
      </c>
      <c r="G52" s="31">
        <v>1.68</v>
      </c>
      <c r="H52" s="57">
        <f t="shared" ref="H52:H53" si="0">I52/G52</f>
        <v>44.773809523809526</v>
      </c>
      <c r="I52" s="19">
        <v>75.22</v>
      </c>
      <c r="J52" s="19">
        <f t="shared" ref="J52:J53" si="1">K52/G52</f>
        <v>0</v>
      </c>
      <c r="K52" s="19">
        <v>0</v>
      </c>
      <c r="BC52" s="14"/>
      <c r="BD52" s="15"/>
      <c r="BE52" s="21" t="s">
        <v>97</v>
      </c>
      <c r="BF52" s="43"/>
      <c r="BG52" s="12"/>
      <c r="BH52" s="12"/>
    </row>
    <row r="53" spans="1:60" s="3" customFormat="1" ht="42" x14ac:dyDescent="0.3">
      <c r="A53" s="16" t="s">
        <v>169</v>
      </c>
      <c r="B53" s="17" t="s">
        <v>48</v>
      </c>
      <c r="C53" s="405" t="s">
        <v>49</v>
      </c>
      <c r="D53" s="405"/>
      <c r="E53" s="405"/>
      <c r="F53" s="16" t="s">
        <v>50</v>
      </c>
      <c r="G53" s="31">
        <v>1.68</v>
      </c>
      <c r="H53" s="57">
        <f t="shared" si="0"/>
        <v>598.375</v>
      </c>
      <c r="I53" s="19">
        <v>1005.27</v>
      </c>
      <c r="J53" s="19">
        <f t="shared" si="1"/>
        <v>0</v>
      </c>
      <c r="K53" s="19">
        <v>0</v>
      </c>
      <c r="BC53" s="14"/>
      <c r="BD53" s="15"/>
      <c r="BE53" s="21" t="s">
        <v>49</v>
      </c>
      <c r="BF53" s="43"/>
      <c r="BG53" s="12"/>
      <c r="BH53" s="12"/>
    </row>
    <row r="54" spans="1:60" s="3" customFormat="1" ht="15" customHeight="1" x14ac:dyDescent="0.3">
      <c r="A54" s="437" t="s">
        <v>260</v>
      </c>
      <c r="B54" s="418"/>
      <c r="C54" s="418"/>
      <c r="D54" s="418"/>
      <c r="E54" s="418"/>
      <c r="F54" s="61"/>
      <c r="G54" s="61"/>
      <c r="H54" s="123"/>
      <c r="I54" s="123"/>
      <c r="J54" s="123"/>
      <c r="K54" s="124"/>
      <c r="BC54" s="14"/>
      <c r="BD54" s="15" t="s">
        <v>260</v>
      </c>
      <c r="BE54" s="21"/>
      <c r="BF54" s="43"/>
      <c r="BG54" s="12"/>
      <c r="BH54" s="12"/>
    </row>
    <row r="55" spans="1:60" s="3" customFormat="1" ht="21.6" x14ac:dyDescent="0.3">
      <c r="A55" s="16" t="s">
        <v>170</v>
      </c>
      <c r="B55" s="17" t="s">
        <v>261</v>
      </c>
      <c r="C55" s="405" t="s">
        <v>262</v>
      </c>
      <c r="D55" s="405"/>
      <c r="E55" s="405"/>
      <c r="F55" s="16" t="s">
        <v>46</v>
      </c>
      <c r="G55" s="24">
        <v>5.4</v>
      </c>
      <c r="H55" s="57">
        <f>I55/G55</f>
        <v>979.22037037037035</v>
      </c>
      <c r="I55" s="19">
        <f>10334.41-K55</f>
        <v>5287.79</v>
      </c>
      <c r="J55" s="19">
        <f>K55/G55</f>
        <v>934.55925925925919</v>
      </c>
      <c r="K55" s="19">
        <v>5046.62</v>
      </c>
      <c r="BC55" s="14"/>
      <c r="BD55" s="15"/>
      <c r="BE55" s="21" t="s">
        <v>262</v>
      </c>
      <c r="BF55" s="43"/>
      <c r="BG55" s="12"/>
      <c r="BH55" s="12"/>
    </row>
    <row r="56" spans="1:60" s="3" customFormat="1" ht="20.399999999999999" x14ac:dyDescent="0.3">
      <c r="A56" s="25"/>
      <c r="B56" s="26" t="s">
        <v>154</v>
      </c>
      <c r="C56" s="419" t="s">
        <v>155</v>
      </c>
      <c r="D56" s="419"/>
      <c r="E56" s="419"/>
      <c r="F56" s="27" t="s">
        <v>46</v>
      </c>
      <c r="G56" s="22" t="s">
        <v>2311</v>
      </c>
      <c r="H56" s="58"/>
      <c r="I56" s="28"/>
      <c r="J56" s="28"/>
      <c r="K56" s="29"/>
      <c r="BC56" s="14"/>
      <c r="BD56" s="15"/>
      <c r="BE56" s="21"/>
      <c r="BF56" s="43"/>
      <c r="BG56" s="12" t="s">
        <v>155</v>
      </c>
      <c r="BH56" s="12"/>
    </row>
    <row r="57" spans="1:60" s="3" customFormat="1" ht="20.399999999999999" x14ac:dyDescent="0.3">
      <c r="A57" s="37" t="s">
        <v>143</v>
      </c>
      <c r="B57" s="38" t="s">
        <v>79</v>
      </c>
      <c r="C57" s="430" t="s">
        <v>264</v>
      </c>
      <c r="D57" s="430"/>
      <c r="E57" s="430"/>
      <c r="F57" s="39" t="s">
        <v>46</v>
      </c>
      <c r="G57" s="40" t="s">
        <v>2312</v>
      </c>
      <c r="H57" s="100"/>
      <c r="I57" s="41"/>
      <c r="J57" s="41"/>
      <c r="K57" s="42"/>
      <c r="BC57" s="14"/>
      <c r="BD57" s="15"/>
      <c r="BE57" s="21"/>
      <c r="BF57" s="43" t="s">
        <v>264</v>
      </c>
      <c r="BG57" s="12"/>
      <c r="BH57" s="12"/>
    </row>
    <row r="58" spans="1:60" s="3" customFormat="1" ht="20.399999999999999" x14ac:dyDescent="0.3">
      <c r="A58" s="25" t="s">
        <v>129</v>
      </c>
      <c r="B58" s="26" t="s">
        <v>266</v>
      </c>
      <c r="C58" s="419" t="s">
        <v>267</v>
      </c>
      <c r="D58" s="419"/>
      <c r="E58" s="419"/>
      <c r="F58" s="27" t="s">
        <v>46</v>
      </c>
      <c r="G58" s="22" t="s">
        <v>2312</v>
      </c>
      <c r="H58" s="57"/>
      <c r="I58" s="28"/>
      <c r="J58" s="19"/>
      <c r="K58" s="29"/>
      <c r="BC58" s="14"/>
      <c r="BD58" s="15"/>
      <c r="BE58" s="21"/>
      <c r="BF58" s="43"/>
      <c r="BG58" s="12"/>
      <c r="BH58" s="12" t="s">
        <v>267</v>
      </c>
    </row>
    <row r="59" spans="1:60" s="3" customFormat="1" ht="15" customHeight="1" x14ac:dyDescent="0.3">
      <c r="A59" s="437" t="s">
        <v>268</v>
      </c>
      <c r="B59" s="418"/>
      <c r="C59" s="418"/>
      <c r="D59" s="418"/>
      <c r="E59" s="418"/>
      <c r="F59" s="61"/>
      <c r="G59" s="61"/>
      <c r="H59" s="123"/>
      <c r="I59" s="123"/>
      <c r="J59" s="123"/>
      <c r="K59" s="124"/>
      <c r="BC59" s="14"/>
      <c r="BD59" s="15" t="s">
        <v>268</v>
      </c>
      <c r="BE59" s="21"/>
      <c r="BF59" s="43"/>
      <c r="BG59" s="12"/>
      <c r="BH59" s="12"/>
    </row>
    <row r="60" spans="1:60" s="3" customFormat="1" ht="14.4" x14ac:dyDescent="0.3">
      <c r="A60" s="16" t="s">
        <v>173</v>
      </c>
      <c r="B60" s="17" t="s">
        <v>152</v>
      </c>
      <c r="C60" s="405" t="s">
        <v>153</v>
      </c>
      <c r="D60" s="405"/>
      <c r="E60" s="405"/>
      <c r="F60" s="16" t="s">
        <v>125</v>
      </c>
      <c r="G60" s="31">
        <v>0.02</v>
      </c>
      <c r="H60" s="57">
        <f>I60/G60</f>
        <v>154977.00000000003</v>
      </c>
      <c r="I60" s="19">
        <f>13962.17-K60</f>
        <v>3099.5400000000009</v>
      </c>
      <c r="J60" s="19">
        <f>K60/G60</f>
        <v>543131.5</v>
      </c>
      <c r="K60" s="19">
        <v>10862.63</v>
      </c>
      <c r="BC60" s="14"/>
      <c r="BD60" s="15"/>
      <c r="BE60" s="21" t="s">
        <v>153</v>
      </c>
      <c r="BF60" s="43"/>
      <c r="BG60" s="12"/>
      <c r="BH60" s="12"/>
    </row>
    <row r="61" spans="1:60" s="3" customFormat="1" ht="20.399999999999999" x14ac:dyDescent="0.3">
      <c r="A61" s="25"/>
      <c r="B61" s="26" t="s">
        <v>154</v>
      </c>
      <c r="C61" s="419" t="s">
        <v>155</v>
      </c>
      <c r="D61" s="419"/>
      <c r="E61" s="419"/>
      <c r="F61" s="27" t="s">
        <v>46</v>
      </c>
      <c r="G61" s="22" t="s">
        <v>4233</v>
      </c>
      <c r="H61" s="58"/>
      <c r="I61" s="28"/>
      <c r="J61" s="28"/>
      <c r="K61" s="29"/>
      <c r="BC61" s="14"/>
      <c r="BD61" s="15"/>
      <c r="BE61" s="21"/>
      <c r="BF61" s="43"/>
      <c r="BG61" s="12" t="s">
        <v>155</v>
      </c>
      <c r="BH61" s="12"/>
    </row>
    <row r="62" spans="1:60" s="3" customFormat="1" ht="20.399999999999999" x14ac:dyDescent="0.3">
      <c r="A62" s="25"/>
      <c r="B62" s="26" t="s">
        <v>156</v>
      </c>
      <c r="C62" s="419" t="s">
        <v>157</v>
      </c>
      <c r="D62" s="419"/>
      <c r="E62" s="419"/>
      <c r="F62" s="27" t="s">
        <v>158</v>
      </c>
      <c r="G62" s="22" t="s">
        <v>4234</v>
      </c>
      <c r="H62" s="58"/>
      <c r="I62" s="28"/>
      <c r="J62" s="28"/>
      <c r="K62" s="29"/>
      <c r="BC62" s="14"/>
      <c r="BD62" s="15"/>
      <c r="BE62" s="21"/>
      <c r="BF62" s="43"/>
      <c r="BG62" s="12" t="s">
        <v>157</v>
      </c>
      <c r="BH62" s="12"/>
    </row>
    <row r="63" spans="1:60" s="3" customFormat="1" ht="20.399999999999999" x14ac:dyDescent="0.3">
      <c r="A63" s="37" t="s">
        <v>143</v>
      </c>
      <c r="B63" s="38" t="s">
        <v>159</v>
      </c>
      <c r="C63" s="430" t="s">
        <v>160</v>
      </c>
      <c r="D63" s="430"/>
      <c r="E63" s="430"/>
      <c r="F63" s="39" t="s">
        <v>46</v>
      </c>
      <c r="G63" s="40" t="s">
        <v>4235</v>
      </c>
      <c r="H63" s="100"/>
      <c r="I63" s="41"/>
      <c r="J63" s="41"/>
      <c r="K63" s="42"/>
      <c r="BC63" s="14"/>
      <c r="BD63" s="15"/>
      <c r="BE63" s="21"/>
      <c r="BF63" s="43" t="s">
        <v>160</v>
      </c>
      <c r="BG63" s="12"/>
      <c r="BH63" s="12"/>
    </row>
    <row r="64" spans="1:60" s="3" customFormat="1" ht="21.6" x14ac:dyDescent="0.3">
      <c r="A64" s="25" t="s">
        <v>129</v>
      </c>
      <c r="B64" s="26" t="s">
        <v>161</v>
      </c>
      <c r="C64" s="419" t="s">
        <v>162</v>
      </c>
      <c r="D64" s="419"/>
      <c r="E64" s="419"/>
      <c r="F64" s="27" t="s">
        <v>46</v>
      </c>
      <c r="G64" s="22" t="s">
        <v>4235</v>
      </c>
      <c r="H64" s="57"/>
      <c r="I64" s="28"/>
      <c r="J64" s="19"/>
      <c r="K64" s="29"/>
      <c r="BC64" s="14"/>
      <c r="BD64" s="15"/>
      <c r="BE64" s="21"/>
      <c r="BF64" s="43"/>
      <c r="BG64" s="12"/>
      <c r="BH64" s="12" t="s">
        <v>162</v>
      </c>
    </row>
    <row r="65" spans="1:60" s="3" customFormat="1" ht="15" customHeight="1" x14ac:dyDescent="0.3">
      <c r="A65" s="437" t="s">
        <v>272</v>
      </c>
      <c r="B65" s="418"/>
      <c r="C65" s="418"/>
      <c r="D65" s="418"/>
      <c r="E65" s="418"/>
      <c r="F65" s="61"/>
      <c r="G65" s="61"/>
      <c r="H65" s="123"/>
      <c r="I65" s="123"/>
      <c r="J65" s="123"/>
      <c r="K65" s="124"/>
      <c r="BC65" s="14"/>
      <c r="BD65" s="15" t="s">
        <v>272</v>
      </c>
      <c r="BE65" s="21"/>
      <c r="BF65" s="43"/>
      <c r="BG65" s="12"/>
      <c r="BH65" s="12"/>
    </row>
    <row r="66" spans="1:60" s="3" customFormat="1" ht="21.6" x14ac:dyDescent="0.3">
      <c r="A66" s="16" t="s">
        <v>176</v>
      </c>
      <c r="B66" s="17" t="s">
        <v>273</v>
      </c>
      <c r="C66" s="405" t="s">
        <v>274</v>
      </c>
      <c r="D66" s="405"/>
      <c r="E66" s="405"/>
      <c r="F66" s="16" t="s">
        <v>125</v>
      </c>
      <c r="G66" s="31">
        <v>0.11</v>
      </c>
      <c r="H66" s="57">
        <f>I66/G66</f>
        <v>229999.54545454547</v>
      </c>
      <c r="I66" s="19">
        <f>25775.43-K66</f>
        <v>25299.95</v>
      </c>
      <c r="J66" s="19">
        <f>K66/G66</f>
        <v>4322.545454545455</v>
      </c>
      <c r="K66" s="19">
        <v>475.48</v>
      </c>
      <c r="BC66" s="14"/>
      <c r="BD66" s="15"/>
      <c r="BE66" s="21" t="s">
        <v>274</v>
      </c>
      <c r="BF66" s="43"/>
      <c r="BG66" s="12"/>
      <c r="BH66" s="12"/>
    </row>
    <row r="67" spans="1:60" s="3" customFormat="1" ht="20.399999999999999" x14ac:dyDescent="0.3">
      <c r="A67" s="25"/>
      <c r="B67" s="26" t="s">
        <v>154</v>
      </c>
      <c r="C67" s="419" t="s">
        <v>155</v>
      </c>
      <c r="D67" s="419"/>
      <c r="E67" s="419"/>
      <c r="F67" s="27" t="s">
        <v>46</v>
      </c>
      <c r="G67" s="22" t="s">
        <v>4236</v>
      </c>
      <c r="H67" s="58"/>
      <c r="I67" s="28"/>
      <c r="J67" s="28"/>
      <c r="K67" s="29"/>
      <c r="BC67" s="14"/>
      <c r="BD67" s="15"/>
      <c r="BE67" s="21"/>
      <c r="BF67" s="43"/>
      <c r="BG67" s="12" t="s">
        <v>155</v>
      </c>
      <c r="BH67" s="12"/>
    </row>
    <row r="68" spans="1:60" s="3" customFormat="1" ht="20.399999999999999" x14ac:dyDescent="0.3">
      <c r="A68" s="25"/>
      <c r="B68" s="26" t="s">
        <v>156</v>
      </c>
      <c r="C68" s="419" t="s">
        <v>157</v>
      </c>
      <c r="D68" s="419"/>
      <c r="E68" s="419"/>
      <c r="F68" s="27" t="s">
        <v>158</v>
      </c>
      <c r="G68" s="22" t="s">
        <v>4237</v>
      </c>
      <c r="H68" s="58"/>
      <c r="I68" s="28"/>
      <c r="J68" s="28"/>
      <c r="K68" s="29"/>
      <c r="BC68" s="14"/>
      <c r="BD68" s="15"/>
      <c r="BE68" s="21"/>
      <c r="BF68" s="43"/>
      <c r="BG68" s="12" t="s">
        <v>157</v>
      </c>
      <c r="BH68" s="12"/>
    </row>
    <row r="69" spans="1:60" s="3" customFormat="1" ht="20.399999999999999" x14ac:dyDescent="0.3">
      <c r="A69" s="25"/>
      <c r="B69" s="26" t="s">
        <v>277</v>
      </c>
      <c r="C69" s="419" t="s">
        <v>278</v>
      </c>
      <c r="D69" s="419"/>
      <c r="E69" s="419"/>
      <c r="F69" s="27" t="s">
        <v>70</v>
      </c>
      <c r="G69" s="22" t="s">
        <v>4174</v>
      </c>
      <c r="H69" s="58"/>
      <c r="I69" s="28"/>
      <c r="J69" s="28"/>
      <c r="K69" s="29"/>
      <c r="BC69" s="14"/>
      <c r="BD69" s="15"/>
      <c r="BE69" s="21"/>
      <c r="BF69" s="43"/>
      <c r="BG69" s="12" t="s">
        <v>278</v>
      </c>
      <c r="BH69" s="12"/>
    </row>
    <row r="70" spans="1:60" s="3" customFormat="1" ht="20.399999999999999" x14ac:dyDescent="0.3">
      <c r="A70" s="25"/>
      <c r="B70" s="26" t="s">
        <v>76</v>
      </c>
      <c r="C70" s="419" t="s">
        <v>77</v>
      </c>
      <c r="D70" s="419"/>
      <c r="E70" s="419"/>
      <c r="F70" s="27" t="s">
        <v>70</v>
      </c>
      <c r="G70" s="22" t="s">
        <v>4238</v>
      </c>
      <c r="H70" s="58"/>
      <c r="I70" s="28"/>
      <c r="J70" s="28"/>
      <c r="K70" s="29"/>
      <c r="BC70" s="14"/>
      <c r="BD70" s="15"/>
      <c r="BE70" s="21"/>
      <c r="BF70" s="43"/>
      <c r="BG70" s="12" t="s">
        <v>77</v>
      </c>
      <c r="BH70" s="12"/>
    </row>
    <row r="71" spans="1:60" s="3" customFormat="1" ht="21.6" x14ac:dyDescent="0.3">
      <c r="A71" s="25"/>
      <c r="B71" s="26" t="s">
        <v>281</v>
      </c>
      <c r="C71" s="419" t="s">
        <v>282</v>
      </c>
      <c r="D71" s="419"/>
      <c r="E71" s="419"/>
      <c r="F71" s="27" t="s">
        <v>70</v>
      </c>
      <c r="G71" s="22" t="s">
        <v>4094</v>
      </c>
      <c r="H71" s="58"/>
      <c r="I71" s="28"/>
      <c r="J71" s="28"/>
      <c r="K71" s="29"/>
      <c r="BC71" s="14"/>
      <c r="BD71" s="15"/>
      <c r="BE71" s="21"/>
      <c r="BF71" s="43"/>
      <c r="BG71" s="12" t="s">
        <v>282</v>
      </c>
      <c r="BH71" s="12"/>
    </row>
    <row r="72" spans="1:60" s="3" customFormat="1" ht="20.399999999999999" x14ac:dyDescent="0.3">
      <c r="A72" s="37" t="s">
        <v>143</v>
      </c>
      <c r="B72" s="38" t="s">
        <v>159</v>
      </c>
      <c r="C72" s="430" t="s">
        <v>160</v>
      </c>
      <c r="D72" s="430"/>
      <c r="E72" s="430"/>
      <c r="F72" s="39" t="s">
        <v>46</v>
      </c>
      <c r="G72" s="40" t="s">
        <v>4239</v>
      </c>
      <c r="H72" s="100"/>
      <c r="I72" s="41"/>
      <c r="J72" s="41"/>
      <c r="K72" s="42"/>
      <c r="BC72" s="14"/>
      <c r="BD72" s="15"/>
      <c r="BE72" s="21"/>
      <c r="BF72" s="43" t="s">
        <v>160</v>
      </c>
      <c r="BG72" s="12"/>
      <c r="BH72" s="12"/>
    </row>
    <row r="73" spans="1:60" s="3" customFormat="1" ht="21.6" x14ac:dyDescent="0.3">
      <c r="A73" s="25"/>
      <c r="B73" s="26" t="s">
        <v>285</v>
      </c>
      <c r="C73" s="419" t="s">
        <v>286</v>
      </c>
      <c r="D73" s="419"/>
      <c r="E73" s="419"/>
      <c r="F73" s="27" t="s">
        <v>70</v>
      </c>
      <c r="G73" s="22" t="s">
        <v>4240</v>
      </c>
      <c r="H73" s="58"/>
      <c r="I73" s="28"/>
      <c r="J73" s="28"/>
      <c r="K73" s="29"/>
      <c r="BC73" s="14"/>
      <c r="BD73" s="15"/>
      <c r="BE73" s="21"/>
      <c r="BF73" s="43"/>
      <c r="BG73" s="12" t="s">
        <v>286</v>
      </c>
      <c r="BH73" s="12"/>
    </row>
    <row r="74" spans="1:60" s="3" customFormat="1" ht="20.399999999999999" x14ac:dyDescent="0.3">
      <c r="A74" s="37" t="s">
        <v>143</v>
      </c>
      <c r="B74" s="38" t="s">
        <v>288</v>
      </c>
      <c r="C74" s="430" t="s">
        <v>289</v>
      </c>
      <c r="D74" s="430"/>
      <c r="E74" s="430"/>
      <c r="F74" s="39" t="s">
        <v>70</v>
      </c>
      <c r="G74" s="40" t="s">
        <v>4241</v>
      </c>
      <c r="H74" s="100"/>
      <c r="I74" s="41"/>
      <c r="J74" s="41"/>
      <c r="K74" s="42"/>
      <c r="BC74" s="14"/>
      <c r="BD74" s="15"/>
      <c r="BE74" s="21"/>
      <c r="BF74" s="43" t="s">
        <v>289</v>
      </c>
      <c r="BG74" s="12"/>
      <c r="BH74" s="12"/>
    </row>
    <row r="75" spans="1:60" s="3" customFormat="1" ht="31.8" x14ac:dyDescent="0.3">
      <c r="A75" s="25"/>
      <c r="B75" s="26" t="s">
        <v>291</v>
      </c>
      <c r="C75" s="419" t="s">
        <v>292</v>
      </c>
      <c r="D75" s="419"/>
      <c r="E75" s="419"/>
      <c r="F75" s="27" t="s">
        <v>46</v>
      </c>
      <c r="G75" s="22" t="s">
        <v>4242</v>
      </c>
      <c r="H75" s="58"/>
      <c r="I75" s="28"/>
      <c r="J75" s="28"/>
      <c r="K75" s="29"/>
      <c r="BC75" s="14"/>
      <c r="BD75" s="15"/>
      <c r="BE75" s="21"/>
      <c r="BF75" s="43"/>
      <c r="BG75" s="12" t="s">
        <v>292</v>
      </c>
      <c r="BH75" s="12"/>
    </row>
    <row r="76" spans="1:60" s="3" customFormat="1" ht="20.399999999999999" x14ac:dyDescent="0.3">
      <c r="A76" s="25"/>
      <c r="B76" s="26" t="s">
        <v>294</v>
      </c>
      <c r="C76" s="419" t="s">
        <v>295</v>
      </c>
      <c r="D76" s="419"/>
      <c r="E76" s="419"/>
      <c r="F76" s="27" t="s">
        <v>158</v>
      </c>
      <c r="G76" s="22" t="s">
        <v>4243</v>
      </c>
      <c r="H76" s="58"/>
      <c r="I76" s="28"/>
      <c r="J76" s="28"/>
      <c r="K76" s="29"/>
      <c r="BC76" s="14"/>
      <c r="BD76" s="15"/>
      <c r="BE76" s="21"/>
      <c r="BF76" s="43"/>
      <c r="BG76" s="12" t="s">
        <v>295</v>
      </c>
      <c r="BH76" s="12"/>
    </row>
    <row r="77" spans="1:60" s="3" customFormat="1" ht="42" x14ac:dyDescent="0.3">
      <c r="A77" s="16" t="s">
        <v>177</v>
      </c>
      <c r="B77" s="17" t="s">
        <v>309</v>
      </c>
      <c r="C77" s="405" t="s">
        <v>310</v>
      </c>
      <c r="D77" s="405"/>
      <c r="E77" s="405"/>
      <c r="F77" s="16" t="s">
        <v>311</v>
      </c>
      <c r="G77" s="23">
        <v>11</v>
      </c>
      <c r="H77" s="57">
        <f t="shared" ref="H77:H81" si="2">I77/G77</f>
        <v>0</v>
      </c>
      <c r="I77" s="19">
        <v>0</v>
      </c>
      <c r="J77" s="19">
        <f t="shared" ref="J77:J81" si="3">K77/G77</f>
        <v>250.89727272727271</v>
      </c>
      <c r="K77" s="19">
        <v>2759.87</v>
      </c>
      <c r="BC77" s="14"/>
      <c r="BD77" s="15"/>
      <c r="BE77" s="21" t="s">
        <v>310</v>
      </c>
      <c r="BF77" s="43"/>
      <c r="BG77" s="12"/>
      <c r="BH77" s="12"/>
    </row>
    <row r="78" spans="1:60" s="3" customFormat="1" ht="21.6" x14ac:dyDescent="0.3">
      <c r="A78" s="16" t="s">
        <v>180</v>
      </c>
      <c r="B78" s="17" t="s">
        <v>305</v>
      </c>
      <c r="C78" s="405" t="s">
        <v>306</v>
      </c>
      <c r="D78" s="405"/>
      <c r="E78" s="405"/>
      <c r="F78" s="16" t="s">
        <v>46</v>
      </c>
      <c r="G78" s="18">
        <v>11.164999999999999</v>
      </c>
      <c r="H78" s="57">
        <f t="shared" si="2"/>
        <v>0</v>
      </c>
      <c r="I78" s="19">
        <v>0</v>
      </c>
      <c r="J78" s="19">
        <f t="shared" si="3"/>
        <v>6991.5002239140176</v>
      </c>
      <c r="K78" s="19">
        <v>78060.100000000006</v>
      </c>
      <c r="BC78" s="14"/>
      <c r="BD78" s="15"/>
      <c r="BE78" s="21" t="s">
        <v>306</v>
      </c>
      <c r="BF78" s="43"/>
      <c r="BG78" s="12"/>
      <c r="BH78" s="12"/>
    </row>
    <row r="79" spans="1:60" s="3" customFormat="1" ht="31.8" x14ac:dyDescent="0.3">
      <c r="A79" s="16" t="s">
        <v>182</v>
      </c>
      <c r="B79" s="17" t="s">
        <v>297</v>
      </c>
      <c r="C79" s="405" t="s">
        <v>298</v>
      </c>
      <c r="D79" s="405"/>
      <c r="E79" s="405"/>
      <c r="F79" s="16" t="s">
        <v>70</v>
      </c>
      <c r="G79" s="31">
        <v>0.26</v>
      </c>
      <c r="H79" s="57">
        <f t="shared" si="2"/>
        <v>0</v>
      </c>
      <c r="I79" s="19">
        <v>0</v>
      </c>
      <c r="J79" s="19">
        <f t="shared" si="3"/>
        <v>70412.461538461546</v>
      </c>
      <c r="K79" s="19">
        <v>18307.240000000002</v>
      </c>
      <c r="BC79" s="14"/>
      <c r="BD79" s="15"/>
      <c r="BE79" s="21" t="s">
        <v>298</v>
      </c>
      <c r="BF79" s="43"/>
      <c r="BG79" s="12"/>
      <c r="BH79" s="12"/>
    </row>
    <row r="80" spans="1:60" s="3" customFormat="1" ht="21.6" x14ac:dyDescent="0.3">
      <c r="A80" s="16" t="s">
        <v>186</v>
      </c>
      <c r="B80" s="17" t="s">
        <v>303</v>
      </c>
      <c r="C80" s="405" t="s">
        <v>304</v>
      </c>
      <c r="D80" s="405"/>
      <c r="E80" s="405"/>
      <c r="F80" s="16" t="s">
        <v>70</v>
      </c>
      <c r="G80" s="31">
        <v>0.02</v>
      </c>
      <c r="H80" s="57">
        <f t="shared" si="2"/>
        <v>0</v>
      </c>
      <c r="I80" s="19">
        <v>0</v>
      </c>
      <c r="J80" s="19">
        <f t="shared" si="3"/>
        <v>77704</v>
      </c>
      <c r="K80" s="19">
        <v>1554.08</v>
      </c>
      <c r="BC80" s="14"/>
      <c r="BD80" s="15"/>
      <c r="BE80" s="21" t="s">
        <v>304</v>
      </c>
      <c r="BF80" s="43"/>
      <c r="BG80" s="12"/>
      <c r="BH80" s="12"/>
    </row>
    <row r="81" spans="1:60" s="3" customFormat="1" ht="31.8" x14ac:dyDescent="0.3">
      <c r="A81" s="16" t="s">
        <v>192</v>
      </c>
      <c r="B81" s="17" t="s">
        <v>307</v>
      </c>
      <c r="C81" s="405" t="s">
        <v>308</v>
      </c>
      <c r="D81" s="405"/>
      <c r="E81" s="405"/>
      <c r="F81" s="16" t="s">
        <v>70</v>
      </c>
      <c r="G81" s="31">
        <v>0.73</v>
      </c>
      <c r="H81" s="57">
        <f t="shared" si="2"/>
        <v>0</v>
      </c>
      <c r="I81" s="19">
        <v>0</v>
      </c>
      <c r="J81" s="19">
        <f t="shared" si="3"/>
        <v>70775.479452054788</v>
      </c>
      <c r="K81" s="19">
        <v>51666.1</v>
      </c>
      <c r="BC81" s="14"/>
      <c r="BD81" s="15"/>
      <c r="BE81" s="21" t="s">
        <v>308</v>
      </c>
      <c r="BF81" s="43"/>
      <c r="BG81" s="12"/>
      <c r="BH81" s="12"/>
    </row>
    <row r="82" spans="1:60" s="3" customFormat="1" ht="15" customHeight="1" x14ac:dyDescent="0.3">
      <c r="A82" s="437" t="s">
        <v>326</v>
      </c>
      <c r="B82" s="418"/>
      <c r="C82" s="418"/>
      <c r="D82" s="418"/>
      <c r="E82" s="418"/>
      <c r="F82" s="61"/>
      <c r="G82" s="61"/>
      <c r="H82" s="123"/>
      <c r="I82" s="123"/>
      <c r="J82" s="123"/>
      <c r="K82" s="124"/>
      <c r="BC82" s="14"/>
      <c r="BD82" s="15" t="s">
        <v>326</v>
      </c>
      <c r="BE82" s="21"/>
      <c r="BF82" s="43"/>
      <c r="BG82" s="12"/>
      <c r="BH82" s="12"/>
    </row>
    <row r="83" spans="1:60" s="3" customFormat="1" ht="42" x14ac:dyDescent="0.3">
      <c r="A83" s="16" t="s">
        <v>196</v>
      </c>
      <c r="B83" s="17" t="s">
        <v>327</v>
      </c>
      <c r="C83" s="405" t="s">
        <v>328</v>
      </c>
      <c r="D83" s="405"/>
      <c r="E83" s="405"/>
      <c r="F83" s="16" t="s">
        <v>329</v>
      </c>
      <c r="G83" s="18">
        <v>0.48899999999999999</v>
      </c>
      <c r="H83" s="57">
        <f>I83/G83</f>
        <v>25173.619631901845</v>
      </c>
      <c r="I83" s="19">
        <f>16160.95-K83</f>
        <v>12309.900000000001</v>
      </c>
      <c r="J83" s="19">
        <f>K83/G83</f>
        <v>7875.3578732106344</v>
      </c>
      <c r="K83" s="19">
        <v>3851.05</v>
      </c>
      <c r="BC83" s="14"/>
      <c r="BD83" s="15"/>
      <c r="BE83" s="21" t="s">
        <v>328</v>
      </c>
      <c r="BF83" s="43"/>
      <c r="BG83" s="12"/>
      <c r="BH83" s="12"/>
    </row>
    <row r="84" spans="1:60" s="3" customFormat="1" ht="20.399999999999999" x14ac:dyDescent="0.3">
      <c r="A84" s="37" t="s">
        <v>143</v>
      </c>
      <c r="B84" s="38" t="s">
        <v>330</v>
      </c>
      <c r="C84" s="430" t="s">
        <v>331</v>
      </c>
      <c r="D84" s="430"/>
      <c r="E84" s="430"/>
      <c r="F84" s="39" t="s">
        <v>70</v>
      </c>
      <c r="G84" s="40" t="s">
        <v>4244</v>
      </c>
      <c r="H84" s="100"/>
      <c r="I84" s="41"/>
      <c r="J84" s="41"/>
      <c r="K84" s="42"/>
      <c r="BC84" s="14"/>
      <c r="BD84" s="15"/>
      <c r="BE84" s="21"/>
      <c r="BF84" s="43" t="s">
        <v>331</v>
      </c>
      <c r="BG84" s="12"/>
      <c r="BH84" s="12"/>
    </row>
    <row r="85" spans="1:60" s="3" customFormat="1" ht="20.399999999999999" x14ac:dyDescent="0.3">
      <c r="A85" s="37" t="s">
        <v>143</v>
      </c>
      <c r="B85" s="38" t="s">
        <v>333</v>
      </c>
      <c r="C85" s="430" t="s">
        <v>334</v>
      </c>
      <c r="D85" s="430"/>
      <c r="E85" s="430"/>
      <c r="F85" s="39" t="s">
        <v>70</v>
      </c>
      <c r="G85" s="40" t="s">
        <v>4245</v>
      </c>
      <c r="H85" s="100"/>
      <c r="I85" s="41"/>
      <c r="J85" s="41"/>
      <c r="K85" s="42"/>
      <c r="BC85" s="14"/>
      <c r="BD85" s="15"/>
      <c r="BE85" s="21"/>
      <c r="BF85" s="43" t="s">
        <v>334</v>
      </c>
      <c r="BG85" s="12"/>
      <c r="BH85" s="12"/>
    </row>
    <row r="86" spans="1:60" s="3" customFormat="1" ht="20.399999999999999" x14ac:dyDescent="0.3">
      <c r="A86" s="25"/>
      <c r="B86" s="26" t="s">
        <v>336</v>
      </c>
      <c r="C86" s="419" t="s">
        <v>337</v>
      </c>
      <c r="D86" s="419"/>
      <c r="E86" s="419"/>
      <c r="F86" s="27" t="s">
        <v>70</v>
      </c>
      <c r="G86" s="22" t="s">
        <v>4246</v>
      </c>
      <c r="H86" s="58"/>
      <c r="I86" s="28"/>
      <c r="J86" s="28"/>
      <c r="K86" s="29"/>
      <c r="BC86" s="14"/>
      <c r="BD86" s="15"/>
      <c r="BE86" s="21"/>
      <c r="BF86" s="43"/>
      <c r="BG86" s="12" t="s">
        <v>337</v>
      </c>
      <c r="BH86" s="12"/>
    </row>
    <row r="87" spans="1:60" s="3" customFormat="1" ht="20.399999999999999" x14ac:dyDescent="0.3">
      <c r="A87" s="25"/>
      <c r="B87" s="26" t="s">
        <v>339</v>
      </c>
      <c r="C87" s="419" t="s">
        <v>340</v>
      </c>
      <c r="D87" s="419"/>
      <c r="E87" s="419"/>
      <c r="F87" s="27" t="s">
        <v>75</v>
      </c>
      <c r="G87" s="22" t="s">
        <v>4247</v>
      </c>
      <c r="H87" s="58"/>
      <c r="I87" s="28"/>
      <c r="J87" s="28"/>
      <c r="K87" s="29"/>
      <c r="BC87" s="14"/>
      <c r="BD87" s="15"/>
      <c r="BE87" s="21"/>
      <c r="BF87" s="43"/>
      <c r="BG87" s="12" t="s">
        <v>340</v>
      </c>
      <c r="BH87" s="12"/>
    </row>
    <row r="88" spans="1:60" s="3" customFormat="1" ht="20.399999999999999" x14ac:dyDescent="0.3">
      <c r="A88" s="25" t="s">
        <v>129</v>
      </c>
      <c r="B88" s="26" t="s">
        <v>342</v>
      </c>
      <c r="C88" s="419" t="s">
        <v>343</v>
      </c>
      <c r="D88" s="419"/>
      <c r="E88" s="419"/>
      <c r="F88" s="27" t="s">
        <v>70</v>
      </c>
      <c r="G88" s="22" t="s">
        <v>4245</v>
      </c>
      <c r="H88" s="57"/>
      <c r="I88" s="28"/>
      <c r="J88" s="19"/>
      <c r="K88" s="29"/>
      <c r="BC88" s="14"/>
      <c r="BD88" s="15"/>
      <c r="BE88" s="21"/>
      <c r="BF88" s="43"/>
      <c r="BG88" s="12"/>
      <c r="BH88" s="12" t="s">
        <v>343</v>
      </c>
    </row>
    <row r="89" spans="1:60" s="3" customFormat="1" ht="20.399999999999999" x14ac:dyDescent="0.3">
      <c r="A89" s="25" t="s">
        <v>129</v>
      </c>
      <c r="B89" s="26" t="s">
        <v>344</v>
      </c>
      <c r="C89" s="419" t="s">
        <v>345</v>
      </c>
      <c r="D89" s="419"/>
      <c r="E89" s="419"/>
      <c r="F89" s="27" t="s">
        <v>70</v>
      </c>
      <c r="G89" s="22" t="s">
        <v>4244</v>
      </c>
      <c r="H89" s="57"/>
      <c r="I89" s="28"/>
      <c r="J89" s="19"/>
      <c r="K89" s="29"/>
      <c r="BC89" s="14"/>
      <c r="BD89" s="15"/>
      <c r="BE89" s="21"/>
      <c r="BF89" s="43"/>
      <c r="BG89" s="12"/>
      <c r="BH89" s="12" t="s">
        <v>345</v>
      </c>
    </row>
    <row r="90" spans="1:60" s="3" customFormat="1" ht="15" customHeight="1" x14ac:dyDescent="0.3">
      <c r="A90" s="437" t="s">
        <v>346</v>
      </c>
      <c r="B90" s="418"/>
      <c r="C90" s="418"/>
      <c r="D90" s="418"/>
      <c r="E90" s="418"/>
      <c r="F90" s="61"/>
      <c r="G90" s="61"/>
      <c r="H90" s="123"/>
      <c r="I90" s="123"/>
      <c r="J90" s="123"/>
      <c r="K90" s="124"/>
      <c r="BC90" s="14"/>
      <c r="BD90" s="15" t="s">
        <v>346</v>
      </c>
      <c r="BE90" s="21"/>
      <c r="BF90" s="43"/>
      <c r="BG90" s="12"/>
      <c r="BH90" s="12"/>
    </row>
    <row r="91" spans="1:60" s="3" customFormat="1" ht="15" customHeight="1" x14ac:dyDescent="0.3">
      <c r="A91" s="437" t="s">
        <v>347</v>
      </c>
      <c r="B91" s="418"/>
      <c r="C91" s="418"/>
      <c r="D91" s="418"/>
      <c r="E91" s="418"/>
      <c r="F91" s="61"/>
      <c r="G91" s="61"/>
      <c r="H91" s="123"/>
      <c r="I91" s="123"/>
      <c r="J91" s="123"/>
      <c r="K91" s="124"/>
      <c r="BC91" s="14"/>
      <c r="BD91" s="15" t="s">
        <v>347</v>
      </c>
      <c r="BE91" s="21"/>
      <c r="BF91" s="43"/>
      <c r="BG91" s="12"/>
      <c r="BH91" s="12"/>
    </row>
    <row r="92" spans="1:60" s="3" customFormat="1" ht="21.6" x14ac:dyDescent="0.3">
      <c r="A92" s="16" t="s">
        <v>198</v>
      </c>
      <c r="B92" s="17" t="s">
        <v>348</v>
      </c>
      <c r="C92" s="405" t="s">
        <v>349</v>
      </c>
      <c r="D92" s="405"/>
      <c r="E92" s="405"/>
      <c r="F92" s="16" t="s">
        <v>329</v>
      </c>
      <c r="G92" s="18">
        <v>0.151</v>
      </c>
      <c r="H92" s="57">
        <f>I92/G92</f>
        <v>6117.1523178807984</v>
      </c>
      <c r="I92" s="19">
        <f>7421.84-K92</f>
        <v>923.69000000000051</v>
      </c>
      <c r="J92" s="19">
        <f>K92/G92</f>
        <v>43034.105960264897</v>
      </c>
      <c r="K92" s="19">
        <v>6498.15</v>
      </c>
      <c r="BC92" s="14"/>
      <c r="BD92" s="15"/>
      <c r="BE92" s="21" t="s">
        <v>349</v>
      </c>
      <c r="BF92" s="43"/>
      <c r="BG92" s="12"/>
      <c r="BH92" s="12"/>
    </row>
    <row r="93" spans="1:60" s="3" customFormat="1" ht="20.399999999999999" x14ac:dyDescent="0.3">
      <c r="A93" s="25"/>
      <c r="B93" s="26" t="s">
        <v>350</v>
      </c>
      <c r="C93" s="419" t="s">
        <v>351</v>
      </c>
      <c r="D93" s="419"/>
      <c r="E93" s="419"/>
      <c r="F93" s="27" t="s">
        <v>70</v>
      </c>
      <c r="G93" s="22" t="s">
        <v>4248</v>
      </c>
      <c r="H93" s="58"/>
      <c r="I93" s="28"/>
      <c r="J93" s="28"/>
      <c r="K93" s="29"/>
      <c r="BC93" s="14"/>
      <c r="BD93" s="15"/>
      <c r="BE93" s="21"/>
      <c r="BF93" s="43"/>
      <c r="BG93" s="12" t="s">
        <v>351</v>
      </c>
      <c r="BH93" s="12"/>
    </row>
    <row r="94" spans="1:60" s="3" customFormat="1" ht="20.399999999999999" x14ac:dyDescent="0.3">
      <c r="A94" s="25"/>
      <c r="B94" s="26" t="s">
        <v>353</v>
      </c>
      <c r="C94" s="419" t="s">
        <v>354</v>
      </c>
      <c r="D94" s="419"/>
      <c r="E94" s="419"/>
      <c r="F94" s="27" t="s">
        <v>75</v>
      </c>
      <c r="G94" s="22" t="s">
        <v>4249</v>
      </c>
      <c r="H94" s="58"/>
      <c r="I94" s="28"/>
      <c r="J94" s="28"/>
      <c r="K94" s="29"/>
      <c r="BC94" s="14"/>
      <c r="BD94" s="15"/>
      <c r="BE94" s="21"/>
      <c r="BF94" s="43"/>
      <c r="BG94" s="12" t="s">
        <v>354</v>
      </c>
      <c r="BH94" s="12"/>
    </row>
    <row r="95" spans="1:60" s="3" customFormat="1" ht="20.399999999999999" x14ac:dyDescent="0.3">
      <c r="A95" s="25" t="s">
        <v>129</v>
      </c>
      <c r="B95" s="26" t="s">
        <v>358</v>
      </c>
      <c r="C95" s="419" t="s">
        <v>359</v>
      </c>
      <c r="D95" s="419"/>
      <c r="E95" s="419"/>
      <c r="F95" s="27" t="s">
        <v>75</v>
      </c>
      <c r="G95" s="22" t="s">
        <v>4250</v>
      </c>
      <c r="H95" s="57"/>
      <c r="I95" s="28"/>
      <c r="J95" s="19"/>
      <c r="K95" s="29"/>
      <c r="BC95" s="14"/>
      <c r="BD95" s="15"/>
      <c r="BE95" s="21"/>
      <c r="BF95" s="43"/>
      <c r="BG95" s="12"/>
      <c r="BH95" s="12" t="s">
        <v>359</v>
      </c>
    </row>
    <row r="96" spans="1:60" s="3" customFormat="1" ht="15" customHeight="1" x14ac:dyDescent="0.3">
      <c r="A96" s="437" t="s">
        <v>361</v>
      </c>
      <c r="B96" s="418"/>
      <c r="C96" s="418"/>
      <c r="D96" s="418"/>
      <c r="E96" s="418"/>
      <c r="F96" s="61"/>
      <c r="G96" s="61"/>
      <c r="H96" s="123"/>
      <c r="I96" s="123"/>
      <c r="J96" s="123"/>
      <c r="K96" s="124"/>
      <c r="BC96" s="14"/>
      <c r="BD96" s="15" t="s">
        <v>361</v>
      </c>
      <c r="BE96" s="21"/>
      <c r="BF96" s="43"/>
      <c r="BG96" s="12"/>
      <c r="BH96" s="12"/>
    </row>
    <row r="97" spans="1:60" s="3" customFormat="1" ht="31.8" x14ac:dyDescent="0.3">
      <c r="A97" s="16" t="s">
        <v>201</v>
      </c>
      <c r="B97" s="17" t="s">
        <v>362</v>
      </c>
      <c r="C97" s="405" t="s">
        <v>363</v>
      </c>
      <c r="D97" s="405"/>
      <c r="E97" s="405"/>
      <c r="F97" s="16" t="s">
        <v>329</v>
      </c>
      <c r="G97" s="18">
        <v>0.151</v>
      </c>
      <c r="H97" s="57">
        <f>I97/G97</f>
        <v>7196.6225165562946</v>
      </c>
      <c r="I97" s="19">
        <f>5712.1-K97</f>
        <v>1086.6900000000005</v>
      </c>
      <c r="J97" s="19">
        <f>K97/G97</f>
        <v>30631.854304635763</v>
      </c>
      <c r="K97" s="19">
        <v>4625.41</v>
      </c>
      <c r="BC97" s="14"/>
      <c r="BD97" s="15"/>
      <c r="BE97" s="21" t="s">
        <v>363</v>
      </c>
      <c r="BF97" s="43"/>
      <c r="BG97" s="12"/>
      <c r="BH97" s="12"/>
    </row>
    <row r="98" spans="1:60" s="3" customFormat="1" ht="20.399999999999999" x14ac:dyDescent="0.3">
      <c r="A98" s="25"/>
      <c r="B98" s="26" t="s">
        <v>364</v>
      </c>
      <c r="C98" s="419" t="s">
        <v>365</v>
      </c>
      <c r="D98" s="419"/>
      <c r="E98" s="419"/>
      <c r="F98" s="27" t="s">
        <v>70</v>
      </c>
      <c r="G98" s="22" t="s">
        <v>4251</v>
      </c>
      <c r="H98" s="58"/>
      <c r="I98" s="28"/>
      <c r="J98" s="28"/>
      <c r="K98" s="29"/>
      <c r="BC98" s="14"/>
      <c r="BD98" s="15"/>
      <c r="BE98" s="21"/>
      <c r="BF98" s="43"/>
      <c r="BG98" s="12" t="s">
        <v>365</v>
      </c>
      <c r="BH98" s="12"/>
    </row>
    <row r="99" spans="1:60" s="3" customFormat="1" ht="20.399999999999999" x14ac:dyDescent="0.3">
      <c r="A99" s="25"/>
      <c r="B99" s="26" t="s">
        <v>367</v>
      </c>
      <c r="C99" s="419" t="s">
        <v>368</v>
      </c>
      <c r="D99" s="419"/>
      <c r="E99" s="419"/>
      <c r="F99" s="27" t="s">
        <v>70</v>
      </c>
      <c r="G99" s="22" t="s">
        <v>4252</v>
      </c>
      <c r="H99" s="58"/>
      <c r="I99" s="28"/>
      <c r="J99" s="28"/>
      <c r="K99" s="29"/>
      <c r="BC99" s="14"/>
      <c r="BD99" s="15"/>
      <c r="BE99" s="21"/>
      <c r="BF99" s="43"/>
      <c r="BG99" s="12" t="s">
        <v>368</v>
      </c>
      <c r="BH99" s="12"/>
    </row>
    <row r="100" spans="1:60" s="3" customFormat="1" ht="20.399999999999999" x14ac:dyDescent="0.3">
      <c r="A100" s="25"/>
      <c r="B100" s="26" t="s">
        <v>370</v>
      </c>
      <c r="C100" s="419" t="s">
        <v>371</v>
      </c>
      <c r="D100" s="419"/>
      <c r="E100" s="419"/>
      <c r="F100" s="27" t="s">
        <v>75</v>
      </c>
      <c r="G100" s="22" t="s">
        <v>4253</v>
      </c>
      <c r="H100" s="58"/>
      <c r="I100" s="28"/>
      <c r="J100" s="28"/>
      <c r="K100" s="29"/>
      <c r="BC100" s="14"/>
      <c r="BD100" s="15"/>
      <c r="BE100" s="21"/>
      <c r="BF100" s="43"/>
      <c r="BG100" s="12" t="s">
        <v>371</v>
      </c>
      <c r="BH100" s="12"/>
    </row>
    <row r="101" spans="1:60" s="3" customFormat="1" ht="21.6" x14ac:dyDescent="0.3">
      <c r="A101" s="25" t="s">
        <v>129</v>
      </c>
      <c r="B101" s="26" t="s">
        <v>375</v>
      </c>
      <c r="C101" s="419" t="s">
        <v>376</v>
      </c>
      <c r="D101" s="419"/>
      <c r="E101" s="419"/>
      <c r="F101" s="27" t="s">
        <v>75</v>
      </c>
      <c r="G101" s="22" t="s">
        <v>4254</v>
      </c>
      <c r="H101" s="57"/>
      <c r="I101" s="28"/>
      <c r="J101" s="19"/>
      <c r="K101" s="29"/>
      <c r="BC101" s="14"/>
      <c r="BD101" s="15"/>
      <c r="BE101" s="21"/>
      <c r="BF101" s="43"/>
      <c r="BG101" s="12"/>
      <c r="BH101" s="12" t="s">
        <v>376</v>
      </c>
    </row>
    <row r="102" spans="1:60" s="3" customFormat="1" ht="15" customHeight="1" x14ac:dyDescent="0.3">
      <c r="A102" s="437" t="s">
        <v>378</v>
      </c>
      <c r="B102" s="418"/>
      <c r="C102" s="418"/>
      <c r="D102" s="418"/>
      <c r="E102" s="418"/>
      <c r="F102" s="61"/>
      <c r="G102" s="61"/>
      <c r="H102" s="123"/>
      <c r="I102" s="123"/>
      <c r="J102" s="123"/>
      <c r="K102" s="124"/>
      <c r="BC102" s="14"/>
      <c r="BD102" s="15" t="s">
        <v>378</v>
      </c>
      <c r="BE102" s="21"/>
      <c r="BF102" s="43"/>
      <c r="BG102" s="12"/>
      <c r="BH102" s="12"/>
    </row>
    <row r="103" spans="1:60" s="3" customFormat="1" ht="31.8" x14ac:dyDescent="0.3">
      <c r="A103" s="16" t="s">
        <v>219</v>
      </c>
      <c r="B103" s="17" t="s">
        <v>362</v>
      </c>
      <c r="C103" s="405" t="s">
        <v>363</v>
      </c>
      <c r="D103" s="405"/>
      <c r="E103" s="405"/>
      <c r="F103" s="16" t="s">
        <v>329</v>
      </c>
      <c r="G103" s="18">
        <v>0.151</v>
      </c>
      <c r="H103" s="57">
        <f>I103/G103</f>
        <v>7196.6225165562946</v>
      </c>
      <c r="I103" s="19">
        <f>5712.1-K103</f>
        <v>1086.6900000000005</v>
      </c>
      <c r="J103" s="19">
        <f>K103/G103</f>
        <v>30631.854304635763</v>
      </c>
      <c r="K103" s="19">
        <v>4625.41</v>
      </c>
      <c r="BC103" s="14"/>
      <c r="BD103" s="15"/>
      <c r="BE103" s="21" t="s">
        <v>363</v>
      </c>
      <c r="BF103" s="43"/>
      <c r="BG103" s="12"/>
      <c r="BH103" s="12"/>
    </row>
    <row r="104" spans="1:60" s="3" customFormat="1" ht="20.399999999999999" x14ac:dyDescent="0.3">
      <c r="A104" s="25"/>
      <c r="B104" s="26" t="s">
        <v>364</v>
      </c>
      <c r="C104" s="419" t="s">
        <v>365</v>
      </c>
      <c r="D104" s="419"/>
      <c r="E104" s="419"/>
      <c r="F104" s="27" t="s">
        <v>70</v>
      </c>
      <c r="G104" s="22" t="s">
        <v>4251</v>
      </c>
      <c r="H104" s="58"/>
      <c r="I104" s="28"/>
      <c r="J104" s="28"/>
      <c r="K104" s="29"/>
      <c r="BC104" s="14"/>
      <c r="BD104" s="15"/>
      <c r="BE104" s="21"/>
      <c r="BF104" s="43"/>
      <c r="BG104" s="12" t="s">
        <v>365</v>
      </c>
      <c r="BH104" s="12"/>
    </row>
    <row r="105" spans="1:60" s="3" customFormat="1" ht="20.399999999999999" x14ac:dyDescent="0.3">
      <c r="A105" s="25"/>
      <c r="B105" s="26" t="s">
        <v>367</v>
      </c>
      <c r="C105" s="419" t="s">
        <v>368</v>
      </c>
      <c r="D105" s="419"/>
      <c r="E105" s="419"/>
      <c r="F105" s="27" t="s">
        <v>70</v>
      </c>
      <c r="G105" s="22" t="s">
        <v>4252</v>
      </c>
      <c r="H105" s="58"/>
      <c r="I105" s="28"/>
      <c r="J105" s="28"/>
      <c r="K105" s="29"/>
      <c r="BC105" s="14"/>
      <c r="BD105" s="15"/>
      <c r="BE105" s="21"/>
      <c r="BF105" s="43"/>
      <c r="BG105" s="12" t="s">
        <v>368</v>
      </c>
      <c r="BH105" s="12"/>
    </row>
    <row r="106" spans="1:60" s="3" customFormat="1" ht="20.399999999999999" x14ac:dyDescent="0.3">
      <c r="A106" s="25"/>
      <c r="B106" s="26" t="s">
        <v>370</v>
      </c>
      <c r="C106" s="419" t="s">
        <v>371</v>
      </c>
      <c r="D106" s="419"/>
      <c r="E106" s="419"/>
      <c r="F106" s="27" t="s">
        <v>75</v>
      </c>
      <c r="G106" s="22" t="s">
        <v>4253</v>
      </c>
      <c r="H106" s="58"/>
      <c r="I106" s="28"/>
      <c r="J106" s="28"/>
      <c r="K106" s="29"/>
      <c r="BC106" s="14"/>
      <c r="BD106" s="15"/>
      <c r="BE106" s="21"/>
      <c r="BF106" s="43"/>
      <c r="BG106" s="12" t="s">
        <v>371</v>
      </c>
      <c r="BH106" s="12"/>
    </row>
    <row r="107" spans="1:60" s="3" customFormat="1" ht="21.6" x14ac:dyDescent="0.3">
      <c r="A107" s="25" t="s">
        <v>129</v>
      </c>
      <c r="B107" s="26" t="s">
        <v>375</v>
      </c>
      <c r="C107" s="419" t="s">
        <v>376</v>
      </c>
      <c r="D107" s="419"/>
      <c r="E107" s="419"/>
      <c r="F107" s="27" t="s">
        <v>75</v>
      </c>
      <c r="G107" s="22" t="s">
        <v>4254</v>
      </c>
      <c r="H107" s="57"/>
      <c r="I107" s="28"/>
      <c r="J107" s="19"/>
      <c r="K107" s="29"/>
      <c r="BC107" s="14"/>
      <c r="BD107" s="15"/>
      <c r="BE107" s="21"/>
      <c r="BF107" s="43"/>
      <c r="BG107" s="12"/>
      <c r="BH107" s="12" t="s">
        <v>376</v>
      </c>
    </row>
    <row r="108" spans="1:60" s="3" customFormat="1" ht="24.75" customHeight="1" x14ac:dyDescent="0.3">
      <c r="A108" s="437" t="s">
        <v>379</v>
      </c>
      <c r="B108" s="418"/>
      <c r="C108" s="418"/>
      <c r="D108" s="418"/>
      <c r="E108" s="418"/>
      <c r="F108" s="61"/>
      <c r="G108" s="61"/>
      <c r="H108" s="123"/>
      <c r="I108" s="123"/>
      <c r="J108" s="123"/>
      <c r="K108" s="124"/>
      <c r="BC108" s="14"/>
      <c r="BD108" s="15" t="s">
        <v>379</v>
      </c>
      <c r="BE108" s="21"/>
      <c r="BF108" s="43"/>
      <c r="BG108" s="12"/>
      <c r="BH108" s="12"/>
    </row>
    <row r="109" spans="1:60" s="3" customFormat="1" ht="15" customHeight="1" x14ac:dyDescent="0.3">
      <c r="A109" s="435" t="s">
        <v>4255</v>
      </c>
      <c r="B109" s="436"/>
      <c r="C109" s="436"/>
      <c r="D109" s="436"/>
      <c r="E109" s="436"/>
      <c r="F109" s="436"/>
      <c r="G109" s="436"/>
      <c r="H109" s="103"/>
      <c r="I109" s="103"/>
      <c r="J109" s="103"/>
      <c r="K109" s="104"/>
      <c r="BC109" s="14" t="s">
        <v>4255</v>
      </c>
      <c r="BD109" s="15"/>
      <c r="BE109" s="21"/>
      <c r="BF109" s="43"/>
      <c r="BG109" s="12"/>
      <c r="BH109" s="12"/>
    </row>
    <row r="110" spans="1:60" s="3" customFormat="1" ht="15" customHeight="1" x14ac:dyDescent="0.3">
      <c r="A110" s="437" t="s">
        <v>381</v>
      </c>
      <c r="B110" s="418"/>
      <c r="C110" s="418"/>
      <c r="D110" s="418"/>
      <c r="E110" s="418"/>
      <c r="F110" s="61"/>
      <c r="G110" s="61"/>
      <c r="H110" s="123"/>
      <c r="I110" s="123"/>
      <c r="J110" s="123"/>
      <c r="K110" s="124"/>
      <c r="BC110" s="14"/>
      <c r="BD110" s="15" t="s">
        <v>381</v>
      </c>
      <c r="BE110" s="21"/>
      <c r="BF110" s="43"/>
      <c r="BG110" s="12"/>
      <c r="BH110" s="12"/>
    </row>
    <row r="111" spans="1:60" s="3" customFormat="1" ht="21.6" x14ac:dyDescent="0.3">
      <c r="A111" s="16" t="s">
        <v>222</v>
      </c>
      <c r="B111" s="17" t="s">
        <v>500</v>
      </c>
      <c r="C111" s="405" t="s">
        <v>501</v>
      </c>
      <c r="D111" s="405"/>
      <c r="E111" s="405"/>
      <c r="F111" s="16" t="s">
        <v>70</v>
      </c>
      <c r="G111" s="31">
        <v>22.12</v>
      </c>
      <c r="H111" s="57">
        <f>I111/G111</f>
        <v>43937.552441229658</v>
      </c>
      <c r="I111" s="19">
        <f>989221.64-K111</f>
        <v>971898.66</v>
      </c>
      <c r="J111" s="19">
        <f>K111/G111</f>
        <v>783.13652802893307</v>
      </c>
      <c r="K111" s="19">
        <v>17322.98</v>
      </c>
      <c r="BC111" s="14"/>
      <c r="BD111" s="15"/>
      <c r="BE111" s="21" t="s">
        <v>501</v>
      </c>
      <c r="BF111" s="43"/>
      <c r="BG111" s="12"/>
      <c r="BH111" s="12"/>
    </row>
    <row r="112" spans="1:60" s="3" customFormat="1" ht="20.399999999999999" x14ac:dyDescent="0.3">
      <c r="A112" s="25"/>
      <c r="B112" s="26" t="s">
        <v>384</v>
      </c>
      <c r="C112" s="419" t="s">
        <v>385</v>
      </c>
      <c r="D112" s="419"/>
      <c r="E112" s="419"/>
      <c r="F112" s="27" t="s">
        <v>46</v>
      </c>
      <c r="G112" s="22" t="s">
        <v>4256</v>
      </c>
      <c r="H112" s="58"/>
      <c r="I112" s="28"/>
      <c r="J112" s="28"/>
      <c r="K112" s="29"/>
      <c r="BC112" s="14"/>
      <c r="BD112" s="15"/>
      <c r="BE112" s="21"/>
      <c r="BF112" s="43"/>
      <c r="BG112" s="12" t="s">
        <v>385</v>
      </c>
      <c r="BH112" s="12"/>
    </row>
    <row r="113" spans="1:60" s="3" customFormat="1" ht="20.399999999999999" x14ac:dyDescent="0.3">
      <c r="A113" s="25"/>
      <c r="B113" s="26" t="s">
        <v>387</v>
      </c>
      <c r="C113" s="419" t="s">
        <v>388</v>
      </c>
      <c r="D113" s="419"/>
      <c r="E113" s="419"/>
      <c r="F113" s="27" t="s">
        <v>75</v>
      </c>
      <c r="G113" s="22" t="s">
        <v>4257</v>
      </c>
      <c r="H113" s="58"/>
      <c r="I113" s="28"/>
      <c r="J113" s="28"/>
      <c r="K113" s="29"/>
      <c r="BC113" s="14"/>
      <c r="BD113" s="15"/>
      <c r="BE113" s="21"/>
      <c r="BF113" s="43"/>
      <c r="BG113" s="12" t="s">
        <v>388</v>
      </c>
      <c r="BH113" s="12"/>
    </row>
    <row r="114" spans="1:60" s="3" customFormat="1" ht="20.399999999999999" x14ac:dyDescent="0.3">
      <c r="A114" s="25"/>
      <c r="B114" s="26" t="s">
        <v>504</v>
      </c>
      <c r="C114" s="419" t="s">
        <v>505</v>
      </c>
      <c r="D114" s="419"/>
      <c r="E114" s="419"/>
      <c r="F114" s="27" t="s">
        <v>75</v>
      </c>
      <c r="G114" s="22" t="s">
        <v>4258</v>
      </c>
      <c r="H114" s="58"/>
      <c r="I114" s="28"/>
      <c r="J114" s="28"/>
      <c r="K114" s="29"/>
      <c r="BC114" s="14"/>
      <c r="BD114" s="15"/>
      <c r="BE114" s="21"/>
      <c r="BF114" s="43"/>
      <c r="BG114" s="12" t="s">
        <v>505</v>
      </c>
      <c r="BH114" s="12"/>
    </row>
    <row r="115" spans="1:60" s="3" customFormat="1" ht="20.399999999999999" x14ac:dyDescent="0.3">
      <c r="A115" s="37" t="s">
        <v>78</v>
      </c>
      <c r="B115" s="38" t="s">
        <v>391</v>
      </c>
      <c r="C115" s="430" t="s">
        <v>392</v>
      </c>
      <c r="D115" s="430"/>
      <c r="E115" s="430"/>
      <c r="F115" s="39" t="s">
        <v>75</v>
      </c>
      <c r="G115" s="40" t="s">
        <v>33</v>
      </c>
      <c r="H115" s="100"/>
      <c r="I115" s="41"/>
      <c r="J115" s="41"/>
      <c r="K115" s="42"/>
      <c r="BC115" s="14"/>
      <c r="BD115" s="15"/>
      <c r="BE115" s="21"/>
      <c r="BF115" s="43" t="s">
        <v>392</v>
      </c>
      <c r="BG115" s="12"/>
      <c r="BH115" s="12"/>
    </row>
    <row r="116" spans="1:60" s="3" customFormat="1" ht="20.399999999999999" x14ac:dyDescent="0.3">
      <c r="A116" s="25"/>
      <c r="B116" s="26" t="s">
        <v>76</v>
      </c>
      <c r="C116" s="419" t="s">
        <v>77</v>
      </c>
      <c r="D116" s="419"/>
      <c r="E116" s="419"/>
      <c r="F116" s="27" t="s">
        <v>70</v>
      </c>
      <c r="G116" s="22" t="s">
        <v>4259</v>
      </c>
      <c r="H116" s="58"/>
      <c r="I116" s="28"/>
      <c r="J116" s="28"/>
      <c r="K116" s="29"/>
      <c r="BC116" s="14"/>
      <c r="BD116" s="15"/>
      <c r="BE116" s="21"/>
      <c r="BF116" s="43"/>
      <c r="BG116" s="12" t="s">
        <v>77</v>
      </c>
      <c r="BH116" s="12"/>
    </row>
    <row r="117" spans="1:60" s="3" customFormat="1" ht="20.399999999999999" x14ac:dyDescent="0.3">
      <c r="A117" s="25"/>
      <c r="B117" s="26" t="s">
        <v>395</v>
      </c>
      <c r="C117" s="419" t="s">
        <v>396</v>
      </c>
      <c r="D117" s="419"/>
      <c r="E117" s="419"/>
      <c r="F117" s="27" t="s">
        <v>70</v>
      </c>
      <c r="G117" s="22" t="s">
        <v>4260</v>
      </c>
      <c r="H117" s="58"/>
      <c r="I117" s="28"/>
      <c r="J117" s="28"/>
      <c r="K117" s="29"/>
      <c r="BC117" s="14"/>
      <c r="BD117" s="15"/>
      <c r="BE117" s="21"/>
      <c r="BF117" s="43"/>
      <c r="BG117" s="12" t="s">
        <v>396</v>
      </c>
      <c r="BH117" s="12"/>
    </row>
    <row r="118" spans="1:60" s="3" customFormat="1" ht="20.399999999999999" x14ac:dyDescent="0.3">
      <c r="A118" s="37" t="s">
        <v>143</v>
      </c>
      <c r="B118" s="38" t="s">
        <v>509</v>
      </c>
      <c r="C118" s="430" t="s">
        <v>510</v>
      </c>
      <c r="D118" s="430"/>
      <c r="E118" s="430"/>
      <c r="F118" s="39" t="s">
        <v>70</v>
      </c>
      <c r="G118" s="40" t="s">
        <v>4261</v>
      </c>
      <c r="H118" s="100"/>
      <c r="I118" s="41"/>
      <c r="J118" s="41"/>
      <c r="K118" s="42"/>
      <c r="BC118" s="14"/>
      <c r="BD118" s="15"/>
      <c r="BE118" s="21"/>
      <c r="BF118" s="43" t="s">
        <v>510</v>
      </c>
      <c r="BG118" s="12"/>
      <c r="BH118" s="12"/>
    </row>
    <row r="119" spans="1:60" s="3" customFormat="1" ht="42" x14ac:dyDescent="0.3">
      <c r="A119" s="25"/>
      <c r="B119" s="26" t="s">
        <v>512</v>
      </c>
      <c r="C119" s="419" t="s">
        <v>513</v>
      </c>
      <c r="D119" s="419"/>
      <c r="E119" s="419"/>
      <c r="F119" s="27" t="s">
        <v>70</v>
      </c>
      <c r="G119" s="22" t="s">
        <v>4262</v>
      </c>
      <c r="H119" s="58"/>
      <c r="I119" s="28"/>
      <c r="J119" s="28"/>
      <c r="K119" s="29"/>
      <c r="BC119" s="14"/>
      <c r="BD119" s="15"/>
      <c r="BE119" s="21"/>
      <c r="BF119" s="43"/>
      <c r="BG119" s="12" t="s">
        <v>513</v>
      </c>
      <c r="BH119" s="12"/>
    </row>
    <row r="120" spans="1:60" s="3" customFormat="1" ht="42" x14ac:dyDescent="0.3">
      <c r="A120" s="25"/>
      <c r="B120" s="26" t="s">
        <v>404</v>
      </c>
      <c r="C120" s="419" t="s">
        <v>405</v>
      </c>
      <c r="D120" s="419"/>
      <c r="E120" s="419"/>
      <c r="F120" s="27" t="s">
        <v>406</v>
      </c>
      <c r="G120" s="22" t="s">
        <v>4263</v>
      </c>
      <c r="H120" s="58"/>
      <c r="I120" s="28"/>
      <c r="J120" s="28"/>
      <c r="K120" s="29"/>
      <c r="BC120" s="14"/>
      <c r="BD120" s="15"/>
      <c r="BE120" s="21"/>
      <c r="BF120" s="43"/>
      <c r="BG120" s="12" t="s">
        <v>405</v>
      </c>
      <c r="BH120" s="12"/>
    </row>
    <row r="121" spans="1:60" s="3" customFormat="1" ht="21.6" x14ac:dyDescent="0.3">
      <c r="A121" s="25"/>
      <c r="B121" s="26" t="s">
        <v>285</v>
      </c>
      <c r="C121" s="419" t="s">
        <v>286</v>
      </c>
      <c r="D121" s="419"/>
      <c r="E121" s="419"/>
      <c r="F121" s="27" t="s">
        <v>70</v>
      </c>
      <c r="G121" s="22" t="s">
        <v>4264</v>
      </c>
      <c r="H121" s="58"/>
      <c r="I121" s="28"/>
      <c r="J121" s="28"/>
      <c r="K121" s="29"/>
      <c r="BC121" s="14"/>
      <c r="BD121" s="15"/>
      <c r="BE121" s="21"/>
      <c r="BF121" s="43"/>
      <c r="BG121" s="12" t="s">
        <v>286</v>
      </c>
      <c r="BH121" s="12"/>
    </row>
    <row r="122" spans="1:60" s="3" customFormat="1" ht="20.399999999999999" x14ac:dyDescent="0.3">
      <c r="A122" s="25"/>
      <c r="B122" s="26" t="s">
        <v>409</v>
      </c>
      <c r="C122" s="419" t="s">
        <v>410</v>
      </c>
      <c r="D122" s="419"/>
      <c r="E122" s="419"/>
      <c r="F122" s="27" t="s">
        <v>70</v>
      </c>
      <c r="G122" s="22" t="s">
        <v>4265</v>
      </c>
      <c r="H122" s="58"/>
      <c r="I122" s="28"/>
      <c r="J122" s="28"/>
      <c r="K122" s="29"/>
      <c r="BC122" s="14"/>
      <c r="BD122" s="15"/>
      <c r="BE122" s="21"/>
      <c r="BF122" s="43"/>
      <c r="BG122" s="12" t="s">
        <v>410</v>
      </c>
      <c r="BH122" s="12"/>
    </row>
    <row r="123" spans="1:60" s="3" customFormat="1" ht="21.6" x14ac:dyDescent="0.3">
      <c r="A123" s="25"/>
      <c r="B123" s="26" t="s">
        <v>412</v>
      </c>
      <c r="C123" s="419" t="s">
        <v>413</v>
      </c>
      <c r="D123" s="419"/>
      <c r="E123" s="419"/>
      <c r="F123" s="27" t="s">
        <v>46</v>
      </c>
      <c r="G123" s="22" t="s">
        <v>4266</v>
      </c>
      <c r="H123" s="58"/>
      <c r="I123" s="28"/>
      <c r="J123" s="28"/>
      <c r="K123" s="29"/>
      <c r="BC123" s="14"/>
      <c r="BD123" s="15"/>
      <c r="BE123" s="21"/>
      <c r="BF123" s="43"/>
      <c r="BG123" s="12" t="s">
        <v>413</v>
      </c>
      <c r="BH123" s="12"/>
    </row>
    <row r="124" spans="1:60" s="3" customFormat="1" ht="20.399999999999999" x14ac:dyDescent="0.3">
      <c r="A124" s="25"/>
      <c r="B124" s="26" t="s">
        <v>415</v>
      </c>
      <c r="C124" s="419" t="s">
        <v>416</v>
      </c>
      <c r="D124" s="419"/>
      <c r="E124" s="419"/>
      <c r="F124" s="27" t="s">
        <v>70</v>
      </c>
      <c r="G124" s="22" t="s">
        <v>4267</v>
      </c>
      <c r="H124" s="58"/>
      <c r="I124" s="28"/>
      <c r="J124" s="28"/>
      <c r="K124" s="29"/>
      <c r="BC124" s="14"/>
      <c r="BD124" s="15"/>
      <c r="BE124" s="21"/>
      <c r="BF124" s="43"/>
      <c r="BG124" s="12" t="s">
        <v>416</v>
      </c>
      <c r="BH124" s="12"/>
    </row>
    <row r="125" spans="1:60" s="3" customFormat="1" ht="20.399999999999999" x14ac:dyDescent="0.3">
      <c r="A125" s="25"/>
      <c r="B125" s="26" t="s">
        <v>370</v>
      </c>
      <c r="C125" s="419" t="s">
        <v>371</v>
      </c>
      <c r="D125" s="419"/>
      <c r="E125" s="419"/>
      <c r="F125" s="27" t="s">
        <v>75</v>
      </c>
      <c r="G125" s="22" t="s">
        <v>4268</v>
      </c>
      <c r="H125" s="58"/>
      <c r="I125" s="28"/>
      <c r="J125" s="28"/>
      <c r="K125" s="29"/>
      <c r="BC125" s="14"/>
      <c r="BD125" s="15"/>
      <c r="BE125" s="21"/>
      <c r="BF125" s="43"/>
      <c r="BG125" s="12" t="s">
        <v>371</v>
      </c>
      <c r="BH125" s="12"/>
    </row>
    <row r="126" spans="1:60" s="3" customFormat="1" ht="21.6" x14ac:dyDescent="0.3">
      <c r="A126" s="16" t="s">
        <v>225</v>
      </c>
      <c r="B126" s="17" t="s">
        <v>521</v>
      </c>
      <c r="C126" s="405" t="s">
        <v>119</v>
      </c>
      <c r="D126" s="405"/>
      <c r="E126" s="405"/>
      <c r="F126" s="16" t="s">
        <v>70</v>
      </c>
      <c r="G126" s="31">
        <v>22.12</v>
      </c>
      <c r="H126" s="57">
        <f t="shared" ref="H126:H127" si="4">I126/G126</f>
        <v>0</v>
      </c>
      <c r="I126" s="19">
        <v>0</v>
      </c>
      <c r="J126" s="19">
        <f t="shared" ref="J126:J127" si="5">K126/G126</f>
        <v>67003.349909584082</v>
      </c>
      <c r="K126" s="19">
        <v>1482114.1</v>
      </c>
      <c r="BC126" s="14"/>
      <c r="BD126" s="15"/>
      <c r="BE126" s="21" t="s">
        <v>119</v>
      </c>
      <c r="BF126" s="43"/>
      <c r="BG126" s="12"/>
      <c r="BH126" s="12"/>
    </row>
    <row r="127" spans="1:60" s="3" customFormat="1" ht="14.4" x14ac:dyDescent="0.3">
      <c r="A127" s="16" t="s">
        <v>227</v>
      </c>
      <c r="B127" s="17" t="s">
        <v>586</v>
      </c>
      <c r="C127" s="405" t="s">
        <v>587</v>
      </c>
      <c r="D127" s="405"/>
      <c r="E127" s="405"/>
      <c r="F127" s="16" t="s">
        <v>70</v>
      </c>
      <c r="G127" s="24">
        <v>0.3</v>
      </c>
      <c r="H127" s="57">
        <f t="shared" si="4"/>
        <v>0</v>
      </c>
      <c r="I127" s="19">
        <v>0</v>
      </c>
      <c r="J127" s="19">
        <f t="shared" si="5"/>
        <v>244215.76666666666</v>
      </c>
      <c r="K127" s="19">
        <v>73264.73</v>
      </c>
      <c r="BC127" s="14"/>
      <c r="BD127" s="15"/>
      <c r="BE127" s="21" t="s">
        <v>587</v>
      </c>
      <c r="BF127" s="43"/>
      <c r="BG127" s="12"/>
      <c r="BH127" s="12"/>
    </row>
    <row r="128" spans="1:60" s="3" customFormat="1" ht="15" customHeight="1" x14ac:dyDescent="0.3">
      <c r="A128" s="437" t="s">
        <v>421</v>
      </c>
      <c r="B128" s="418"/>
      <c r="C128" s="418"/>
      <c r="D128" s="418"/>
      <c r="E128" s="418"/>
      <c r="F128" s="61"/>
      <c r="G128" s="61"/>
      <c r="H128" s="123"/>
      <c r="I128" s="123"/>
      <c r="J128" s="123"/>
      <c r="K128" s="124"/>
      <c r="BC128" s="14"/>
      <c r="BD128" s="15" t="s">
        <v>421</v>
      </c>
      <c r="BE128" s="21"/>
      <c r="BF128" s="43"/>
      <c r="BG128" s="12"/>
      <c r="BH128" s="12"/>
    </row>
    <row r="129" spans="1:60" s="3" customFormat="1" ht="31.8" x14ac:dyDescent="0.3">
      <c r="A129" s="16" t="s">
        <v>230</v>
      </c>
      <c r="B129" s="17" t="s">
        <v>422</v>
      </c>
      <c r="C129" s="405" t="s">
        <v>423</v>
      </c>
      <c r="D129" s="405"/>
      <c r="E129" s="405"/>
      <c r="F129" s="16" t="s">
        <v>46</v>
      </c>
      <c r="G129" s="24">
        <v>0.1</v>
      </c>
      <c r="H129" s="57">
        <f t="shared" ref="H129:H130" si="6">I129/G129</f>
        <v>6054.8</v>
      </c>
      <c r="I129" s="19">
        <f>605.48-K129</f>
        <v>605.48</v>
      </c>
      <c r="J129" s="19">
        <f t="shared" ref="J129:J130" si="7">K129/G129</f>
        <v>0</v>
      </c>
      <c r="K129" s="19">
        <v>0</v>
      </c>
      <c r="BC129" s="14"/>
      <c r="BD129" s="15"/>
      <c r="BE129" s="21" t="s">
        <v>423</v>
      </c>
      <c r="BF129" s="43"/>
      <c r="BG129" s="12"/>
      <c r="BH129" s="12"/>
    </row>
    <row r="130" spans="1:60" s="3" customFormat="1" ht="62.4" x14ac:dyDescent="0.3">
      <c r="A130" s="16" t="s">
        <v>233</v>
      </c>
      <c r="B130" s="17" t="s">
        <v>424</v>
      </c>
      <c r="C130" s="405" t="s">
        <v>425</v>
      </c>
      <c r="D130" s="405"/>
      <c r="E130" s="405"/>
      <c r="F130" s="16" t="s">
        <v>329</v>
      </c>
      <c r="G130" s="31">
        <v>0.05</v>
      </c>
      <c r="H130" s="57">
        <f t="shared" si="6"/>
        <v>41860.999999999985</v>
      </c>
      <c r="I130" s="19">
        <f>13346.89-K130</f>
        <v>2093.0499999999993</v>
      </c>
      <c r="J130" s="19">
        <f t="shared" si="7"/>
        <v>225076.8</v>
      </c>
      <c r="K130" s="19">
        <v>11253.84</v>
      </c>
      <c r="BC130" s="14"/>
      <c r="BD130" s="15"/>
      <c r="BE130" s="21" t="s">
        <v>425</v>
      </c>
      <c r="BF130" s="43"/>
      <c r="BG130" s="12"/>
      <c r="BH130" s="12"/>
    </row>
    <row r="131" spans="1:60" s="3" customFormat="1" ht="20.399999999999999" x14ac:dyDescent="0.3">
      <c r="A131" s="37" t="s">
        <v>78</v>
      </c>
      <c r="B131" s="38" t="s">
        <v>154</v>
      </c>
      <c r="C131" s="430" t="s">
        <v>155</v>
      </c>
      <c r="D131" s="430"/>
      <c r="E131" s="430"/>
      <c r="F131" s="39" t="s">
        <v>46</v>
      </c>
      <c r="G131" s="40" t="s">
        <v>33</v>
      </c>
      <c r="H131" s="100"/>
      <c r="I131" s="41"/>
      <c r="J131" s="41"/>
      <c r="K131" s="42"/>
      <c r="BC131" s="14"/>
      <c r="BD131" s="15"/>
      <c r="BE131" s="21"/>
      <c r="BF131" s="43" t="s">
        <v>155</v>
      </c>
      <c r="BG131" s="12"/>
      <c r="BH131" s="12"/>
    </row>
    <row r="132" spans="1:60" s="3" customFormat="1" ht="20.399999999999999" x14ac:dyDescent="0.3">
      <c r="A132" s="37" t="s">
        <v>78</v>
      </c>
      <c r="B132" s="38" t="s">
        <v>426</v>
      </c>
      <c r="C132" s="430" t="s">
        <v>427</v>
      </c>
      <c r="D132" s="430"/>
      <c r="E132" s="430"/>
      <c r="F132" s="39" t="s">
        <v>75</v>
      </c>
      <c r="G132" s="40" t="s">
        <v>33</v>
      </c>
      <c r="H132" s="100"/>
      <c r="I132" s="41"/>
      <c r="J132" s="41"/>
      <c r="K132" s="42"/>
      <c r="BC132" s="14"/>
      <c r="BD132" s="15"/>
      <c r="BE132" s="21"/>
      <c r="BF132" s="43" t="s">
        <v>427</v>
      </c>
      <c r="BG132" s="12"/>
      <c r="BH132" s="12"/>
    </row>
    <row r="133" spans="1:60" s="3" customFormat="1" ht="31.8" x14ac:dyDescent="0.3">
      <c r="A133" s="37" t="s">
        <v>78</v>
      </c>
      <c r="B133" s="38" t="s">
        <v>428</v>
      </c>
      <c r="C133" s="430" t="s">
        <v>429</v>
      </c>
      <c r="D133" s="430"/>
      <c r="E133" s="430"/>
      <c r="F133" s="39" t="s">
        <v>430</v>
      </c>
      <c r="G133" s="40" t="s">
        <v>33</v>
      </c>
      <c r="H133" s="100"/>
      <c r="I133" s="41"/>
      <c r="J133" s="41"/>
      <c r="K133" s="42"/>
      <c r="BC133" s="14"/>
      <c r="BD133" s="15"/>
      <c r="BE133" s="21"/>
      <c r="BF133" s="43" t="s">
        <v>429</v>
      </c>
      <c r="BG133" s="12"/>
      <c r="BH133" s="12"/>
    </row>
    <row r="134" spans="1:60" s="3" customFormat="1" ht="31.8" x14ac:dyDescent="0.3">
      <c r="A134" s="25" t="s">
        <v>129</v>
      </c>
      <c r="B134" s="26" t="s">
        <v>431</v>
      </c>
      <c r="C134" s="419" t="s">
        <v>432</v>
      </c>
      <c r="D134" s="419"/>
      <c r="E134" s="419"/>
      <c r="F134" s="27" t="s">
        <v>75</v>
      </c>
      <c r="G134" s="22" t="s">
        <v>433</v>
      </c>
      <c r="H134" s="57"/>
      <c r="I134" s="28"/>
      <c r="J134" s="19"/>
      <c r="K134" s="29"/>
      <c r="BC134" s="14"/>
      <c r="BD134" s="15"/>
      <c r="BE134" s="21"/>
      <c r="BF134" s="43"/>
      <c r="BG134" s="12"/>
      <c r="BH134" s="12" t="s">
        <v>432</v>
      </c>
    </row>
    <row r="135" spans="1:60" s="3" customFormat="1" ht="20.399999999999999" x14ac:dyDescent="0.3">
      <c r="A135" s="25" t="s">
        <v>129</v>
      </c>
      <c r="B135" s="26" t="s">
        <v>434</v>
      </c>
      <c r="C135" s="419" t="s">
        <v>155</v>
      </c>
      <c r="D135" s="419"/>
      <c r="E135" s="419"/>
      <c r="F135" s="27" t="s">
        <v>46</v>
      </c>
      <c r="G135" s="22" t="s">
        <v>435</v>
      </c>
      <c r="H135" s="57"/>
      <c r="I135" s="28"/>
      <c r="J135" s="19"/>
      <c r="K135" s="29"/>
      <c r="BC135" s="14"/>
      <c r="BD135" s="15"/>
      <c r="BE135" s="21"/>
      <c r="BF135" s="43"/>
      <c r="BG135" s="12"/>
      <c r="BH135" s="12" t="s">
        <v>155</v>
      </c>
    </row>
    <row r="136" spans="1:60" s="3" customFormat="1" ht="15" customHeight="1" x14ac:dyDescent="0.3">
      <c r="A136" s="437" t="s">
        <v>436</v>
      </c>
      <c r="B136" s="418"/>
      <c r="C136" s="418"/>
      <c r="D136" s="418"/>
      <c r="E136" s="418"/>
      <c r="F136" s="61"/>
      <c r="G136" s="61"/>
      <c r="H136" s="123"/>
      <c r="I136" s="123"/>
      <c r="J136" s="123"/>
      <c r="K136" s="124"/>
      <c r="BC136" s="14"/>
      <c r="BD136" s="15" t="s">
        <v>436</v>
      </c>
      <c r="BE136" s="21"/>
      <c r="BF136" s="43"/>
      <c r="BG136" s="12"/>
      <c r="BH136" s="12"/>
    </row>
    <row r="137" spans="1:60" s="3" customFormat="1" ht="14.4" x14ac:dyDescent="0.3">
      <c r="A137" s="16" t="s">
        <v>235</v>
      </c>
      <c r="B137" s="17" t="s">
        <v>437</v>
      </c>
      <c r="C137" s="405" t="s">
        <v>438</v>
      </c>
      <c r="D137" s="405"/>
      <c r="E137" s="405"/>
      <c r="F137" s="16" t="s">
        <v>142</v>
      </c>
      <c r="G137" s="31">
        <v>0.32</v>
      </c>
      <c r="H137" s="57">
        <f>I137/G137</f>
        <v>10268.656250000004</v>
      </c>
      <c r="I137" s="19">
        <f>113028.8-K137</f>
        <v>3285.9700000000012</v>
      </c>
      <c r="J137" s="19">
        <f>K137/G137</f>
        <v>342946.34375</v>
      </c>
      <c r="K137" s="19">
        <v>109742.83</v>
      </c>
      <c r="BC137" s="14"/>
      <c r="BD137" s="15"/>
      <c r="BE137" s="21" t="s">
        <v>438</v>
      </c>
      <c r="BF137" s="43"/>
      <c r="BG137" s="12"/>
      <c r="BH137" s="12"/>
    </row>
    <row r="138" spans="1:60" s="3" customFormat="1" ht="20.399999999999999" x14ac:dyDescent="0.3">
      <c r="A138" s="37" t="s">
        <v>143</v>
      </c>
      <c r="B138" s="38" t="s">
        <v>439</v>
      </c>
      <c r="C138" s="430" t="s">
        <v>440</v>
      </c>
      <c r="D138" s="430"/>
      <c r="E138" s="430"/>
      <c r="F138" s="39" t="s">
        <v>38</v>
      </c>
      <c r="G138" s="40" t="s">
        <v>441</v>
      </c>
      <c r="H138" s="100"/>
      <c r="I138" s="41"/>
      <c r="J138" s="41"/>
      <c r="K138" s="42"/>
      <c r="BC138" s="14"/>
      <c r="BD138" s="15"/>
      <c r="BE138" s="21"/>
      <c r="BF138" s="43" t="s">
        <v>440</v>
      </c>
      <c r="BG138" s="12"/>
      <c r="BH138" s="12"/>
    </row>
    <row r="139" spans="1:60" s="3" customFormat="1" ht="20.399999999999999" x14ac:dyDescent="0.3">
      <c r="A139" s="25"/>
      <c r="B139" s="26" t="s">
        <v>442</v>
      </c>
      <c r="C139" s="419" t="s">
        <v>443</v>
      </c>
      <c r="D139" s="419"/>
      <c r="E139" s="419"/>
      <c r="F139" s="27" t="s">
        <v>142</v>
      </c>
      <c r="G139" s="22" t="s">
        <v>444</v>
      </c>
      <c r="H139" s="58"/>
      <c r="I139" s="28"/>
      <c r="J139" s="28"/>
      <c r="K139" s="29"/>
      <c r="BC139" s="14"/>
      <c r="BD139" s="15"/>
      <c r="BE139" s="21"/>
      <c r="BF139" s="43"/>
      <c r="BG139" s="12" t="s">
        <v>443</v>
      </c>
      <c r="BH139" s="12"/>
    </row>
    <row r="140" spans="1:60" s="3" customFormat="1" ht="20.399999999999999" x14ac:dyDescent="0.3">
      <c r="A140" s="37" t="s">
        <v>78</v>
      </c>
      <c r="B140" s="38" t="s">
        <v>445</v>
      </c>
      <c r="C140" s="430" t="s">
        <v>446</v>
      </c>
      <c r="D140" s="430"/>
      <c r="E140" s="430"/>
      <c r="F140" s="39" t="s">
        <v>38</v>
      </c>
      <c r="G140" s="40" t="s">
        <v>33</v>
      </c>
      <c r="H140" s="100"/>
      <c r="I140" s="41"/>
      <c r="J140" s="41"/>
      <c r="K140" s="42"/>
      <c r="BC140" s="14"/>
      <c r="BD140" s="15"/>
      <c r="BE140" s="21"/>
      <c r="BF140" s="43" t="s">
        <v>446</v>
      </c>
      <c r="BG140" s="12"/>
      <c r="BH140" s="12"/>
    </row>
    <row r="141" spans="1:60" s="3" customFormat="1" ht="31.8" x14ac:dyDescent="0.3">
      <c r="A141" s="25" t="s">
        <v>129</v>
      </c>
      <c r="B141" s="26" t="s">
        <v>447</v>
      </c>
      <c r="C141" s="419" t="s">
        <v>448</v>
      </c>
      <c r="D141" s="419"/>
      <c r="E141" s="419"/>
      <c r="F141" s="27" t="s">
        <v>38</v>
      </c>
      <c r="G141" s="22" t="s">
        <v>441</v>
      </c>
      <c r="H141" s="57"/>
      <c r="I141" s="28"/>
      <c r="J141" s="19"/>
      <c r="K141" s="29"/>
      <c r="BC141" s="14"/>
      <c r="BD141" s="15"/>
      <c r="BE141" s="21"/>
      <c r="BF141" s="43"/>
      <c r="BG141" s="12"/>
      <c r="BH141" s="12" t="s">
        <v>448</v>
      </c>
    </row>
    <row r="142" spans="1:60" s="3" customFormat="1" ht="42" x14ac:dyDescent="0.3">
      <c r="A142" s="25" t="s">
        <v>129</v>
      </c>
      <c r="B142" s="26" t="s">
        <v>449</v>
      </c>
      <c r="C142" s="419" t="s">
        <v>450</v>
      </c>
      <c r="D142" s="419"/>
      <c r="E142" s="419"/>
      <c r="F142" s="27" t="s">
        <v>38</v>
      </c>
      <c r="G142" s="22" t="s">
        <v>441</v>
      </c>
      <c r="H142" s="57"/>
      <c r="I142" s="28"/>
      <c r="J142" s="19"/>
      <c r="K142" s="29"/>
      <c r="BC142" s="14"/>
      <c r="BD142" s="15"/>
      <c r="BE142" s="21"/>
      <c r="BF142" s="43"/>
      <c r="BG142" s="12"/>
      <c r="BH142" s="12" t="s">
        <v>450</v>
      </c>
    </row>
    <row r="143" spans="1:60" s="3" customFormat="1" ht="24.75" customHeight="1" x14ac:dyDescent="0.3">
      <c r="A143" s="437" t="s">
        <v>4269</v>
      </c>
      <c r="B143" s="418"/>
      <c r="C143" s="418"/>
      <c r="D143" s="418"/>
      <c r="E143" s="418"/>
      <c r="F143" s="61"/>
      <c r="G143" s="61"/>
      <c r="H143" s="123"/>
      <c r="I143" s="123"/>
      <c r="J143" s="123"/>
      <c r="K143" s="124"/>
      <c r="BC143" s="14"/>
      <c r="BD143" s="15" t="s">
        <v>4269</v>
      </c>
      <c r="BE143" s="21"/>
      <c r="BF143" s="43"/>
      <c r="BG143" s="12"/>
      <c r="BH143" s="12"/>
    </row>
    <row r="144" spans="1:60" s="3" customFormat="1" ht="21.6" x14ac:dyDescent="0.3">
      <c r="A144" s="16" t="s">
        <v>237</v>
      </c>
      <c r="B144" s="17" t="s">
        <v>452</v>
      </c>
      <c r="C144" s="405" t="s">
        <v>453</v>
      </c>
      <c r="D144" s="405"/>
      <c r="E144" s="405"/>
      <c r="F144" s="16" t="s">
        <v>329</v>
      </c>
      <c r="G144" s="24">
        <v>3.5</v>
      </c>
      <c r="H144" s="57">
        <f>I144/G144</f>
        <v>4417.3485714285798</v>
      </c>
      <c r="I144" s="19">
        <f>386923.76-K144</f>
        <v>15460.72000000003</v>
      </c>
      <c r="J144" s="19">
        <f>K144/G144</f>
        <v>106132.29714285713</v>
      </c>
      <c r="K144" s="19">
        <v>371463.04</v>
      </c>
      <c r="BC144" s="14"/>
      <c r="BD144" s="15"/>
      <c r="BE144" s="21" t="s">
        <v>453</v>
      </c>
      <c r="BF144" s="43"/>
      <c r="BG144" s="12"/>
      <c r="BH144" s="12"/>
    </row>
    <row r="145" spans="1:60" s="3" customFormat="1" ht="31.8" x14ac:dyDescent="0.3">
      <c r="A145" s="25"/>
      <c r="B145" s="26" t="s">
        <v>454</v>
      </c>
      <c r="C145" s="419" t="s">
        <v>455</v>
      </c>
      <c r="D145" s="419"/>
      <c r="E145" s="419"/>
      <c r="F145" s="27" t="s">
        <v>70</v>
      </c>
      <c r="G145" s="22" t="s">
        <v>4270</v>
      </c>
      <c r="H145" s="58"/>
      <c r="I145" s="28"/>
      <c r="J145" s="28"/>
      <c r="K145" s="29"/>
      <c r="BC145" s="14"/>
      <c r="BD145" s="15"/>
      <c r="BE145" s="21"/>
      <c r="BF145" s="43"/>
      <c r="BG145" s="12" t="s">
        <v>455</v>
      </c>
      <c r="BH145" s="12"/>
    </row>
    <row r="146" spans="1:60" s="3" customFormat="1" ht="20.399999999999999" x14ac:dyDescent="0.3">
      <c r="A146" s="25"/>
      <c r="B146" s="26" t="s">
        <v>370</v>
      </c>
      <c r="C146" s="419" t="s">
        <v>371</v>
      </c>
      <c r="D146" s="419"/>
      <c r="E146" s="419"/>
      <c r="F146" s="27" t="s">
        <v>75</v>
      </c>
      <c r="G146" s="22" t="s">
        <v>4271</v>
      </c>
      <c r="H146" s="58"/>
      <c r="I146" s="28"/>
      <c r="J146" s="28"/>
      <c r="K146" s="29"/>
      <c r="BC146" s="14"/>
      <c r="BD146" s="15"/>
      <c r="BE146" s="21"/>
      <c r="BF146" s="43"/>
      <c r="BG146" s="12" t="s">
        <v>371</v>
      </c>
      <c r="BH146" s="12"/>
    </row>
    <row r="147" spans="1:60" s="3" customFormat="1" ht="21.6" x14ac:dyDescent="0.3">
      <c r="A147" s="25" t="s">
        <v>129</v>
      </c>
      <c r="B147" s="26" t="s">
        <v>460</v>
      </c>
      <c r="C147" s="419" t="s">
        <v>461</v>
      </c>
      <c r="D147" s="419"/>
      <c r="E147" s="419"/>
      <c r="F147" s="27" t="s">
        <v>75</v>
      </c>
      <c r="G147" s="22" t="s">
        <v>4272</v>
      </c>
      <c r="H147" s="57"/>
      <c r="I147" s="28"/>
      <c r="J147" s="19"/>
      <c r="K147" s="29"/>
      <c r="BC147" s="14"/>
      <c r="BD147" s="15"/>
      <c r="BE147" s="21"/>
      <c r="BF147" s="43"/>
      <c r="BG147" s="12"/>
      <c r="BH147" s="12" t="s">
        <v>461</v>
      </c>
    </row>
    <row r="148" spans="1:60" s="3" customFormat="1" ht="15" customHeight="1" x14ac:dyDescent="0.3">
      <c r="A148" s="437" t="s">
        <v>463</v>
      </c>
      <c r="B148" s="418"/>
      <c r="C148" s="418"/>
      <c r="D148" s="418"/>
      <c r="E148" s="418"/>
      <c r="F148" s="61"/>
      <c r="G148" s="61"/>
      <c r="H148" s="123"/>
      <c r="I148" s="123"/>
      <c r="J148" s="123"/>
      <c r="K148" s="124"/>
      <c r="BC148" s="14"/>
      <c r="BD148" s="15" t="s">
        <v>463</v>
      </c>
      <c r="BE148" s="21"/>
      <c r="BF148" s="43"/>
      <c r="BG148" s="12"/>
      <c r="BH148" s="12"/>
    </row>
    <row r="149" spans="1:60" s="3" customFormat="1" ht="21.6" x14ac:dyDescent="0.3">
      <c r="A149" s="16" t="s">
        <v>243</v>
      </c>
      <c r="B149" s="17" t="s">
        <v>464</v>
      </c>
      <c r="C149" s="405" t="s">
        <v>465</v>
      </c>
      <c r="D149" s="405"/>
      <c r="E149" s="405"/>
      <c r="F149" s="16" t="s">
        <v>158</v>
      </c>
      <c r="G149" s="23">
        <v>35</v>
      </c>
      <c r="H149" s="57">
        <f>I149/G149</f>
        <v>1501.924</v>
      </c>
      <c r="I149" s="19">
        <f>55593.6-K149</f>
        <v>52567.34</v>
      </c>
      <c r="J149" s="19">
        <f>K149/G149</f>
        <v>86.464571428571432</v>
      </c>
      <c r="K149" s="19">
        <v>3026.26</v>
      </c>
      <c r="BC149" s="14"/>
      <c r="BD149" s="15"/>
      <c r="BE149" s="21" t="s">
        <v>465</v>
      </c>
      <c r="BF149" s="43"/>
      <c r="BG149" s="12"/>
      <c r="BH149" s="12"/>
    </row>
    <row r="150" spans="1:60" s="3" customFormat="1" ht="20.399999999999999" x14ac:dyDescent="0.3">
      <c r="A150" s="37" t="s">
        <v>143</v>
      </c>
      <c r="B150" s="38" t="s">
        <v>466</v>
      </c>
      <c r="C150" s="430" t="s">
        <v>467</v>
      </c>
      <c r="D150" s="430"/>
      <c r="E150" s="430"/>
      <c r="F150" s="39" t="s">
        <v>75</v>
      </c>
      <c r="G150" s="40" t="s">
        <v>4273</v>
      </c>
      <c r="H150" s="100"/>
      <c r="I150" s="41"/>
      <c r="J150" s="41"/>
      <c r="K150" s="42"/>
      <c r="BC150" s="14"/>
      <c r="BD150" s="15"/>
      <c r="BE150" s="21"/>
      <c r="BF150" s="43" t="s">
        <v>467</v>
      </c>
      <c r="BG150" s="12"/>
      <c r="BH150" s="12"/>
    </row>
    <row r="151" spans="1:60" s="3" customFormat="1" ht="20.399999999999999" x14ac:dyDescent="0.3">
      <c r="A151" s="25" t="s">
        <v>129</v>
      </c>
      <c r="B151" s="26" t="s">
        <v>469</v>
      </c>
      <c r="C151" s="419" t="s">
        <v>467</v>
      </c>
      <c r="D151" s="419"/>
      <c r="E151" s="419"/>
      <c r="F151" s="27" t="s">
        <v>70</v>
      </c>
      <c r="G151" s="22" t="s">
        <v>4274</v>
      </c>
      <c r="H151" s="57"/>
      <c r="I151" s="28"/>
      <c r="J151" s="19"/>
      <c r="K151" s="29"/>
      <c r="BC151" s="14"/>
      <c r="BD151" s="15"/>
      <c r="BE151" s="21"/>
      <c r="BF151" s="43"/>
      <c r="BG151" s="12"/>
      <c r="BH151" s="12" t="s">
        <v>467</v>
      </c>
    </row>
    <row r="152" spans="1:60" s="3" customFormat="1" ht="31.8" x14ac:dyDescent="0.3">
      <c r="A152" s="16" t="s">
        <v>244</v>
      </c>
      <c r="B152" s="17" t="s">
        <v>471</v>
      </c>
      <c r="C152" s="405" t="s">
        <v>472</v>
      </c>
      <c r="D152" s="405"/>
      <c r="E152" s="405"/>
      <c r="F152" s="16" t="s">
        <v>329</v>
      </c>
      <c r="G152" s="31">
        <v>0.35</v>
      </c>
      <c r="H152" s="57">
        <f>I152/G152</f>
        <v>8353.1142857142859</v>
      </c>
      <c r="I152" s="19">
        <f>3612.91-K152</f>
        <v>2923.5899999999997</v>
      </c>
      <c r="J152" s="19">
        <f>K152/G152</f>
        <v>1969.4857142857145</v>
      </c>
      <c r="K152" s="19">
        <v>689.32</v>
      </c>
      <c r="BC152" s="14"/>
      <c r="BD152" s="15"/>
      <c r="BE152" s="21" t="s">
        <v>472</v>
      </c>
      <c r="BF152" s="43"/>
      <c r="BG152" s="12"/>
      <c r="BH152" s="12"/>
    </row>
    <row r="153" spans="1:60" s="3" customFormat="1" ht="20.399999999999999" x14ac:dyDescent="0.3">
      <c r="A153" s="25"/>
      <c r="B153" s="26" t="s">
        <v>339</v>
      </c>
      <c r="C153" s="419" t="s">
        <v>340</v>
      </c>
      <c r="D153" s="419"/>
      <c r="E153" s="419"/>
      <c r="F153" s="27" t="s">
        <v>75</v>
      </c>
      <c r="G153" s="22" t="s">
        <v>4275</v>
      </c>
      <c r="H153" s="58"/>
      <c r="I153" s="28"/>
      <c r="J153" s="28"/>
      <c r="K153" s="29"/>
      <c r="BC153" s="14"/>
      <c r="BD153" s="15"/>
      <c r="BE153" s="21"/>
      <c r="BF153" s="43"/>
      <c r="BG153" s="12" t="s">
        <v>340</v>
      </c>
      <c r="BH153" s="12"/>
    </row>
    <row r="154" spans="1:60" s="3" customFormat="1" ht="20.399999999999999" x14ac:dyDescent="0.3">
      <c r="A154" s="25"/>
      <c r="B154" s="26" t="s">
        <v>353</v>
      </c>
      <c r="C154" s="419" t="s">
        <v>354</v>
      </c>
      <c r="D154" s="419"/>
      <c r="E154" s="419"/>
      <c r="F154" s="27" t="s">
        <v>75</v>
      </c>
      <c r="G154" s="22" t="s">
        <v>4276</v>
      </c>
      <c r="H154" s="58"/>
      <c r="I154" s="28"/>
      <c r="J154" s="28"/>
      <c r="K154" s="29"/>
      <c r="BC154" s="14"/>
      <c r="BD154" s="15"/>
      <c r="BE154" s="21"/>
      <c r="BF154" s="43"/>
      <c r="BG154" s="12" t="s">
        <v>354</v>
      </c>
      <c r="BH154" s="12"/>
    </row>
    <row r="155" spans="1:60" s="3" customFormat="1" ht="15" customHeight="1" x14ac:dyDescent="0.3">
      <c r="A155" s="437" t="s">
        <v>475</v>
      </c>
      <c r="B155" s="418"/>
      <c r="C155" s="418"/>
      <c r="D155" s="418"/>
      <c r="E155" s="418"/>
      <c r="F155" s="61"/>
      <c r="G155" s="61"/>
      <c r="H155" s="123"/>
      <c r="I155" s="123"/>
      <c r="J155" s="123"/>
      <c r="K155" s="124"/>
      <c r="BC155" s="14"/>
      <c r="BD155" s="15" t="s">
        <v>475</v>
      </c>
      <c r="BE155" s="21"/>
      <c r="BF155" s="43"/>
      <c r="BG155" s="12"/>
      <c r="BH155" s="12"/>
    </row>
    <row r="156" spans="1:60" s="3" customFormat="1" ht="14.4" x14ac:dyDescent="0.3">
      <c r="A156" s="16" t="s">
        <v>246</v>
      </c>
      <c r="B156" s="17" t="s">
        <v>476</v>
      </c>
      <c r="C156" s="405" t="s">
        <v>477</v>
      </c>
      <c r="D156" s="405"/>
      <c r="E156" s="405"/>
      <c r="F156" s="16" t="s">
        <v>158</v>
      </c>
      <c r="G156" s="23">
        <v>35</v>
      </c>
      <c r="H156" s="57">
        <f>I156/G156</f>
        <v>67.273714285714277</v>
      </c>
      <c r="I156" s="19">
        <f>2354.58-K156</f>
        <v>2354.58</v>
      </c>
      <c r="J156" s="19">
        <f>K156/G156</f>
        <v>0</v>
      </c>
      <c r="K156" s="19">
        <v>0</v>
      </c>
      <c r="BC156" s="14"/>
      <c r="BD156" s="15"/>
      <c r="BE156" s="21" t="s">
        <v>477</v>
      </c>
      <c r="BF156" s="43"/>
      <c r="BG156" s="12"/>
      <c r="BH156" s="12"/>
    </row>
    <row r="157" spans="1:60" s="3" customFormat="1" ht="24.75" customHeight="1" x14ac:dyDescent="0.3">
      <c r="A157" s="437" t="s">
        <v>532</v>
      </c>
      <c r="B157" s="418"/>
      <c r="C157" s="418"/>
      <c r="D157" s="418"/>
      <c r="E157" s="418"/>
      <c r="F157" s="61"/>
      <c r="G157" s="61"/>
      <c r="H157" s="123"/>
      <c r="I157" s="123"/>
      <c r="J157" s="123"/>
      <c r="K157" s="124"/>
      <c r="BC157" s="14"/>
      <c r="BD157" s="15" t="s">
        <v>532</v>
      </c>
      <c r="BE157" s="21"/>
      <c r="BF157" s="43"/>
      <c r="BG157" s="12"/>
      <c r="BH157" s="12"/>
    </row>
    <row r="158" spans="1:60" s="3" customFormat="1" ht="21.6" x14ac:dyDescent="0.3">
      <c r="A158" s="16" t="s">
        <v>247</v>
      </c>
      <c r="B158" s="17" t="s">
        <v>452</v>
      </c>
      <c r="C158" s="405" t="s">
        <v>453</v>
      </c>
      <c r="D158" s="405"/>
      <c r="E158" s="405"/>
      <c r="F158" s="16" t="s">
        <v>329</v>
      </c>
      <c r="G158" s="31">
        <v>0.35</v>
      </c>
      <c r="H158" s="57">
        <f>I158/G158</f>
        <v>4417.3714285714132</v>
      </c>
      <c r="I158" s="19">
        <f>38692.38-K158</f>
        <v>1546.0799999999945</v>
      </c>
      <c r="J158" s="19">
        <f>K158/G158</f>
        <v>106132.28571428572</v>
      </c>
      <c r="K158" s="19">
        <v>37146.300000000003</v>
      </c>
      <c r="BC158" s="14"/>
      <c r="BD158" s="15"/>
      <c r="BE158" s="21" t="s">
        <v>453</v>
      </c>
      <c r="BF158" s="43"/>
      <c r="BG158" s="12"/>
      <c r="BH158" s="12"/>
    </row>
    <row r="159" spans="1:60" s="3" customFormat="1" ht="31.8" x14ac:dyDescent="0.3">
      <c r="A159" s="25"/>
      <c r="B159" s="26" t="s">
        <v>454</v>
      </c>
      <c r="C159" s="419" t="s">
        <v>455</v>
      </c>
      <c r="D159" s="419"/>
      <c r="E159" s="419"/>
      <c r="F159" s="27" t="s">
        <v>70</v>
      </c>
      <c r="G159" s="22" t="s">
        <v>4277</v>
      </c>
      <c r="H159" s="58"/>
      <c r="I159" s="28"/>
      <c r="J159" s="28"/>
      <c r="K159" s="29"/>
      <c r="BC159" s="14"/>
      <c r="BD159" s="15"/>
      <c r="BE159" s="21"/>
      <c r="BF159" s="43"/>
      <c r="BG159" s="12" t="s">
        <v>455</v>
      </c>
      <c r="BH159" s="12"/>
    </row>
    <row r="160" spans="1:60" s="3" customFormat="1" ht="20.399999999999999" x14ac:dyDescent="0.3">
      <c r="A160" s="25"/>
      <c r="B160" s="26" t="s">
        <v>370</v>
      </c>
      <c r="C160" s="419" t="s">
        <v>371</v>
      </c>
      <c r="D160" s="419"/>
      <c r="E160" s="419"/>
      <c r="F160" s="27" t="s">
        <v>75</v>
      </c>
      <c r="G160" s="22" t="s">
        <v>4278</v>
      </c>
      <c r="H160" s="58"/>
      <c r="I160" s="28"/>
      <c r="J160" s="28"/>
      <c r="K160" s="29"/>
      <c r="BC160" s="14"/>
      <c r="BD160" s="15"/>
      <c r="BE160" s="21"/>
      <c r="BF160" s="43"/>
      <c r="BG160" s="12" t="s">
        <v>371</v>
      </c>
      <c r="BH160" s="12"/>
    </row>
    <row r="161" spans="1:60" s="3" customFormat="1" ht="21.6" x14ac:dyDescent="0.3">
      <c r="A161" s="25" t="s">
        <v>129</v>
      </c>
      <c r="B161" s="26" t="s">
        <v>460</v>
      </c>
      <c r="C161" s="419" t="s">
        <v>461</v>
      </c>
      <c r="D161" s="419"/>
      <c r="E161" s="419"/>
      <c r="F161" s="27" t="s">
        <v>75</v>
      </c>
      <c r="G161" s="22" t="s">
        <v>4276</v>
      </c>
      <c r="H161" s="57"/>
      <c r="I161" s="28"/>
      <c r="J161" s="19"/>
      <c r="K161" s="29"/>
      <c r="BC161" s="14"/>
      <c r="BD161" s="15"/>
      <c r="BE161" s="21"/>
      <c r="BF161" s="43"/>
      <c r="BG161" s="12"/>
      <c r="BH161" s="12" t="s">
        <v>461</v>
      </c>
    </row>
    <row r="162" spans="1:60" s="3" customFormat="1" ht="15" customHeight="1" x14ac:dyDescent="0.3">
      <c r="A162" s="437" t="s">
        <v>538</v>
      </c>
      <c r="B162" s="418"/>
      <c r="C162" s="418"/>
      <c r="D162" s="418"/>
      <c r="E162" s="418"/>
      <c r="F162" s="61"/>
      <c r="G162" s="61"/>
      <c r="H162" s="123"/>
      <c r="I162" s="123"/>
      <c r="J162" s="123"/>
      <c r="K162" s="124"/>
      <c r="BC162" s="14"/>
      <c r="BD162" s="15" t="s">
        <v>538</v>
      </c>
      <c r="BE162" s="21"/>
      <c r="BF162" s="43"/>
      <c r="BG162" s="12"/>
      <c r="BH162" s="12"/>
    </row>
    <row r="163" spans="1:60" s="3" customFormat="1" ht="31.8" x14ac:dyDescent="0.3">
      <c r="A163" s="16" t="s">
        <v>531</v>
      </c>
      <c r="B163" s="17" t="s">
        <v>471</v>
      </c>
      <c r="C163" s="405" t="s">
        <v>472</v>
      </c>
      <c r="D163" s="405"/>
      <c r="E163" s="405"/>
      <c r="F163" s="16" t="s">
        <v>329</v>
      </c>
      <c r="G163" s="24">
        <v>3.5</v>
      </c>
      <c r="H163" s="57">
        <f>I163/G163</f>
        <v>8353.1171428571415</v>
      </c>
      <c r="I163" s="19">
        <f>36129.09-K163</f>
        <v>29235.909999999996</v>
      </c>
      <c r="J163" s="19">
        <f>K163/G163</f>
        <v>1969.48</v>
      </c>
      <c r="K163" s="19">
        <v>6893.18</v>
      </c>
      <c r="BC163" s="14"/>
      <c r="BD163" s="15"/>
      <c r="BE163" s="21" t="s">
        <v>472</v>
      </c>
      <c r="BF163" s="43"/>
      <c r="BG163" s="12"/>
      <c r="BH163" s="12"/>
    </row>
    <row r="164" spans="1:60" s="3" customFormat="1" ht="20.399999999999999" x14ac:dyDescent="0.3">
      <c r="A164" s="25"/>
      <c r="B164" s="26" t="s">
        <v>339</v>
      </c>
      <c r="C164" s="419" t="s">
        <v>340</v>
      </c>
      <c r="D164" s="419"/>
      <c r="E164" s="419"/>
      <c r="F164" s="27" t="s">
        <v>75</v>
      </c>
      <c r="G164" s="22" t="s">
        <v>4279</v>
      </c>
      <c r="H164" s="58"/>
      <c r="I164" s="28"/>
      <c r="J164" s="28"/>
      <c r="K164" s="29"/>
      <c r="BC164" s="14"/>
      <c r="BD164" s="15"/>
      <c r="BE164" s="21"/>
      <c r="BF164" s="43"/>
      <c r="BG164" s="12" t="s">
        <v>340</v>
      </c>
      <c r="BH164" s="12"/>
    </row>
    <row r="165" spans="1:60" s="3" customFormat="1" ht="20.399999999999999" x14ac:dyDescent="0.3">
      <c r="A165" s="25"/>
      <c r="B165" s="26" t="s">
        <v>353</v>
      </c>
      <c r="C165" s="419" t="s">
        <v>354</v>
      </c>
      <c r="D165" s="419"/>
      <c r="E165" s="419"/>
      <c r="F165" s="27" t="s">
        <v>75</v>
      </c>
      <c r="G165" s="22" t="s">
        <v>4272</v>
      </c>
      <c r="H165" s="58"/>
      <c r="I165" s="28"/>
      <c r="J165" s="28"/>
      <c r="K165" s="29"/>
      <c r="BC165" s="14"/>
      <c r="BD165" s="15"/>
      <c r="BE165" s="21"/>
      <c r="BF165" s="43"/>
      <c r="BG165" s="12" t="s">
        <v>354</v>
      </c>
      <c r="BH165" s="12"/>
    </row>
    <row r="166" spans="1:60" s="3" customFormat="1" ht="15" customHeight="1" x14ac:dyDescent="0.3">
      <c r="A166" s="437" t="s">
        <v>4280</v>
      </c>
      <c r="B166" s="418"/>
      <c r="C166" s="418"/>
      <c r="D166" s="418"/>
      <c r="E166" s="418"/>
      <c r="F166" s="61"/>
      <c r="G166" s="61"/>
      <c r="H166" s="123"/>
      <c r="I166" s="123"/>
      <c r="J166" s="123"/>
      <c r="K166" s="124"/>
      <c r="BC166" s="14"/>
      <c r="BD166" s="15" t="s">
        <v>4280</v>
      </c>
      <c r="BE166" s="21"/>
      <c r="BF166" s="43"/>
      <c r="BG166" s="12"/>
      <c r="BH166" s="12"/>
    </row>
    <row r="167" spans="1:60" s="3" customFormat="1" ht="15" customHeight="1" x14ac:dyDescent="0.3">
      <c r="A167" s="437" t="s">
        <v>485</v>
      </c>
      <c r="B167" s="418"/>
      <c r="C167" s="418"/>
      <c r="D167" s="418"/>
      <c r="E167" s="418"/>
      <c r="F167" s="61"/>
      <c r="G167" s="61"/>
      <c r="H167" s="123"/>
      <c r="I167" s="123"/>
      <c r="J167" s="123"/>
      <c r="K167" s="124"/>
      <c r="BC167" s="14"/>
      <c r="BD167" s="15" t="s">
        <v>485</v>
      </c>
      <c r="BE167" s="21"/>
      <c r="BF167" s="43"/>
      <c r="BG167" s="12"/>
      <c r="BH167" s="12"/>
    </row>
    <row r="168" spans="1:60" s="3" customFormat="1" ht="42" x14ac:dyDescent="0.3">
      <c r="A168" s="16" t="s">
        <v>533</v>
      </c>
      <c r="B168" s="17" t="s">
        <v>486</v>
      </c>
      <c r="C168" s="405" t="s">
        <v>487</v>
      </c>
      <c r="D168" s="405"/>
      <c r="E168" s="405"/>
      <c r="F168" s="16" t="s">
        <v>329</v>
      </c>
      <c r="G168" s="24">
        <v>3.5</v>
      </c>
      <c r="H168" s="57">
        <f>I168/G168</f>
        <v>2420.2114285714342</v>
      </c>
      <c r="I168" s="19">
        <f>238922.26-K168</f>
        <v>8470.7400000000198</v>
      </c>
      <c r="J168" s="19">
        <f>K168/G168</f>
        <v>65843.291428571421</v>
      </c>
      <c r="K168" s="19">
        <v>230451.52</v>
      </c>
      <c r="BC168" s="14"/>
      <c r="BD168" s="15"/>
      <c r="BE168" s="21" t="s">
        <v>487</v>
      </c>
      <c r="BF168" s="43"/>
      <c r="BG168" s="12"/>
      <c r="BH168" s="12"/>
    </row>
    <row r="169" spans="1:60" s="3" customFormat="1" ht="42" x14ac:dyDescent="0.3">
      <c r="A169" s="25"/>
      <c r="B169" s="26" t="s">
        <v>488</v>
      </c>
      <c r="C169" s="419" t="s">
        <v>489</v>
      </c>
      <c r="D169" s="419"/>
      <c r="E169" s="419"/>
      <c r="F169" s="27" t="s">
        <v>75</v>
      </c>
      <c r="G169" s="22" t="s">
        <v>4281</v>
      </c>
      <c r="H169" s="58"/>
      <c r="I169" s="28"/>
      <c r="J169" s="28"/>
      <c r="K169" s="29"/>
      <c r="BC169" s="14"/>
      <c r="BD169" s="15"/>
      <c r="BE169" s="21"/>
      <c r="BF169" s="43"/>
      <c r="BG169" s="12" t="s">
        <v>489</v>
      </c>
      <c r="BH169" s="12"/>
    </row>
    <row r="170" spans="1:60" s="3" customFormat="1" ht="20.399999999999999" x14ac:dyDescent="0.3">
      <c r="A170" s="25"/>
      <c r="B170" s="26" t="s">
        <v>370</v>
      </c>
      <c r="C170" s="419" t="s">
        <v>371</v>
      </c>
      <c r="D170" s="419"/>
      <c r="E170" s="419"/>
      <c r="F170" s="27" t="s">
        <v>75</v>
      </c>
      <c r="G170" s="22" t="s">
        <v>4282</v>
      </c>
      <c r="H170" s="58"/>
      <c r="I170" s="28"/>
      <c r="J170" s="28"/>
      <c r="K170" s="29"/>
      <c r="BC170" s="14"/>
      <c r="BD170" s="15"/>
      <c r="BE170" s="21"/>
      <c r="BF170" s="43"/>
      <c r="BG170" s="12" t="s">
        <v>371</v>
      </c>
      <c r="BH170" s="12"/>
    </row>
    <row r="171" spans="1:60" s="3" customFormat="1" ht="20.399999999999999" x14ac:dyDescent="0.3">
      <c r="A171" s="25" t="s">
        <v>129</v>
      </c>
      <c r="B171" s="26" t="s">
        <v>494</v>
      </c>
      <c r="C171" s="419" t="s">
        <v>495</v>
      </c>
      <c r="D171" s="419"/>
      <c r="E171" s="419"/>
      <c r="F171" s="27" t="s">
        <v>75</v>
      </c>
      <c r="G171" s="22" t="s">
        <v>4283</v>
      </c>
      <c r="H171" s="57"/>
      <c r="I171" s="28"/>
      <c r="J171" s="19"/>
      <c r="K171" s="29"/>
      <c r="BC171" s="14"/>
      <c r="BD171" s="15"/>
      <c r="BE171" s="21"/>
      <c r="BF171" s="43"/>
      <c r="BG171" s="12"/>
      <c r="BH171" s="12" t="s">
        <v>495</v>
      </c>
    </row>
    <row r="172" spans="1:60" s="3" customFormat="1" ht="15" customHeight="1" x14ac:dyDescent="0.3">
      <c r="A172" s="437" t="s">
        <v>497</v>
      </c>
      <c r="B172" s="418"/>
      <c r="C172" s="418"/>
      <c r="D172" s="418"/>
      <c r="E172" s="418"/>
      <c r="F172" s="61"/>
      <c r="G172" s="61"/>
      <c r="H172" s="123"/>
      <c r="I172" s="123"/>
      <c r="J172" s="123"/>
      <c r="K172" s="124"/>
      <c r="BC172" s="14"/>
      <c r="BD172" s="15" t="s">
        <v>497</v>
      </c>
      <c r="BE172" s="21"/>
      <c r="BF172" s="43"/>
      <c r="BG172" s="12"/>
      <c r="BH172" s="12"/>
    </row>
    <row r="173" spans="1:60" s="3" customFormat="1" ht="42" x14ac:dyDescent="0.3">
      <c r="A173" s="16" t="s">
        <v>539</v>
      </c>
      <c r="B173" s="17" t="s">
        <v>486</v>
      </c>
      <c r="C173" s="405" t="s">
        <v>487</v>
      </c>
      <c r="D173" s="405"/>
      <c r="E173" s="405"/>
      <c r="F173" s="16" t="s">
        <v>329</v>
      </c>
      <c r="G173" s="24">
        <v>3.5</v>
      </c>
      <c r="H173" s="57">
        <f>I173/G173</f>
        <v>2420.2114285714342</v>
      </c>
      <c r="I173" s="19">
        <f>238922.26-K173</f>
        <v>8470.7400000000198</v>
      </c>
      <c r="J173" s="19">
        <f>K173/G173</f>
        <v>65843.291428571421</v>
      </c>
      <c r="K173" s="19">
        <v>230451.52</v>
      </c>
      <c r="BC173" s="14"/>
      <c r="BD173" s="15"/>
      <c r="BE173" s="21" t="s">
        <v>487</v>
      </c>
      <c r="BF173" s="43"/>
      <c r="BG173" s="12"/>
      <c r="BH173" s="12"/>
    </row>
    <row r="174" spans="1:60" s="3" customFormat="1" ht="42" x14ac:dyDescent="0.3">
      <c r="A174" s="25"/>
      <c r="B174" s="26" t="s">
        <v>488</v>
      </c>
      <c r="C174" s="419" t="s">
        <v>489</v>
      </c>
      <c r="D174" s="419"/>
      <c r="E174" s="419"/>
      <c r="F174" s="27" t="s">
        <v>75</v>
      </c>
      <c r="G174" s="22" t="s">
        <v>4281</v>
      </c>
      <c r="H174" s="58"/>
      <c r="I174" s="28"/>
      <c r="J174" s="28"/>
      <c r="K174" s="29"/>
      <c r="BC174" s="14"/>
      <c r="BD174" s="15"/>
      <c r="BE174" s="21"/>
      <c r="BF174" s="43"/>
      <c r="BG174" s="12" t="s">
        <v>489</v>
      </c>
      <c r="BH174" s="12"/>
    </row>
    <row r="175" spans="1:60" s="3" customFormat="1" ht="20.399999999999999" x14ac:dyDescent="0.3">
      <c r="A175" s="25"/>
      <c r="B175" s="26" t="s">
        <v>370</v>
      </c>
      <c r="C175" s="419" t="s">
        <v>371</v>
      </c>
      <c r="D175" s="419"/>
      <c r="E175" s="419"/>
      <c r="F175" s="27" t="s">
        <v>75</v>
      </c>
      <c r="G175" s="22" t="s">
        <v>4282</v>
      </c>
      <c r="H175" s="58"/>
      <c r="I175" s="28"/>
      <c r="J175" s="28"/>
      <c r="K175" s="29"/>
      <c r="BC175" s="14"/>
      <c r="BD175" s="15"/>
      <c r="BE175" s="21"/>
      <c r="BF175" s="43"/>
      <c r="BG175" s="12" t="s">
        <v>371</v>
      </c>
      <c r="BH175" s="12"/>
    </row>
    <row r="176" spans="1:60" s="3" customFormat="1" ht="20.399999999999999" x14ac:dyDescent="0.3">
      <c r="A176" s="25" t="s">
        <v>129</v>
      </c>
      <c r="B176" s="26" t="s">
        <v>494</v>
      </c>
      <c r="C176" s="419" t="s">
        <v>495</v>
      </c>
      <c r="D176" s="419"/>
      <c r="E176" s="419"/>
      <c r="F176" s="27" t="s">
        <v>75</v>
      </c>
      <c r="G176" s="22" t="s">
        <v>4283</v>
      </c>
      <c r="H176" s="57"/>
      <c r="I176" s="28"/>
      <c r="J176" s="19"/>
      <c r="K176" s="29"/>
      <c r="BC176" s="14"/>
      <c r="BD176" s="15"/>
      <c r="BE176" s="21"/>
      <c r="BF176" s="43"/>
      <c r="BG176" s="12"/>
      <c r="BH176" s="12" t="s">
        <v>495</v>
      </c>
    </row>
    <row r="177" spans="1:60" s="3" customFormat="1" ht="15" customHeight="1" x14ac:dyDescent="0.3">
      <c r="A177" s="437" t="s">
        <v>498</v>
      </c>
      <c r="B177" s="418"/>
      <c r="C177" s="418"/>
      <c r="D177" s="418"/>
      <c r="E177" s="418"/>
      <c r="F177" s="61"/>
      <c r="G177" s="61"/>
      <c r="H177" s="123"/>
      <c r="I177" s="123"/>
      <c r="J177" s="123"/>
      <c r="K177" s="124"/>
      <c r="BC177" s="14"/>
      <c r="BD177" s="15" t="s">
        <v>498</v>
      </c>
      <c r="BE177" s="21"/>
      <c r="BF177" s="43"/>
      <c r="BG177" s="12"/>
      <c r="BH177" s="12"/>
    </row>
    <row r="178" spans="1:60" s="3" customFormat="1" ht="15" customHeight="1" x14ac:dyDescent="0.3">
      <c r="A178" s="437" t="s">
        <v>4284</v>
      </c>
      <c r="B178" s="418"/>
      <c r="C178" s="418"/>
      <c r="D178" s="418"/>
      <c r="E178" s="418"/>
      <c r="F178" s="61"/>
      <c r="G178" s="61"/>
      <c r="H178" s="123"/>
      <c r="I178" s="123"/>
      <c r="J178" s="123"/>
      <c r="K178" s="124"/>
      <c r="BC178" s="14"/>
      <c r="BD178" s="15" t="s">
        <v>4284</v>
      </c>
      <c r="BE178" s="21"/>
      <c r="BF178" s="43"/>
      <c r="BG178" s="12"/>
      <c r="BH178" s="12"/>
    </row>
    <row r="179" spans="1:60" s="3" customFormat="1" ht="21.6" x14ac:dyDescent="0.3">
      <c r="A179" s="16" t="s">
        <v>542</v>
      </c>
      <c r="B179" s="17" t="s">
        <v>500</v>
      </c>
      <c r="C179" s="405" t="s">
        <v>501</v>
      </c>
      <c r="D179" s="405"/>
      <c r="E179" s="405"/>
      <c r="F179" s="16" t="s">
        <v>70</v>
      </c>
      <c r="G179" s="24">
        <v>11.3</v>
      </c>
      <c r="H179" s="57">
        <f>I179/G179</f>
        <v>43937.553097345117</v>
      </c>
      <c r="I179" s="19">
        <f>1262481.65-K179</f>
        <v>496494.34999999986</v>
      </c>
      <c r="J179" s="19">
        <f>K179/G179</f>
        <v>67786.486725663723</v>
      </c>
      <c r="K179" s="19">
        <v>765987.3</v>
      </c>
      <c r="BC179" s="14"/>
      <c r="BD179" s="15"/>
      <c r="BE179" s="21" t="s">
        <v>501</v>
      </c>
      <c r="BF179" s="43"/>
      <c r="BG179" s="12"/>
      <c r="BH179" s="12"/>
    </row>
    <row r="180" spans="1:60" s="3" customFormat="1" ht="20.399999999999999" x14ac:dyDescent="0.3">
      <c r="A180" s="25"/>
      <c r="B180" s="26" t="s">
        <v>384</v>
      </c>
      <c r="C180" s="419" t="s">
        <v>385</v>
      </c>
      <c r="D180" s="419"/>
      <c r="E180" s="419"/>
      <c r="F180" s="27" t="s">
        <v>46</v>
      </c>
      <c r="G180" s="22" t="s">
        <v>4285</v>
      </c>
      <c r="H180" s="58"/>
      <c r="I180" s="28"/>
      <c r="J180" s="28"/>
      <c r="K180" s="29"/>
      <c r="BC180" s="14"/>
      <c r="BD180" s="15"/>
      <c r="BE180" s="21"/>
      <c r="BF180" s="43"/>
      <c r="BG180" s="12" t="s">
        <v>385</v>
      </c>
      <c r="BH180" s="12"/>
    </row>
    <row r="181" spans="1:60" s="3" customFormat="1" ht="20.399999999999999" x14ac:dyDescent="0.3">
      <c r="A181" s="25"/>
      <c r="B181" s="26" t="s">
        <v>387</v>
      </c>
      <c r="C181" s="419" t="s">
        <v>388</v>
      </c>
      <c r="D181" s="419"/>
      <c r="E181" s="419"/>
      <c r="F181" s="27" t="s">
        <v>75</v>
      </c>
      <c r="G181" s="22" t="s">
        <v>4286</v>
      </c>
      <c r="H181" s="58"/>
      <c r="I181" s="28"/>
      <c r="J181" s="28"/>
      <c r="K181" s="29"/>
      <c r="BC181" s="14"/>
      <c r="BD181" s="15"/>
      <c r="BE181" s="21"/>
      <c r="BF181" s="43"/>
      <c r="BG181" s="12" t="s">
        <v>388</v>
      </c>
      <c r="BH181" s="12"/>
    </row>
    <row r="182" spans="1:60" s="3" customFormat="1" ht="20.399999999999999" x14ac:dyDescent="0.3">
      <c r="A182" s="25"/>
      <c r="B182" s="26" t="s">
        <v>504</v>
      </c>
      <c r="C182" s="419" t="s">
        <v>505</v>
      </c>
      <c r="D182" s="419"/>
      <c r="E182" s="419"/>
      <c r="F182" s="27" t="s">
        <v>75</v>
      </c>
      <c r="G182" s="22" t="s">
        <v>4287</v>
      </c>
      <c r="H182" s="58"/>
      <c r="I182" s="28"/>
      <c r="J182" s="28"/>
      <c r="K182" s="29"/>
      <c r="BC182" s="14"/>
      <c r="BD182" s="15"/>
      <c r="BE182" s="21"/>
      <c r="BF182" s="43"/>
      <c r="BG182" s="12" t="s">
        <v>505</v>
      </c>
      <c r="BH182" s="12"/>
    </row>
    <row r="183" spans="1:60" s="3" customFormat="1" ht="20.399999999999999" x14ac:dyDescent="0.3">
      <c r="A183" s="37" t="s">
        <v>78</v>
      </c>
      <c r="B183" s="38" t="s">
        <v>391</v>
      </c>
      <c r="C183" s="430" t="s">
        <v>392</v>
      </c>
      <c r="D183" s="430"/>
      <c r="E183" s="430"/>
      <c r="F183" s="39" t="s">
        <v>75</v>
      </c>
      <c r="G183" s="40" t="s">
        <v>33</v>
      </c>
      <c r="H183" s="100"/>
      <c r="I183" s="41"/>
      <c r="J183" s="41"/>
      <c r="K183" s="42"/>
      <c r="BC183" s="14"/>
      <c r="BD183" s="15"/>
      <c r="BE183" s="21"/>
      <c r="BF183" s="43" t="s">
        <v>392</v>
      </c>
      <c r="BG183" s="12"/>
      <c r="BH183" s="12"/>
    </row>
    <row r="184" spans="1:60" s="3" customFormat="1" ht="20.399999999999999" x14ac:dyDescent="0.3">
      <c r="A184" s="25"/>
      <c r="B184" s="26" t="s">
        <v>76</v>
      </c>
      <c r="C184" s="419" t="s">
        <v>77</v>
      </c>
      <c r="D184" s="419"/>
      <c r="E184" s="419"/>
      <c r="F184" s="27" t="s">
        <v>70</v>
      </c>
      <c r="G184" s="22" t="s">
        <v>4288</v>
      </c>
      <c r="H184" s="58"/>
      <c r="I184" s="28"/>
      <c r="J184" s="28"/>
      <c r="K184" s="29"/>
      <c r="BC184" s="14"/>
      <c r="BD184" s="15"/>
      <c r="BE184" s="21"/>
      <c r="BF184" s="43"/>
      <c r="BG184" s="12" t="s">
        <v>77</v>
      </c>
      <c r="BH184" s="12"/>
    </row>
    <row r="185" spans="1:60" s="3" customFormat="1" ht="20.399999999999999" x14ac:dyDescent="0.3">
      <c r="A185" s="25"/>
      <c r="B185" s="26" t="s">
        <v>395</v>
      </c>
      <c r="C185" s="419" t="s">
        <v>396</v>
      </c>
      <c r="D185" s="419"/>
      <c r="E185" s="419"/>
      <c r="F185" s="27" t="s">
        <v>70</v>
      </c>
      <c r="G185" s="22" t="s">
        <v>4289</v>
      </c>
      <c r="H185" s="58"/>
      <c r="I185" s="28"/>
      <c r="J185" s="28"/>
      <c r="K185" s="29"/>
      <c r="BC185" s="14"/>
      <c r="BD185" s="15"/>
      <c r="BE185" s="21"/>
      <c r="BF185" s="43"/>
      <c r="BG185" s="12" t="s">
        <v>396</v>
      </c>
      <c r="BH185" s="12"/>
    </row>
    <row r="186" spans="1:60" s="3" customFormat="1" ht="20.399999999999999" x14ac:dyDescent="0.3">
      <c r="A186" s="37" t="s">
        <v>143</v>
      </c>
      <c r="B186" s="38" t="s">
        <v>509</v>
      </c>
      <c r="C186" s="430" t="s">
        <v>510</v>
      </c>
      <c r="D186" s="430"/>
      <c r="E186" s="430"/>
      <c r="F186" s="39" t="s">
        <v>70</v>
      </c>
      <c r="G186" s="40" t="s">
        <v>4290</v>
      </c>
      <c r="H186" s="100"/>
      <c r="I186" s="41"/>
      <c r="J186" s="41"/>
      <c r="K186" s="42"/>
      <c r="BC186" s="14"/>
      <c r="BD186" s="15"/>
      <c r="BE186" s="21"/>
      <c r="BF186" s="43" t="s">
        <v>510</v>
      </c>
      <c r="BG186" s="12"/>
      <c r="BH186" s="12"/>
    </row>
    <row r="187" spans="1:60" s="3" customFormat="1" ht="42" x14ac:dyDescent="0.3">
      <c r="A187" s="25"/>
      <c r="B187" s="26" t="s">
        <v>512</v>
      </c>
      <c r="C187" s="419" t="s">
        <v>513</v>
      </c>
      <c r="D187" s="419"/>
      <c r="E187" s="419"/>
      <c r="F187" s="27" t="s">
        <v>70</v>
      </c>
      <c r="G187" s="22" t="s">
        <v>4291</v>
      </c>
      <c r="H187" s="58"/>
      <c r="I187" s="28"/>
      <c r="J187" s="28"/>
      <c r="K187" s="29"/>
      <c r="BC187" s="14"/>
      <c r="BD187" s="15"/>
      <c r="BE187" s="21"/>
      <c r="BF187" s="43"/>
      <c r="BG187" s="12" t="s">
        <v>513</v>
      </c>
      <c r="BH187" s="12"/>
    </row>
    <row r="188" spans="1:60" s="3" customFormat="1" ht="42" x14ac:dyDescent="0.3">
      <c r="A188" s="25"/>
      <c r="B188" s="26" t="s">
        <v>404</v>
      </c>
      <c r="C188" s="419" t="s">
        <v>405</v>
      </c>
      <c r="D188" s="419"/>
      <c r="E188" s="419"/>
      <c r="F188" s="27" t="s">
        <v>406</v>
      </c>
      <c r="G188" s="22" t="s">
        <v>4292</v>
      </c>
      <c r="H188" s="58"/>
      <c r="I188" s="28"/>
      <c r="J188" s="28"/>
      <c r="K188" s="29"/>
      <c r="BC188" s="14"/>
      <c r="BD188" s="15"/>
      <c r="BE188" s="21"/>
      <c r="BF188" s="43"/>
      <c r="BG188" s="12" t="s">
        <v>405</v>
      </c>
      <c r="BH188" s="12"/>
    </row>
    <row r="189" spans="1:60" s="3" customFormat="1" ht="21.6" x14ac:dyDescent="0.3">
      <c r="A189" s="25"/>
      <c r="B189" s="26" t="s">
        <v>285</v>
      </c>
      <c r="C189" s="419" t="s">
        <v>286</v>
      </c>
      <c r="D189" s="419"/>
      <c r="E189" s="419"/>
      <c r="F189" s="27" t="s">
        <v>70</v>
      </c>
      <c r="G189" s="22" t="s">
        <v>4293</v>
      </c>
      <c r="H189" s="58"/>
      <c r="I189" s="28"/>
      <c r="J189" s="28"/>
      <c r="K189" s="29"/>
      <c r="BC189" s="14"/>
      <c r="BD189" s="15"/>
      <c r="BE189" s="21"/>
      <c r="BF189" s="43"/>
      <c r="BG189" s="12" t="s">
        <v>286</v>
      </c>
      <c r="BH189" s="12"/>
    </row>
    <row r="190" spans="1:60" s="3" customFormat="1" ht="20.399999999999999" x14ac:dyDescent="0.3">
      <c r="A190" s="25"/>
      <c r="B190" s="26" t="s">
        <v>409</v>
      </c>
      <c r="C190" s="419" t="s">
        <v>410</v>
      </c>
      <c r="D190" s="419"/>
      <c r="E190" s="419"/>
      <c r="F190" s="27" t="s">
        <v>70</v>
      </c>
      <c r="G190" s="22" t="s">
        <v>4294</v>
      </c>
      <c r="H190" s="58"/>
      <c r="I190" s="28"/>
      <c r="J190" s="28"/>
      <c r="K190" s="29"/>
      <c r="BC190" s="14"/>
      <c r="BD190" s="15"/>
      <c r="BE190" s="21"/>
      <c r="BF190" s="43"/>
      <c r="BG190" s="12" t="s">
        <v>410</v>
      </c>
      <c r="BH190" s="12"/>
    </row>
    <row r="191" spans="1:60" s="3" customFormat="1" ht="21.6" x14ac:dyDescent="0.3">
      <c r="A191" s="25"/>
      <c r="B191" s="26" t="s">
        <v>412</v>
      </c>
      <c r="C191" s="419" t="s">
        <v>413</v>
      </c>
      <c r="D191" s="419"/>
      <c r="E191" s="419"/>
      <c r="F191" s="27" t="s">
        <v>46</v>
      </c>
      <c r="G191" s="22" t="s">
        <v>4295</v>
      </c>
      <c r="H191" s="58"/>
      <c r="I191" s="28"/>
      <c r="J191" s="28"/>
      <c r="K191" s="29"/>
      <c r="BC191" s="14"/>
      <c r="BD191" s="15"/>
      <c r="BE191" s="21"/>
      <c r="BF191" s="43"/>
      <c r="BG191" s="12" t="s">
        <v>413</v>
      </c>
      <c r="BH191" s="12"/>
    </row>
    <row r="192" spans="1:60" s="3" customFormat="1" ht="20.399999999999999" x14ac:dyDescent="0.3">
      <c r="A192" s="25"/>
      <c r="B192" s="26" t="s">
        <v>415</v>
      </c>
      <c r="C192" s="419" t="s">
        <v>416</v>
      </c>
      <c r="D192" s="419"/>
      <c r="E192" s="419"/>
      <c r="F192" s="27" t="s">
        <v>70</v>
      </c>
      <c r="G192" s="22" t="s">
        <v>4296</v>
      </c>
      <c r="H192" s="58"/>
      <c r="I192" s="28"/>
      <c r="J192" s="28"/>
      <c r="K192" s="29"/>
      <c r="BC192" s="14"/>
      <c r="BD192" s="15"/>
      <c r="BE192" s="21"/>
      <c r="BF192" s="43"/>
      <c r="BG192" s="12" t="s">
        <v>416</v>
      </c>
      <c r="BH192" s="12"/>
    </row>
    <row r="193" spans="1:60" s="3" customFormat="1" ht="20.399999999999999" x14ac:dyDescent="0.3">
      <c r="A193" s="25"/>
      <c r="B193" s="26" t="s">
        <v>370</v>
      </c>
      <c r="C193" s="419" t="s">
        <v>371</v>
      </c>
      <c r="D193" s="419"/>
      <c r="E193" s="419"/>
      <c r="F193" s="27" t="s">
        <v>75</v>
      </c>
      <c r="G193" s="22" t="s">
        <v>4297</v>
      </c>
      <c r="H193" s="58"/>
      <c r="I193" s="28"/>
      <c r="J193" s="28"/>
      <c r="K193" s="29"/>
      <c r="BC193" s="14"/>
      <c r="BD193" s="15"/>
      <c r="BE193" s="21"/>
      <c r="BF193" s="43"/>
      <c r="BG193" s="12" t="s">
        <v>371</v>
      </c>
      <c r="BH193" s="12"/>
    </row>
    <row r="194" spans="1:60" s="3" customFormat="1" ht="21.6" x14ac:dyDescent="0.3">
      <c r="A194" s="25" t="s">
        <v>129</v>
      </c>
      <c r="B194" s="26" t="s">
        <v>521</v>
      </c>
      <c r="C194" s="419" t="s">
        <v>119</v>
      </c>
      <c r="D194" s="419"/>
      <c r="E194" s="419"/>
      <c r="F194" s="27" t="s">
        <v>70</v>
      </c>
      <c r="G194" s="22" t="s">
        <v>4290</v>
      </c>
      <c r="H194" s="57"/>
      <c r="I194" s="28"/>
      <c r="J194" s="19"/>
      <c r="K194" s="29"/>
      <c r="BC194" s="14"/>
      <c r="BD194" s="15"/>
      <c r="BE194" s="21"/>
      <c r="BF194" s="43"/>
      <c r="BG194" s="12"/>
      <c r="BH194" s="12" t="s">
        <v>119</v>
      </c>
    </row>
    <row r="195" spans="1:60" s="3" customFormat="1" ht="15" customHeight="1" x14ac:dyDescent="0.3">
      <c r="A195" s="437" t="s">
        <v>436</v>
      </c>
      <c r="B195" s="418"/>
      <c r="C195" s="418"/>
      <c r="D195" s="418"/>
      <c r="E195" s="418"/>
      <c r="F195" s="61"/>
      <c r="G195" s="61"/>
      <c r="H195" s="123"/>
      <c r="I195" s="123"/>
      <c r="J195" s="123"/>
      <c r="K195" s="124"/>
      <c r="BC195" s="14"/>
      <c r="BD195" s="15" t="s">
        <v>436</v>
      </c>
      <c r="BE195" s="21"/>
      <c r="BF195" s="43"/>
      <c r="BG195" s="12"/>
      <c r="BH195" s="12"/>
    </row>
    <row r="196" spans="1:60" s="3" customFormat="1" ht="14.4" x14ac:dyDescent="0.3">
      <c r="A196" s="16" t="s">
        <v>547</v>
      </c>
      <c r="B196" s="17" t="s">
        <v>437</v>
      </c>
      <c r="C196" s="405" t="s">
        <v>438</v>
      </c>
      <c r="D196" s="405"/>
      <c r="E196" s="405"/>
      <c r="F196" s="16" t="s">
        <v>142</v>
      </c>
      <c r="G196" s="24">
        <v>0.8</v>
      </c>
      <c r="H196" s="57">
        <f>I196/G196</f>
        <v>10268.675000000003</v>
      </c>
      <c r="I196" s="19">
        <f>282572.02-K196</f>
        <v>8214.9400000000023</v>
      </c>
      <c r="J196" s="19">
        <f>K196/G196</f>
        <v>342946.35</v>
      </c>
      <c r="K196" s="19">
        <v>274357.08</v>
      </c>
      <c r="BC196" s="14"/>
      <c r="BD196" s="15"/>
      <c r="BE196" s="21" t="s">
        <v>438</v>
      </c>
      <c r="BF196" s="43"/>
      <c r="BG196" s="12"/>
      <c r="BH196" s="12"/>
    </row>
    <row r="197" spans="1:60" s="3" customFormat="1" ht="20.399999999999999" x14ac:dyDescent="0.3">
      <c r="A197" s="37" t="s">
        <v>143</v>
      </c>
      <c r="B197" s="38" t="s">
        <v>439</v>
      </c>
      <c r="C197" s="430" t="s">
        <v>440</v>
      </c>
      <c r="D197" s="430"/>
      <c r="E197" s="430"/>
      <c r="F197" s="39" t="s">
        <v>38</v>
      </c>
      <c r="G197" s="40" t="s">
        <v>4298</v>
      </c>
      <c r="H197" s="100"/>
      <c r="I197" s="41"/>
      <c r="J197" s="41"/>
      <c r="K197" s="42"/>
      <c r="BC197" s="14"/>
      <c r="BD197" s="15"/>
      <c r="BE197" s="21"/>
      <c r="BF197" s="43" t="s">
        <v>440</v>
      </c>
      <c r="BG197" s="12"/>
      <c r="BH197" s="12"/>
    </row>
    <row r="198" spans="1:60" s="3" customFormat="1" ht="20.399999999999999" x14ac:dyDescent="0.3">
      <c r="A198" s="25"/>
      <c r="B198" s="26" t="s">
        <v>442</v>
      </c>
      <c r="C198" s="419" t="s">
        <v>443</v>
      </c>
      <c r="D198" s="419"/>
      <c r="E198" s="419"/>
      <c r="F198" s="27" t="s">
        <v>142</v>
      </c>
      <c r="G198" s="22" t="s">
        <v>3856</v>
      </c>
      <c r="H198" s="58"/>
      <c r="I198" s="28"/>
      <c r="J198" s="28"/>
      <c r="K198" s="29"/>
      <c r="BC198" s="14"/>
      <c r="BD198" s="15"/>
      <c r="BE198" s="21"/>
      <c r="BF198" s="43"/>
      <c r="BG198" s="12" t="s">
        <v>443</v>
      </c>
      <c r="BH198" s="12"/>
    </row>
    <row r="199" spans="1:60" s="3" customFormat="1" ht="20.399999999999999" x14ac:dyDescent="0.3">
      <c r="A199" s="37" t="s">
        <v>78</v>
      </c>
      <c r="B199" s="38" t="s">
        <v>445</v>
      </c>
      <c r="C199" s="430" t="s">
        <v>446</v>
      </c>
      <c r="D199" s="430"/>
      <c r="E199" s="430"/>
      <c r="F199" s="39" t="s">
        <v>38</v>
      </c>
      <c r="G199" s="40" t="s">
        <v>33</v>
      </c>
      <c r="H199" s="100"/>
      <c r="I199" s="41"/>
      <c r="J199" s="41"/>
      <c r="K199" s="42"/>
      <c r="BC199" s="14"/>
      <c r="BD199" s="15"/>
      <c r="BE199" s="21"/>
      <c r="BF199" s="43" t="s">
        <v>446</v>
      </c>
      <c r="BG199" s="12"/>
      <c r="BH199" s="12"/>
    </row>
    <row r="200" spans="1:60" s="3" customFormat="1" ht="31.8" x14ac:dyDescent="0.3">
      <c r="A200" s="25" t="s">
        <v>129</v>
      </c>
      <c r="B200" s="26" t="s">
        <v>447</v>
      </c>
      <c r="C200" s="419" t="s">
        <v>448</v>
      </c>
      <c r="D200" s="419"/>
      <c r="E200" s="419"/>
      <c r="F200" s="27" t="s">
        <v>38</v>
      </c>
      <c r="G200" s="22" t="s">
        <v>4298</v>
      </c>
      <c r="H200" s="57"/>
      <c r="I200" s="28"/>
      <c r="J200" s="19"/>
      <c r="K200" s="29"/>
      <c r="BC200" s="14"/>
      <c r="BD200" s="15"/>
      <c r="BE200" s="21"/>
      <c r="BF200" s="43"/>
      <c r="BG200" s="12"/>
      <c r="BH200" s="12" t="s">
        <v>448</v>
      </c>
    </row>
    <row r="201" spans="1:60" s="3" customFormat="1" ht="42" x14ac:dyDescent="0.3">
      <c r="A201" s="25" t="s">
        <v>129</v>
      </c>
      <c r="B201" s="26" t="s">
        <v>449</v>
      </c>
      <c r="C201" s="419" t="s">
        <v>450</v>
      </c>
      <c r="D201" s="419"/>
      <c r="E201" s="419"/>
      <c r="F201" s="27" t="s">
        <v>38</v>
      </c>
      <c r="G201" s="22" t="s">
        <v>4298</v>
      </c>
      <c r="H201" s="57"/>
      <c r="I201" s="28"/>
      <c r="J201" s="19"/>
      <c r="K201" s="29"/>
      <c r="BC201" s="14"/>
      <c r="BD201" s="15"/>
      <c r="BE201" s="21"/>
      <c r="BF201" s="43"/>
      <c r="BG201" s="12"/>
      <c r="BH201" s="12" t="s">
        <v>450</v>
      </c>
    </row>
    <row r="202" spans="1:60" s="3" customFormat="1" ht="15" customHeight="1" x14ac:dyDescent="0.3">
      <c r="A202" s="437" t="s">
        <v>4299</v>
      </c>
      <c r="B202" s="418"/>
      <c r="C202" s="418"/>
      <c r="D202" s="418"/>
      <c r="E202" s="418"/>
      <c r="F202" s="61"/>
      <c r="G202" s="61"/>
      <c r="H202" s="123"/>
      <c r="I202" s="123"/>
      <c r="J202" s="123"/>
      <c r="K202" s="124"/>
      <c r="BC202" s="14"/>
      <c r="BD202" s="15" t="s">
        <v>4299</v>
      </c>
      <c r="BE202" s="21"/>
      <c r="BF202" s="43"/>
      <c r="BG202" s="12"/>
      <c r="BH202" s="12"/>
    </row>
    <row r="203" spans="1:60" s="3" customFormat="1" ht="21.6" x14ac:dyDescent="0.3">
      <c r="A203" s="16" t="s">
        <v>549</v>
      </c>
      <c r="B203" s="17" t="s">
        <v>452</v>
      </c>
      <c r="C203" s="405" t="s">
        <v>453</v>
      </c>
      <c r="D203" s="405"/>
      <c r="E203" s="405"/>
      <c r="F203" s="16" t="s">
        <v>329</v>
      </c>
      <c r="G203" s="24">
        <v>1.3</v>
      </c>
      <c r="H203" s="57">
        <f>I203/G203</f>
        <v>4417.3538461538446</v>
      </c>
      <c r="I203" s="19">
        <f>143714.55-K203</f>
        <v>5742.5599999999977</v>
      </c>
      <c r="J203" s="19">
        <f>K203/G203</f>
        <v>106132.29999999999</v>
      </c>
      <c r="K203" s="19">
        <v>137971.99</v>
      </c>
      <c r="BC203" s="14"/>
      <c r="BD203" s="15"/>
      <c r="BE203" s="21" t="s">
        <v>453</v>
      </c>
      <c r="BF203" s="43"/>
      <c r="BG203" s="12"/>
      <c r="BH203" s="12"/>
    </row>
    <row r="204" spans="1:60" s="3" customFormat="1" ht="31.8" x14ac:dyDescent="0.3">
      <c r="A204" s="25"/>
      <c r="B204" s="26" t="s">
        <v>454</v>
      </c>
      <c r="C204" s="419" t="s">
        <v>455</v>
      </c>
      <c r="D204" s="419"/>
      <c r="E204" s="419"/>
      <c r="F204" s="27" t="s">
        <v>70</v>
      </c>
      <c r="G204" s="22" t="s">
        <v>4300</v>
      </c>
      <c r="H204" s="58"/>
      <c r="I204" s="28"/>
      <c r="J204" s="28"/>
      <c r="K204" s="29"/>
      <c r="BC204" s="14"/>
      <c r="BD204" s="15"/>
      <c r="BE204" s="21"/>
      <c r="BF204" s="43"/>
      <c r="BG204" s="12" t="s">
        <v>455</v>
      </c>
      <c r="BH204" s="12"/>
    </row>
    <row r="205" spans="1:60" s="3" customFormat="1" ht="20.399999999999999" x14ac:dyDescent="0.3">
      <c r="A205" s="25"/>
      <c r="B205" s="26" t="s">
        <v>370</v>
      </c>
      <c r="C205" s="419" t="s">
        <v>371</v>
      </c>
      <c r="D205" s="419"/>
      <c r="E205" s="419"/>
      <c r="F205" s="27" t="s">
        <v>75</v>
      </c>
      <c r="G205" s="22" t="s">
        <v>4301</v>
      </c>
      <c r="H205" s="58"/>
      <c r="I205" s="28"/>
      <c r="J205" s="28"/>
      <c r="K205" s="29"/>
      <c r="BC205" s="14"/>
      <c r="BD205" s="15"/>
      <c r="BE205" s="21"/>
      <c r="BF205" s="43"/>
      <c r="BG205" s="12" t="s">
        <v>371</v>
      </c>
      <c r="BH205" s="12"/>
    </row>
    <row r="206" spans="1:60" s="3" customFormat="1" ht="21.6" x14ac:dyDescent="0.3">
      <c r="A206" s="25" t="s">
        <v>129</v>
      </c>
      <c r="B206" s="26" t="s">
        <v>460</v>
      </c>
      <c r="C206" s="419" t="s">
        <v>461</v>
      </c>
      <c r="D206" s="419"/>
      <c r="E206" s="419"/>
      <c r="F206" s="27" t="s">
        <v>75</v>
      </c>
      <c r="G206" s="22" t="s">
        <v>4302</v>
      </c>
      <c r="H206" s="57"/>
      <c r="I206" s="28"/>
      <c r="J206" s="19"/>
      <c r="K206" s="29"/>
      <c r="BC206" s="14"/>
      <c r="BD206" s="15"/>
      <c r="BE206" s="21"/>
      <c r="BF206" s="43"/>
      <c r="BG206" s="12"/>
      <c r="BH206" s="12" t="s">
        <v>461</v>
      </c>
    </row>
    <row r="207" spans="1:60" s="3" customFormat="1" ht="15" customHeight="1" x14ac:dyDescent="0.3">
      <c r="A207" s="437" t="s">
        <v>463</v>
      </c>
      <c r="B207" s="418"/>
      <c r="C207" s="418"/>
      <c r="D207" s="418"/>
      <c r="E207" s="418"/>
      <c r="F207" s="61"/>
      <c r="G207" s="61"/>
      <c r="H207" s="123"/>
      <c r="I207" s="123"/>
      <c r="J207" s="123"/>
      <c r="K207" s="124"/>
      <c r="BC207" s="14"/>
      <c r="BD207" s="15" t="s">
        <v>463</v>
      </c>
      <c r="BE207" s="21"/>
      <c r="BF207" s="43"/>
      <c r="BG207" s="12"/>
      <c r="BH207" s="12"/>
    </row>
    <row r="208" spans="1:60" s="3" customFormat="1" ht="21.6" x14ac:dyDescent="0.3">
      <c r="A208" s="16" t="s">
        <v>570</v>
      </c>
      <c r="B208" s="17" t="s">
        <v>464</v>
      </c>
      <c r="C208" s="405" t="s">
        <v>465</v>
      </c>
      <c r="D208" s="405"/>
      <c r="E208" s="405"/>
      <c r="F208" s="16" t="s">
        <v>158</v>
      </c>
      <c r="G208" s="23">
        <v>13</v>
      </c>
      <c r="H208" s="57">
        <f>I208/G208</f>
        <v>1501.9246153846154</v>
      </c>
      <c r="I208" s="19">
        <f>20649.06-K208</f>
        <v>19525.02</v>
      </c>
      <c r="J208" s="19">
        <f>K208/G208</f>
        <v>86.464615384615385</v>
      </c>
      <c r="K208" s="19">
        <v>1124.04</v>
      </c>
      <c r="BC208" s="14"/>
      <c r="BD208" s="15"/>
      <c r="BE208" s="21" t="s">
        <v>465</v>
      </c>
      <c r="BF208" s="43"/>
      <c r="BG208" s="12"/>
      <c r="BH208" s="12"/>
    </row>
    <row r="209" spans="1:60" s="3" customFormat="1" ht="20.399999999999999" x14ac:dyDescent="0.3">
      <c r="A209" s="37" t="s">
        <v>143</v>
      </c>
      <c r="B209" s="38" t="s">
        <v>466</v>
      </c>
      <c r="C209" s="430" t="s">
        <v>467</v>
      </c>
      <c r="D209" s="430"/>
      <c r="E209" s="430"/>
      <c r="F209" s="39" t="s">
        <v>75</v>
      </c>
      <c r="G209" s="40" t="s">
        <v>4303</v>
      </c>
      <c r="H209" s="100"/>
      <c r="I209" s="41"/>
      <c r="J209" s="41"/>
      <c r="K209" s="42"/>
      <c r="BC209" s="14"/>
      <c r="BD209" s="15"/>
      <c r="BE209" s="21"/>
      <c r="BF209" s="43" t="s">
        <v>467</v>
      </c>
      <c r="BG209" s="12"/>
      <c r="BH209" s="12"/>
    </row>
    <row r="210" spans="1:60" s="3" customFormat="1" ht="20.399999999999999" x14ac:dyDescent="0.3">
      <c r="A210" s="25" t="s">
        <v>129</v>
      </c>
      <c r="B210" s="26" t="s">
        <v>469</v>
      </c>
      <c r="C210" s="419" t="s">
        <v>467</v>
      </c>
      <c r="D210" s="419"/>
      <c r="E210" s="419"/>
      <c r="F210" s="27" t="s">
        <v>70</v>
      </c>
      <c r="G210" s="22" t="s">
        <v>4304</v>
      </c>
      <c r="H210" s="57"/>
      <c r="I210" s="28"/>
      <c r="J210" s="19"/>
      <c r="K210" s="29"/>
      <c r="BC210" s="14"/>
      <c r="BD210" s="15"/>
      <c r="BE210" s="21"/>
      <c r="BF210" s="43"/>
      <c r="BG210" s="12"/>
      <c r="BH210" s="12" t="s">
        <v>467</v>
      </c>
    </row>
    <row r="211" spans="1:60" s="3" customFormat="1" ht="31.8" x14ac:dyDescent="0.3">
      <c r="A211" s="16" t="s">
        <v>584</v>
      </c>
      <c r="B211" s="17" t="s">
        <v>471</v>
      </c>
      <c r="C211" s="405" t="s">
        <v>472</v>
      </c>
      <c r="D211" s="405"/>
      <c r="E211" s="405"/>
      <c r="F211" s="16" t="s">
        <v>329</v>
      </c>
      <c r="G211" s="31">
        <v>0.13</v>
      </c>
      <c r="H211" s="57">
        <f>I211/G211</f>
        <v>8353.1538461538457</v>
      </c>
      <c r="I211" s="19">
        <f>1341.94-K211</f>
        <v>1085.9100000000001</v>
      </c>
      <c r="J211" s="19">
        <f>K211/G211</f>
        <v>1969.4615384615381</v>
      </c>
      <c r="K211" s="19">
        <v>256.02999999999997</v>
      </c>
      <c r="BC211" s="14"/>
      <c r="BD211" s="15"/>
      <c r="BE211" s="21" t="s">
        <v>472</v>
      </c>
      <c r="BF211" s="43"/>
      <c r="BG211" s="12"/>
      <c r="BH211" s="12"/>
    </row>
    <row r="212" spans="1:60" s="3" customFormat="1" ht="20.399999999999999" x14ac:dyDescent="0.3">
      <c r="A212" s="25"/>
      <c r="B212" s="26" t="s">
        <v>339</v>
      </c>
      <c r="C212" s="419" t="s">
        <v>340</v>
      </c>
      <c r="D212" s="419"/>
      <c r="E212" s="419"/>
      <c r="F212" s="27" t="s">
        <v>75</v>
      </c>
      <c r="G212" s="22" t="s">
        <v>4305</v>
      </c>
      <c r="H212" s="58"/>
      <c r="I212" s="28"/>
      <c r="J212" s="28"/>
      <c r="K212" s="29"/>
      <c r="BC212" s="14"/>
      <c r="BD212" s="15"/>
      <c r="BE212" s="21"/>
      <c r="BF212" s="43"/>
      <c r="BG212" s="12" t="s">
        <v>340</v>
      </c>
      <c r="BH212" s="12"/>
    </row>
    <row r="213" spans="1:60" s="3" customFormat="1" ht="20.399999999999999" x14ac:dyDescent="0.3">
      <c r="A213" s="25"/>
      <c r="B213" s="26" t="s">
        <v>353</v>
      </c>
      <c r="C213" s="419" t="s">
        <v>354</v>
      </c>
      <c r="D213" s="419"/>
      <c r="E213" s="419"/>
      <c r="F213" s="27" t="s">
        <v>75</v>
      </c>
      <c r="G213" s="22" t="s">
        <v>4306</v>
      </c>
      <c r="H213" s="58"/>
      <c r="I213" s="28"/>
      <c r="J213" s="28"/>
      <c r="K213" s="29"/>
      <c r="BC213" s="14"/>
      <c r="BD213" s="15"/>
      <c r="BE213" s="21"/>
      <c r="BF213" s="43"/>
      <c r="BG213" s="12" t="s">
        <v>354</v>
      </c>
      <c r="BH213" s="12"/>
    </row>
    <row r="214" spans="1:60" s="3" customFormat="1" ht="15" customHeight="1" x14ac:dyDescent="0.3">
      <c r="A214" s="437" t="s">
        <v>475</v>
      </c>
      <c r="B214" s="418"/>
      <c r="C214" s="418"/>
      <c r="D214" s="418"/>
      <c r="E214" s="418"/>
      <c r="F214" s="61"/>
      <c r="G214" s="61"/>
      <c r="H214" s="123"/>
      <c r="I214" s="123"/>
      <c r="J214" s="123"/>
      <c r="K214" s="124"/>
      <c r="BC214" s="14"/>
      <c r="BD214" s="15" t="s">
        <v>475</v>
      </c>
      <c r="BE214" s="21"/>
      <c r="BF214" s="43"/>
      <c r="BG214" s="12"/>
      <c r="BH214" s="12"/>
    </row>
    <row r="215" spans="1:60" s="3" customFormat="1" ht="14.4" x14ac:dyDescent="0.3">
      <c r="A215" s="16" t="s">
        <v>585</v>
      </c>
      <c r="B215" s="17" t="s">
        <v>476</v>
      </c>
      <c r="C215" s="405" t="s">
        <v>477</v>
      </c>
      <c r="D215" s="405"/>
      <c r="E215" s="405"/>
      <c r="F215" s="16" t="s">
        <v>158</v>
      </c>
      <c r="G215" s="23">
        <v>13</v>
      </c>
      <c r="H215" s="57">
        <f>I215/G215</f>
        <v>67.273846153846151</v>
      </c>
      <c r="I215" s="19">
        <f>874.56-K215</f>
        <v>874.56</v>
      </c>
      <c r="J215" s="19">
        <f>K215/G215</f>
        <v>0</v>
      </c>
      <c r="K215" s="19">
        <v>0</v>
      </c>
      <c r="BC215" s="14"/>
      <c r="BD215" s="15"/>
      <c r="BE215" s="21" t="s">
        <v>477</v>
      </c>
      <c r="BF215" s="43"/>
      <c r="BG215" s="12"/>
      <c r="BH215" s="12"/>
    </row>
    <row r="216" spans="1:60" s="3" customFormat="1" ht="24.75" customHeight="1" x14ac:dyDescent="0.3">
      <c r="A216" s="437" t="s">
        <v>532</v>
      </c>
      <c r="B216" s="418"/>
      <c r="C216" s="418"/>
      <c r="D216" s="418"/>
      <c r="E216" s="418"/>
      <c r="F216" s="61"/>
      <c r="G216" s="61"/>
      <c r="H216" s="123"/>
      <c r="I216" s="123"/>
      <c r="J216" s="123"/>
      <c r="K216" s="124"/>
      <c r="BC216" s="14"/>
      <c r="BD216" s="15" t="s">
        <v>532</v>
      </c>
      <c r="BE216" s="21"/>
      <c r="BF216" s="43"/>
      <c r="BG216" s="12"/>
      <c r="BH216" s="12"/>
    </row>
    <row r="217" spans="1:60" s="3" customFormat="1" ht="21.6" x14ac:dyDescent="0.3">
      <c r="A217" s="16" t="s">
        <v>2137</v>
      </c>
      <c r="B217" s="17" t="s">
        <v>452</v>
      </c>
      <c r="C217" s="405" t="s">
        <v>453</v>
      </c>
      <c r="D217" s="405"/>
      <c r="E217" s="405"/>
      <c r="F217" s="16" t="s">
        <v>329</v>
      </c>
      <c r="G217" s="31">
        <v>0.13</v>
      </c>
      <c r="H217" s="57">
        <f>I217/G217</f>
        <v>4417.3076923076924</v>
      </c>
      <c r="I217" s="19">
        <f>14371.45-K217</f>
        <v>574.25</v>
      </c>
      <c r="J217" s="19">
        <f>K217/G217</f>
        <v>106132.30769230769</v>
      </c>
      <c r="K217" s="19">
        <v>13797.2</v>
      </c>
      <c r="BC217" s="14"/>
      <c r="BD217" s="15"/>
      <c r="BE217" s="21" t="s">
        <v>453</v>
      </c>
      <c r="BF217" s="43"/>
      <c r="BG217" s="12"/>
      <c r="BH217" s="12"/>
    </row>
    <row r="218" spans="1:60" s="3" customFormat="1" ht="31.8" x14ac:dyDescent="0.3">
      <c r="A218" s="25"/>
      <c r="B218" s="26" t="s">
        <v>454</v>
      </c>
      <c r="C218" s="419" t="s">
        <v>455</v>
      </c>
      <c r="D218" s="419"/>
      <c r="E218" s="419"/>
      <c r="F218" s="27" t="s">
        <v>70</v>
      </c>
      <c r="G218" s="22" t="s">
        <v>4307</v>
      </c>
      <c r="H218" s="58"/>
      <c r="I218" s="28"/>
      <c r="J218" s="28"/>
      <c r="K218" s="29"/>
      <c r="BC218" s="14"/>
      <c r="BD218" s="15"/>
      <c r="BE218" s="21"/>
      <c r="BF218" s="43"/>
      <c r="BG218" s="12" t="s">
        <v>455</v>
      </c>
      <c r="BH218" s="12"/>
    </row>
    <row r="219" spans="1:60" s="3" customFormat="1" ht="20.399999999999999" x14ac:dyDescent="0.3">
      <c r="A219" s="25"/>
      <c r="B219" s="26" t="s">
        <v>370</v>
      </c>
      <c r="C219" s="419" t="s">
        <v>371</v>
      </c>
      <c r="D219" s="419"/>
      <c r="E219" s="419"/>
      <c r="F219" s="27" t="s">
        <v>75</v>
      </c>
      <c r="G219" s="22" t="s">
        <v>4308</v>
      </c>
      <c r="H219" s="58"/>
      <c r="I219" s="28"/>
      <c r="J219" s="28"/>
      <c r="K219" s="29"/>
      <c r="BC219" s="14"/>
      <c r="BD219" s="15"/>
      <c r="BE219" s="21"/>
      <c r="BF219" s="43"/>
      <c r="BG219" s="12" t="s">
        <v>371</v>
      </c>
      <c r="BH219" s="12"/>
    </row>
    <row r="220" spans="1:60" s="3" customFormat="1" ht="21.6" x14ac:dyDescent="0.3">
      <c r="A220" s="25" t="s">
        <v>129</v>
      </c>
      <c r="B220" s="26" t="s">
        <v>460</v>
      </c>
      <c r="C220" s="419" t="s">
        <v>461</v>
      </c>
      <c r="D220" s="419"/>
      <c r="E220" s="419"/>
      <c r="F220" s="27" t="s">
        <v>75</v>
      </c>
      <c r="G220" s="22" t="s">
        <v>4306</v>
      </c>
      <c r="H220" s="57"/>
      <c r="I220" s="28"/>
      <c r="J220" s="19"/>
      <c r="K220" s="29"/>
      <c r="BC220" s="14"/>
      <c r="BD220" s="15"/>
      <c r="BE220" s="21"/>
      <c r="BF220" s="43"/>
      <c r="BG220" s="12"/>
      <c r="BH220" s="12" t="s">
        <v>461</v>
      </c>
    </row>
    <row r="221" spans="1:60" s="3" customFormat="1" ht="15" customHeight="1" x14ac:dyDescent="0.3">
      <c r="A221" s="437" t="s">
        <v>538</v>
      </c>
      <c r="B221" s="418"/>
      <c r="C221" s="418"/>
      <c r="D221" s="418"/>
      <c r="E221" s="418"/>
      <c r="F221" s="61"/>
      <c r="G221" s="61"/>
      <c r="H221" s="123"/>
      <c r="I221" s="123"/>
      <c r="J221" s="123"/>
      <c r="K221" s="124"/>
      <c r="BC221" s="14"/>
      <c r="BD221" s="15" t="s">
        <v>538</v>
      </c>
      <c r="BE221" s="21"/>
      <c r="BF221" s="43"/>
      <c r="BG221" s="12"/>
      <c r="BH221" s="12"/>
    </row>
    <row r="222" spans="1:60" s="3" customFormat="1" ht="31.8" x14ac:dyDescent="0.3">
      <c r="A222" s="16" t="s">
        <v>2138</v>
      </c>
      <c r="B222" s="17" t="s">
        <v>471</v>
      </c>
      <c r="C222" s="405" t="s">
        <v>472</v>
      </c>
      <c r="D222" s="405"/>
      <c r="E222" s="405"/>
      <c r="F222" s="16" t="s">
        <v>329</v>
      </c>
      <c r="G222" s="24">
        <v>1.3</v>
      </c>
      <c r="H222" s="57">
        <f>I222/G222</f>
        <v>8353.1076923076926</v>
      </c>
      <c r="I222" s="19">
        <f>13419.36-K222</f>
        <v>10859.04</v>
      </c>
      <c r="J222" s="19">
        <f>K222/G222</f>
        <v>1969.4769230769232</v>
      </c>
      <c r="K222" s="19">
        <v>2560.3200000000002</v>
      </c>
      <c r="BC222" s="14"/>
      <c r="BD222" s="15"/>
      <c r="BE222" s="21" t="s">
        <v>472</v>
      </c>
      <c r="BF222" s="43"/>
      <c r="BG222" s="12"/>
      <c r="BH222" s="12"/>
    </row>
    <row r="223" spans="1:60" s="3" customFormat="1" ht="20.399999999999999" x14ac:dyDescent="0.3">
      <c r="A223" s="25"/>
      <c r="B223" s="26" t="s">
        <v>339</v>
      </c>
      <c r="C223" s="419" t="s">
        <v>340</v>
      </c>
      <c r="D223" s="419"/>
      <c r="E223" s="419"/>
      <c r="F223" s="27" t="s">
        <v>75</v>
      </c>
      <c r="G223" s="22" t="s">
        <v>4309</v>
      </c>
      <c r="H223" s="58"/>
      <c r="I223" s="28"/>
      <c r="J223" s="28"/>
      <c r="K223" s="29"/>
      <c r="BC223" s="14"/>
      <c r="BD223" s="15"/>
      <c r="BE223" s="21"/>
      <c r="BF223" s="43"/>
      <c r="BG223" s="12" t="s">
        <v>340</v>
      </c>
      <c r="BH223" s="12"/>
    </row>
    <row r="224" spans="1:60" s="3" customFormat="1" ht="20.399999999999999" x14ac:dyDescent="0.3">
      <c r="A224" s="25"/>
      <c r="B224" s="26" t="s">
        <v>353</v>
      </c>
      <c r="C224" s="419" t="s">
        <v>354</v>
      </c>
      <c r="D224" s="419"/>
      <c r="E224" s="419"/>
      <c r="F224" s="27" t="s">
        <v>75</v>
      </c>
      <c r="G224" s="22" t="s">
        <v>4302</v>
      </c>
      <c r="H224" s="58"/>
      <c r="I224" s="28"/>
      <c r="J224" s="28"/>
      <c r="K224" s="29"/>
      <c r="BC224" s="14"/>
      <c r="BD224" s="15"/>
      <c r="BE224" s="21"/>
      <c r="BF224" s="43"/>
      <c r="BG224" s="12" t="s">
        <v>354</v>
      </c>
      <c r="BH224" s="12"/>
    </row>
    <row r="225" spans="1:60" s="3" customFormat="1" ht="15" customHeight="1" x14ac:dyDescent="0.3">
      <c r="A225" s="437" t="s">
        <v>4280</v>
      </c>
      <c r="B225" s="418"/>
      <c r="C225" s="418"/>
      <c r="D225" s="418"/>
      <c r="E225" s="418"/>
      <c r="F225" s="61"/>
      <c r="G225" s="61"/>
      <c r="H225" s="123"/>
      <c r="I225" s="123"/>
      <c r="J225" s="123"/>
      <c r="K225" s="124"/>
      <c r="BC225" s="14"/>
      <c r="BD225" s="15" t="s">
        <v>4280</v>
      </c>
      <c r="BE225" s="21"/>
      <c r="BF225" s="43"/>
      <c r="BG225" s="12"/>
      <c r="BH225" s="12"/>
    </row>
    <row r="226" spans="1:60" s="3" customFormat="1" ht="15" customHeight="1" x14ac:dyDescent="0.3">
      <c r="A226" s="437" t="s">
        <v>485</v>
      </c>
      <c r="B226" s="418"/>
      <c r="C226" s="418"/>
      <c r="D226" s="418"/>
      <c r="E226" s="418"/>
      <c r="F226" s="61"/>
      <c r="G226" s="61"/>
      <c r="H226" s="123"/>
      <c r="I226" s="123"/>
      <c r="J226" s="123"/>
      <c r="K226" s="124"/>
      <c r="BC226" s="14"/>
      <c r="BD226" s="15" t="s">
        <v>485</v>
      </c>
      <c r="BE226" s="21"/>
      <c r="BF226" s="43"/>
      <c r="BG226" s="12"/>
      <c r="BH226" s="12"/>
    </row>
    <row r="227" spans="1:60" s="3" customFormat="1" ht="42" x14ac:dyDescent="0.3">
      <c r="A227" s="16" t="s">
        <v>2139</v>
      </c>
      <c r="B227" s="17" t="s">
        <v>486</v>
      </c>
      <c r="C227" s="405" t="s">
        <v>487</v>
      </c>
      <c r="D227" s="405"/>
      <c r="E227" s="405"/>
      <c r="F227" s="16" t="s">
        <v>329</v>
      </c>
      <c r="G227" s="24">
        <v>1.3</v>
      </c>
      <c r="H227" s="57">
        <f>I227/G227</f>
        <v>2420.2076923076952</v>
      </c>
      <c r="I227" s="19">
        <f>88742.55-K227</f>
        <v>3146.2700000000041</v>
      </c>
      <c r="J227" s="19">
        <f>K227/G227</f>
        <v>65843.292307692303</v>
      </c>
      <c r="K227" s="19">
        <v>85596.28</v>
      </c>
      <c r="BC227" s="14"/>
      <c r="BD227" s="15"/>
      <c r="BE227" s="21" t="s">
        <v>487</v>
      </c>
      <c r="BF227" s="43"/>
      <c r="BG227" s="12"/>
      <c r="BH227" s="12"/>
    </row>
    <row r="228" spans="1:60" s="3" customFormat="1" ht="42" x14ac:dyDescent="0.3">
      <c r="A228" s="25"/>
      <c r="B228" s="26" t="s">
        <v>488</v>
      </c>
      <c r="C228" s="419" t="s">
        <v>489</v>
      </c>
      <c r="D228" s="419"/>
      <c r="E228" s="419"/>
      <c r="F228" s="27" t="s">
        <v>75</v>
      </c>
      <c r="G228" s="22" t="s">
        <v>4310</v>
      </c>
      <c r="H228" s="58"/>
      <c r="I228" s="28"/>
      <c r="J228" s="28"/>
      <c r="K228" s="29"/>
      <c r="BC228" s="14"/>
      <c r="BD228" s="15"/>
      <c r="BE228" s="21"/>
      <c r="BF228" s="43"/>
      <c r="BG228" s="12" t="s">
        <v>489</v>
      </c>
      <c r="BH228" s="12"/>
    </row>
    <row r="229" spans="1:60" s="3" customFormat="1" ht="20.399999999999999" x14ac:dyDescent="0.3">
      <c r="A229" s="25"/>
      <c r="B229" s="26" t="s">
        <v>370</v>
      </c>
      <c r="C229" s="419" t="s">
        <v>371</v>
      </c>
      <c r="D229" s="419"/>
      <c r="E229" s="419"/>
      <c r="F229" s="27" t="s">
        <v>75</v>
      </c>
      <c r="G229" s="22" t="s">
        <v>4311</v>
      </c>
      <c r="H229" s="58"/>
      <c r="I229" s="28"/>
      <c r="J229" s="28"/>
      <c r="K229" s="29"/>
      <c r="BC229" s="14"/>
      <c r="BD229" s="15"/>
      <c r="BE229" s="21"/>
      <c r="BF229" s="43"/>
      <c r="BG229" s="12" t="s">
        <v>371</v>
      </c>
      <c r="BH229" s="12"/>
    </row>
    <row r="230" spans="1:60" s="3" customFormat="1" ht="20.399999999999999" x14ac:dyDescent="0.3">
      <c r="A230" s="25" t="s">
        <v>129</v>
      </c>
      <c r="B230" s="26" t="s">
        <v>494</v>
      </c>
      <c r="C230" s="419" t="s">
        <v>495</v>
      </c>
      <c r="D230" s="419"/>
      <c r="E230" s="419"/>
      <c r="F230" s="27" t="s">
        <v>75</v>
      </c>
      <c r="G230" s="22" t="s">
        <v>4312</v>
      </c>
      <c r="H230" s="57"/>
      <c r="I230" s="28"/>
      <c r="J230" s="19"/>
      <c r="K230" s="29"/>
      <c r="BC230" s="14"/>
      <c r="BD230" s="15"/>
      <c r="BE230" s="21"/>
      <c r="BF230" s="43"/>
      <c r="BG230" s="12"/>
      <c r="BH230" s="12" t="s">
        <v>495</v>
      </c>
    </row>
    <row r="231" spans="1:60" s="3" customFormat="1" ht="15" customHeight="1" x14ac:dyDescent="0.3">
      <c r="A231" s="437" t="s">
        <v>497</v>
      </c>
      <c r="B231" s="418"/>
      <c r="C231" s="418"/>
      <c r="D231" s="418"/>
      <c r="E231" s="418"/>
      <c r="F231" s="61"/>
      <c r="G231" s="61"/>
      <c r="H231" s="123"/>
      <c r="I231" s="123"/>
      <c r="J231" s="123"/>
      <c r="K231" s="124"/>
      <c r="BC231" s="14"/>
      <c r="BD231" s="15" t="s">
        <v>497</v>
      </c>
      <c r="BE231" s="21"/>
      <c r="BF231" s="43"/>
      <c r="BG231" s="12"/>
      <c r="BH231" s="12"/>
    </row>
    <row r="232" spans="1:60" s="3" customFormat="1" ht="42" x14ac:dyDescent="0.3">
      <c r="A232" s="16" t="s">
        <v>2144</v>
      </c>
      <c r="B232" s="17" t="s">
        <v>486</v>
      </c>
      <c r="C232" s="405" t="s">
        <v>487</v>
      </c>
      <c r="D232" s="405"/>
      <c r="E232" s="405"/>
      <c r="F232" s="16" t="s">
        <v>329</v>
      </c>
      <c r="G232" s="24">
        <v>1.3</v>
      </c>
      <c r="H232" s="57">
        <f>I232/G232</f>
        <v>2420.2076923076952</v>
      </c>
      <c r="I232" s="19">
        <f>88742.55-K232</f>
        <v>3146.2700000000041</v>
      </c>
      <c r="J232" s="19">
        <f>K232/G232</f>
        <v>65843.292307692303</v>
      </c>
      <c r="K232" s="19">
        <v>85596.28</v>
      </c>
      <c r="BC232" s="14"/>
      <c r="BD232" s="15"/>
      <c r="BE232" s="21" t="s">
        <v>487</v>
      </c>
      <c r="BF232" s="43"/>
      <c r="BG232" s="12"/>
      <c r="BH232" s="12"/>
    </row>
    <row r="233" spans="1:60" s="3" customFormat="1" ht="42" x14ac:dyDescent="0.3">
      <c r="A233" s="25"/>
      <c r="B233" s="26" t="s">
        <v>488</v>
      </c>
      <c r="C233" s="419" t="s">
        <v>489</v>
      </c>
      <c r="D233" s="419"/>
      <c r="E233" s="419"/>
      <c r="F233" s="27" t="s">
        <v>75</v>
      </c>
      <c r="G233" s="22" t="s">
        <v>4310</v>
      </c>
      <c r="H233" s="58"/>
      <c r="I233" s="28"/>
      <c r="J233" s="28"/>
      <c r="K233" s="29"/>
      <c r="BC233" s="14"/>
      <c r="BD233" s="15"/>
      <c r="BE233" s="21"/>
      <c r="BF233" s="43"/>
      <c r="BG233" s="12" t="s">
        <v>489</v>
      </c>
      <c r="BH233" s="12"/>
    </row>
    <row r="234" spans="1:60" s="3" customFormat="1" ht="20.399999999999999" x14ac:dyDescent="0.3">
      <c r="A234" s="25"/>
      <c r="B234" s="26" t="s">
        <v>370</v>
      </c>
      <c r="C234" s="419" t="s">
        <v>371</v>
      </c>
      <c r="D234" s="419"/>
      <c r="E234" s="419"/>
      <c r="F234" s="27" t="s">
        <v>75</v>
      </c>
      <c r="G234" s="22" t="s">
        <v>4311</v>
      </c>
      <c r="H234" s="58"/>
      <c r="I234" s="28"/>
      <c r="J234" s="28"/>
      <c r="K234" s="29"/>
      <c r="BC234" s="14"/>
      <c r="BD234" s="15"/>
      <c r="BE234" s="21"/>
      <c r="BF234" s="43"/>
      <c r="BG234" s="12" t="s">
        <v>371</v>
      </c>
      <c r="BH234" s="12"/>
    </row>
    <row r="235" spans="1:60" s="3" customFormat="1" ht="20.399999999999999" x14ac:dyDescent="0.3">
      <c r="A235" s="25" t="s">
        <v>129</v>
      </c>
      <c r="B235" s="26" t="s">
        <v>494</v>
      </c>
      <c r="C235" s="419" t="s">
        <v>495</v>
      </c>
      <c r="D235" s="419"/>
      <c r="E235" s="419"/>
      <c r="F235" s="27" t="s">
        <v>75</v>
      </c>
      <c r="G235" s="22" t="s">
        <v>4312</v>
      </c>
      <c r="H235" s="57"/>
      <c r="I235" s="28"/>
      <c r="J235" s="19"/>
      <c r="K235" s="29"/>
      <c r="BC235" s="14"/>
      <c r="BD235" s="15"/>
      <c r="BE235" s="21"/>
      <c r="BF235" s="43"/>
      <c r="BG235" s="12"/>
      <c r="BH235" s="12" t="s">
        <v>495</v>
      </c>
    </row>
    <row r="236" spans="1:60" s="3" customFormat="1" ht="15" customHeight="1" x14ac:dyDescent="0.3">
      <c r="A236" s="437" t="s">
        <v>498</v>
      </c>
      <c r="B236" s="418"/>
      <c r="C236" s="418"/>
      <c r="D236" s="418"/>
      <c r="E236" s="418"/>
      <c r="F236" s="61"/>
      <c r="G236" s="61"/>
      <c r="H236" s="123"/>
      <c r="I236" s="123"/>
      <c r="J236" s="123"/>
      <c r="K236" s="124"/>
      <c r="BC236" s="14"/>
      <c r="BD236" s="15" t="s">
        <v>498</v>
      </c>
      <c r="BE236" s="21"/>
      <c r="BF236" s="43"/>
      <c r="BG236" s="12"/>
      <c r="BH236" s="12"/>
    </row>
    <row r="237" spans="1:60" s="3" customFormat="1" ht="15" customHeight="1" x14ac:dyDescent="0.3">
      <c r="A237" s="437" t="s">
        <v>548</v>
      </c>
      <c r="B237" s="418"/>
      <c r="C237" s="418"/>
      <c r="D237" s="418"/>
      <c r="E237" s="418"/>
      <c r="F237" s="61"/>
      <c r="G237" s="61"/>
      <c r="H237" s="123"/>
      <c r="I237" s="123"/>
      <c r="J237" s="123"/>
      <c r="K237" s="124"/>
      <c r="BC237" s="14"/>
      <c r="BD237" s="15" t="s">
        <v>548</v>
      </c>
      <c r="BE237" s="21"/>
      <c r="BF237" s="43"/>
      <c r="BG237" s="12"/>
      <c r="BH237" s="12"/>
    </row>
    <row r="238" spans="1:60" s="3" customFormat="1" ht="31.8" x14ac:dyDescent="0.3">
      <c r="A238" s="16" t="s">
        <v>2169</v>
      </c>
      <c r="B238" s="17" t="s">
        <v>550</v>
      </c>
      <c r="C238" s="405" t="s">
        <v>551</v>
      </c>
      <c r="D238" s="405"/>
      <c r="E238" s="405"/>
      <c r="F238" s="16" t="s">
        <v>70</v>
      </c>
      <c r="G238" s="18">
        <v>0.65600000000000003</v>
      </c>
      <c r="H238" s="57">
        <f>I238/G238</f>
        <v>47762.89634146342</v>
      </c>
      <c r="I238" s="19">
        <f>57128.19-K238</f>
        <v>31332.460000000003</v>
      </c>
      <c r="J238" s="19">
        <f>K238/G238</f>
        <v>39322.759146341465</v>
      </c>
      <c r="K238" s="19">
        <v>25795.73</v>
      </c>
      <c r="BC238" s="14"/>
      <c r="BD238" s="15"/>
      <c r="BE238" s="21" t="s">
        <v>551</v>
      </c>
      <c r="BF238" s="43"/>
      <c r="BG238" s="12"/>
      <c r="BH238" s="12"/>
    </row>
    <row r="239" spans="1:60" s="3" customFormat="1" ht="20.399999999999999" x14ac:dyDescent="0.3">
      <c r="A239" s="25"/>
      <c r="B239" s="26" t="s">
        <v>384</v>
      </c>
      <c r="C239" s="419" t="s">
        <v>385</v>
      </c>
      <c r="D239" s="419"/>
      <c r="E239" s="419"/>
      <c r="F239" s="27" t="s">
        <v>46</v>
      </c>
      <c r="G239" s="22" t="s">
        <v>4313</v>
      </c>
      <c r="H239" s="58"/>
      <c r="I239" s="28"/>
      <c r="J239" s="28"/>
      <c r="K239" s="29"/>
      <c r="BC239" s="14"/>
      <c r="BD239" s="15"/>
      <c r="BE239" s="21"/>
      <c r="BF239" s="43"/>
      <c r="BG239" s="12" t="s">
        <v>385</v>
      </c>
      <c r="BH239" s="12"/>
    </row>
    <row r="240" spans="1:60" s="3" customFormat="1" ht="20.399999999999999" x14ac:dyDescent="0.3">
      <c r="A240" s="25"/>
      <c r="B240" s="26" t="s">
        <v>387</v>
      </c>
      <c r="C240" s="419" t="s">
        <v>388</v>
      </c>
      <c r="D240" s="419"/>
      <c r="E240" s="419"/>
      <c r="F240" s="27" t="s">
        <v>75</v>
      </c>
      <c r="G240" s="22" t="s">
        <v>4314</v>
      </c>
      <c r="H240" s="58"/>
      <c r="I240" s="28"/>
      <c r="J240" s="28"/>
      <c r="K240" s="29"/>
      <c r="BC240" s="14"/>
      <c r="BD240" s="15"/>
      <c r="BE240" s="21"/>
      <c r="BF240" s="43"/>
      <c r="BG240" s="12" t="s">
        <v>388</v>
      </c>
      <c r="BH240" s="12"/>
    </row>
    <row r="241" spans="1:60" s="3" customFormat="1" ht="20.399999999999999" x14ac:dyDescent="0.3">
      <c r="A241" s="25"/>
      <c r="B241" s="26" t="s">
        <v>504</v>
      </c>
      <c r="C241" s="419" t="s">
        <v>505</v>
      </c>
      <c r="D241" s="419"/>
      <c r="E241" s="419"/>
      <c r="F241" s="27" t="s">
        <v>75</v>
      </c>
      <c r="G241" s="22" t="s">
        <v>4315</v>
      </c>
      <c r="H241" s="58"/>
      <c r="I241" s="28"/>
      <c r="J241" s="28"/>
      <c r="K241" s="29"/>
      <c r="BC241" s="14"/>
      <c r="BD241" s="15"/>
      <c r="BE241" s="21"/>
      <c r="BF241" s="43"/>
      <c r="BG241" s="12" t="s">
        <v>505</v>
      </c>
      <c r="BH241" s="12"/>
    </row>
    <row r="242" spans="1:60" s="3" customFormat="1" ht="20.399999999999999" x14ac:dyDescent="0.3">
      <c r="A242" s="37" t="s">
        <v>78</v>
      </c>
      <c r="B242" s="38" t="s">
        <v>391</v>
      </c>
      <c r="C242" s="430" t="s">
        <v>392</v>
      </c>
      <c r="D242" s="430"/>
      <c r="E242" s="430"/>
      <c r="F242" s="39" t="s">
        <v>75</v>
      </c>
      <c r="G242" s="40" t="s">
        <v>33</v>
      </c>
      <c r="H242" s="100"/>
      <c r="I242" s="41"/>
      <c r="J242" s="41"/>
      <c r="K242" s="42"/>
      <c r="BC242" s="14"/>
      <c r="BD242" s="15"/>
      <c r="BE242" s="21"/>
      <c r="BF242" s="43" t="s">
        <v>392</v>
      </c>
      <c r="BG242" s="12"/>
      <c r="BH242" s="12"/>
    </row>
    <row r="243" spans="1:60" s="3" customFormat="1" ht="20.399999999999999" x14ac:dyDescent="0.3">
      <c r="A243" s="25"/>
      <c r="B243" s="26" t="s">
        <v>76</v>
      </c>
      <c r="C243" s="419" t="s">
        <v>77</v>
      </c>
      <c r="D243" s="419"/>
      <c r="E243" s="419"/>
      <c r="F243" s="27" t="s">
        <v>70</v>
      </c>
      <c r="G243" s="22" t="s">
        <v>4316</v>
      </c>
      <c r="H243" s="58"/>
      <c r="I243" s="28"/>
      <c r="J243" s="28"/>
      <c r="K243" s="29"/>
      <c r="BC243" s="14"/>
      <c r="BD243" s="15"/>
      <c r="BE243" s="21"/>
      <c r="BF243" s="43"/>
      <c r="BG243" s="12" t="s">
        <v>77</v>
      </c>
      <c r="BH243" s="12"/>
    </row>
    <row r="244" spans="1:60" s="3" customFormat="1" ht="20.399999999999999" x14ac:dyDescent="0.3">
      <c r="A244" s="25"/>
      <c r="B244" s="26" t="s">
        <v>395</v>
      </c>
      <c r="C244" s="419" t="s">
        <v>396</v>
      </c>
      <c r="D244" s="419"/>
      <c r="E244" s="419"/>
      <c r="F244" s="27" t="s">
        <v>70</v>
      </c>
      <c r="G244" s="22" t="s">
        <v>4317</v>
      </c>
      <c r="H244" s="58"/>
      <c r="I244" s="28"/>
      <c r="J244" s="28"/>
      <c r="K244" s="29"/>
      <c r="BC244" s="14"/>
      <c r="BD244" s="15"/>
      <c r="BE244" s="21"/>
      <c r="BF244" s="43"/>
      <c r="BG244" s="12" t="s">
        <v>396</v>
      </c>
      <c r="BH244" s="12"/>
    </row>
    <row r="245" spans="1:60" s="3" customFormat="1" ht="20.399999999999999" x14ac:dyDescent="0.3">
      <c r="A245" s="37" t="s">
        <v>143</v>
      </c>
      <c r="B245" s="38" t="s">
        <v>509</v>
      </c>
      <c r="C245" s="430" t="s">
        <v>557</v>
      </c>
      <c r="D245" s="430"/>
      <c r="E245" s="430"/>
      <c r="F245" s="39" t="s">
        <v>70</v>
      </c>
      <c r="G245" s="40" t="s">
        <v>4318</v>
      </c>
      <c r="H245" s="100"/>
      <c r="I245" s="41"/>
      <c r="J245" s="41"/>
      <c r="K245" s="42"/>
      <c r="BC245" s="14"/>
      <c r="BD245" s="15"/>
      <c r="BE245" s="21"/>
      <c r="BF245" s="43" t="s">
        <v>557</v>
      </c>
      <c r="BG245" s="12"/>
      <c r="BH245" s="12"/>
    </row>
    <row r="246" spans="1:60" s="3" customFormat="1" ht="42" x14ac:dyDescent="0.3">
      <c r="A246" s="25"/>
      <c r="B246" s="26" t="s">
        <v>512</v>
      </c>
      <c r="C246" s="419" t="s">
        <v>513</v>
      </c>
      <c r="D246" s="419"/>
      <c r="E246" s="419"/>
      <c r="F246" s="27" t="s">
        <v>70</v>
      </c>
      <c r="G246" s="22" t="s">
        <v>4319</v>
      </c>
      <c r="H246" s="58"/>
      <c r="I246" s="28"/>
      <c r="J246" s="28"/>
      <c r="K246" s="29"/>
      <c r="BC246" s="14"/>
      <c r="BD246" s="15"/>
      <c r="BE246" s="21"/>
      <c r="BF246" s="43"/>
      <c r="BG246" s="12" t="s">
        <v>513</v>
      </c>
      <c r="BH246" s="12"/>
    </row>
    <row r="247" spans="1:60" s="3" customFormat="1" ht="42" x14ac:dyDescent="0.3">
      <c r="A247" s="25"/>
      <c r="B247" s="26" t="s">
        <v>404</v>
      </c>
      <c r="C247" s="419" t="s">
        <v>405</v>
      </c>
      <c r="D247" s="419"/>
      <c r="E247" s="419"/>
      <c r="F247" s="27" t="s">
        <v>406</v>
      </c>
      <c r="G247" s="22" t="s">
        <v>4320</v>
      </c>
      <c r="H247" s="58"/>
      <c r="I247" s="28"/>
      <c r="J247" s="28"/>
      <c r="K247" s="29"/>
      <c r="BC247" s="14"/>
      <c r="BD247" s="15"/>
      <c r="BE247" s="21"/>
      <c r="BF247" s="43"/>
      <c r="BG247" s="12" t="s">
        <v>405</v>
      </c>
      <c r="BH247" s="12"/>
    </row>
    <row r="248" spans="1:60" s="3" customFormat="1" ht="21.6" x14ac:dyDescent="0.3">
      <c r="A248" s="25"/>
      <c r="B248" s="26" t="s">
        <v>285</v>
      </c>
      <c r="C248" s="419" t="s">
        <v>286</v>
      </c>
      <c r="D248" s="419"/>
      <c r="E248" s="419"/>
      <c r="F248" s="27" t="s">
        <v>70</v>
      </c>
      <c r="G248" s="22" t="s">
        <v>4321</v>
      </c>
      <c r="H248" s="58"/>
      <c r="I248" s="28"/>
      <c r="J248" s="28"/>
      <c r="K248" s="29"/>
      <c r="BC248" s="14"/>
      <c r="BD248" s="15"/>
      <c r="BE248" s="21"/>
      <c r="BF248" s="43"/>
      <c r="BG248" s="12" t="s">
        <v>286</v>
      </c>
      <c r="BH248" s="12"/>
    </row>
    <row r="249" spans="1:60" s="3" customFormat="1" ht="20.399999999999999" x14ac:dyDescent="0.3">
      <c r="A249" s="25"/>
      <c r="B249" s="26" t="s">
        <v>409</v>
      </c>
      <c r="C249" s="419" t="s">
        <v>410</v>
      </c>
      <c r="D249" s="419"/>
      <c r="E249" s="419"/>
      <c r="F249" s="27" t="s">
        <v>70</v>
      </c>
      <c r="G249" s="22" t="s">
        <v>4322</v>
      </c>
      <c r="H249" s="58"/>
      <c r="I249" s="28"/>
      <c r="J249" s="28"/>
      <c r="K249" s="29"/>
      <c r="BC249" s="14"/>
      <c r="BD249" s="15"/>
      <c r="BE249" s="21"/>
      <c r="BF249" s="43"/>
      <c r="BG249" s="12" t="s">
        <v>410</v>
      </c>
      <c r="BH249" s="12"/>
    </row>
    <row r="250" spans="1:60" s="3" customFormat="1" ht="21.6" x14ac:dyDescent="0.3">
      <c r="A250" s="25"/>
      <c r="B250" s="26" t="s">
        <v>412</v>
      </c>
      <c r="C250" s="419" t="s">
        <v>413</v>
      </c>
      <c r="D250" s="419"/>
      <c r="E250" s="419"/>
      <c r="F250" s="27" t="s">
        <v>46</v>
      </c>
      <c r="G250" s="22" t="s">
        <v>4323</v>
      </c>
      <c r="H250" s="58"/>
      <c r="I250" s="28"/>
      <c r="J250" s="28"/>
      <c r="K250" s="29"/>
      <c r="BC250" s="14"/>
      <c r="BD250" s="15"/>
      <c r="BE250" s="21"/>
      <c r="BF250" s="43"/>
      <c r="BG250" s="12" t="s">
        <v>413</v>
      </c>
      <c r="BH250" s="12"/>
    </row>
    <row r="251" spans="1:60" s="3" customFormat="1" ht="20.399999999999999" x14ac:dyDescent="0.3">
      <c r="A251" s="25"/>
      <c r="B251" s="26" t="s">
        <v>415</v>
      </c>
      <c r="C251" s="419" t="s">
        <v>416</v>
      </c>
      <c r="D251" s="419"/>
      <c r="E251" s="419"/>
      <c r="F251" s="27" t="s">
        <v>70</v>
      </c>
      <c r="G251" s="22" t="s">
        <v>4324</v>
      </c>
      <c r="H251" s="58"/>
      <c r="I251" s="28"/>
      <c r="J251" s="28"/>
      <c r="K251" s="29"/>
      <c r="BC251" s="14"/>
      <c r="BD251" s="15"/>
      <c r="BE251" s="21"/>
      <c r="BF251" s="43"/>
      <c r="BG251" s="12" t="s">
        <v>416</v>
      </c>
      <c r="BH251" s="12"/>
    </row>
    <row r="252" spans="1:60" s="3" customFormat="1" ht="20.399999999999999" x14ac:dyDescent="0.3">
      <c r="A252" s="25"/>
      <c r="B252" s="26" t="s">
        <v>370</v>
      </c>
      <c r="C252" s="419" t="s">
        <v>371</v>
      </c>
      <c r="D252" s="419"/>
      <c r="E252" s="419"/>
      <c r="F252" s="27" t="s">
        <v>75</v>
      </c>
      <c r="G252" s="22" t="s">
        <v>4325</v>
      </c>
      <c r="H252" s="58"/>
      <c r="I252" s="28"/>
      <c r="J252" s="28"/>
      <c r="K252" s="29"/>
      <c r="BC252" s="14"/>
      <c r="BD252" s="15"/>
      <c r="BE252" s="21"/>
      <c r="BF252" s="43"/>
      <c r="BG252" s="12" t="s">
        <v>371</v>
      </c>
      <c r="BH252" s="12"/>
    </row>
    <row r="253" spans="1:60" s="3" customFormat="1" ht="42" x14ac:dyDescent="0.3">
      <c r="A253" s="25" t="s">
        <v>129</v>
      </c>
      <c r="B253" s="26" t="s">
        <v>566</v>
      </c>
      <c r="C253" s="419" t="s">
        <v>567</v>
      </c>
      <c r="D253" s="419"/>
      <c r="E253" s="419"/>
      <c r="F253" s="27" t="s">
        <v>158</v>
      </c>
      <c r="G253" s="22" t="s">
        <v>4326</v>
      </c>
      <c r="H253" s="57"/>
      <c r="I253" s="28"/>
      <c r="J253" s="19"/>
      <c r="K253" s="29"/>
      <c r="BC253" s="14"/>
      <c r="BD253" s="15"/>
      <c r="BE253" s="21"/>
      <c r="BF253" s="43"/>
      <c r="BG253" s="12"/>
      <c r="BH253" s="12" t="s">
        <v>567</v>
      </c>
    </row>
    <row r="254" spans="1:60" s="3" customFormat="1" ht="15" customHeight="1" x14ac:dyDescent="0.3">
      <c r="A254" s="437" t="s">
        <v>569</v>
      </c>
      <c r="B254" s="418"/>
      <c r="C254" s="418"/>
      <c r="D254" s="418"/>
      <c r="E254" s="418"/>
      <c r="F254" s="61"/>
      <c r="G254" s="61"/>
      <c r="H254" s="123"/>
      <c r="I254" s="123"/>
      <c r="J254" s="123"/>
      <c r="K254" s="124"/>
      <c r="BC254" s="14"/>
      <c r="BD254" s="15" t="s">
        <v>569</v>
      </c>
      <c r="BE254" s="21"/>
      <c r="BF254" s="43"/>
      <c r="BG254" s="12"/>
      <c r="BH254" s="12"/>
    </row>
    <row r="255" spans="1:60" s="3" customFormat="1" ht="21.6" x14ac:dyDescent="0.3">
      <c r="A255" s="16" t="s">
        <v>2179</v>
      </c>
      <c r="B255" s="17" t="s">
        <v>500</v>
      </c>
      <c r="C255" s="405" t="s">
        <v>501</v>
      </c>
      <c r="D255" s="405"/>
      <c r="E255" s="405"/>
      <c r="F255" s="16" t="s">
        <v>70</v>
      </c>
      <c r="G255" s="18">
        <v>2.835</v>
      </c>
      <c r="H255" s="57">
        <f>I255/G255</f>
        <v>43937.559082892418</v>
      </c>
      <c r="I255" s="19">
        <f>126783.17-K255</f>
        <v>124562.98</v>
      </c>
      <c r="J255" s="19">
        <f>K255/G255</f>
        <v>783.1358024691358</v>
      </c>
      <c r="K255" s="19">
        <v>2220.19</v>
      </c>
      <c r="BC255" s="14"/>
      <c r="BD255" s="15"/>
      <c r="BE255" s="21" t="s">
        <v>501</v>
      </c>
      <c r="BF255" s="43"/>
      <c r="BG255" s="12"/>
      <c r="BH255" s="12"/>
    </row>
    <row r="256" spans="1:60" s="3" customFormat="1" ht="20.399999999999999" x14ac:dyDescent="0.3">
      <c r="A256" s="25"/>
      <c r="B256" s="26" t="s">
        <v>384</v>
      </c>
      <c r="C256" s="419" t="s">
        <v>385</v>
      </c>
      <c r="D256" s="419"/>
      <c r="E256" s="419"/>
      <c r="F256" s="27" t="s">
        <v>46</v>
      </c>
      <c r="G256" s="22" t="s">
        <v>4327</v>
      </c>
      <c r="H256" s="58"/>
      <c r="I256" s="28"/>
      <c r="J256" s="28"/>
      <c r="K256" s="29"/>
      <c r="BC256" s="14"/>
      <c r="BD256" s="15"/>
      <c r="BE256" s="21"/>
      <c r="BF256" s="43"/>
      <c r="BG256" s="12" t="s">
        <v>385</v>
      </c>
      <c r="BH256" s="12"/>
    </row>
    <row r="257" spans="1:60" s="3" customFormat="1" ht="20.399999999999999" x14ac:dyDescent="0.3">
      <c r="A257" s="25"/>
      <c r="B257" s="26" t="s">
        <v>387</v>
      </c>
      <c r="C257" s="419" t="s">
        <v>388</v>
      </c>
      <c r="D257" s="419"/>
      <c r="E257" s="419"/>
      <c r="F257" s="27" t="s">
        <v>75</v>
      </c>
      <c r="G257" s="22" t="s">
        <v>4328</v>
      </c>
      <c r="H257" s="58"/>
      <c r="I257" s="28"/>
      <c r="J257" s="28"/>
      <c r="K257" s="29"/>
      <c r="BC257" s="14"/>
      <c r="BD257" s="15"/>
      <c r="BE257" s="21"/>
      <c r="BF257" s="43"/>
      <c r="BG257" s="12" t="s">
        <v>388</v>
      </c>
      <c r="BH257" s="12"/>
    </row>
    <row r="258" spans="1:60" s="3" customFormat="1" ht="20.399999999999999" x14ac:dyDescent="0.3">
      <c r="A258" s="25"/>
      <c r="B258" s="26" t="s">
        <v>504</v>
      </c>
      <c r="C258" s="419" t="s">
        <v>505</v>
      </c>
      <c r="D258" s="419"/>
      <c r="E258" s="419"/>
      <c r="F258" s="27" t="s">
        <v>75</v>
      </c>
      <c r="G258" s="22" t="s">
        <v>4329</v>
      </c>
      <c r="H258" s="58"/>
      <c r="I258" s="28"/>
      <c r="J258" s="28"/>
      <c r="K258" s="29"/>
      <c r="BC258" s="14"/>
      <c r="BD258" s="15"/>
      <c r="BE258" s="21"/>
      <c r="BF258" s="43"/>
      <c r="BG258" s="12" t="s">
        <v>505</v>
      </c>
      <c r="BH258" s="12"/>
    </row>
    <row r="259" spans="1:60" s="3" customFormat="1" ht="20.399999999999999" x14ac:dyDescent="0.3">
      <c r="A259" s="37" t="s">
        <v>78</v>
      </c>
      <c r="B259" s="38" t="s">
        <v>391</v>
      </c>
      <c r="C259" s="430" t="s">
        <v>392</v>
      </c>
      <c r="D259" s="430"/>
      <c r="E259" s="430"/>
      <c r="F259" s="39" t="s">
        <v>75</v>
      </c>
      <c r="G259" s="40" t="s">
        <v>33</v>
      </c>
      <c r="H259" s="100"/>
      <c r="I259" s="41"/>
      <c r="J259" s="41"/>
      <c r="K259" s="42"/>
      <c r="BC259" s="14"/>
      <c r="BD259" s="15"/>
      <c r="BE259" s="21"/>
      <c r="BF259" s="43" t="s">
        <v>392</v>
      </c>
      <c r="BG259" s="12"/>
      <c r="BH259" s="12"/>
    </row>
    <row r="260" spans="1:60" s="3" customFormat="1" ht="20.399999999999999" x14ac:dyDescent="0.3">
      <c r="A260" s="25"/>
      <c r="B260" s="26" t="s">
        <v>76</v>
      </c>
      <c r="C260" s="419" t="s">
        <v>77</v>
      </c>
      <c r="D260" s="419"/>
      <c r="E260" s="419"/>
      <c r="F260" s="27" t="s">
        <v>70</v>
      </c>
      <c r="G260" s="22" t="s">
        <v>4330</v>
      </c>
      <c r="H260" s="58"/>
      <c r="I260" s="28"/>
      <c r="J260" s="28"/>
      <c r="K260" s="29"/>
      <c r="BC260" s="14"/>
      <c r="BD260" s="15"/>
      <c r="BE260" s="21"/>
      <c r="BF260" s="43"/>
      <c r="BG260" s="12" t="s">
        <v>77</v>
      </c>
      <c r="BH260" s="12"/>
    </row>
    <row r="261" spans="1:60" s="3" customFormat="1" ht="20.399999999999999" x14ac:dyDescent="0.3">
      <c r="A261" s="25"/>
      <c r="B261" s="26" t="s">
        <v>395</v>
      </c>
      <c r="C261" s="419" t="s">
        <v>396</v>
      </c>
      <c r="D261" s="419"/>
      <c r="E261" s="419"/>
      <c r="F261" s="27" t="s">
        <v>70</v>
      </c>
      <c r="G261" s="22" t="s">
        <v>4331</v>
      </c>
      <c r="H261" s="58"/>
      <c r="I261" s="28"/>
      <c r="J261" s="28"/>
      <c r="K261" s="29"/>
      <c r="BC261" s="14"/>
      <c r="BD261" s="15"/>
      <c r="BE261" s="21"/>
      <c r="BF261" s="43"/>
      <c r="BG261" s="12" t="s">
        <v>396</v>
      </c>
      <c r="BH261" s="12"/>
    </row>
    <row r="262" spans="1:60" s="3" customFormat="1" ht="20.399999999999999" x14ac:dyDescent="0.3">
      <c r="A262" s="37" t="s">
        <v>143</v>
      </c>
      <c r="B262" s="38" t="s">
        <v>509</v>
      </c>
      <c r="C262" s="430" t="s">
        <v>510</v>
      </c>
      <c r="D262" s="430"/>
      <c r="E262" s="430"/>
      <c r="F262" s="39" t="s">
        <v>70</v>
      </c>
      <c r="G262" s="40" t="s">
        <v>4332</v>
      </c>
      <c r="H262" s="100"/>
      <c r="I262" s="41"/>
      <c r="J262" s="41"/>
      <c r="K262" s="42"/>
      <c r="BC262" s="14"/>
      <c r="BD262" s="15"/>
      <c r="BE262" s="21"/>
      <c r="BF262" s="43" t="s">
        <v>510</v>
      </c>
      <c r="BG262" s="12"/>
      <c r="BH262" s="12"/>
    </row>
    <row r="263" spans="1:60" s="3" customFormat="1" ht="42" x14ac:dyDescent="0.3">
      <c r="A263" s="25"/>
      <c r="B263" s="26" t="s">
        <v>512</v>
      </c>
      <c r="C263" s="419" t="s">
        <v>513</v>
      </c>
      <c r="D263" s="419"/>
      <c r="E263" s="419"/>
      <c r="F263" s="27" t="s">
        <v>70</v>
      </c>
      <c r="G263" s="22" t="s">
        <v>4333</v>
      </c>
      <c r="H263" s="58"/>
      <c r="I263" s="28"/>
      <c r="J263" s="28"/>
      <c r="K263" s="29"/>
      <c r="BC263" s="14"/>
      <c r="BD263" s="15"/>
      <c r="BE263" s="21"/>
      <c r="BF263" s="43"/>
      <c r="BG263" s="12" t="s">
        <v>513</v>
      </c>
      <c r="BH263" s="12"/>
    </row>
    <row r="264" spans="1:60" s="3" customFormat="1" ht="42" x14ac:dyDescent="0.3">
      <c r="A264" s="25"/>
      <c r="B264" s="26" t="s">
        <v>404</v>
      </c>
      <c r="C264" s="419" t="s">
        <v>405</v>
      </c>
      <c r="D264" s="419"/>
      <c r="E264" s="419"/>
      <c r="F264" s="27" t="s">
        <v>406</v>
      </c>
      <c r="G264" s="22" t="s">
        <v>4334</v>
      </c>
      <c r="H264" s="58"/>
      <c r="I264" s="28"/>
      <c r="J264" s="28"/>
      <c r="K264" s="29"/>
      <c r="BC264" s="14"/>
      <c r="BD264" s="15"/>
      <c r="BE264" s="21"/>
      <c r="BF264" s="43"/>
      <c r="BG264" s="12" t="s">
        <v>405</v>
      </c>
      <c r="BH264" s="12"/>
    </row>
    <row r="265" spans="1:60" s="3" customFormat="1" ht="21.6" x14ac:dyDescent="0.3">
      <c r="A265" s="25"/>
      <c r="B265" s="26" t="s">
        <v>285</v>
      </c>
      <c r="C265" s="419" t="s">
        <v>286</v>
      </c>
      <c r="D265" s="419"/>
      <c r="E265" s="419"/>
      <c r="F265" s="27" t="s">
        <v>70</v>
      </c>
      <c r="G265" s="22" t="s">
        <v>4335</v>
      </c>
      <c r="H265" s="58"/>
      <c r="I265" s="28"/>
      <c r="J265" s="28"/>
      <c r="K265" s="29"/>
      <c r="BC265" s="14"/>
      <c r="BD265" s="15"/>
      <c r="BE265" s="21"/>
      <c r="BF265" s="43"/>
      <c r="BG265" s="12" t="s">
        <v>286</v>
      </c>
      <c r="BH265" s="12"/>
    </row>
    <row r="266" spans="1:60" s="3" customFormat="1" ht="20.399999999999999" x14ac:dyDescent="0.3">
      <c r="A266" s="25"/>
      <c r="B266" s="26" t="s">
        <v>409</v>
      </c>
      <c r="C266" s="419" t="s">
        <v>410</v>
      </c>
      <c r="D266" s="419"/>
      <c r="E266" s="419"/>
      <c r="F266" s="27" t="s">
        <v>70</v>
      </c>
      <c r="G266" s="22" t="s">
        <v>4336</v>
      </c>
      <c r="H266" s="58"/>
      <c r="I266" s="28"/>
      <c r="J266" s="28"/>
      <c r="K266" s="29"/>
      <c r="BC266" s="14"/>
      <c r="BD266" s="15"/>
      <c r="BE266" s="21"/>
      <c r="BF266" s="43"/>
      <c r="BG266" s="12" t="s">
        <v>410</v>
      </c>
      <c r="BH266" s="12"/>
    </row>
    <row r="267" spans="1:60" s="3" customFormat="1" ht="21.6" x14ac:dyDescent="0.3">
      <c r="A267" s="25"/>
      <c r="B267" s="26" t="s">
        <v>412</v>
      </c>
      <c r="C267" s="419" t="s">
        <v>413</v>
      </c>
      <c r="D267" s="419"/>
      <c r="E267" s="419"/>
      <c r="F267" s="27" t="s">
        <v>46</v>
      </c>
      <c r="G267" s="22" t="s">
        <v>4337</v>
      </c>
      <c r="H267" s="58"/>
      <c r="I267" s="28"/>
      <c r="J267" s="28"/>
      <c r="K267" s="29"/>
      <c r="BC267" s="14"/>
      <c r="BD267" s="15"/>
      <c r="BE267" s="21"/>
      <c r="BF267" s="43"/>
      <c r="BG267" s="12" t="s">
        <v>413</v>
      </c>
      <c r="BH267" s="12"/>
    </row>
    <row r="268" spans="1:60" s="3" customFormat="1" ht="20.399999999999999" x14ac:dyDescent="0.3">
      <c r="A268" s="25"/>
      <c r="B268" s="26" t="s">
        <v>415</v>
      </c>
      <c r="C268" s="419" t="s">
        <v>416</v>
      </c>
      <c r="D268" s="419"/>
      <c r="E268" s="419"/>
      <c r="F268" s="27" t="s">
        <v>70</v>
      </c>
      <c r="G268" s="22" t="s">
        <v>4338</v>
      </c>
      <c r="H268" s="58"/>
      <c r="I268" s="28"/>
      <c r="J268" s="28"/>
      <c r="K268" s="29"/>
      <c r="BC268" s="14"/>
      <c r="BD268" s="15"/>
      <c r="BE268" s="21"/>
      <c r="BF268" s="43"/>
      <c r="BG268" s="12" t="s">
        <v>416</v>
      </c>
      <c r="BH268" s="12"/>
    </row>
    <row r="269" spans="1:60" s="3" customFormat="1" ht="20.399999999999999" x14ac:dyDescent="0.3">
      <c r="A269" s="25"/>
      <c r="B269" s="26" t="s">
        <v>370</v>
      </c>
      <c r="C269" s="419" t="s">
        <v>371</v>
      </c>
      <c r="D269" s="419"/>
      <c r="E269" s="419"/>
      <c r="F269" s="27" t="s">
        <v>75</v>
      </c>
      <c r="G269" s="22" t="s">
        <v>4339</v>
      </c>
      <c r="H269" s="58"/>
      <c r="I269" s="28"/>
      <c r="J269" s="28"/>
      <c r="K269" s="29"/>
      <c r="BC269" s="14"/>
      <c r="BD269" s="15"/>
      <c r="BE269" s="21"/>
      <c r="BF269" s="43"/>
      <c r="BG269" s="12" t="s">
        <v>371</v>
      </c>
      <c r="BH269" s="12"/>
    </row>
    <row r="270" spans="1:60" s="3" customFormat="1" ht="21.6" x14ac:dyDescent="0.3">
      <c r="A270" s="16" t="s">
        <v>2180</v>
      </c>
      <c r="B270" s="17" t="s">
        <v>521</v>
      </c>
      <c r="C270" s="405" t="s">
        <v>119</v>
      </c>
      <c r="D270" s="405"/>
      <c r="E270" s="405"/>
      <c r="F270" s="16" t="s">
        <v>70</v>
      </c>
      <c r="G270" s="18">
        <v>2.835</v>
      </c>
      <c r="H270" s="57">
        <f t="shared" ref="H270:H271" si="8">I270/G270</f>
        <v>0</v>
      </c>
      <c r="I270" s="19">
        <v>0</v>
      </c>
      <c r="J270" s="19">
        <f t="shared" ref="J270:J271" si="9">K270/G270</f>
        <v>67003.350970017636</v>
      </c>
      <c r="K270" s="19">
        <v>189954.5</v>
      </c>
      <c r="BC270" s="14"/>
      <c r="BD270" s="15"/>
      <c r="BE270" s="21" t="s">
        <v>119</v>
      </c>
      <c r="BF270" s="43"/>
      <c r="BG270" s="12"/>
      <c r="BH270" s="12"/>
    </row>
    <row r="271" spans="1:60" s="3" customFormat="1" ht="14.4" x14ac:dyDescent="0.3">
      <c r="A271" s="16" t="s">
        <v>2183</v>
      </c>
      <c r="B271" s="17" t="s">
        <v>586</v>
      </c>
      <c r="C271" s="405" t="s">
        <v>587</v>
      </c>
      <c r="D271" s="405"/>
      <c r="E271" s="405"/>
      <c r="F271" s="16" t="s">
        <v>70</v>
      </c>
      <c r="G271" s="31">
        <v>0.06</v>
      </c>
      <c r="H271" s="57">
        <f t="shared" si="8"/>
        <v>0</v>
      </c>
      <c r="I271" s="19">
        <v>0</v>
      </c>
      <c r="J271" s="19">
        <f t="shared" si="9"/>
        <v>244215.83333333334</v>
      </c>
      <c r="K271" s="19">
        <v>14652.95</v>
      </c>
      <c r="BC271" s="14"/>
      <c r="BD271" s="15"/>
      <c r="BE271" s="21" t="s">
        <v>587</v>
      </c>
      <c r="BF271" s="43"/>
      <c r="BG271" s="12"/>
      <c r="BH271" s="12"/>
    </row>
    <row r="272" spans="1:60" s="3" customFormat="1" ht="20.25" customHeight="1" x14ac:dyDescent="0.3">
      <c r="A272" s="406" t="s">
        <v>57</v>
      </c>
      <c r="B272" s="407"/>
      <c r="C272" s="407"/>
      <c r="D272" s="407"/>
      <c r="E272" s="407"/>
      <c r="F272" s="407"/>
      <c r="G272" s="407"/>
      <c r="H272" s="66"/>
      <c r="I272" s="67">
        <f>SUM(I12:I271)</f>
        <v>2061221.6500000001</v>
      </c>
      <c r="J272" s="72"/>
      <c r="K272" s="67">
        <f>SUM(K12:K271)</f>
        <v>4583991.3900000015</v>
      </c>
    </row>
    <row r="273" spans="1:14" s="53" customFormat="1" ht="20.25" customHeight="1" thickBot="1" x14ac:dyDescent="0.35">
      <c r="A273" s="408" t="s">
        <v>5461</v>
      </c>
      <c r="B273" s="409"/>
      <c r="C273" s="409"/>
      <c r="D273" s="409"/>
      <c r="E273" s="409"/>
      <c r="F273" s="409"/>
      <c r="G273" s="409"/>
      <c r="H273" s="88"/>
      <c r="I273" s="410">
        <f>I272+K272</f>
        <v>6645213.0400000019</v>
      </c>
      <c r="J273" s="411"/>
      <c r="K273" s="412"/>
      <c r="N273" s="53">
        <v>6645213.0300000003</v>
      </c>
    </row>
    <row r="274" spans="1:14" s="3" customFormat="1" ht="14.4" x14ac:dyDescent="0.3">
      <c r="A274" s="4"/>
      <c r="B274" s="4"/>
      <c r="C274" s="4"/>
      <c r="D274" s="4"/>
      <c r="E274" s="4"/>
      <c r="F274" s="4"/>
      <c r="G274" s="4"/>
      <c r="H274" s="54"/>
      <c r="I274" s="141"/>
      <c r="J274" s="141"/>
      <c r="K274" s="54"/>
      <c r="N274" s="56">
        <f>I273</f>
        <v>6645213.0400000019</v>
      </c>
    </row>
    <row r="275" spans="1:14" ht="11.25" customHeight="1" x14ac:dyDescent="0.2">
      <c r="N275" s="54">
        <f>N273-N274</f>
        <v>-1.0000001639127731E-2</v>
      </c>
    </row>
  </sheetData>
  <autoFilter ref="A11:BK273" xr:uid="{00000000-0001-0000-1D00-000000000000}"/>
  <mergeCells count="270">
    <mergeCell ref="C270:E270"/>
    <mergeCell ref="C271:E271"/>
    <mergeCell ref="A272:G272"/>
    <mergeCell ref="A273:G273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A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8:E238"/>
    <mergeCell ref="C239:E239"/>
    <mergeCell ref="C232:E232"/>
    <mergeCell ref="C233:E233"/>
    <mergeCell ref="C234:E234"/>
    <mergeCell ref="A237:E237"/>
    <mergeCell ref="A236:E236"/>
    <mergeCell ref="A231:E231"/>
    <mergeCell ref="C227:E227"/>
    <mergeCell ref="C228:E228"/>
    <mergeCell ref="C229:E229"/>
    <mergeCell ref="C230:E230"/>
    <mergeCell ref="C222:E222"/>
    <mergeCell ref="C223:E223"/>
    <mergeCell ref="C224:E224"/>
    <mergeCell ref="A226:E226"/>
    <mergeCell ref="A225:E225"/>
    <mergeCell ref="C218:E218"/>
    <mergeCell ref="C219:E219"/>
    <mergeCell ref="C220:E220"/>
    <mergeCell ref="C213:E213"/>
    <mergeCell ref="C215:E215"/>
    <mergeCell ref="C217:E217"/>
    <mergeCell ref="A221:E221"/>
    <mergeCell ref="A216:E216"/>
    <mergeCell ref="A214:E214"/>
    <mergeCell ref="C208:E208"/>
    <mergeCell ref="C209:E209"/>
    <mergeCell ref="C210:E210"/>
    <mergeCell ref="C211:E211"/>
    <mergeCell ref="C212:E212"/>
    <mergeCell ref="C204:E204"/>
    <mergeCell ref="C205:E205"/>
    <mergeCell ref="C206:E206"/>
    <mergeCell ref="A207:E207"/>
    <mergeCell ref="C199:E199"/>
    <mergeCell ref="C200:E200"/>
    <mergeCell ref="C201:E201"/>
    <mergeCell ref="C203:E203"/>
    <mergeCell ref="C194:E194"/>
    <mergeCell ref="C196:E196"/>
    <mergeCell ref="C197:E197"/>
    <mergeCell ref="C198:E198"/>
    <mergeCell ref="A202:E202"/>
    <mergeCell ref="A195:E195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5:E175"/>
    <mergeCell ref="C176:E176"/>
    <mergeCell ref="A178:E178"/>
    <mergeCell ref="A177:E177"/>
    <mergeCell ref="C171:E171"/>
    <mergeCell ref="C173:E173"/>
    <mergeCell ref="C174:E174"/>
    <mergeCell ref="C168:E168"/>
    <mergeCell ref="C169:E169"/>
    <mergeCell ref="C170:E170"/>
    <mergeCell ref="A172:E172"/>
    <mergeCell ref="A167:E167"/>
    <mergeCell ref="A166:E166"/>
    <mergeCell ref="C161:E161"/>
    <mergeCell ref="C163:E163"/>
    <mergeCell ref="C164:E164"/>
    <mergeCell ref="C165:E165"/>
    <mergeCell ref="C158:E158"/>
    <mergeCell ref="C159:E159"/>
    <mergeCell ref="C160:E160"/>
    <mergeCell ref="A162:E162"/>
    <mergeCell ref="A157:E157"/>
    <mergeCell ref="C152:E152"/>
    <mergeCell ref="C153:E153"/>
    <mergeCell ref="C154:E154"/>
    <mergeCell ref="C156:E156"/>
    <mergeCell ref="C147:E147"/>
    <mergeCell ref="C149:E149"/>
    <mergeCell ref="C150:E150"/>
    <mergeCell ref="C151:E151"/>
    <mergeCell ref="A155:E155"/>
    <mergeCell ref="A148:E148"/>
    <mergeCell ref="A128:E128"/>
    <mergeCell ref="C144:E144"/>
    <mergeCell ref="C145:E145"/>
    <mergeCell ref="C146:E146"/>
    <mergeCell ref="C138:E138"/>
    <mergeCell ref="C139:E139"/>
    <mergeCell ref="C140:E140"/>
    <mergeCell ref="C141:E141"/>
    <mergeCell ref="C142:E142"/>
    <mergeCell ref="A143:E143"/>
    <mergeCell ref="C133:E133"/>
    <mergeCell ref="C134:E134"/>
    <mergeCell ref="C135:E135"/>
    <mergeCell ref="C137:E137"/>
    <mergeCell ref="C129:E129"/>
    <mergeCell ref="C130:E130"/>
    <mergeCell ref="C131:E131"/>
    <mergeCell ref="C132:E132"/>
    <mergeCell ref="A136:E136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07:E107"/>
    <mergeCell ref="C100:E100"/>
    <mergeCell ref="C101:E101"/>
    <mergeCell ref="C103:E103"/>
    <mergeCell ref="C113:E113"/>
    <mergeCell ref="C114:E114"/>
    <mergeCell ref="C115:E115"/>
    <mergeCell ref="C116:E116"/>
    <mergeCell ref="C117:E117"/>
    <mergeCell ref="C111:E111"/>
    <mergeCell ref="C112:E112"/>
    <mergeCell ref="A110:E110"/>
    <mergeCell ref="C97:E97"/>
    <mergeCell ref="C98:E98"/>
    <mergeCell ref="C99:E99"/>
    <mergeCell ref="C92:E92"/>
    <mergeCell ref="C93:E93"/>
    <mergeCell ref="C94:E94"/>
    <mergeCell ref="C104:E104"/>
    <mergeCell ref="C105:E105"/>
    <mergeCell ref="C106:E106"/>
    <mergeCell ref="C86:E86"/>
    <mergeCell ref="C87:E87"/>
    <mergeCell ref="C88:E88"/>
    <mergeCell ref="C89:E89"/>
    <mergeCell ref="C81:E81"/>
    <mergeCell ref="C83:E83"/>
    <mergeCell ref="C84:E84"/>
    <mergeCell ref="C85:E85"/>
    <mergeCell ref="C95:E9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56:E56"/>
    <mergeCell ref="C57:E57"/>
    <mergeCell ref="C58:E58"/>
    <mergeCell ref="C60:E60"/>
    <mergeCell ref="C51:E51"/>
    <mergeCell ref="C52:E52"/>
    <mergeCell ref="C53:E53"/>
    <mergeCell ref="C55:E55"/>
    <mergeCell ref="A54:E54"/>
    <mergeCell ref="A31:E31"/>
    <mergeCell ref="C46:E46"/>
    <mergeCell ref="C47:E47"/>
    <mergeCell ref="C49:E49"/>
    <mergeCell ref="C50:E50"/>
    <mergeCell ref="C41:E41"/>
    <mergeCell ref="C42:E42"/>
    <mergeCell ref="C43:E43"/>
    <mergeCell ref="C44:E44"/>
    <mergeCell ref="C45:E45"/>
    <mergeCell ref="A48:E48"/>
    <mergeCell ref="C36:E36"/>
    <mergeCell ref="C37:E37"/>
    <mergeCell ref="C38:E38"/>
    <mergeCell ref="C39:E39"/>
    <mergeCell ref="C33:E33"/>
    <mergeCell ref="C34:E34"/>
    <mergeCell ref="C35:E35"/>
    <mergeCell ref="A40:E40"/>
    <mergeCell ref="A32:E32"/>
    <mergeCell ref="C16:E16"/>
    <mergeCell ref="C18:E18"/>
    <mergeCell ref="C20:E20"/>
    <mergeCell ref="C14:E14"/>
    <mergeCell ref="C27:E27"/>
    <mergeCell ref="C28:E28"/>
    <mergeCell ref="C29:E29"/>
    <mergeCell ref="C21:E21"/>
    <mergeCell ref="C22:E22"/>
    <mergeCell ref="C23:E23"/>
    <mergeCell ref="C24:E24"/>
    <mergeCell ref="C25:E25"/>
    <mergeCell ref="A2:K2"/>
    <mergeCell ref="A3:K3"/>
    <mergeCell ref="A5:K5"/>
    <mergeCell ref="C9:E9"/>
    <mergeCell ref="C10:E10"/>
    <mergeCell ref="I273:K273"/>
    <mergeCell ref="A109:G109"/>
    <mergeCell ref="A30:G30"/>
    <mergeCell ref="A12:G12"/>
    <mergeCell ref="A26:G26"/>
    <mergeCell ref="A19:G19"/>
    <mergeCell ref="A17:G17"/>
    <mergeCell ref="A15:G15"/>
    <mergeCell ref="A13:G13"/>
    <mergeCell ref="A108:E108"/>
    <mergeCell ref="A102:E102"/>
    <mergeCell ref="A96:E96"/>
    <mergeCell ref="A91:E91"/>
    <mergeCell ref="A90:E90"/>
    <mergeCell ref="A82:E82"/>
    <mergeCell ref="A65:E65"/>
    <mergeCell ref="A59:E59"/>
    <mergeCell ref="A6:K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BL89"/>
  <sheetViews>
    <sheetView workbookViewId="0">
      <selection activeCell="L12" sqref="L1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.88671875" style="1" customWidth="1"/>
    <col min="4" max="4" width="14.33203125" style="1" customWidth="1"/>
    <col min="5" max="5" width="18.88671875" style="1" customWidth="1"/>
    <col min="6" max="7" width="10.6640625" style="1" customWidth="1"/>
    <col min="8" max="11" width="18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64" width="11.44140625" style="1" bestFit="1" customWidth="1"/>
    <col min="65" max="16384" width="9.109375" style="1"/>
  </cols>
  <sheetData>
    <row r="1" spans="1:58" s="3" customFormat="1" ht="14.4" x14ac:dyDescent="0.3">
      <c r="A1" s="95" t="s">
        <v>5566</v>
      </c>
      <c r="B1" s="4"/>
      <c r="C1" s="4"/>
      <c r="D1" s="4"/>
      <c r="E1" s="4"/>
      <c r="F1" s="4"/>
      <c r="G1" s="4"/>
      <c r="H1" s="54"/>
      <c r="I1" s="54"/>
      <c r="J1" s="108"/>
      <c r="K1" s="54"/>
    </row>
    <row r="2" spans="1:58" s="3" customFormat="1" ht="40.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8" s="3" customFormat="1" ht="14.4" x14ac:dyDescent="0.3">
      <c r="A5" s="404" t="s">
        <v>1338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1338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8" s="3" customFormat="1" ht="14.4" x14ac:dyDescent="0.3">
      <c r="A7" s="4"/>
      <c r="B7" s="8" t="s">
        <v>5</v>
      </c>
      <c r="C7" s="402" t="s">
        <v>1339</v>
      </c>
      <c r="D7" s="402"/>
      <c r="E7" s="402"/>
      <c r="F7" s="402"/>
      <c r="G7" s="402"/>
      <c r="H7" s="55"/>
      <c r="I7" s="109"/>
      <c r="J7" s="109"/>
      <c r="K7" s="109"/>
    </row>
    <row r="8" spans="1:58" s="3" customFormat="1" ht="15" thickBot="1" x14ac:dyDescent="0.35">
      <c r="A8" s="13"/>
      <c r="H8" s="56"/>
      <c r="I8" s="56"/>
      <c r="J8" s="56"/>
      <c r="K8" s="56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5" customHeight="1" x14ac:dyDescent="0.3">
      <c r="A11" s="435" t="s">
        <v>972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972</v>
      </c>
    </row>
    <row r="12" spans="1:58" s="3" customFormat="1" ht="30" customHeight="1" x14ac:dyDescent="0.3">
      <c r="A12" s="437" t="s">
        <v>1340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C12" s="14"/>
      <c r="BD12" s="15" t="s">
        <v>1340</v>
      </c>
    </row>
    <row r="13" spans="1:58" s="3" customFormat="1" ht="21.6" x14ac:dyDescent="0.3">
      <c r="A13" s="16" t="s">
        <v>15</v>
      </c>
      <c r="B13" s="17" t="s">
        <v>382</v>
      </c>
      <c r="C13" s="405" t="s">
        <v>383</v>
      </c>
      <c r="D13" s="405"/>
      <c r="E13" s="405"/>
      <c r="F13" s="16" t="s">
        <v>70</v>
      </c>
      <c r="G13" s="31">
        <v>34.630000000000003</v>
      </c>
      <c r="H13" s="57">
        <f>I13/G13</f>
        <v>54305.991625758004</v>
      </c>
      <c r="I13" s="19">
        <f>4422062.43-K13</f>
        <v>1880616.4899999998</v>
      </c>
      <c r="J13" s="20">
        <f>K13/G13</f>
        <v>73388.563095581863</v>
      </c>
      <c r="K13" s="19">
        <v>2541445.94</v>
      </c>
      <c r="BC13" s="14"/>
      <c r="BD13" s="15"/>
      <c r="BE13" s="21" t="s">
        <v>383</v>
      </c>
    </row>
    <row r="14" spans="1:58" s="3" customFormat="1" ht="20.399999999999999" x14ac:dyDescent="0.3">
      <c r="A14" s="25"/>
      <c r="B14" s="26" t="s">
        <v>384</v>
      </c>
      <c r="C14" s="419" t="s">
        <v>385</v>
      </c>
      <c r="D14" s="419"/>
      <c r="E14" s="419"/>
      <c r="F14" s="27" t="s">
        <v>46</v>
      </c>
      <c r="G14" s="22" t="s">
        <v>1341</v>
      </c>
      <c r="H14" s="58"/>
      <c r="I14" s="28"/>
      <c r="J14" s="28"/>
      <c r="K14" s="29"/>
      <c r="BC14" s="14"/>
      <c r="BD14" s="15"/>
      <c r="BE14" s="21"/>
      <c r="BF14" s="12" t="s">
        <v>385</v>
      </c>
    </row>
    <row r="15" spans="1:58" s="3" customFormat="1" ht="20.399999999999999" x14ac:dyDescent="0.3">
      <c r="A15" s="25"/>
      <c r="B15" s="26" t="s">
        <v>387</v>
      </c>
      <c r="C15" s="419" t="s">
        <v>388</v>
      </c>
      <c r="D15" s="419"/>
      <c r="E15" s="419"/>
      <c r="F15" s="27" t="s">
        <v>75</v>
      </c>
      <c r="G15" s="22" t="s">
        <v>1342</v>
      </c>
      <c r="H15" s="58"/>
      <c r="I15" s="28"/>
      <c r="J15" s="28"/>
      <c r="K15" s="29"/>
      <c r="BC15" s="14"/>
      <c r="BD15" s="15"/>
      <c r="BE15" s="21"/>
      <c r="BF15" s="12" t="s">
        <v>388</v>
      </c>
    </row>
    <row r="16" spans="1:58" s="3" customFormat="1" ht="20.399999999999999" x14ac:dyDescent="0.3">
      <c r="A16" s="25"/>
      <c r="B16" s="26" t="s">
        <v>277</v>
      </c>
      <c r="C16" s="419" t="s">
        <v>278</v>
      </c>
      <c r="D16" s="419"/>
      <c r="E16" s="419"/>
      <c r="F16" s="27" t="s">
        <v>70</v>
      </c>
      <c r="G16" s="22" t="s">
        <v>1343</v>
      </c>
      <c r="H16" s="58"/>
      <c r="I16" s="28"/>
      <c r="J16" s="28"/>
      <c r="K16" s="29"/>
      <c r="BC16" s="14"/>
      <c r="BD16" s="15"/>
      <c r="BE16" s="21"/>
      <c r="BF16" s="12" t="s">
        <v>278</v>
      </c>
    </row>
    <row r="17" spans="1:60" s="3" customFormat="1" ht="20.399999999999999" x14ac:dyDescent="0.3">
      <c r="A17" s="25"/>
      <c r="B17" s="26" t="s">
        <v>391</v>
      </c>
      <c r="C17" s="419" t="s">
        <v>392</v>
      </c>
      <c r="D17" s="419"/>
      <c r="E17" s="419"/>
      <c r="F17" s="27" t="s">
        <v>75</v>
      </c>
      <c r="G17" s="22" t="s">
        <v>1344</v>
      </c>
      <c r="H17" s="58"/>
      <c r="I17" s="28"/>
      <c r="J17" s="28"/>
      <c r="K17" s="29"/>
      <c r="BC17" s="14"/>
      <c r="BD17" s="15"/>
      <c r="BE17" s="21"/>
      <c r="BF17" s="12" t="s">
        <v>392</v>
      </c>
    </row>
    <row r="18" spans="1:60" s="3" customFormat="1" ht="20.399999999999999" x14ac:dyDescent="0.3">
      <c r="A18" s="25"/>
      <c r="B18" s="26" t="s">
        <v>76</v>
      </c>
      <c r="C18" s="419" t="s">
        <v>77</v>
      </c>
      <c r="D18" s="419"/>
      <c r="E18" s="419"/>
      <c r="F18" s="27" t="s">
        <v>70</v>
      </c>
      <c r="G18" s="22" t="s">
        <v>1345</v>
      </c>
      <c r="H18" s="58"/>
      <c r="I18" s="28"/>
      <c r="J18" s="28"/>
      <c r="K18" s="29"/>
      <c r="BC18" s="14"/>
      <c r="BD18" s="15"/>
      <c r="BE18" s="21"/>
      <c r="BF18" s="12" t="s">
        <v>77</v>
      </c>
    </row>
    <row r="19" spans="1:60" s="3" customFormat="1" ht="20.399999999999999" x14ac:dyDescent="0.3">
      <c r="A19" s="25"/>
      <c r="B19" s="26" t="s">
        <v>395</v>
      </c>
      <c r="C19" s="419" t="s">
        <v>396</v>
      </c>
      <c r="D19" s="419"/>
      <c r="E19" s="419"/>
      <c r="F19" s="27" t="s">
        <v>70</v>
      </c>
      <c r="G19" s="22" t="s">
        <v>1346</v>
      </c>
      <c r="H19" s="58"/>
      <c r="I19" s="28"/>
      <c r="J19" s="28"/>
      <c r="K19" s="29"/>
      <c r="BC19" s="14"/>
      <c r="BD19" s="15"/>
      <c r="BE19" s="21"/>
      <c r="BF19" s="12" t="s">
        <v>396</v>
      </c>
    </row>
    <row r="20" spans="1:60" s="3" customFormat="1" ht="20.399999999999999" x14ac:dyDescent="0.3">
      <c r="A20" s="37" t="s">
        <v>143</v>
      </c>
      <c r="B20" s="38" t="s">
        <v>398</v>
      </c>
      <c r="C20" s="430" t="s">
        <v>399</v>
      </c>
      <c r="D20" s="430"/>
      <c r="E20" s="430"/>
      <c r="F20" s="39" t="s">
        <v>70</v>
      </c>
      <c r="G20" s="40" t="s">
        <v>1347</v>
      </c>
      <c r="H20" s="100"/>
      <c r="I20" s="41"/>
      <c r="J20" s="41"/>
      <c r="K20" s="42"/>
      <c r="BC20" s="14"/>
      <c r="BD20" s="15"/>
      <c r="BE20" s="21"/>
      <c r="BF20" s="12"/>
      <c r="BG20" s="43" t="s">
        <v>399</v>
      </c>
    </row>
    <row r="21" spans="1:60" s="3" customFormat="1" ht="31.8" x14ac:dyDescent="0.3">
      <c r="A21" s="25"/>
      <c r="B21" s="26" t="s">
        <v>401</v>
      </c>
      <c r="C21" s="419" t="s">
        <v>402</v>
      </c>
      <c r="D21" s="419"/>
      <c r="E21" s="419"/>
      <c r="F21" s="27" t="s">
        <v>70</v>
      </c>
      <c r="G21" s="22" t="s">
        <v>1348</v>
      </c>
      <c r="H21" s="58"/>
      <c r="I21" s="28"/>
      <c r="J21" s="28"/>
      <c r="K21" s="29"/>
      <c r="BC21" s="14"/>
      <c r="BD21" s="15"/>
      <c r="BE21" s="21"/>
      <c r="BF21" s="12" t="s">
        <v>402</v>
      </c>
      <c r="BG21" s="43"/>
    </row>
    <row r="22" spans="1:60" s="3" customFormat="1" ht="42" x14ac:dyDescent="0.3">
      <c r="A22" s="25"/>
      <c r="B22" s="26" t="s">
        <v>404</v>
      </c>
      <c r="C22" s="419" t="s">
        <v>405</v>
      </c>
      <c r="D22" s="419"/>
      <c r="E22" s="419"/>
      <c r="F22" s="27" t="s">
        <v>406</v>
      </c>
      <c r="G22" s="22" t="s">
        <v>1349</v>
      </c>
      <c r="H22" s="58"/>
      <c r="I22" s="28"/>
      <c r="J22" s="28"/>
      <c r="K22" s="29"/>
      <c r="BC22" s="14"/>
      <c r="BD22" s="15"/>
      <c r="BE22" s="21"/>
      <c r="BF22" s="12" t="s">
        <v>405</v>
      </c>
      <c r="BG22" s="43"/>
    </row>
    <row r="23" spans="1:60" s="3" customFormat="1" ht="21.6" x14ac:dyDescent="0.3">
      <c r="A23" s="25"/>
      <c r="B23" s="26" t="s">
        <v>285</v>
      </c>
      <c r="C23" s="419" t="s">
        <v>286</v>
      </c>
      <c r="D23" s="419"/>
      <c r="E23" s="419"/>
      <c r="F23" s="27" t="s">
        <v>70</v>
      </c>
      <c r="G23" s="22" t="s">
        <v>1350</v>
      </c>
      <c r="H23" s="58"/>
      <c r="I23" s="28"/>
      <c r="J23" s="28"/>
      <c r="K23" s="29"/>
      <c r="BC23" s="14"/>
      <c r="BD23" s="15"/>
      <c r="BE23" s="21"/>
      <c r="BF23" s="12" t="s">
        <v>286</v>
      </c>
      <c r="BG23" s="43"/>
    </row>
    <row r="24" spans="1:60" s="3" customFormat="1" ht="20.399999999999999" x14ac:dyDescent="0.3">
      <c r="A24" s="25"/>
      <c r="B24" s="26" t="s">
        <v>409</v>
      </c>
      <c r="C24" s="419" t="s">
        <v>410</v>
      </c>
      <c r="D24" s="419"/>
      <c r="E24" s="419"/>
      <c r="F24" s="27" t="s">
        <v>70</v>
      </c>
      <c r="G24" s="22" t="s">
        <v>1351</v>
      </c>
      <c r="H24" s="58"/>
      <c r="I24" s="28"/>
      <c r="J24" s="28"/>
      <c r="K24" s="29"/>
      <c r="BC24" s="14"/>
      <c r="BD24" s="15"/>
      <c r="BE24" s="21"/>
      <c r="BF24" s="12" t="s">
        <v>410</v>
      </c>
      <c r="BG24" s="43"/>
    </row>
    <row r="25" spans="1:60" s="3" customFormat="1" ht="21.6" x14ac:dyDescent="0.3">
      <c r="A25" s="25"/>
      <c r="B25" s="26" t="s">
        <v>412</v>
      </c>
      <c r="C25" s="419" t="s">
        <v>413</v>
      </c>
      <c r="D25" s="419"/>
      <c r="E25" s="419"/>
      <c r="F25" s="27" t="s">
        <v>46</v>
      </c>
      <c r="G25" s="22" t="s">
        <v>1352</v>
      </c>
      <c r="H25" s="58"/>
      <c r="I25" s="28"/>
      <c r="J25" s="28"/>
      <c r="K25" s="29"/>
      <c r="BC25" s="14"/>
      <c r="BD25" s="15"/>
      <c r="BE25" s="21"/>
      <c r="BF25" s="12" t="s">
        <v>413</v>
      </c>
      <c r="BG25" s="43"/>
    </row>
    <row r="26" spans="1:60" s="3" customFormat="1" ht="20.399999999999999" x14ac:dyDescent="0.3">
      <c r="A26" s="25"/>
      <c r="B26" s="26" t="s">
        <v>415</v>
      </c>
      <c r="C26" s="419" t="s">
        <v>416</v>
      </c>
      <c r="D26" s="419"/>
      <c r="E26" s="419"/>
      <c r="F26" s="27" t="s">
        <v>70</v>
      </c>
      <c r="G26" s="22" t="s">
        <v>1353</v>
      </c>
      <c r="H26" s="58"/>
      <c r="I26" s="28"/>
      <c r="J26" s="28"/>
      <c r="K26" s="29"/>
      <c r="BC26" s="14"/>
      <c r="BD26" s="15"/>
      <c r="BE26" s="21"/>
      <c r="BF26" s="12" t="s">
        <v>416</v>
      </c>
      <c r="BG26" s="43"/>
    </row>
    <row r="27" spans="1:60" s="3" customFormat="1" ht="20.399999999999999" x14ac:dyDescent="0.3">
      <c r="A27" s="25"/>
      <c r="B27" s="26" t="s">
        <v>370</v>
      </c>
      <c r="C27" s="419" t="s">
        <v>371</v>
      </c>
      <c r="D27" s="419"/>
      <c r="E27" s="419"/>
      <c r="F27" s="27" t="s">
        <v>75</v>
      </c>
      <c r="G27" s="22" t="s">
        <v>1354</v>
      </c>
      <c r="H27" s="58"/>
      <c r="I27" s="28"/>
      <c r="J27" s="28"/>
      <c r="K27" s="29"/>
      <c r="BC27" s="14"/>
      <c r="BD27" s="15"/>
      <c r="BE27" s="21"/>
      <c r="BF27" s="12" t="s">
        <v>371</v>
      </c>
      <c r="BG27" s="43"/>
    </row>
    <row r="28" spans="1:60" s="3" customFormat="1" ht="21.6" x14ac:dyDescent="0.3">
      <c r="A28" s="25" t="s">
        <v>129</v>
      </c>
      <c r="B28" s="26" t="s">
        <v>419</v>
      </c>
      <c r="C28" s="419" t="s">
        <v>420</v>
      </c>
      <c r="D28" s="419"/>
      <c r="E28" s="419"/>
      <c r="F28" s="27" t="s">
        <v>70</v>
      </c>
      <c r="G28" s="22" t="s">
        <v>1347</v>
      </c>
      <c r="H28" s="58"/>
      <c r="I28" s="28"/>
      <c r="J28" s="28"/>
      <c r="K28" s="29"/>
      <c r="BC28" s="14"/>
      <c r="BD28" s="15"/>
      <c r="BE28" s="21"/>
      <c r="BF28" s="12"/>
      <c r="BG28" s="43"/>
      <c r="BH28" s="12" t="s">
        <v>420</v>
      </c>
    </row>
    <row r="29" spans="1:60" s="3" customFormat="1" ht="15" customHeight="1" x14ac:dyDescent="0.3">
      <c r="A29" s="437" t="s">
        <v>1355</v>
      </c>
      <c r="B29" s="418"/>
      <c r="C29" s="418"/>
      <c r="D29" s="418"/>
      <c r="E29" s="418"/>
      <c r="F29" s="418"/>
      <c r="G29" s="418"/>
      <c r="H29" s="123"/>
      <c r="I29" s="123"/>
      <c r="J29" s="123"/>
      <c r="K29" s="124"/>
      <c r="BC29" s="14"/>
      <c r="BD29" s="15" t="s">
        <v>1355</v>
      </c>
      <c r="BE29" s="21"/>
      <c r="BF29" s="12"/>
      <c r="BG29" s="43"/>
      <c r="BH29" s="12"/>
    </row>
    <row r="30" spans="1:60" s="3" customFormat="1" ht="15" customHeight="1" x14ac:dyDescent="0.3">
      <c r="A30" s="437" t="s">
        <v>1356</v>
      </c>
      <c r="B30" s="418"/>
      <c r="C30" s="418"/>
      <c r="D30" s="418"/>
      <c r="E30" s="418"/>
      <c r="F30" s="418"/>
      <c r="G30" s="418"/>
      <c r="H30" s="123"/>
      <c r="I30" s="123"/>
      <c r="J30" s="123"/>
      <c r="K30" s="124"/>
      <c r="BC30" s="14"/>
      <c r="BD30" s="15" t="s">
        <v>1356</v>
      </c>
      <c r="BE30" s="21"/>
      <c r="BF30" s="12"/>
      <c r="BG30" s="43"/>
      <c r="BH30" s="12"/>
    </row>
    <row r="31" spans="1:60" s="3" customFormat="1" ht="31.8" x14ac:dyDescent="0.3">
      <c r="A31" s="16" t="s">
        <v>20</v>
      </c>
      <c r="B31" s="17" t="s">
        <v>550</v>
      </c>
      <c r="C31" s="405" t="s">
        <v>551</v>
      </c>
      <c r="D31" s="405"/>
      <c r="E31" s="405"/>
      <c r="F31" s="16" t="s">
        <v>70</v>
      </c>
      <c r="G31" s="31">
        <v>9.91</v>
      </c>
      <c r="H31" s="57">
        <f>I31/G31</f>
        <v>47762.899091826439</v>
      </c>
      <c r="I31" s="19">
        <f>481091.21-K31</f>
        <v>473330.33</v>
      </c>
      <c r="J31" s="20">
        <f>K31/G31</f>
        <v>783.13622603430883</v>
      </c>
      <c r="K31" s="19">
        <v>7760.88</v>
      </c>
      <c r="BC31" s="14"/>
      <c r="BD31" s="15"/>
      <c r="BE31" s="21" t="s">
        <v>551</v>
      </c>
      <c r="BF31" s="12"/>
      <c r="BG31" s="43"/>
      <c r="BH31" s="12"/>
    </row>
    <row r="32" spans="1:60" s="3" customFormat="1" ht="20.399999999999999" x14ac:dyDescent="0.3">
      <c r="A32" s="25"/>
      <c r="B32" s="26" t="s">
        <v>384</v>
      </c>
      <c r="C32" s="419" t="s">
        <v>385</v>
      </c>
      <c r="D32" s="419"/>
      <c r="E32" s="419"/>
      <c r="F32" s="27" t="s">
        <v>46</v>
      </c>
      <c r="G32" s="22" t="s">
        <v>1357</v>
      </c>
      <c r="H32" s="58"/>
      <c r="I32" s="28"/>
      <c r="J32" s="28"/>
      <c r="K32" s="29"/>
      <c r="BC32" s="14"/>
      <c r="BD32" s="15"/>
      <c r="BE32" s="21"/>
      <c r="BF32" s="12" t="s">
        <v>385</v>
      </c>
      <c r="BG32" s="43"/>
      <c r="BH32" s="12"/>
    </row>
    <row r="33" spans="1:60" s="3" customFormat="1" ht="20.399999999999999" x14ac:dyDescent="0.3">
      <c r="A33" s="25"/>
      <c r="B33" s="26" t="s">
        <v>387</v>
      </c>
      <c r="C33" s="419" t="s">
        <v>388</v>
      </c>
      <c r="D33" s="419"/>
      <c r="E33" s="419"/>
      <c r="F33" s="27" t="s">
        <v>75</v>
      </c>
      <c r="G33" s="22" t="s">
        <v>1358</v>
      </c>
      <c r="H33" s="58"/>
      <c r="I33" s="28"/>
      <c r="J33" s="28"/>
      <c r="K33" s="29"/>
      <c r="BC33" s="14"/>
      <c r="BD33" s="15"/>
      <c r="BE33" s="21"/>
      <c r="BF33" s="12" t="s">
        <v>388</v>
      </c>
      <c r="BG33" s="43"/>
      <c r="BH33" s="12"/>
    </row>
    <row r="34" spans="1:60" s="3" customFormat="1" ht="20.399999999999999" x14ac:dyDescent="0.3">
      <c r="A34" s="25"/>
      <c r="B34" s="26" t="s">
        <v>504</v>
      </c>
      <c r="C34" s="419" t="s">
        <v>505</v>
      </c>
      <c r="D34" s="419"/>
      <c r="E34" s="419"/>
      <c r="F34" s="27" t="s">
        <v>75</v>
      </c>
      <c r="G34" s="22" t="s">
        <v>1359</v>
      </c>
      <c r="H34" s="58"/>
      <c r="I34" s="28"/>
      <c r="J34" s="28"/>
      <c r="K34" s="29"/>
      <c r="BC34" s="14"/>
      <c r="BD34" s="15"/>
      <c r="BE34" s="21"/>
      <c r="BF34" s="12" t="s">
        <v>505</v>
      </c>
      <c r="BG34" s="43"/>
      <c r="BH34" s="12"/>
    </row>
    <row r="35" spans="1:60" s="3" customFormat="1" ht="20.399999999999999" x14ac:dyDescent="0.3">
      <c r="A35" s="37" t="s">
        <v>78</v>
      </c>
      <c r="B35" s="38" t="s">
        <v>391</v>
      </c>
      <c r="C35" s="430" t="s">
        <v>392</v>
      </c>
      <c r="D35" s="430"/>
      <c r="E35" s="430"/>
      <c r="F35" s="39" t="s">
        <v>75</v>
      </c>
      <c r="G35" s="40" t="s">
        <v>33</v>
      </c>
      <c r="H35" s="100"/>
      <c r="I35" s="41"/>
      <c r="J35" s="41"/>
      <c r="K35" s="42"/>
      <c r="BC35" s="14"/>
      <c r="BD35" s="15"/>
      <c r="BE35" s="21"/>
      <c r="BF35" s="12"/>
      <c r="BG35" s="43" t="s">
        <v>392</v>
      </c>
      <c r="BH35" s="12"/>
    </row>
    <row r="36" spans="1:60" s="3" customFormat="1" ht="20.399999999999999" x14ac:dyDescent="0.3">
      <c r="A36" s="25"/>
      <c r="B36" s="26" t="s">
        <v>76</v>
      </c>
      <c r="C36" s="419" t="s">
        <v>77</v>
      </c>
      <c r="D36" s="419"/>
      <c r="E36" s="419"/>
      <c r="F36" s="27" t="s">
        <v>70</v>
      </c>
      <c r="G36" s="22" t="s">
        <v>1360</v>
      </c>
      <c r="H36" s="58"/>
      <c r="I36" s="28"/>
      <c r="J36" s="28"/>
      <c r="K36" s="29"/>
      <c r="BC36" s="14"/>
      <c r="BD36" s="15"/>
      <c r="BE36" s="21"/>
      <c r="BF36" s="12" t="s">
        <v>77</v>
      </c>
      <c r="BG36" s="43"/>
      <c r="BH36" s="12"/>
    </row>
    <row r="37" spans="1:60" s="3" customFormat="1" ht="20.399999999999999" x14ac:dyDescent="0.3">
      <c r="A37" s="25"/>
      <c r="B37" s="26" t="s">
        <v>395</v>
      </c>
      <c r="C37" s="419" t="s">
        <v>396</v>
      </c>
      <c r="D37" s="419"/>
      <c r="E37" s="419"/>
      <c r="F37" s="27" t="s">
        <v>70</v>
      </c>
      <c r="G37" s="22" t="s">
        <v>1361</v>
      </c>
      <c r="H37" s="58"/>
      <c r="I37" s="28"/>
      <c r="J37" s="28"/>
      <c r="K37" s="29"/>
      <c r="BC37" s="14"/>
      <c r="BD37" s="15"/>
      <c r="BE37" s="21"/>
      <c r="BF37" s="12" t="s">
        <v>396</v>
      </c>
      <c r="BG37" s="43"/>
      <c r="BH37" s="12"/>
    </row>
    <row r="38" spans="1:60" s="3" customFormat="1" ht="20.399999999999999" x14ac:dyDescent="0.3">
      <c r="A38" s="37" t="s">
        <v>143</v>
      </c>
      <c r="B38" s="38" t="s">
        <v>509</v>
      </c>
      <c r="C38" s="430" t="s">
        <v>557</v>
      </c>
      <c r="D38" s="430"/>
      <c r="E38" s="430"/>
      <c r="F38" s="39" t="s">
        <v>70</v>
      </c>
      <c r="G38" s="40" t="s">
        <v>1362</v>
      </c>
      <c r="H38" s="100"/>
      <c r="I38" s="41"/>
      <c r="J38" s="41"/>
      <c r="K38" s="42"/>
      <c r="BC38" s="14"/>
      <c r="BD38" s="15"/>
      <c r="BE38" s="21"/>
      <c r="BF38" s="12"/>
      <c r="BG38" s="43" t="s">
        <v>557</v>
      </c>
      <c r="BH38" s="12"/>
    </row>
    <row r="39" spans="1:60" s="3" customFormat="1" ht="42" x14ac:dyDescent="0.3">
      <c r="A39" s="25"/>
      <c r="B39" s="26" t="s">
        <v>512</v>
      </c>
      <c r="C39" s="419" t="s">
        <v>513</v>
      </c>
      <c r="D39" s="419"/>
      <c r="E39" s="419"/>
      <c r="F39" s="27" t="s">
        <v>70</v>
      </c>
      <c r="G39" s="22" t="s">
        <v>1363</v>
      </c>
      <c r="H39" s="58"/>
      <c r="I39" s="28"/>
      <c r="J39" s="28"/>
      <c r="K39" s="29"/>
      <c r="BC39" s="14"/>
      <c r="BD39" s="15"/>
      <c r="BE39" s="21"/>
      <c r="BF39" s="12" t="s">
        <v>513</v>
      </c>
      <c r="BG39" s="43"/>
      <c r="BH39" s="12"/>
    </row>
    <row r="40" spans="1:60" s="3" customFormat="1" ht="42" x14ac:dyDescent="0.3">
      <c r="A40" s="25"/>
      <c r="B40" s="26" t="s">
        <v>404</v>
      </c>
      <c r="C40" s="419" t="s">
        <v>405</v>
      </c>
      <c r="D40" s="419"/>
      <c r="E40" s="419"/>
      <c r="F40" s="27" t="s">
        <v>406</v>
      </c>
      <c r="G40" s="22" t="s">
        <v>1364</v>
      </c>
      <c r="H40" s="58"/>
      <c r="I40" s="28"/>
      <c r="J40" s="28"/>
      <c r="K40" s="29"/>
      <c r="BC40" s="14"/>
      <c r="BD40" s="15"/>
      <c r="BE40" s="21"/>
      <c r="BF40" s="12" t="s">
        <v>405</v>
      </c>
      <c r="BG40" s="43"/>
      <c r="BH40" s="12"/>
    </row>
    <row r="41" spans="1:60" s="3" customFormat="1" ht="21.6" x14ac:dyDescent="0.3">
      <c r="A41" s="25"/>
      <c r="B41" s="26" t="s">
        <v>285</v>
      </c>
      <c r="C41" s="419" t="s">
        <v>286</v>
      </c>
      <c r="D41" s="419"/>
      <c r="E41" s="419"/>
      <c r="F41" s="27" t="s">
        <v>70</v>
      </c>
      <c r="G41" s="22" t="s">
        <v>1365</v>
      </c>
      <c r="H41" s="58"/>
      <c r="I41" s="28"/>
      <c r="J41" s="28"/>
      <c r="K41" s="29"/>
      <c r="BC41" s="14"/>
      <c r="BD41" s="15"/>
      <c r="BE41" s="21"/>
      <c r="BF41" s="12" t="s">
        <v>286</v>
      </c>
      <c r="BG41" s="43"/>
      <c r="BH41" s="12"/>
    </row>
    <row r="42" spans="1:60" s="3" customFormat="1" ht="20.399999999999999" x14ac:dyDescent="0.3">
      <c r="A42" s="25"/>
      <c r="B42" s="26" t="s">
        <v>409</v>
      </c>
      <c r="C42" s="419" t="s">
        <v>410</v>
      </c>
      <c r="D42" s="419"/>
      <c r="E42" s="419"/>
      <c r="F42" s="27" t="s">
        <v>70</v>
      </c>
      <c r="G42" s="22" t="s">
        <v>1366</v>
      </c>
      <c r="H42" s="58"/>
      <c r="I42" s="28"/>
      <c r="J42" s="28"/>
      <c r="K42" s="29"/>
      <c r="BC42" s="14"/>
      <c r="BD42" s="15"/>
      <c r="BE42" s="21"/>
      <c r="BF42" s="12" t="s">
        <v>410</v>
      </c>
      <c r="BG42" s="43"/>
      <c r="BH42" s="12"/>
    </row>
    <row r="43" spans="1:60" s="3" customFormat="1" ht="21.6" x14ac:dyDescent="0.3">
      <c r="A43" s="25"/>
      <c r="B43" s="26" t="s">
        <v>412</v>
      </c>
      <c r="C43" s="419" t="s">
        <v>413</v>
      </c>
      <c r="D43" s="419"/>
      <c r="E43" s="419"/>
      <c r="F43" s="27" t="s">
        <v>46</v>
      </c>
      <c r="G43" s="22" t="s">
        <v>1367</v>
      </c>
      <c r="H43" s="58"/>
      <c r="I43" s="28"/>
      <c r="J43" s="28"/>
      <c r="K43" s="29"/>
      <c r="BC43" s="14"/>
      <c r="BD43" s="15"/>
      <c r="BE43" s="21"/>
      <c r="BF43" s="12" t="s">
        <v>413</v>
      </c>
      <c r="BG43" s="43"/>
      <c r="BH43" s="12"/>
    </row>
    <row r="44" spans="1:60" s="3" customFormat="1" ht="20.399999999999999" x14ac:dyDescent="0.3">
      <c r="A44" s="25"/>
      <c r="B44" s="26" t="s">
        <v>415</v>
      </c>
      <c r="C44" s="419" t="s">
        <v>416</v>
      </c>
      <c r="D44" s="419"/>
      <c r="E44" s="419"/>
      <c r="F44" s="27" t="s">
        <v>70</v>
      </c>
      <c r="G44" s="22" t="s">
        <v>1368</v>
      </c>
      <c r="H44" s="58"/>
      <c r="I44" s="28"/>
      <c r="J44" s="28"/>
      <c r="K44" s="29"/>
      <c r="BC44" s="14"/>
      <c r="BD44" s="15"/>
      <c r="BE44" s="21"/>
      <c r="BF44" s="12" t="s">
        <v>416</v>
      </c>
      <c r="BG44" s="43"/>
      <c r="BH44" s="12"/>
    </row>
    <row r="45" spans="1:60" s="3" customFormat="1" ht="20.399999999999999" x14ac:dyDescent="0.3">
      <c r="A45" s="25"/>
      <c r="B45" s="26" t="s">
        <v>370</v>
      </c>
      <c r="C45" s="419" t="s">
        <v>371</v>
      </c>
      <c r="D45" s="419"/>
      <c r="E45" s="419"/>
      <c r="F45" s="27" t="s">
        <v>75</v>
      </c>
      <c r="G45" s="22" t="s">
        <v>1369</v>
      </c>
      <c r="H45" s="58"/>
      <c r="I45" s="28"/>
      <c r="J45" s="28"/>
      <c r="K45" s="29"/>
      <c r="BC45" s="14"/>
      <c r="BD45" s="15"/>
      <c r="BE45" s="21"/>
      <c r="BF45" s="12" t="s">
        <v>371</v>
      </c>
      <c r="BG45" s="43"/>
      <c r="BH45" s="12"/>
    </row>
    <row r="46" spans="1:60" s="3" customFormat="1" ht="24.75" customHeight="1" x14ac:dyDescent="0.3">
      <c r="A46" s="437" t="s">
        <v>1018</v>
      </c>
      <c r="B46" s="418"/>
      <c r="C46" s="418"/>
      <c r="D46" s="418"/>
      <c r="E46" s="418"/>
      <c r="F46" s="418"/>
      <c r="G46" s="418"/>
      <c r="H46" s="123"/>
      <c r="I46" s="123"/>
      <c r="J46" s="123"/>
      <c r="K46" s="124"/>
      <c r="BC46" s="14"/>
      <c r="BD46" s="15" t="s">
        <v>1018</v>
      </c>
      <c r="BE46" s="21"/>
      <c r="BF46" s="12"/>
      <c r="BG46" s="43"/>
      <c r="BH46" s="12"/>
    </row>
    <row r="47" spans="1:60" s="3" customFormat="1" ht="21.6" x14ac:dyDescent="0.3">
      <c r="A47" s="16" t="s">
        <v>22</v>
      </c>
      <c r="B47" s="17" t="s">
        <v>452</v>
      </c>
      <c r="C47" s="405" t="s">
        <v>453</v>
      </c>
      <c r="D47" s="405"/>
      <c r="E47" s="405"/>
      <c r="F47" s="16" t="s">
        <v>329</v>
      </c>
      <c r="G47" s="24">
        <v>7.2</v>
      </c>
      <c r="H47" s="57">
        <f>I47/G47</f>
        <v>4417.3499999999894</v>
      </c>
      <c r="I47" s="19">
        <f>795957.46-K47</f>
        <v>31804.919999999925</v>
      </c>
      <c r="J47" s="20">
        <f>K47/G47</f>
        <v>106132.29722222223</v>
      </c>
      <c r="K47" s="19">
        <v>764152.54</v>
      </c>
      <c r="BC47" s="14"/>
      <c r="BD47" s="15"/>
      <c r="BE47" s="21" t="s">
        <v>453</v>
      </c>
      <c r="BF47" s="12"/>
      <c r="BG47" s="43"/>
      <c r="BH47" s="12"/>
    </row>
    <row r="48" spans="1:60" s="3" customFormat="1" ht="31.8" x14ac:dyDescent="0.3">
      <c r="A48" s="25"/>
      <c r="B48" s="26" t="s">
        <v>454</v>
      </c>
      <c r="C48" s="419" t="s">
        <v>455</v>
      </c>
      <c r="D48" s="419"/>
      <c r="E48" s="419"/>
      <c r="F48" s="27" t="s">
        <v>70</v>
      </c>
      <c r="G48" s="22" t="s">
        <v>1370</v>
      </c>
      <c r="H48" s="58"/>
      <c r="I48" s="28"/>
      <c r="J48" s="28"/>
      <c r="K48" s="29"/>
      <c r="BC48" s="14"/>
      <c r="BD48" s="15"/>
      <c r="BE48" s="21"/>
      <c r="BF48" s="12" t="s">
        <v>455</v>
      </c>
      <c r="BG48" s="43"/>
      <c r="BH48" s="12"/>
    </row>
    <row r="49" spans="1:60" s="3" customFormat="1" ht="20.399999999999999" x14ac:dyDescent="0.3">
      <c r="A49" s="25"/>
      <c r="B49" s="26" t="s">
        <v>370</v>
      </c>
      <c r="C49" s="419" t="s">
        <v>371</v>
      </c>
      <c r="D49" s="419"/>
      <c r="E49" s="419"/>
      <c r="F49" s="27" t="s">
        <v>75</v>
      </c>
      <c r="G49" s="22" t="s">
        <v>1371</v>
      </c>
      <c r="H49" s="58"/>
      <c r="I49" s="28"/>
      <c r="J49" s="28"/>
      <c r="K49" s="29"/>
      <c r="BC49" s="14"/>
      <c r="BD49" s="15"/>
      <c r="BE49" s="21"/>
      <c r="BF49" s="12" t="s">
        <v>371</v>
      </c>
      <c r="BG49" s="43"/>
      <c r="BH49" s="12"/>
    </row>
    <row r="50" spans="1:60" s="3" customFormat="1" ht="31.8" x14ac:dyDescent="0.3">
      <c r="A50" s="25" t="s">
        <v>129</v>
      </c>
      <c r="B50" s="26" t="s">
        <v>458</v>
      </c>
      <c r="C50" s="419" t="s">
        <v>455</v>
      </c>
      <c r="D50" s="419"/>
      <c r="E50" s="419"/>
      <c r="F50" s="27" t="s">
        <v>70</v>
      </c>
      <c r="G50" s="22" t="s">
        <v>1372</v>
      </c>
      <c r="H50" s="58"/>
      <c r="I50" s="28"/>
      <c r="J50" s="28"/>
      <c r="K50" s="29"/>
      <c r="BC50" s="14"/>
      <c r="BD50" s="15"/>
      <c r="BE50" s="21"/>
      <c r="BF50" s="12"/>
      <c r="BG50" s="43"/>
      <c r="BH50" s="12" t="s">
        <v>455</v>
      </c>
    </row>
    <row r="51" spans="1:60" s="3" customFormat="1" ht="21.6" x14ac:dyDescent="0.3">
      <c r="A51" s="25" t="s">
        <v>129</v>
      </c>
      <c r="B51" s="26" t="s">
        <v>460</v>
      </c>
      <c r="C51" s="419" t="s">
        <v>461</v>
      </c>
      <c r="D51" s="419"/>
      <c r="E51" s="419"/>
      <c r="F51" s="27" t="s">
        <v>75</v>
      </c>
      <c r="G51" s="22" t="s">
        <v>1373</v>
      </c>
      <c r="H51" s="58"/>
      <c r="I51" s="28"/>
      <c r="J51" s="28"/>
      <c r="K51" s="29"/>
      <c r="BC51" s="14"/>
      <c r="BD51" s="15"/>
      <c r="BE51" s="21"/>
      <c r="BF51" s="12"/>
      <c r="BG51" s="43"/>
      <c r="BH51" s="12" t="s">
        <v>461</v>
      </c>
    </row>
    <row r="52" spans="1:60" s="3" customFormat="1" ht="15" customHeight="1" x14ac:dyDescent="0.3">
      <c r="A52" s="437" t="s">
        <v>1023</v>
      </c>
      <c r="B52" s="418"/>
      <c r="C52" s="418"/>
      <c r="D52" s="418"/>
      <c r="E52" s="418"/>
      <c r="F52" s="418"/>
      <c r="G52" s="418"/>
      <c r="H52" s="123"/>
      <c r="I52" s="123"/>
      <c r="J52" s="123"/>
      <c r="K52" s="124"/>
      <c r="BC52" s="14"/>
      <c r="BD52" s="15" t="s">
        <v>1023</v>
      </c>
      <c r="BE52" s="21"/>
      <c r="BF52" s="12"/>
      <c r="BG52" s="43"/>
      <c r="BH52" s="12"/>
    </row>
    <row r="53" spans="1:60" s="3" customFormat="1" ht="21.6" x14ac:dyDescent="0.3">
      <c r="A53" s="16" t="s">
        <v>27</v>
      </c>
      <c r="B53" s="17" t="s">
        <v>464</v>
      </c>
      <c r="C53" s="405" t="s">
        <v>465</v>
      </c>
      <c r="D53" s="405"/>
      <c r="E53" s="405"/>
      <c r="F53" s="16" t="s">
        <v>158</v>
      </c>
      <c r="G53" s="23">
        <v>72</v>
      </c>
      <c r="H53" s="57">
        <f>I53/G53</f>
        <v>1501.9236111111111</v>
      </c>
      <c r="I53" s="19">
        <f>114363.94-K53</f>
        <v>108138.5</v>
      </c>
      <c r="J53" s="20">
        <f>K53/G53</f>
        <v>86.464444444444439</v>
      </c>
      <c r="K53" s="19">
        <v>6225.44</v>
      </c>
      <c r="BC53" s="14"/>
      <c r="BD53" s="15"/>
      <c r="BE53" s="21" t="s">
        <v>465</v>
      </c>
      <c r="BF53" s="12"/>
      <c r="BG53" s="43"/>
      <c r="BH53" s="12"/>
    </row>
    <row r="54" spans="1:60" s="3" customFormat="1" ht="20.399999999999999" x14ac:dyDescent="0.3">
      <c r="A54" s="37" t="s">
        <v>143</v>
      </c>
      <c r="B54" s="38" t="s">
        <v>466</v>
      </c>
      <c r="C54" s="430" t="s">
        <v>467</v>
      </c>
      <c r="D54" s="430"/>
      <c r="E54" s="430"/>
      <c r="F54" s="39" t="s">
        <v>75</v>
      </c>
      <c r="G54" s="40" t="s">
        <v>1374</v>
      </c>
      <c r="H54" s="100"/>
      <c r="I54" s="41"/>
      <c r="J54" s="41"/>
      <c r="K54" s="42"/>
      <c r="BC54" s="14"/>
      <c r="BD54" s="15"/>
      <c r="BE54" s="21"/>
      <c r="BF54" s="12"/>
      <c r="BG54" s="43" t="s">
        <v>467</v>
      </c>
      <c r="BH54" s="12"/>
    </row>
    <row r="55" spans="1:60" s="3" customFormat="1" ht="20.399999999999999" x14ac:dyDescent="0.3">
      <c r="A55" s="25" t="s">
        <v>129</v>
      </c>
      <c r="B55" s="26" t="s">
        <v>469</v>
      </c>
      <c r="C55" s="419" t="s">
        <v>467</v>
      </c>
      <c r="D55" s="419"/>
      <c r="E55" s="419"/>
      <c r="F55" s="27" t="s">
        <v>70</v>
      </c>
      <c r="G55" s="22" t="s">
        <v>1375</v>
      </c>
      <c r="H55" s="58"/>
      <c r="I55" s="28"/>
      <c r="J55" s="28"/>
      <c r="K55" s="29"/>
      <c r="BC55" s="14"/>
      <c r="BD55" s="15"/>
      <c r="BE55" s="21"/>
      <c r="BF55" s="12"/>
      <c r="BG55" s="43"/>
      <c r="BH55" s="12" t="s">
        <v>467</v>
      </c>
    </row>
    <row r="56" spans="1:60" s="3" customFormat="1" ht="31.8" x14ac:dyDescent="0.3">
      <c r="A56" s="16" t="s">
        <v>35</v>
      </c>
      <c r="B56" s="17" t="s">
        <v>471</v>
      </c>
      <c r="C56" s="405" t="s">
        <v>472</v>
      </c>
      <c r="D56" s="405"/>
      <c r="E56" s="405"/>
      <c r="F56" s="16" t="s">
        <v>329</v>
      </c>
      <c r="G56" s="31">
        <v>0.72</v>
      </c>
      <c r="H56" s="57">
        <f>I56/G56</f>
        <v>8353.1111111111113</v>
      </c>
      <c r="I56" s="19">
        <f>7432.26-K56</f>
        <v>6014.24</v>
      </c>
      <c r="J56" s="20">
        <f>K56/G56</f>
        <v>1969.4722222222222</v>
      </c>
      <c r="K56" s="19">
        <v>1418.02</v>
      </c>
      <c r="BC56" s="14"/>
      <c r="BD56" s="15"/>
      <c r="BE56" s="21" t="s">
        <v>472</v>
      </c>
      <c r="BF56" s="12"/>
      <c r="BG56" s="43"/>
      <c r="BH56" s="12"/>
    </row>
    <row r="57" spans="1:60" s="3" customFormat="1" ht="20.399999999999999" x14ac:dyDescent="0.3">
      <c r="A57" s="25"/>
      <c r="B57" s="26" t="s">
        <v>339</v>
      </c>
      <c r="C57" s="419" t="s">
        <v>340</v>
      </c>
      <c r="D57" s="419"/>
      <c r="E57" s="419"/>
      <c r="F57" s="27" t="s">
        <v>75</v>
      </c>
      <c r="G57" s="22" t="s">
        <v>1376</v>
      </c>
      <c r="H57" s="58"/>
      <c r="I57" s="28"/>
      <c r="J57" s="28"/>
      <c r="K57" s="29"/>
      <c r="BC57" s="14"/>
      <c r="BD57" s="15"/>
      <c r="BE57" s="21"/>
      <c r="BF57" s="12" t="s">
        <v>340</v>
      </c>
      <c r="BG57" s="43"/>
      <c r="BH57" s="12"/>
    </row>
    <row r="58" spans="1:60" s="3" customFormat="1" ht="20.399999999999999" x14ac:dyDescent="0.3">
      <c r="A58" s="25"/>
      <c r="B58" s="26" t="s">
        <v>353</v>
      </c>
      <c r="C58" s="419" t="s">
        <v>354</v>
      </c>
      <c r="D58" s="419"/>
      <c r="E58" s="419"/>
      <c r="F58" s="27" t="s">
        <v>75</v>
      </c>
      <c r="G58" s="22" t="s">
        <v>1377</v>
      </c>
      <c r="H58" s="58"/>
      <c r="I58" s="28"/>
      <c r="J58" s="28"/>
      <c r="K58" s="29"/>
      <c r="BC58" s="14"/>
      <c r="BD58" s="15"/>
      <c r="BE58" s="21"/>
      <c r="BF58" s="12" t="s">
        <v>354</v>
      </c>
      <c r="BG58" s="43"/>
      <c r="BH58" s="12"/>
    </row>
    <row r="59" spans="1:60" s="3" customFormat="1" ht="15" customHeight="1" x14ac:dyDescent="0.3">
      <c r="A59" s="437" t="s">
        <v>1026</v>
      </c>
      <c r="B59" s="418"/>
      <c r="C59" s="418"/>
      <c r="D59" s="418"/>
      <c r="E59" s="418"/>
      <c r="F59" s="418"/>
      <c r="G59" s="418"/>
      <c r="H59" s="123"/>
      <c r="I59" s="123"/>
      <c r="J59" s="123"/>
      <c r="K59" s="124"/>
      <c r="BC59" s="14"/>
      <c r="BD59" s="15" t="s">
        <v>1026</v>
      </c>
      <c r="BE59" s="21"/>
      <c r="BF59" s="12"/>
      <c r="BG59" s="43"/>
      <c r="BH59" s="12"/>
    </row>
    <row r="60" spans="1:60" s="3" customFormat="1" ht="14.4" x14ac:dyDescent="0.3">
      <c r="A60" s="16" t="s">
        <v>40</v>
      </c>
      <c r="B60" s="17" t="s">
        <v>476</v>
      </c>
      <c r="C60" s="405" t="s">
        <v>477</v>
      </c>
      <c r="D60" s="405"/>
      <c r="E60" s="405"/>
      <c r="F60" s="16" t="s">
        <v>158</v>
      </c>
      <c r="G60" s="23">
        <v>72</v>
      </c>
      <c r="H60" s="57">
        <f>I60/G60</f>
        <v>67.27347222222221</v>
      </c>
      <c r="I60" s="19">
        <f>4843.69-K60</f>
        <v>4843.6899999999996</v>
      </c>
      <c r="J60" s="20">
        <f>K60/G60</f>
        <v>0</v>
      </c>
      <c r="K60" s="19">
        <v>0</v>
      </c>
      <c r="BC60" s="14"/>
      <c r="BD60" s="15"/>
      <c r="BE60" s="21" t="s">
        <v>477</v>
      </c>
      <c r="BF60" s="12"/>
      <c r="BG60" s="43"/>
      <c r="BH60" s="12"/>
    </row>
    <row r="61" spans="1:60" s="3" customFormat="1" ht="24.75" customHeight="1" x14ac:dyDescent="0.3">
      <c r="A61" s="437" t="s">
        <v>1027</v>
      </c>
      <c r="B61" s="418"/>
      <c r="C61" s="418"/>
      <c r="D61" s="418"/>
      <c r="E61" s="418"/>
      <c r="F61" s="418"/>
      <c r="G61" s="418"/>
      <c r="H61" s="123"/>
      <c r="I61" s="123"/>
      <c r="J61" s="123"/>
      <c r="K61" s="124"/>
      <c r="BC61" s="14"/>
      <c r="BD61" s="15" t="s">
        <v>1027</v>
      </c>
      <c r="BE61" s="21"/>
      <c r="BF61" s="12"/>
      <c r="BG61" s="43"/>
      <c r="BH61" s="12"/>
    </row>
    <row r="62" spans="1:60" s="3" customFormat="1" ht="21.6" x14ac:dyDescent="0.3">
      <c r="A62" s="16" t="s">
        <v>47</v>
      </c>
      <c r="B62" s="17" t="s">
        <v>452</v>
      </c>
      <c r="C62" s="405" t="s">
        <v>453</v>
      </c>
      <c r="D62" s="405"/>
      <c r="E62" s="405"/>
      <c r="F62" s="16" t="s">
        <v>329</v>
      </c>
      <c r="G62" s="31">
        <v>0.72</v>
      </c>
      <c r="H62" s="57">
        <f>I62/G62</f>
        <v>4417.3333333333276</v>
      </c>
      <c r="I62" s="19">
        <f>79595.73-K62</f>
        <v>3180.4799999999959</v>
      </c>
      <c r="J62" s="20">
        <f>K62/G62</f>
        <v>106132.29166666667</v>
      </c>
      <c r="K62" s="19">
        <v>76415.25</v>
      </c>
      <c r="BC62" s="14"/>
      <c r="BD62" s="15"/>
      <c r="BE62" s="21" t="s">
        <v>453</v>
      </c>
      <c r="BF62" s="12"/>
      <c r="BG62" s="43"/>
      <c r="BH62" s="12"/>
    </row>
    <row r="63" spans="1:60" s="3" customFormat="1" ht="31.8" x14ac:dyDescent="0.3">
      <c r="A63" s="25"/>
      <c r="B63" s="26" t="s">
        <v>454</v>
      </c>
      <c r="C63" s="419" t="s">
        <v>455</v>
      </c>
      <c r="D63" s="419"/>
      <c r="E63" s="419"/>
      <c r="F63" s="27" t="s">
        <v>70</v>
      </c>
      <c r="G63" s="22" t="s">
        <v>1378</v>
      </c>
      <c r="H63" s="58"/>
      <c r="I63" s="28"/>
      <c r="J63" s="28"/>
      <c r="K63" s="29"/>
      <c r="BC63" s="14"/>
      <c r="BD63" s="15"/>
      <c r="BE63" s="21"/>
      <c r="BF63" s="12" t="s">
        <v>455</v>
      </c>
      <c r="BG63" s="43"/>
      <c r="BH63" s="12"/>
    </row>
    <row r="64" spans="1:60" s="3" customFormat="1" ht="20.399999999999999" x14ac:dyDescent="0.3">
      <c r="A64" s="25"/>
      <c r="B64" s="26" t="s">
        <v>370</v>
      </c>
      <c r="C64" s="419" t="s">
        <v>371</v>
      </c>
      <c r="D64" s="419"/>
      <c r="E64" s="419"/>
      <c r="F64" s="27" t="s">
        <v>75</v>
      </c>
      <c r="G64" s="22" t="s">
        <v>1379</v>
      </c>
      <c r="H64" s="58"/>
      <c r="I64" s="28"/>
      <c r="J64" s="28"/>
      <c r="K64" s="29"/>
      <c r="BC64" s="14"/>
      <c r="BD64" s="15"/>
      <c r="BE64" s="21"/>
      <c r="BF64" s="12" t="s">
        <v>371</v>
      </c>
      <c r="BG64" s="43"/>
      <c r="BH64" s="12"/>
    </row>
    <row r="65" spans="1:60" s="3" customFormat="1" ht="31.8" x14ac:dyDescent="0.3">
      <c r="A65" s="25" t="s">
        <v>129</v>
      </c>
      <c r="B65" s="26" t="s">
        <v>458</v>
      </c>
      <c r="C65" s="419" t="s">
        <v>455</v>
      </c>
      <c r="D65" s="419"/>
      <c r="E65" s="419"/>
      <c r="F65" s="27" t="s">
        <v>70</v>
      </c>
      <c r="G65" s="22" t="s">
        <v>1380</v>
      </c>
      <c r="H65" s="58"/>
      <c r="I65" s="28"/>
      <c r="J65" s="28"/>
      <c r="K65" s="29"/>
      <c r="BC65" s="14"/>
      <c r="BD65" s="15"/>
      <c r="BE65" s="21"/>
      <c r="BF65" s="12"/>
      <c r="BG65" s="43"/>
      <c r="BH65" s="12" t="s">
        <v>455</v>
      </c>
    </row>
    <row r="66" spans="1:60" s="3" customFormat="1" ht="21.6" x14ac:dyDescent="0.3">
      <c r="A66" s="25" t="s">
        <v>129</v>
      </c>
      <c r="B66" s="26" t="s">
        <v>460</v>
      </c>
      <c r="C66" s="419" t="s">
        <v>461</v>
      </c>
      <c r="D66" s="419"/>
      <c r="E66" s="419"/>
      <c r="F66" s="27" t="s">
        <v>75</v>
      </c>
      <c r="G66" s="22" t="s">
        <v>1377</v>
      </c>
      <c r="H66" s="58"/>
      <c r="I66" s="28"/>
      <c r="J66" s="28"/>
      <c r="K66" s="29"/>
      <c r="BC66" s="14"/>
      <c r="BD66" s="15"/>
      <c r="BE66" s="21"/>
      <c r="BF66" s="12"/>
      <c r="BG66" s="43"/>
      <c r="BH66" s="12" t="s">
        <v>461</v>
      </c>
    </row>
    <row r="67" spans="1:60" s="3" customFormat="1" ht="15" customHeight="1" x14ac:dyDescent="0.3">
      <c r="A67" s="437" t="s">
        <v>1032</v>
      </c>
      <c r="B67" s="418"/>
      <c r="C67" s="418"/>
      <c r="D67" s="418"/>
      <c r="E67" s="418"/>
      <c r="F67" s="418"/>
      <c r="G67" s="418"/>
      <c r="H67" s="123"/>
      <c r="I67" s="123"/>
      <c r="J67" s="123"/>
      <c r="K67" s="124"/>
      <c r="BC67" s="14"/>
      <c r="BD67" s="15" t="s">
        <v>1032</v>
      </c>
      <c r="BE67" s="21"/>
      <c r="BF67" s="12"/>
      <c r="BG67" s="43"/>
      <c r="BH67" s="12"/>
    </row>
    <row r="68" spans="1:60" s="3" customFormat="1" ht="31.8" x14ac:dyDescent="0.3">
      <c r="A68" s="16" t="s">
        <v>52</v>
      </c>
      <c r="B68" s="17" t="s">
        <v>471</v>
      </c>
      <c r="C68" s="405" t="s">
        <v>472</v>
      </c>
      <c r="D68" s="405"/>
      <c r="E68" s="405"/>
      <c r="F68" s="16" t="s">
        <v>329</v>
      </c>
      <c r="G68" s="24">
        <v>7.2</v>
      </c>
      <c r="H68" s="57">
        <f>I68/G68</f>
        <v>8353.1194444444445</v>
      </c>
      <c r="I68" s="19">
        <f>74322.71-K68</f>
        <v>60142.460000000006</v>
      </c>
      <c r="J68" s="20">
        <f>K68/G68</f>
        <v>1969.4791666666665</v>
      </c>
      <c r="K68" s="19">
        <v>14180.25</v>
      </c>
      <c r="BC68" s="14"/>
      <c r="BD68" s="15"/>
      <c r="BE68" s="21" t="s">
        <v>472</v>
      </c>
      <c r="BF68" s="12"/>
      <c r="BG68" s="43"/>
      <c r="BH68" s="12"/>
    </row>
    <row r="69" spans="1:60" s="3" customFormat="1" ht="20.399999999999999" x14ac:dyDescent="0.3">
      <c r="A69" s="25"/>
      <c r="B69" s="26" t="s">
        <v>339</v>
      </c>
      <c r="C69" s="419" t="s">
        <v>340</v>
      </c>
      <c r="D69" s="419"/>
      <c r="E69" s="419"/>
      <c r="F69" s="27" t="s">
        <v>75</v>
      </c>
      <c r="G69" s="22" t="s">
        <v>1381</v>
      </c>
      <c r="H69" s="58"/>
      <c r="I69" s="28"/>
      <c r="J69" s="28"/>
      <c r="K69" s="29"/>
      <c r="BC69" s="14"/>
      <c r="BD69" s="15"/>
      <c r="BE69" s="21"/>
      <c r="BF69" s="12" t="s">
        <v>340</v>
      </c>
      <c r="BG69" s="43"/>
      <c r="BH69" s="12"/>
    </row>
    <row r="70" spans="1:60" s="3" customFormat="1" ht="20.399999999999999" x14ac:dyDescent="0.3">
      <c r="A70" s="25"/>
      <c r="B70" s="26" t="s">
        <v>353</v>
      </c>
      <c r="C70" s="419" t="s">
        <v>354</v>
      </c>
      <c r="D70" s="419"/>
      <c r="E70" s="419"/>
      <c r="F70" s="27" t="s">
        <v>75</v>
      </c>
      <c r="G70" s="22" t="s">
        <v>1373</v>
      </c>
      <c r="H70" s="58"/>
      <c r="I70" s="28"/>
      <c r="J70" s="28"/>
      <c r="K70" s="29"/>
      <c r="BC70" s="14"/>
      <c r="BD70" s="15"/>
      <c r="BE70" s="21"/>
      <c r="BF70" s="12" t="s">
        <v>354</v>
      </c>
      <c r="BG70" s="43"/>
      <c r="BH70" s="12"/>
    </row>
    <row r="71" spans="1:60" s="3" customFormat="1" ht="15" customHeight="1" x14ac:dyDescent="0.3">
      <c r="A71" s="437" t="s">
        <v>1034</v>
      </c>
      <c r="B71" s="418"/>
      <c r="C71" s="418"/>
      <c r="D71" s="418"/>
      <c r="E71" s="418"/>
      <c r="F71" s="418"/>
      <c r="G71" s="418"/>
      <c r="H71" s="123"/>
      <c r="I71" s="123"/>
      <c r="J71" s="123"/>
      <c r="K71" s="124"/>
      <c r="BC71" s="14"/>
      <c r="BD71" s="15" t="s">
        <v>1034</v>
      </c>
      <c r="BE71" s="21"/>
      <c r="BF71" s="12"/>
      <c r="BG71" s="43"/>
      <c r="BH71" s="12"/>
    </row>
    <row r="72" spans="1:60" s="3" customFormat="1" ht="15" customHeight="1" x14ac:dyDescent="0.3">
      <c r="A72" s="437" t="s">
        <v>1035</v>
      </c>
      <c r="B72" s="418"/>
      <c r="C72" s="418"/>
      <c r="D72" s="418"/>
      <c r="E72" s="418"/>
      <c r="F72" s="418"/>
      <c r="G72" s="418"/>
      <c r="H72" s="123"/>
      <c r="I72" s="123"/>
      <c r="J72" s="123"/>
      <c r="K72" s="124"/>
      <c r="BC72" s="14"/>
      <c r="BD72" s="15" t="s">
        <v>1035</v>
      </c>
      <c r="BE72" s="21"/>
      <c r="BF72" s="12"/>
      <c r="BG72" s="43"/>
      <c r="BH72" s="12"/>
    </row>
    <row r="73" spans="1:60" s="3" customFormat="1" ht="42" x14ac:dyDescent="0.3">
      <c r="A73" s="16" t="s">
        <v>55</v>
      </c>
      <c r="B73" s="17" t="s">
        <v>486</v>
      </c>
      <c r="C73" s="405" t="s">
        <v>487</v>
      </c>
      <c r="D73" s="405"/>
      <c r="E73" s="405"/>
      <c r="F73" s="16" t="s">
        <v>329</v>
      </c>
      <c r="G73" s="24">
        <v>7.2</v>
      </c>
      <c r="H73" s="57">
        <f>I73/G73</f>
        <v>2420.2111111111058</v>
      </c>
      <c r="I73" s="19">
        <f>491497.22-K73</f>
        <v>17425.51999999996</v>
      </c>
      <c r="J73" s="20">
        <f>K73/G73</f>
        <v>65843.291666666672</v>
      </c>
      <c r="K73" s="19">
        <v>474071.7</v>
      </c>
      <c r="BC73" s="14"/>
      <c r="BD73" s="15"/>
      <c r="BE73" s="21" t="s">
        <v>487</v>
      </c>
      <c r="BF73" s="12"/>
      <c r="BG73" s="43"/>
      <c r="BH73" s="12"/>
    </row>
    <row r="74" spans="1:60" s="3" customFormat="1" ht="42" x14ac:dyDescent="0.3">
      <c r="A74" s="25"/>
      <c r="B74" s="26" t="s">
        <v>488</v>
      </c>
      <c r="C74" s="419" t="s">
        <v>489</v>
      </c>
      <c r="D74" s="419"/>
      <c r="E74" s="419"/>
      <c r="F74" s="27" t="s">
        <v>75</v>
      </c>
      <c r="G74" s="22" t="s">
        <v>1382</v>
      </c>
      <c r="H74" s="58"/>
      <c r="I74" s="28"/>
      <c r="J74" s="28"/>
      <c r="K74" s="29"/>
      <c r="BC74" s="14"/>
      <c r="BD74" s="15"/>
      <c r="BE74" s="21"/>
      <c r="BF74" s="12" t="s">
        <v>489</v>
      </c>
      <c r="BG74" s="43"/>
      <c r="BH74" s="12"/>
    </row>
    <row r="75" spans="1:60" s="3" customFormat="1" ht="20.399999999999999" x14ac:dyDescent="0.3">
      <c r="A75" s="25"/>
      <c r="B75" s="26" t="s">
        <v>370</v>
      </c>
      <c r="C75" s="419" t="s">
        <v>371</v>
      </c>
      <c r="D75" s="419"/>
      <c r="E75" s="419"/>
      <c r="F75" s="27" t="s">
        <v>75</v>
      </c>
      <c r="G75" s="22" t="s">
        <v>1383</v>
      </c>
      <c r="H75" s="58"/>
      <c r="I75" s="28"/>
      <c r="J75" s="28"/>
      <c r="K75" s="29"/>
      <c r="BC75" s="14"/>
      <c r="BD75" s="15"/>
      <c r="BE75" s="21"/>
      <c r="BF75" s="12" t="s">
        <v>371</v>
      </c>
      <c r="BG75" s="43"/>
      <c r="BH75" s="12"/>
    </row>
    <row r="76" spans="1:60" s="3" customFormat="1" ht="42" x14ac:dyDescent="0.3">
      <c r="A76" s="25" t="s">
        <v>129</v>
      </c>
      <c r="B76" s="26" t="s">
        <v>492</v>
      </c>
      <c r="C76" s="419" t="s">
        <v>489</v>
      </c>
      <c r="D76" s="419"/>
      <c r="E76" s="419"/>
      <c r="F76" s="27" t="s">
        <v>75</v>
      </c>
      <c r="G76" s="22" t="s">
        <v>1384</v>
      </c>
      <c r="H76" s="58"/>
      <c r="I76" s="28"/>
      <c r="J76" s="28"/>
      <c r="K76" s="29"/>
      <c r="BC76" s="14"/>
      <c r="BD76" s="15"/>
      <c r="BE76" s="21"/>
      <c r="BF76" s="12"/>
      <c r="BG76" s="43"/>
      <c r="BH76" s="12" t="s">
        <v>489</v>
      </c>
    </row>
    <row r="77" spans="1:60" s="3" customFormat="1" ht="20.399999999999999" x14ac:dyDescent="0.3">
      <c r="A77" s="25" t="s">
        <v>129</v>
      </c>
      <c r="B77" s="26" t="s">
        <v>494</v>
      </c>
      <c r="C77" s="419" t="s">
        <v>495</v>
      </c>
      <c r="D77" s="419"/>
      <c r="E77" s="419"/>
      <c r="F77" s="27" t="s">
        <v>75</v>
      </c>
      <c r="G77" s="22" t="s">
        <v>1385</v>
      </c>
      <c r="H77" s="58"/>
      <c r="I77" s="28"/>
      <c r="J77" s="28"/>
      <c r="K77" s="29"/>
      <c r="BC77" s="14"/>
      <c r="BD77" s="15"/>
      <c r="BE77" s="21"/>
      <c r="BF77" s="12"/>
      <c r="BG77" s="43"/>
      <c r="BH77" s="12" t="s">
        <v>495</v>
      </c>
    </row>
    <row r="78" spans="1:60" s="3" customFormat="1" ht="15" customHeight="1" x14ac:dyDescent="0.3">
      <c r="A78" s="437" t="s">
        <v>1040</v>
      </c>
      <c r="B78" s="418"/>
      <c r="C78" s="418"/>
      <c r="D78" s="418"/>
      <c r="E78" s="418"/>
      <c r="F78" s="418"/>
      <c r="G78" s="418"/>
      <c r="H78" s="123"/>
      <c r="I78" s="123"/>
      <c r="J78" s="123"/>
      <c r="K78" s="124"/>
      <c r="BC78" s="14"/>
      <c r="BD78" s="15" t="s">
        <v>1040</v>
      </c>
      <c r="BE78" s="21"/>
      <c r="BF78" s="12"/>
      <c r="BG78" s="43"/>
      <c r="BH78" s="12"/>
    </row>
    <row r="79" spans="1:60" s="3" customFormat="1" ht="42" x14ac:dyDescent="0.3">
      <c r="A79" s="16" t="s">
        <v>56</v>
      </c>
      <c r="B79" s="17" t="s">
        <v>486</v>
      </c>
      <c r="C79" s="405" t="s">
        <v>487</v>
      </c>
      <c r="D79" s="405"/>
      <c r="E79" s="405"/>
      <c r="F79" s="16" t="s">
        <v>329</v>
      </c>
      <c r="G79" s="24">
        <v>7.2</v>
      </c>
      <c r="H79" s="57">
        <f>I79/G79</f>
        <v>2420.2111111111058</v>
      </c>
      <c r="I79" s="19">
        <f>491497.22-K79</f>
        <v>17425.51999999996</v>
      </c>
      <c r="J79" s="20">
        <f>K79/G79</f>
        <v>65843.291666666672</v>
      </c>
      <c r="K79" s="19">
        <v>474071.7</v>
      </c>
      <c r="BC79" s="14"/>
      <c r="BD79" s="15"/>
      <c r="BE79" s="21" t="s">
        <v>487</v>
      </c>
      <c r="BF79" s="12"/>
      <c r="BG79" s="43"/>
      <c r="BH79" s="12"/>
    </row>
    <row r="80" spans="1:60" s="3" customFormat="1" ht="42" x14ac:dyDescent="0.3">
      <c r="A80" s="25"/>
      <c r="B80" s="26" t="s">
        <v>488</v>
      </c>
      <c r="C80" s="419" t="s">
        <v>489</v>
      </c>
      <c r="D80" s="419"/>
      <c r="E80" s="419"/>
      <c r="F80" s="27" t="s">
        <v>75</v>
      </c>
      <c r="G80" s="22" t="s">
        <v>1382</v>
      </c>
      <c r="H80" s="58"/>
      <c r="I80" s="28"/>
      <c r="J80" s="28"/>
      <c r="K80" s="29"/>
      <c r="BC80" s="14"/>
      <c r="BD80" s="15"/>
      <c r="BE80" s="21"/>
      <c r="BF80" s="12" t="s">
        <v>489</v>
      </c>
      <c r="BG80" s="43"/>
      <c r="BH80" s="12"/>
    </row>
    <row r="81" spans="1:64" s="3" customFormat="1" ht="20.399999999999999" x14ac:dyDescent="0.3">
      <c r="A81" s="25"/>
      <c r="B81" s="26" t="s">
        <v>370</v>
      </c>
      <c r="C81" s="419" t="s">
        <v>371</v>
      </c>
      <c r="D81" s="419"/>
      <c r="E81" s="419"/>
      <c r="F81" s="27" t="s">
        <v>75</v>
      </c>
      <c r="G81" s="22" t="s">
        <v>1383</v>
      </c>
      <c r="H81" s="58"/>
      <c r="I81" s="28"/>
      <c r="J81" s="28"/>
      <c r="K81" s="29"/>
      <c r="BC81" s="14"/>
      <c r="BD81" s="15"/>
      <c r="BE81" s="21"/>
      <c r="BF81" s="12" t="s">
        <v>371</v>
      </c>
      <c r="BG81" s="43"/>
      <c r="BH81" s="12"/>
    </row>
    <row r="82" spans="1:64" s="3" customFormat="1" ht="42" x14ac:dyDescent="0.3">
      <c r="A82" s="25" t="s">
        <v>129</v>
      </c>
      <c r="B82" s="26" t="s">
        <v>492</v>
      </c>
      <c r="C82" s="419" t="s">
        <v>489</v>
      </c>
      <c r="D82" s="419"/>
      <c r="E82" s="419"/>
      <c r="F82" s="27" t="s">
        <v>75</v>
      </c>
      <c r="G82" s="22" t="s">
        <v>1384</v>
      </c>
      <c r="H82" s="58"/>
      <c r="I82" s="28"/>
      <c r="J82" s="28"/>
      <c r="K82" s="29"/>
      <c r="BC82" s="14"/>
      <c r="BD82" s="15"/>
      <c r="BE82" s="21"/>
      <c r="BF82" s="12"/>
      <c r="BG82" s="43"/>
      <c r="BH82" s="12" t="s">
        <v>489</v>
      </c>
    </row>
    <row r="83" spans="1:64" s="3" customFormat="1" ht="20.399999999999999" x14ac:dyDescent="0.3">
      <c r="A83" s="25" t="s">
        <v>129</v>
      </c>
      <c r="B83" s="26" t="s">
        <v>494</v>
      </c>
      <c r="C83" s="419" t="s">
        <v>495</v>
      </c>
      <c r="D83" s="419"/>
      <c r="E83" s="419"/>
      <c r="F83" s="27" t="s">
        <v>75</v>
      </c>
      <c r="G83" s="22" t="s">
        <v>1385</v>
      </c>
      <c r="H83" s="58"/>
      <c r="I83" s="28"/>
      <c r="J83" s="28"/>
      <c r="K83" s="29"/>
      <c r="BC83" s="14"/>
      <c r="BD83" s="15"/>
      <c r="BE83" s="21"/>
      <c r="BF83" s="12"/>
      <c r="BG83" s="43"/>
      <c r="BH83" s="12" t="s">
        <v>495</v>
      </c>
    </row>
    <row r="84" spans="1:64" s="3" customFormat="1" ht="15" customHeight="1" x14ac:dyDescent="0.3">
      <c r="A84" s="437" t="s">
        <v>498</v>
      </c>
      <c r="B84" s="418"/>
      <c r="C84" s="418"/>
      <c r="D84" s="418"/>
      <c r="E84" s="418"/>
      <c r="F84" s="418"/>
      <c r="G84" s="418"/>
      <c r="H84" s="123"/>
      <c r="I84" s="123"/>
      <c r="J84" s="123"/>
      <c r="K84" s="124"/>
      <c r="BC84" s="14"/>
      <c r="BD84" s="15" t="s">
        <v>498</v>
      </c>
      <c r="BE84" s="21"/>
      <c r="BF84" s="12"/>
      <c r="BG84" s="43"/>
      <c r="BH84" s="12"/>
    </row>
    <row r="85" spans="1:64" s="3" customFormat="1" ht="20.25" customHeight="1" x14ac:dyDescent="0.3">
      <c r="A85" s="406" t="s">
        <v>57</v>
      </c>
      <c r="B85" s="407"/>
      <c r="C85" s="407"/>
      <c r="D85" s="407"/>
      <c r="E85" s="407"/>
      <c r="F85" s="407"/>
      <c r="G85" s="407"/>
      <c r="H85" s="66"/>
      <c r="I85" s="67">
        <f>SUM(I13:I84)</f>
        <v>2602922.15</v>
      </c>
      <c r="J85" s="72"/>
      <c r="K85" s="87">
        <f>SUM(K13:K84)</f>
        <v>4359741.72</v>
      </c>
    </row>
    <row r="86" spans="1:64" s="53" customFormat="1" ht="20.25" customHeight="1" thickBot="1" x14ac:dyDescent="0.35">
      <c r="A86" s="408" t="s">
        <v>5461</v>
      </c>
      <c r="B86" s="409"/>
      <c r="C86" s="409"/>
      <c r="D86" s="409"/>
      <c r="E86" s="409"/>
      <c r="F86" s="409"/>
      <c r="G86" s="409"/>
      <c r="H86" s="88"/>
      <c r="I86" s="410">
        <f>I85+K85</f>
        <v>6962663.8699999992</v>
      </c>
      <c r="J86" s="411"/>
      <c r="K86" s="412"/>
    </row>
    <row r="87" spans="1:64" s="3" customFormat="1" ht="53.25" customHeight="1" x14ac:dyDescent="0.3">
      <c r="A87" s="4"/>
      <c r="B87" s="4"/>
      <c r="C87" s="4"/>
      <c r="D87" s="4"/>
      <c r="E87" s="4"/>
      <c r="F87" s="4"/>
      <c r="G87" s="4"/>
      <c r="H87" s="54"/>
      <c r="I87" s="54"/>
      <c r="J87" s="54"/>
      <c r="K87" s="54"/>
    </row>
    <row r="88" spans="1:64" s="3" customFormat="1" ht="14.4" x14ac:dyDescent="0.3">
      <c r="A88" s="4"/>
      <c r="B88" s="4"/>
      <c r="C88" s="4"/>
      <c r="D88" s="4"/>
      <c r="E88" s="4"/>
      <c r="F88" s="4"/>
      <c r="G88" s="4"/>
      <c r="H88" s="54"/>
      <c r="I88" s="141"/>
      <c r="J88" s="54"/>
      <c r="K88" s="54"/>
      <c r="BL88" s="56"/>
    </row>
    <row r="89" spans="1:64" ht="11.25" customHeight="1" x14ac:dyDescent="0.2">
      <c r="BL89" s="54"/>
    </row>
  </sheetData>
  <autoFilter ref="A10:K10" xr:uid="{00000000-0001-0000-0F00-000000000000}">
    <filterColumn colId="2" showButton="0"/>
    <filterColumn colId="3" showButton="0"/>
  </autoFilter>
  <mergeCells count="84">
    <mergeCell ref="A85:G85"/>
    <mergeCell ref="A86:G86"/>
    <mergeCell ref="I86:K86"/>
    <mergeCell ref="A11:G11"/>
    <mergeCell ref="A84:G84"/>
    <mergeCell ref="A78:G78"/>
    <mergeCell ref="A72:G72"/>
    <mergeCell ref="A71:G71"/>
    <mergeCell ref="A67:G67"/>
    <mergeCell ref="A61:G61"/>
    <mergeCell ref="A59:G59"/>
    <mergeCell ref="A52:G52"/>
    <mergeCell ref="C80:E80"/>
    <mergeCell ref="C81:E81"/>
    <mergeCell ref="C82:E82"/>
    <mergeCell ref="C83:E83"/>
    <mergeCell ref="C75:E75"/>
    <mergeCell ref="C76:E76"/>
    <mergeCell ref="C77:E77"/>
    <mergeCell ref="C79:E79"/>
    <mergeCell ref="C70:E70"/>
    <mergeCell ref="C73:E73"/>
    <mergeCell ref="C74:E74"/>
    <mergeCell ref="C65:E65"/>
    <mergeCell ref="C66:E66"/>
    <mergeCell ref="C68:E68"/>
    <mergeCell ref="C69:E69"/>
    <mergeCell ref="C60:E60"/>
    <mergeCell ref="C62:E62"/>
    <mergeCell ref="C63:E63"/>
    <mergeCell ref="C64:E64"/>
    <mergeCell ref="C55:E55"/>
    <mergeCell ref="C56:E56"/>
    <mergeCell ref="C57:E57"/>
    <mergeCell ref="C58:E58"/>
    <mergeCell ref="C50:E50"/>
    <mergeCell ref="C51:E51"/>
    <mergeCell ref="C53:E53"/>
    <mergeCell ref="C54:E54"/>
    <mergeCell ref="C45:E45"/>
    <mergeCell ref="C47:E47"/>
    <mergeCell ref="C48:E48"/>
    <mergeCell ref="C49:E49"/>
    <mergeCell ref="A46:G46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1:E31"/>
    <mergeCell ref="C32:E32"/>
    <mergeCell ref="C33:E33"/>
    <mergeCell ref="C34:E34"/>
    <mergeCell ref="A30:G30"/>
    <mergeCell ref="C25:E25"/>
    <mergeCell ref="C26:E26"/>
    <mergeCell ref="C27:E27"/>
    <mergeCell ref="C28:E28"/>
    <mergeCell ref="A29:G29"/>
    <mergeCell ref="C20:E20"/>
    <mergeCell ref="C21:E21"/>
    <mergeCell ref="C22:E22"/>
    <mergeCell ref="C23:E23"/>
    <mergeCell ref="C24:E24"/>
    <mergeCell ref="C15:E15"/>
    <mergeCell ref="C16:E16"/>
    <mergeCell ref="C17:E17"/>
    <mergeCell ref="C18:E18"/>
    <mergeCell ref="C19:E19"/>
    <mergeCell ref="A2:K2"/>
    <mergeCell ref="A3:K3"/>
    <mergeCell ref="A5:K5"/>
    <mergeCell ref="C13:E13"/>
    <mergeCell ref="C14:E14"/>
    <mergeCell ref="A12:G12"/>
    <mergeCell ref="A6:K6"/>
    <mergeCell ref="C7:G7"/>
    <mergeCell ref="C9:E9"/>
    <mergeCell ref="C10:E10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  <pageSetUpPr fitToPage="1"/>
  </sheetPr>
  <dimension ref="A1:BJ60"/>
  <sheetViews>
    <sheetView workbookViewId="0">
      <selection activeCell="M15" sqref="M1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6640625" style="1" customWidth="1"/>
    <col min="4" max="4" width="15.109375" style="1" customWidth="1"/>
    <col min="5" max="5" width="17.109375" style="1" customWidth="1"/>
    <col min="6" max="7" width="10.6640625" style="1" customWidth="1"/>
    <col min="8" max="11" width="18.109375" style="54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9" width="34.109375" style="2" hidden="1" customWidth="1"/>
    <col min="60" max="62" width="127.5546875" style="2" hidden="1" customWidth="1"/>
    <col min="63" max="16384" width="9.109375" style="1"/>
  </cols>
  <sheetData>
    <row r="1" spans="1:56" s="3" customFormat="1" ht="14.4" x14ac:dyDescent="0.3">
      <c r="A1" s="95" t="s">
        <v>5576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6" s="3" customFormat="1" ht="35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14.4" x14ac:dyDescent="0.3">
      <c r="A5" s="404" t="s">
        <v>5128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5128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14.4" x14ac:dyDescent="0.3">
      <c r="A7" s="4"/>
      <c r="B7" s="8" t="s">
        <v>5</v>
      </c>
      <c r="C7" s="402" t="s">
        <v>5011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6" s="3" customFormat="1" ht="15" customHeight="1" x14ac:dyDescent="0.3">
      <c r="A12" s="452" t="s">
        <v>1303</v>
      </c>
      <c r="B12" s="453"/>
      <c r="C12" s="453"/>
      <c r="D12" s="453"/>
      <c r="E12" s="453"/>
      <c r="F12" s="453"/>
      <c r="G12" s="453"/>
      <c r="H12" s="252"/>
      <c r="I12" s="252"/>
      <c r="J12" s="252"/>
      <c r="K12" s="253"/>
      <c r="BB12" s="14" t="s">
        <v>1303</v>
      </c>
    </row>
    <row r="13" spans="1:56" s="3" customFormat="1" ht="15" customHeight="1" x14ac:dyDescent="0.3">
      <c r="A13" s="437" t="s">
        <v>5028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B13" s="14"/>
      <c r="BC13" s="15" t="s">
        <v>5028</v>
      </c>
    </row>
    <row r="14" spans="1:56" s="3" customFormat="1" ht="15" customHeight="1" x14ac:dyDescent="0.3">
      <c r="A14" s="437" t="s">
        <v>5022</v>
      </c>
      <c r="B14" s="418"/>
      <c r="C14" s="418"/>
      <c r="D14" s="418"/>
      <c r="E14" s="418"/>
      <c r="F14" s="418"/>
      <c r="G14" s="418"/>
      <c r="H14" s="123"/>
      <c r="I14" s="123"/>
      <c r="J14" s="123"/>
      <c r="K14" s="124"/>
      <c r="BB14" s="14"/>
      <c r="BC14" s="15" t="s">
        <v>5022</v>
      </c>
    </row>
    <row r="15" spans="1:56" s="3" customFormat="1" ht="42" x14ac:dyDescent="0.3">
      <c r="A15" s="16" t="s">
        <v>15</v>
      </c>
      <c r="B15" s="17" t="s">
        <v>5023</v>
      </c>
      <c r="C15" s="405" t="s">
        <v>5024</v>
      </c>
      <c r="D15" s="405"/>
      <c r="E15" s="405"/>
      <c r="F15" s="16" t="s">
        <v>43</v>
      </c>
      <c r="G15" s="30">
        <v>7.6E-3</v>
      </c>
      <c r="H15" s="57">
        <f>I15/G15</f>
        <v>50000</v>
      </c>
      <c r="I15" s="19">
        <f>380-K15</f>
        <v>380</v>
      </c>
      <c r="J15" s="19">
        <f>K15/G15</f>
        <v>0</v>
      </c>
      <c r="K15" s="19">
        <v>0</v>
      </c>
      <c r="BB15" s="14"/>
      <c r="BC15" s="15"/>
      <c r="BD15" s="21" t="s">
        <v>5024</v>
      </c>
    </row>
    <row r="16" spans="1:56" s="3" customFormat="1" ht="15" customHeight="1" x14ac:dyDescent="0.3">
      <c r="A16" s="437" t="s">
        <v>5025</v>
      </c>
      <c r="B16" s="418"/>
      <c r="C16" s="418"/>
      <c r="D16" s="418"/>
      <c r="E16" s="418"/>
      <c r="F16" s="418"/>
      <c r="G16" s="418"/>
      <c r="H16" s="123"/>
      <c r="I16" s="123"/>
      <c r="J16" s="123"/>
      <c r="K16" s="124"/>
      <c r="BB16" s="14"/>
      <c r="BC16" s="15" t="s">
        <v>5025</v>
      </c>
      <c r="BD16" s="21"/>
    </row>
    <row r="17" spans="1:57" s="3" customFormat="1" ht="31.8" x14ac:dyDescent="0.3">
      <c r="A17" s="16" t="s">
        <v>20</v>
      </c>
      <c r="B17" s="17" t="s">
        <v>5026</v>
      </c>
      <c r="C17" s="405" t="s">
        <v>5027</v>
      </c>
      <c r="D17" s="405"/>
      <c r="E17" s="405"/>
      <c r="F17" s="16" t="s">
        <v>125</v>
      </c>
      <c r="G17" s="18">
        <v>2.5000000000000001E-2</v>
      </c>
      <c r="H17" s="57">
        <f>I17/G17</f>
        <v>107999.2</v>
      </c>
      <c r="I17" s="19">
        <f>2699.98-K17</f>
        <v>2699.98</v>
      </c>
      <c r="J17" s="19">
        <f>K17/G17</f>
        <v>0</v>
      </c>
      <c r="K17" s="19">
        <v>0</v>
      </c>
      <c r="BB17" s="14"/>
      <c r="BC17" s="15"/>
      <c r="BD17" s="21" t="s">
        <v>5027</v>
      </c>
    </row>
    <row r="18" spans="1:57" s="3" customFormat="1" ht="15" customHeight="1" x14ac:dyDescent="0.3">
      <c r="A18" s="437" t="s">
        <v>5029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24"/>
      <c r="BB18" s="14"/>
      <c r="BC18" s="15" t="s">
        <v>5029</v>
      </c>
      <c r="BD18" s="21"/>
    </row>
    <row r="19" spans="1:57" s="3" customFormat="1" ht="42" x14ac:dyDescent="0.3">
      <c r="A19" s="16" t="s">
        <v>22</v>
      </c>
      <c r="B19" s="17" t="s">
        <v>617</v>
      </c>
      <c r="C19" s="405" t="s">
        <v>618</v>
      </c>
      <c r="D19" s="405"/>
      <c r="E19" s="405"/>
      <c r="F19" s="16" t="s">
        <v>43</v>
      </c>
      <c r="G19" s="30">
        <v>5.6899999999999999E-2</v>
      </c>
      <c r="H19" s="57">
        <f>I19/G19</f>
        <v>46988.576449912129</v>
      </c>
      <c r="I19" s="19">
        <f>2673.65-K19</f>
        <v>2673.65</v>
      </c>
      <c r="J19" s="19">
        <f>K19/G19</f>
        <v>0</v>
      </c>
      <c r="K19" s="19">
        <v>0</v>
      </c>
      <c r="BB19" s="14"/>
      <c r="BC19" s="15"/>
      <c r="BD19" s="21" t="s">
        <v>618</v>
      </c>
    </row>
    <row r="20" spans="1:57" s="3" customFormat="1" ht="42" x14ac:dyDescent="0.3">
      <c r="A20" s="16" t="s">
        <v>27</v>
      </c>
      <c r="B20" s="17" t="s">
        <v>48</v>
      </c>
      <c r="C20" s="405" t="s">
        <v>49</v>
      </c>
      <c r="D20" s="405"/>
      <c r="E20" s="405"/>
      <c r="F20" s="16" t="s">
        <v>50</v>
      </c>
      <c r="G20" s="24">
        <v>113.8</v>
      </c>
      <c r="H20" s="57">
        <f>I20/G20</f>
        <v>598.375834797891</v>
      </c>
      <c r="I20" s="19">
        <f>68095.17-K20</f>
        <v>68095.17</v>
      </c>
      <c r="J20" s="19">
        <f>K20/G20</f>
        <v>0</v>
      </c>
      <c r="K20" s="19">
        <v>0</v>
      </c>
      <c r="BB20" s="14"/>
      <c r="BC20" s="15"/>
      <c r="BD20" s="21" t="s">
        <v>49</v>
      </c>
    </row>
    <row r="21" spans="1:57" s="3" customFormat="1" ht="15" customHeight="1" x14ac:dyDescent="0.3">
      <c r="A21" s="452" t="s">
        <v>5030</v>
      </c>
      <c r="B21" s="453"/>
      <c r="C21" s="453"/>
      <c r="D21" s="453"/>
      <c r="E21" s="453"/>
      <c r="F21" s="453"/>
      <c r="G21" s="453"/>
      <c r="H21" s="252"/>
      <c r="I21" s="252"/>
      <c r="J21" s="252"/>
      <c r="K21" s="253"/>
      <c r="BB21" s="14" t="s">
        <v>5030</v>
      </c>
      <c r="BC21" s="15"/>
      <c r="BD21" s="21"/>
    </row>
    <row r="22" spans="1:57" s="3" customFormat="1" ht="15" customHeight="1" x14ac:dyDescent="0.3">
      <c r="A22" s="437" t="s">
        <v>5068</v>
      </c>
      <c r="B22" s="418"/>
      <c r="C22" s="418"/>
      <c r="D22" s="418"/>
      <c r="E22" s="418"/>
      <c r="F22" s="418"/>
      <c r="G22" s="418"/>
      <c r="H22" s="123"/>
      <c r="I22" s="123"/>
      <c r="J22" s="123"/>
      <c r="K22" s="124"/>
      <c r="BB22" s="14"/>
      <c r="BC22" s="15" t="s">
        <v>5068</v>
      </c>
      <c r="BD22" s="21"/>
    </row>
    <row r="23" spans="1:57" s="3" customFormat="1" ht="15" customHeight="1" x14ac:dyDescent="0.3">
      <c r="A23" s="437" t="s">
        <v>5069</v>
      </c>
      <c r="B23" s="418"/>
      <c r="C23" s="418"/>
      <c r="D23" s="418"/>
      <c r="E23" s="418"/>
      <c r="F23" s="418"/>
      <c r="G23" s="61"/>
      <c r="H23" s="123"/>
      <c r="I23" s="123"/>
      <c r="J23" s="123"/>
      <c r="K23" s="124"/>
      <c r="BB23" s="14"/>
      <c r="BC23" s="15" t="s">
        <v>5069</v>
      </c>
      <c r="BD23" s="21"/>
    </row>
    <row r="24" spans="1:57" s="3" customFormat="1" ht="21.6" x14ac:dyDescent="0.3">
      <c r="A24" s="16" t="s">
        <v>35</v>
      </c>
      <c r="B24" s="17" t="s">
        <v>4789</v>
      </c>
      <c r="C24" s="405" t="s">
        <v>4790</v>
      </c>
      <c r="D24" s="405"/>
      <c r="E24" s="405"/>
      <c r="F24" s="16" t="s">
        <v>125</v>
      </c>
      <c r="G24" s="30">
        <v>0.1014</v>
      </c>
      <c r="H24" s="57">
        <f>I24/G24</f>
        <v>15712.623274161735</v>
      </c>
      <c r="I24" s="19">
        <f>1593.26-K24</f>
        <v>1593.26</v>
      </c>
      <c r="J24" s="19">
        <f>K24/G24</f>
        <v>0</v>
      </c>
      <c r="K24" s="19">
        <v>0</v>
      </c>
      <c r="BB24" s="14"/>
      <c r="BC24" s="15"/>
      <c r="BD24" s="21" t="s">
        <v>4790</v>
      </c>
    </row>
    <row r="25" spans="1:57" s="3" customFormat="1" ht="24.75" customHeight="1" x14ac:dyDescent="0.3">
      <c r="A25" s="437" t="s">
        <v>5044</v>
      </c>
      <c r="B25" s="418"/>
      <c r="C25" s="418"/>
      <c r="D25" s="418"/>
      <c r="E25" s="418"/>
      <c r="F25" s="418"/>
      <c r="G25" s="418"/>
      <c r="H25" s="123"/>
      <c r="I25" s="123"/>
      <c r="J25" s="123"/>
      <c r="K25" s="124"/>
      <c r="BB25" s="14"/>
      <c r="BC25" s="15" t="s">
        <v>5044</v>
      </c>
      <c r="BD25" s="21"/>
    </row>
    <row r="26" spans="1:57" s="3" customFormat="1" ht="62.4" x14ac:dyDescent="0.3">
      <c r="A26" s="16" t="s">
        <v>40</v>
      </c>
      <c r="B26" s="17" t="s">
        <v>5037</v>
      </c>
      <c r="C26" s="405" t="s">
        <v>5038</v>
      </c>
      <c r="D26" s="405"/>
      <c r="E26" s="405"/>
      <c r="F26" s="16" t="s">
        <v>189</v>
      </c>
      <c r="G26" s="30">
        <v>5.0700000000000002E-2</v>
      </c>
      <c r="H26" s="57">
        <f>I26/G26</f>
        <v>196942.01183431951</v>
      </c>
      <c r="I26" s="19">
        <f>20000.98-K26</f>
        <v>9984.9599999999991</v>
      </c>
      <c r="J26" s="19">
        <f>K26/G26</f>
        <v>197554.63510848125</v>
      </c>
      <c r="K26" s="19">
        <v>10016.02</v>
      </c>
      <c r="BB26" s="14"/>
      <c r="BC26" s="15"/>
      <c r="BD26" s="21" t="s">
        <v>5038</v>
      </c>
    </row>
    <row r="27" spans="1:57" s="3" customFormat="1" ht="20.399999999999999" x14ac:dyDescent="0.3">
      <c r="A27" s="25"/>
      <c r="B27" s="26" t="s">
        <v>154</v>
      </c>
      <c r="C27" s="419" t="s">
        <v>155</v>
      </c>
      <c r="D27" s="419"/>
      <c r="E27" s="419"/>
      <c r="F27" s="27" t="s">
        <v>46</v>
      </c>
      <c r="G27" s="22" t="s">
        <v>5129</v>
      </c>
      <c r="H27" s="58"/>
      <c r="I27" s="28"/>
      <c r="J27" s="28"/>
      <c r="K27" s="29"/>
      <c r="BB27" s="14"/>
      <c r="BC27" s="15"/>
      <c r="BD27" s="21"/>
      <c r="BE27" s="12" t="s">
        <v>155</v>
      </c>
    </row>
    <row r="28" spans="1:57" s="3" customFormat="1" ht="20.399999999999999" x14ac:dyDescent="0.3">
      <c r="A28" s="25"/>
      <c r="B28" s="26" t="s">
        <v>677</v>
      </c>
      <c r="C28" s="419" t="s">
        <v>678</v>
      </c>
      <c r="D28" s="419"/>
      <c r="E28" s="419"/>
      <c r="F28" s="27" t="s">
        <v>46</v>
      </c>
      <c r="G28" s="22" t="s">
        <v>5130</v>
      </c>
      <c r="H28" s="58"/>
      <c r="I28" s="28"/>
      <c r="J28" s="28"/>
      <c r="K28" s="29"/>
      <c r="BB28" s="14"/>
      <c r="BC28" s="15"/>
      <c r="BD28" s="21"/>
      <c r="BE28" s="12" t="s">
        <v>678</v>
      </c>
    </row>
    <row r="29" spans="1:57" s="3" customFormat="1" ht="20.399999999999999" x14ac:dyDescent="0.3">
      <c r="A29" s="25"/>
      <c r="B29" s="26" t="s">
        <v>680</v>
      </c>
      <c r="C29" s="419" t="s">
        <v>681</v>
      </c>
      <c r="D29" s="419"/>
      <c r="E29" s="419"/>
      <c r="F29" s="27" t="s">
        <v>46</v>
      </c>
      <c r="G29" s="22" t="s">
        <v>5131</v>
      </c>
      <c r="H29" s="58"/>
      <c r="I29" s="28"/>
      <c r="J29" s="28"/>
      <c r="K29" s="29"/>
      <c r="BB29" s="14"/>
      <c r="BC29" s="15"/>
      <c r="BD29" s="21"/>
      <c r="BE29" s="12" t="s">
        <v>681</v>
      </c>
    </row>
    <row r="30" spans="1:57" s="3" customFormat="1" ht="15" customHeight="1" x14ac:dyDescent="0.3">
      <c r="A30" s="437" t="s">
        <v>661</v>
      </c>
      <c r="B30" s="418"/>
      <c r="C30" s="418"/>
      <c r="D30" s="418"/>
      <c r="E30" s="418"/>
      <c r="F30" s="418"/>
      <c r="G30" s="418"/>
      <c r="H30" s="123"/>
      <c r="I30" s="123"/>
      <c r="J30" s="123"/>
      <c r="K30" s="124"/>
      <c r="BB30" s="14"/>
      <c r="BC30" s="15" t="s">
        <v>661</v>
      </c>
      <c r="BD30" s="21"/>
      <c r="BE30" s="12"/>
    </row>
    <row r="31" spans="1:57" s="3" customFormat="1" ht="31.8" x14ac:dyDescent="0.3">
      <c r="A31" s="16" t="s">
        <v>47</v>
      </c>
      <c r="B31" s="17" t="s">
        <v>662</v>
      </c>
      <c r="C31" s="405" t="s">
        <v>663</v>
      </c>
      <c r="D31" s="405"/>
      <c r="E31" s="405"/>
      <c r="F31" s="16" t="s">
        <v>70</v>
      </c>
      <c r="G31" s="31">
        <v>0.02</v>
      </c>
      <c r="H31" s="57">
        <f>I31/G31</f>
        <v>2160.9999999999986</v>
      </c>
      <c r="I31" s="19">
        <f>326.57-K31</f>
        <v>43.21999999999997</v>
      </c>
      <c r="J31" s="19">
        <f>K31/G31</f>
        <v>14167.5</v>
      </c>
      <c r="K31" s="19">
        <v>283.35000000000002</v>
      </c>
      <c r="BB31" s="14"/>
      <c r="BC31" s="15"/>
      <c r="BD31" s="21" t="s">
        <v>663</v>
      </c>
      <c r="BE31" s="12"/>
    </row>
    <row r="32" spans="1:57" s="3" customFormat="1" ht="20.399999999999999" x14ac:dyDescent="0.3">
      <c r="A32" s="25"/>
      <c r="B32" s="26" t="s">
        <v>631</v>
      </c>
      <c r="C32" s="419" t="s">
        <v>632</v>
      </c>
      <c r="D32" s="419"/>
      <c r="E32" s="419"/>
      <c r="F32" s="27" t="s">
        <v>70</v>
      </c>
      <c r="G32" s="22" t="s">
        <v>5132</v>
      </c>
      <c r="H32" s="58"/>
      <c r="I32" s="28"/>
      <c r="J32" s="28"/>
      <c r="K32" s="29"/>
      <c r="BB32" s="14"/>
      <c r="BC32" s="15"/>
      <c r="BD32" s="21"/>
      <c r="BE32" s="12" t="s">
        <v>632</v>
      </c>
    </row>
    <row r="33" spans="1:59" s="3" customFormat="1" ht="15" customHeight="1" x14ac:dyDescent="0.3">
      <c r="A33" s="437" t="s">
        <v>5057</v>
      </c>
      <c r="B33" s="418"/>
      <c r="C33" s="418"/>
      <c r="D33" s="418"/>
      <c r="E33" s="418"/>
      <c r="F33" s="418"/>
      <c r="G33" s="418"/>
      <c r="H33" s="123"/>
      <c r="I33" s="123"/>
      <c r="J33" s="123"/>
      <c r="K33" s="124"/>
      <c r="BB33" s="14"/>
      <c r="BC33" s="15" t="s">
        <v>5057</v>
      </c>
      <c r="BD33" s="21"/>
      <c r="BE33" s="12"/>
    </row>
    <row r="34" spans="1:59" s="3" customFormat="1" ht="42" x14ac:dyDescent="0.3">
      <c r="A34" s="16" t="s">
        <v>52</v>
      </c>
      <c r="B34" s="17" t="s">
        <v>5074</v>
      </c>
      <c r="C34" s="405" t="s">
        <v>5075</v>
      </c>
      <c r="D34" s="405"/>
      <c r="E34" s="405"/>
      <c r="F34" s="16" t="s">
        <v>189</v>
      </c>
      <c r="G34" s="30">
        <v>5.0700000000000002E-2</v>
      </c>
      <c r="H34" s="57">
        <f>I34/G34</f>
        <v>88871.992110453604</v>
      </c>
      <c r="I34" s="19">
        <f>25965.37-K34</f>
        <v>4505.8099999999977</v>
      </c>
      <c r="J34" s="19">
        <f>K34/G34</f>
        <v>423265.48323471402</v>
      </c>
      <c r="K34" s="19">
        <v>21459.56</v>
      </c>
      <c r="BB34" s="14"/>
      <c r="BC34" s="15"/>
      <c r="BD34" s="21" t="s">
        <v>5075</v>
      </c>
      <c r="BE34" s="12"/>
    </row>
    <row r="35" spans="1:59" s="3" customFormat="1" ht="20.399999999999999" x14ac:dyDescent="0.3">
      <c r="A35" s="37" t="s">
        <v>143</v>
      </c>
      <c r="B35" s="38" t="s">
        <v>5076</v>
      </c>
      <c r="C35" s="430" t="s">
        <v>331</v>
      </c>
      <c r="D35" s="430"/>
      <c r="E35" s="430"/>
      <c r="F35" s="39" t="s">
        <v>70</v>
      </c>
      <c r="G35" s="40" t="s">
        <v>5133</v>
      </c>
      <c r="H35" s="100"/>
      <c r="I35" s="41"/>
      <c r="J35" s="41"/>
      <c r="K35" s="42"/>
      <c r="BB35" s="14"/>
      <c r="BC35" s="15"/>
      <c r="BD35" s="21"/>
      <c r="BE35" s="12"/>
      <c r="BF35" s="43" t="s">
        <v>331</v>
      </c>
    </row>
    <row r="36" spans="1:59" s="3" customFormat="1" ht="20.399999999999999" x14ac:dyDescent="0.3">
      <c r="A36" s="25"/>
      <c r="B36" s="26" t="s">
        <v>154</v>
      </c>
      <c r="C36" s="419" t="s">
        <v>155</v>
      </c>
      <c r="D36" s="419"/>
      <c r="E36" s="419"/>
      <c r="F36" s="27" t="s">
        <v>46</v>
      </c>
      <c r="G36" s="22" t="s">
        <v>5134</v>
      </c>
      <c r="H36" s="58"/>
      <c r="I36" s="28"/>
      <c r="J36" s="28"/>
      <c r="K36" s="29"/>
      <c r="BB36" s="14"/>
      <c r="BC36" s="15"/>
      <c r="BD36" s="21"/>
      <c r="BE36" s="12" t="s">
        <v>155</v>
      </c>
      <c r="BF36" s="43"/>
    </row>
    <row r="37" spans="1:59" s="3" customFormat="1" ht="20.399999999999999" x14ac:dyDescent="0.3">
      <c r="A37" s="37" t="s">
        <v>78</v>
      </c>
      <c r="B37" s="38" t="s">
        <v>646</v>
      </c>
      <c r="C37" s="430" t="s">
        <v>647</v>
      </c>
      <c r="D37" s="430"/>
      <c r="E37" s="430"/>
      <c r="F37" s="39" t="s">
        <v>70</v>
      </c>
      <c r="G37" s="40" t="s">
        <v>33</v>
      </c>
      <c r="H37" s="100"/>
      <c r="I37" s="41"/>
      <c r="J37" s="41"/>
      <c r="K37" s="42"/>
      <c r="BB37" s="14"/>
      <c r="BC37" s="15"/>
      <c r="BD37" s="21"/>
      <c r="BE37" s="12"/>
      <c r="BF37" s="43" t="s">
        <v>647</v>
      </c>
    </row>
    <row r="38" spans="1:59" s="3" customFormat="1" ht="21.6" x14ac:dyDescent="0.3">
      <c r="A38" s="25" t="s">
        <v>129</v>
      </c>
      <c r="B38" s="26" t="s">
        <v>653</v>
      </c>
      <c r="C38" s="419" t="s">
        <v>654</v>
      </c>
      <c r="D38" s="419"/>
      <c r="E38" s="419"/>
      <c r="F38" s="27" t="s">
        <v>70</v>
      </c>
      <c r="G38" s="22" t="s">
        <v>5135</v>
      </c>
      <c r="H38" s="58"/>
      <c r="I38" s="28"/>
      <c r="J38" s="28"/>
      <c r="K38" s="29"/>
      <c r="BB38" s="14"/>
      <c r="BC38" s="15"/>
      <c r="BD38" s="21"/>
      <c r="BE38" s="12"/>
      <c r="BF38" s="43"/>
      <c r="BG38" s="12" t="s">
        <v>654</v>
      </c>
    </row>
    <row r="39" spans="1:59" s="3" customFormat="1" ht="31.8" x14ac:dyDescent="0.3">
      <c r="A39" s="16" t="s">
        <v>55</v>
      </c>
      <c r="B39" s="17" t="s">
        <v>5080</v>
      </c>
      <c r="C39" s="405" t="s">
        <v>5081</v>
      </c>
      <c r="D39" s="405"/>
      <c r="E39" s="405"/>
      <c r="F39" s="16" t="s">
        <v>189</v>
      </c>
      <c r="G39" s="30">
        <v>5.0700000000000002E-2</v>
      </c>
      <c r="H39" s="57">
        <f>I39/G39</f>
        <v>7788.1656804733657</v>
      </c>
      <c r="I39" s="19">
        <f>5726.45-K39</f>
        <v>394.85999999999967</v>
      </c>
      <c r="J39" s="19">
        <f>K39/G39</f>
        <v>105159.56607495069</v>
      </c>
      <c r="K39" s="19">
        <v>5331.59</v>
      </c>
      <c r="BB39" s="14"/>
      <c r="BC39" s="15"/>
      <c r="BD39" s="21" t="s">
        <v>5081</v>
      </c>
      <c r="BE39" s="12"/>
      <c r="BF39" s="43"/>
      <c r="BG39" s="12"/>
    </row>
    <row r="40" spans="1:59" s="3" customFormat="1" ht="20.399999999999999" x14ac:dyDescent="0.3">
      <c r="A40" s="37" t="s">
        <v>78</v>
      </c>
      <c r="B40" s="38" t="s">
        <v>646</v>
      </c>
      <c r="C40" s="430" t="s">
        <v>647</v>
      </c>
      <c r="D40" s="430"/>
      <c r="E40" s="430"/>
      <c r="F40" s="39" t="s">
        <v>70</v>
      </c>
      <c r="G40" s="40" t="s">
        <v>33</v>
      </c>
      <c r="H40" s="100"/>
      <c r="I40" s="41"/>
      <c r="J40" s="41"/>
      <c r="K40" s="42"/>
      <c r="BB40" s="14"/>
      <c r="BC40" s="15"/>
      <c r="BD40" s="21"/>
      <c r="BE40" s="12"/>
      <c r="BF40" s="43" t="s">
        <v>647</v>
      </c>
      <c r="BG40" s="12"/>
    </row>
    <row r="41" spans="1:59" s="3" customFormat="1" ht="21.6" x14ac:dyDescent="0.3">
      <c r="A41" s="25" t="s">
        <v>129</v>
      </c>
      <c r="B41" s="26" t="s">
        <v>653</v>
      </c>
      <c r="C41" s="419" t="s">
        <v>654</v>
      </c>
      <c r="D41" s="419"/>
      <c r="E41" s="419"/>
      <c r="F41" s="27" t="s">
        <v>70</v>
      </c>
      <c r="G41" s="22" t="s">
        <v>5136</v>
      </c>
      <c r="H41" s="58"/>
      <c r="I41" s="28"/>
      <c r="J41" s="28"/>
      <c r="K41" s="29"/>
      <c r="BB41" s="14"/>
      <c r="BC41" s="15"/>
      <c r="BD41" s="21"/>
      <c r="BE41" s="12"/>
      <c r="BF41" s="43"/>
      <c r="BG41" s="12" t="s">
        <v>654</v>
      </c>
    </row>
    <row r="42" spans="1:59" s="3" customFormat="1" ht="15" customHeight="1" x14ac:dyDescent="0.3">
      <c r="A42" s="437" t="s">
        <v>5083</v>
      </c>
      <c r="B42" s="418"/>
      <c r="C42" s="418"/>
      <c r="D42" s="418"/>
      <c r="E42" s="418"/>
      <c r="F42" s="418"/>
      <c r="G42" s="418"/>
      <c r="H42" s="123"/>
      <c r="I42" s="123"/>
      <c r="J42" s="123"/>
      <c r="K42" s="124"/>
      <c r="BB42" s="14"/>
      <c r="BC42" s="15" t="s">
        <v>5083</v>
      </c>
      <c r="BD42" s="21"/>
      <c r="BE42" s="12"/>
      <c r="BF42" s="43"/>
      <c r="BG42" s="12"/>
    </row>
    <row r="43" spans="1:59" s="3" customFormat="1" ht="21.6" x14ac:dyDescent="0.3">
      <c r="A43" s="16" t="s">
        <v>56</v>
      </c>
      <c r="B43" s="17" t="s">
        <v>705</v>
      </c>
      <c r="C43" s="405" t="s">
        <v>706</v>
      </c>
      <c r="D43" s="405"/>
      <c r="E43" s="405"/>
      <c r="F43" s="16" t="s">
        <v>67</v>
      </c>
      <c r="G43" s="31">
        <v>0.47</v>
      </c>
      <c r="H43" s="57">
        <f>I43/G43</f>
        <v>98108.957446808519</v>
      </c>
      <c r="I43" s="19">
        <f>70760.61-K43</f>
        <v>46111.21</v>
      </c>
      <c r="J43" s="19">
        <f>K43/G43</f>
        <v>52445.531914893625</v>
      </c>
      <c r="K43" s="19">
        <v>24649.4</v>
      </c>
      <c r="BB43" s="14"/>
      <c r="BC43" s="15"/>
      <c r="BD43" s="21" t="s">
        <v>706</v>
      </c>
      <c r="BE43" s="12"/>
      <c r="BF43" s="43"/>
      <c r="BG43" s="12"/>
    </row>
    <row r="44" spans="1:59" s="3" customFormat="1" ht="20.399999999999999" x14ac:dyDescent="0.3">
      <c r="A44" s="25"/>
      <c r="B44" s="26" t="s">
        <v>76</v>
      </c>
      <c r="C44" s="419" t="s">
        <v>77</v>
      </c>
      <c r="D44" s="419"/>
      <c r="E44" s="419"/>
      <c r="F44" s="27" t="s">
        <v>70</v>
      </c>
      <c r="G44" s="22" t="s">
        <v>5137</v>
      </c>
      <c r="H44" s="58"/>
      <c r="I44" s="28"/>
      <c r="J44" s="28"/>
      <c r="K44" s="29"/>
      <c r="BB44" s="14"/>
      <c r="BC44" s="15"/>
      <c r="BD44" s="21"/>
      <c r="BE44" s="12" t="s">
        <v>77</v>
      </c>
      <c r="BF44" s="43"/>
      <c r="BG44" s="12"/>
    </row>
    <row r="45" spans="1:59" s="3" customFormat="1" ht="21.6" x14ac:dyDescent="0.3">
      <c r="A45" s="25"/>
      <c r="B45" s="26" t="s">
        <v>107</v>
      </c>
      <c r="C45" s="419" t="s">
        <v>108</v>
      </c>
      <c r="D45" s="419"/>
      <c r="E45" s="419"/>
      <c r="F45" s="27" t="s">
        <v>46</v>
      </c>
      <c r="G45" s="22" t="s">
        <v>5138</v>
      </c>
      <c r="H45" s="58"/>
      <c r="I45" s="28"/>
      <c r="J45" s="28"/>
      <c r="K45" s="29"/>
      <c r="BB45" s="14"/>
      <c r="BC45" s="15"/>
      <c r="BD45" s="21"/>
      <c r="BE45" s="12" t="s">
        <v>108</v>
      </c>
      <c r="BF45" s="43"/>
      <c r="BG45" s="12"/>
    </row>
    <row r="46" spans="1:59" s="3" customFormat="1" ht="20.399999999999999" x14ac:dyDescent="0.3">
      <c r="A46" s="25"/>
      <c r="B46" s="26" t="s">
        <v>709</v>
      </c>
      <c r="C46" s="419" t="s">
        <v>710</v>
      </c>
      <c r="D46" s="419"/>
      <c r="E46" s="419"/>
      <c r="F46" s="27" t="s">
        <v>46</v>
      </c>
      <c r="G46" s="22" t="s">
        <v>5139</v>
      </c>
      <c r="H46" s="58"/>
      <c r="I46" s="28"/>
      <c r="J46" s="28"/>
      <c r="K46" s="29"/>
      <c r="BB46" s="14"/>
      <c r="BC46" s="15"/>
      <c r="BD46" s="21"/>
      <c r="BE46" s="12" t="s">
        <v>710</v>
      </c>
      <c r="BF46" s="43"/>
      <c r="BG46" s="12"/>
    </row>
    <row r="47" spans="1:59" s="3" customFormat="1" ht="31.8" x14ac:dyDescent="0.3">
      <c r="A47" s="25"/>
      <c r="B47" s="26" t="s">
        <v>712</v>
      </c>
      <c r="C47" s="419" t="s">
        <v>713</v>
      </c>
      <c r="D47" s="419"/>
      <c r="E47" s="419"/>
      <c r="F47" s="27" t="s">
        <v>46</v>
      </c>
      <c r="G47" s="22" t="s">
        <v>5140</v>
      </c>
      <c r="H47" s="58"/>
      <c r="I47" s="28"/>
      <c r="J47" s="28"/>
      <c r="K47" s="29"/>
      <c r="BB47" s="14"/>
      <c r="BC47" s="15"/>
      <c r="BD47" s="21"/>
      <c r="BE47" s="12" t="s">
        <v>713</v>
      </c>
      <c r="BF47" s="43"/>
      <c r="BG47" s="12"/>
    </row>
    <row r="48" spans="1:59" s="3" customFormat="1" ht="20.399999999999999" x14ac:dyDescent="0.3">
      <c r="A48" s="37" t="s">
        <v>143</v>
      </c>
      <c r="B48" s="38" t="s">
        <v>715</v>
      </c>
      <c r="C48" s="430" t="s">
        <v>716</v>
      </c>
      <c r="D48" s="430"/>
      <c r="E48" s="430"/>
      <c r="F48" s="39" t="s">
        <v>115</v>
      </c>
      <c r="G48" s="40" t="s">
        <v>5141</v>
      </c>
      <c r="H48" s="100"/>
      <c r="I48" s="41"/>
      <c r="J48" s="41"/>
      <c r="K48" s="42"/>
      <c r="BB48" s="14"/>
      <c r="BC48" s="15"/>
      <c r="BD48" s="21"/>
      <c r="BE48" s="12"/>
      <c r="BF48" s="43" t="s">
        <v>716</v>
      </c>
      <c r="BG48" s="12"/>
    </row>
    <row r="49" spans="1:59" s="3" customFormat="1" ht="21.6" x14ac:dyDescent="0.3">
      <c r="A49" s="25" t="s">
        <v>129</v>
      </c>
      <c r="B49" s="26" t="s">
        <v>5089</v>
      </c>
      <c r="C49" s="419" t="s">
        <v>5090</v>
      </c>
      <c r="D49" s="419"/>
      <c r="E49" s="419"/>
      <c r="F49" s="27" t="s">
        <v>38</v>
      </c>
      <c r="G49" s="22" t="s">
        <v>5141</v>
      </c>
      <c r="H49" s="58"/>
      <c r="I49" s="28"/>
      <c r="J49" s="28"/>
      <c r="K49" s="29"/>
      <c r="BB49" s="14"/>
      <c r="BC49" s="15"/>
      <c r="BD49" s="21"/>
      <c r="BE49" s="12"/>
      <c r="BF49" s="43"/>
      <c r="BG49" s="12" t="s">
        <v>5090</v>
      </c>
    </row>
    <row r="50" spans="1:59" s="3" customFormat="1" ht="15" customHeight="1" x14ac:dyDescent="0.3">
      <c r="A50" s="452" t="s">
        <v>5107</v>
      </c>
      <c r="B50" s="453"/>
      <c r="C50" s="453"/>
      <c r="D50" s="453"/>
      <c r="E50" s="453"/>
      <c r="F50" s="453"/>
      <c r="G50" s="453"/>
      <c r="H50" s="252"/>
      <c r="I50" s="252"/>
      <c r="J50" s="252"/>
      <c r="K50" s="253"/>
      <c r="BB50" s="14" t="s">
        <v>5107</v>
      </c>
      <c r="BC50" s="15"/>
      <c r="BD50" s="21"/>
      <c r="BE50" s="12"/>
      <c r="BF50" s="43"/>
      <c r="BG50" s="12"/>
    </row>
    <row r="51" spans="1:59" s="3" customFormat="1" ht="15" customHeight="1" x14ac:dyDescent="0.3">
      <c r="A51" s="437" t="s">
        <v>5108</v>
      </c>
      <c r="B51" s="418"/>
      <c r="C51" s="418"/>
      <c r="D51" s="418"/>
      <c r="E51" s="418"/>
      <c r="F51" s="418"/>
      <c r="G51" s="418"/>
      <c r="H51" s="123"/>
      <c r="I51" s="123"/>
      <c r="J51" s="123"/>
      <c r="K51" s="124"/>
      <c r="BB51" s="14"/>
      <c r="BC51" s="15" t="s">
        <v>5108</v>
      </c>
      <c r="BD51" s="21"/>
      <c r="BE51" s="12"/>
      <c r="BF51" s="43"/>
      <c r="BG51" s="12"/>
    </row>
    <row r="52" spans="1:59" s="3" customFormat="1" ht="42" x14ac:dyDescent="0.3">
      <c r="A52" s="16" t="s">
        <v>166</v>
      </c>
      <c r="B52" s="17" t="s">
        <v>800</v>
      </c>
      <c r="C52" s="405" t="s">
        <v>801</v>
      </c>
      <c r="D52" s="405"/>
      <c r="E52" s="405"/>
      <c r="F52" s="16" t="s">
        <v>329</v>
      </c>
      <c r="G52" s="18">
        <v>4.2549999999999999</v>
      </c>
      <c r="H52" s="57">
        <f>I52/G52</f>
        <v>37294.180963572268</v>
      </c>
      <c r="I52" s="19">
        <f>235280.57-K52</f>
        <v>158686.74</v>
      </c>
      <c r="J52" s="19">
        <f>K52/G52</f>
        <v>18000.900117508812</v>
      </c>
      <c r="K52" s="19">
        <v>76593.83</v>
      </c>
      <c r="BB52" s="14"/>
      <c r="BC52" s="15"/>
      <c r="BD52" s="21" t="s">
        <v>801</v>
      </c>
      <c r="BE52" s="12"/>
      <c r="BF52" s="43"/>
      <c r="BG52" s="12"/>
    </row>
    <row r="53" spans="1:59" s="3" customFormat="1" ht="20.399999999999999" x14ac:dyDescent="0.3">
      <c r="A53" s="25"/>
      <c r="B53" s="26" t="s">
        <v>802</v>
      </c>
      <c r="C53" s="419" t="s">
        <v>787</v>
      </c>
      <c r="D53" s="419"/>
      <c r="E53" s="419"/>
      <c r="F53" s="27" t="s">
        <v>46</v>
      </c>
      <c r="G53" s="22" t="s">
        <v>5142</v>
      </c>
      <c r="H53" s="58"/>
      <c r="I53" s="28"/>
      <c r="J53" s="28"/>
      <c r="K53" s="29"/>
      <c r="BB53" s="14"/>
      <c r="BC53" s="15"/>
      <c r="BD53" s="21"/>
      <c r="BE53" s="12" t="s">
        <v>787</v>
      </c>
      <c r="BF53" s="43"/>
      <c r="BG53" s="12"/>
    </row>
    <row r="54" spans="1:59" s="3" customFormat="1" ht="15" customHeight="1" x14ac:dyDescent="0.3">
      <c r="A54" s="437" t="s">
        <v>5110</v>
      </c>
      <c r="B54" s="418"/>
      <c r="C54" s="418"/>
      <c r="D54" s="418"/>
      <c r="E54" s="418"/>
      <c r="F54" s="418"/>
      <c r="G54" s="418"/>
      <c r="H54" s="418"/>
      <c r="I54" s="123"/>
      <c r="J54" s="123"/>
      <c r="K54" s="124"/>
      <c r="BB54" s="14"/>
      <c r="BC54" s="15" t="s">
        <v>5110</v>
      </c>
      <c r="BD54" s="21"/>
      <c r="BE54" s="12"/>
      <c r="BF54" s="43"/>
      <c r="BG54" s="12"/>
    </row>
    <row r="55" spans="1:59" s="3" customFormat="1" ht="21.6" x14ac:dyDescent="0.3">
      <c r="A55" s="16" t="s">
        <v>169</v>
      </c>
      <c r="B55" s="17" t="s">
        <v>804</v>
      </c>
      <c r="C55" s="405" t="s">
        <v>805</v>
      </c>
      <c r="D55" s="405"/>
      <c r="E55" s="405"/>
      <c r="F55" s="16" t="s">
        <v>329</v>
      </c>
      <c r="G55" s="18">
        <v>4.2549999999999999</v>
      </c>
      <c r="H55" s="57">
        <f>I55/G55</f>
        <v>11704.888366627498</v>
      </c>
      <c r="I55" s="19">
        <f>61737.72-K55</f>
        <v>49804.3</v>
      </c>
      <c r="J55" s="19">
        <f>K55/G55</f>
        <v>2804.5640423031728</v>
      </c>
      <c r="K55" s="19">
        <v>11933.42</v>
      </c>
      <c r="BB55" s="14"/>
      <c r="BC55" s="15"/>
      <c r="BD55" s="21" t="s">
        <v>805</v>
      </c>
      <c r="BE55" s="12"/>
      <c r="BF55" s="43"/>
      <c r="BG55" s="12"/>
    </row>
    <row r="56" spans="1:59" s="3" customFormat="1" ht="20.399999999999999" x14ac:dyDescent="0.3">
      <c r="A56" s="25"/>
      <c r="B56" s="26" t="s">
        <v>154</v>
      </c>
      <c r="C56" s="419" t="s">
        <v>155</v>
      </c>
      <c r="D56" s="419"/>
      <c r="E56" s="419"/>
      <c r="F56" s="27" t="s">
        <v>46</v>
      </c>
      <c r="G56" s="22" t="s">
        <v>5143</v>
      </c>
      <c r="H56" s="58"/>
      <c r="I56" s="28"/>
      <c r="J56" s="28"/>
      <c r="K56" s="29"/>
      <c r="BB56" s="14"/>
      <c r="BC56" s="15"/>
      <c r="BD56" s="21"/>
      <c r="BE56" s="12" t="s">
        <v>155</v>
      </c>
      <c r="BF56" s="43"/>
      <c r="BG56" s="12"/>
    </row>
    <row r="57" spans="1:59" s="3" customFormat="1" ht="20.399999999999999" x14ac:dyDescent="0.3">
      <c r="A57" s="37" t="s">
        <v>143</v>
      </c>
      <c r="B57" s="38" t="s">
        <v>789</v>
      </c>
      <c r="C57" s="430" t="s">
        <v>807</v>
      </c>
      <c r="D57" s="430"/>
      <c r="E57" s="430"/>
      <c r="F57" s="39" t="s">
        <v>75</v>
      </c>
      <c r="G57" s="40" t="s">
        <v>5144</v>
      </c>
      <c r="H57" s="100"/>
      <c r="I57" s="41"/>
      <c r="J57" s="41"/>
      <c r="K57" s="42"/>
      <c r="BB57" s="14"/>
      <c r="BC57" s="15"/>
      <c r="BD57" s="21"/>
      <c r="BE57" s="12"/>
      <c r="BF57" s="43" t="s">
        <v>807</v>
      </c>
      <c r="BG57" s="12"/>
    </row>
    <row r="58" spans="1:59" s="3" customFormat="1" ht="20.399999999999999" x14ac:dyDescent="0.3">
      <c r="A58" s="25" t="s">
        <v>129</v>
      </c>
      <c r="B58" s="26" t="s">
        <v>796</v>
      </c>
      <c r="C58" s="419" t="s">
        <v>797</v>
      </c>
      <c r="D58" s="419"/>
      <c r="E58" s="419"/>
      <c r="F58" s="27" t="s">
        <v>75</v>
      </c>
      <c r="G58" s="22" t="s">
        <v>5144</v>
      </c>
      <c r="H58" s="58"/>
      <c r="I58" s="28"/>
      <c r="J58" s="28"/>
      <c r="K58" s="29"/>
      <c r="BB58" s="14"/>
      <c r="BC58" s="15"/>
      <c r="BD58" s="21"/>
      <c r="BE58" s="12"/>
      <c r="BF58" s="43"/>
      <c r="BG58" s="12" t="s">
        <v>797</v>
      </c>
    </row>
    <row r="59" spans="1:59" s="3" customFormat="1" ht="20.25" customHeight="1" x14ac:dyDescent="0.3">
      <c r="A59" s="406" t="s">
        <v>57</v>
      </c>
      <c r="B59" s="407"/>
      <c r="C59" s="407"/>
      <c r="D59" s="407"/>
      <c r="E59" s="407"/>
      <c r="F59" s="407"/>
      <c r="G59" s="407"/>
      <c r="H59" s="66"/>
      <c r="I59" s="67">
        <f>SUM(I15:I58)</f>
        <v>344973.16</v>
      </c>
      <c r="J59" s="72"/>
      <c r="K59" s="87">
        <f>SUM(K15:K58)</f>
        <v>150267.17000000001</v>
      </c>
    </row>
    <row r="60" spans="1:59" s="53" customFormat="1" ht="20.25" customHeight="1" thickBot="1" x14ac:dyDescent="0.35">
      <c r="A60" s="408" t="s">
        <v>5461</v>
      </c>
      <c r="B60" s="409"/>
      <c r="C60" s="409"/>
      <c r="D60" s="409"/>
      <c r="E60" s="409"/>
      <c r="F60" s="409"/>
      <c r="G60" s="409"/>
      <c r="H60" s="88"/>
      <c r="I60" s="410">
        <f>I59+K59</f>
        <v>495240.32999999996</v>
      </c>
      <c r="J60" s="411"/>
      <c r="K60" s="412"/>
    </row>
  </sheetData>
  <autoFilter ref="A11:BJ60" xr:uid="{00000000-0001-0000-2500-000000000000}"/>
  <mergeCells count="57">
    <mergeCell ref="A51:G51"/>
    <mergeCell ref="A59:G59"/>
    <mergeCell ref="A60:G60"/>
    <mergeCell ref="I60:K60"/>
    <mergeCell ref="C56:E56"/>
    <mergeCell ref="C57:E57"/>
    <mergeCell ref="C58:E58"/>
    <mergeCell ref="C52:E52"/>
    <mergeCell ref="C53:E53"/>
    <mergeCell ref="C55:E55"/>
    <mergeCell ref="A54:H54"/>
    <mergeCell ref="C41:E41"/>
    <mergeCell ref="C43:E43"/>
    <mergeCell ref="C44:E44"/>
    <mergeCell ref="C45:E45"/>
    <mergeCell ref="A42:G42"/>
    <mergeCell ref="C46:E46"/>
    <mergeCell ref="C47:E47"/>
    <mergeCell ref="C48:E48"/>
    <mergeCell ref="C49:E49"/>
    <mergeCell ref="A50:G50"/>
    <mergeCell ref="C31:E31"/>
    <mergeCell ref="C32:E32"/>
    <mergeCell ref="C34:E34"/>
    <mergeCell ref="C35:E35"/>
    <mergeCell ref="A33:G33"/>
    <mergeCell ref="C36:E36"/>
    <mergeCell ref="C37:E37"/>
    <mergeCell ref="C38:E38"/>
    <mergeCell ref="C39:E39"/>
    <mergeCell ref="C40:E40"/>
    <mergeCell ref="C27:E27"/>
    <mergeCell ref="C28:E28"/>
    <mergeCell ref="C29:E29"/>
    <mergeCell ref="C24:E24"/>
    <mergeCell ref="A30:G30"/>
    <mergeCell ref="C26:E26"/>
    <mergeCell ref="C17:E17"/>
    <mergeCell ref="C19:E19"/>
    <mergeCell ref="C20:E20"/>
    <mergeCell ref="A21:G21"/>
    <mergeCell ref="A25:G25"/>
    <mergeCell ref="A23:F23"/>
    <mergeCell ref="A22:G22"/>
    <mergeCell ref="A18:G18"/>
    <mergeCell ref="A16:G16"/>
    <mergeCell ref="A14:G14"/>
    <mergeCell ref="A13:G13"/>
    <mergeCell ref="A2:K2"/>
    <mergeCell ref="A3:K3"/>
    <mergeCell ref="A5:K5"/>
    <mergeCell ref="C9:E9"/>
    <mergeCell ref="C10:E10"/>
    <mergeCell ref="A6:K6"/>
    <mergeCell ref="C7:G7"/>
    <mergeCell ref="C15:E15"/>
    <mergeCell ref="A12:G12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  <pageSetUpPr fitToPage="1"/>
  </sheetPr>
  <dimension ref="A1:BK62"/>
  <sheetViews>
    <sheetView topLeftCell="A2" workbookViewId="0">
      <selection activeCell="K13" sqref="K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44140625" style="1" customWidth="1"/>
    <col min="4" max="4" width="14.33203125" style="1" customWidth="1"/>
    <col min="5" max="5" width="13.33203125" style="1" customWidth="1"/>
    <col min="6" max="7" width="10.6640625" style="1" customWidth="1"/>
    <col min="8" max="11" width="23.5546875" style="54" customWidth="1"/>
    <col min="12" max="13" width="10.6640625" style="1" customWidth="1"/>
    <col min="14" max="14" width="12.441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5571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28.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29.25" customHeight="1" x14ac:dyDescent="0.3">
      <c r="A5" s="404" t="s">
        <v>5441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5441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5" thickBot="1" x14ac:dyDescent="0.35">
      <c r="A7" s="4"/>
      <c r="B7" s="8" t="s">
        <v>5</v>
      </c>
      <c r="C7" s="402" t="s">
        <v>5011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36" customHeight="1" x14ac:dyDescent="0.3">
      <c r="A8" s="74" t="s">
        <v>7</v>
      </c>
      <c r="B8" s="75" t="s">
        <v>8</v>
      </c>
      <c r="C8" s="414" t="s">
        <v>9</v>
      </c>
      <c r="D8" s="415"/>
      <c r="E8" s="416"/>
      <c r="F8" s="76" t="s">
        <v>10</v>
      </c>
      <c r="G8" s="77" t="s">
        <v>11</v>
      </c>
      <c r="H8" s="78" t="s">
        <v>5739</v>
      </c>
      <c r="I8" s="78" t="s">
        <v>5740</v>
      </c>
      <c r="J8" s="78" t="s">
        <v>5741</v>
      </c>
      <c r="K8" s="110" t="s">
        <v>5742</v>
      </c>
    </row>
    <row r="9" spans="1:57" s="3" customFormat="1" ht="15" thickBot="1" x14ac:dyDescent="0.35">
      <c r="A9" s="89">
        <v>1</v>
      </c>
      <c r="B9" s="91">
        <v>2</v>
      </c>
      <c r="C9" s="424">
        <v>3</v>
      </c>
      <c r="D9" s="425"/>
      <c r="E9" s="426"/>
      <c r="F9" s="92">
        <v>4</v>
      </c>
      <c r="G9" s="91">
        <v>5</v>
      </c>
      <c r="H9" s="125">
        <v>6</v>
      </c>
      <c r="I9" s="112" t="s">
        <v>47</v>
      </c>
      <c r="J9" s="112" t="s">
        <v>52</v>
      </c>
      <c r="K9" s="113" t="s">
        <v>55</v>
      </c>
    </row>
    <row r="10" spans="1:57" s="3" customFormat="1" ht="14.4" x14ac:dyDescent="0.3">
      <c r="A10" s="136"/>
      <c r="B10" s="136"/>
      <c r="C10" s="136"/>
      <c r="D10" s="136"/>
      <c r="E10" s="136"/>
      <c r="F10" s="137"/>
      <c r="G10" s="136"/>
      <c r="H10" s="138"/>
      <c r="I10" s="139"/>
      <c r="J10" s="139"/>
      <c r="K10" s="140"/>
    </row>
    <row r="11" spans="1:57" s="3" customFormat="1" ht="15" customHeight="1" x14ac:dyDescent="0.3">
      <c r="A11" s="435" t="s">
        <v>1303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1303</v>
      </c>
    </row>
    <row r="12" spans="1:57" s="3" customFormat="1" ht="15" customHeight="1" x14ac:dyDescent="0.3">
      <c r="A12" s="437" t="s">
        <v>5442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C12" s="14"/>
      <c r="BD12" s="15" t="s">
        <v>5442</v>
      </c>
    </row>
    <row r="13" spans="1:57" s="3" customFormat="1" ht="21.6" x14ac:dyDescent="0.3">
      <c r="A13" s="16" t="s">
        <v>15</v>
      </c>
      <c r="B13" s="17" t="s">
        <v>620</v>
      </c>
      <c r="C13" s="405" t="s">
        <v>621</v>
      </c>
      <c r="D13" s="405"/>
      <c r="E13" s="405"/>
      <c r="F13" s="16" t="s">
        <v>189</v>
      </c>
      <c r="G13" s="30">
        <v>1.4317</v>
      </c>
      <c r="H13" s="57">
        <f>I13/G13</f>
        <v>443.6124886498568</v>
      </c>
      <c r="I13" s="19">
        <v>635.12</v>
      </c>
      <c r="J13" s="19">
        <f>K13/G13</f>
        <v>0</v>
      </c>
      <c r="K13" s="19">
        <v>0</v>
      </c>
      <c r="BC13" s="14"/>
      <c r="BD13" s="15"/>
      <c r="BE13" s="21" t="s">
        <v>621</v>
      </c>
    </row>
    <row r="14" spans="1:57" s="3" customFormat="1" ht="15" customHeight="1" x14ac:dyDescent="0.3">
      <c r="A14" s="437" t="s">
        <v>5028</v>
      </c>
      <c r="B14" s="418"/>
      <c r="C14" s="418"/>
      <c r="D14" s="418"/>
      <c r="E14" s="418"/>
      <c r="F14" s="418"/>
      <c r="G14" s="418"/>
      <c r="H14" s="123"/>
      <c r="I14" s="123"/>
      <c r="J14" s="123"/>
      <c r="K14" s="124"/>
      <c r="BC14" s="14"/>
      <c r="BD14" s="15" t="s">
        <v>5028</v>
      </c>
      <c r="BE14" s="21"/>
    </row>
    <row r="15" spans="1:57" s="3" customFormat="1" ht="15" customHeight="1" x14ac:dyDescent="0.3">
      <c r="A15" s="437" t="s">
        <v>5022</v>
      </c>
      <c r="B15" s="418"/>
      <c r="C15" s="418"/>
      <c r="D15" s="418"/>
      <c r="E15" s="418"/>
      <c r="F15" s="418"/>
      <c r="G15" s="418"/>
      <c r="H15" s="123"/>
      <c r="I15" s="123"/>
      <c r="J15" s="123"/>
      <c r="K15" s="124"/>
      <c r="BC15" s="14"/>
      <c r="BD15" s="15" t="s">
        <v>5022</v>
      </c>
      <c r="BE15" s="21"/>
    </row>
    <row r="16" spans="1:57" s="3" customFormat="1" ht="42" x14ac:dyDescent="0.3">
      <c r="A16" s="16" t="s">
        <v>20</v>
      </c>
      <c r="B16" s="17" t="s">
        <v>5023</v>
      </c>
      <c r="C16" s="405" t="s">
        <v>5024</v>
      </c>
      <c r="D16" s="405"/>
      <c r="E16" s="405"/>
      <c r="F16" s="16" t="s">
        <v>43</v>
      </c>
      <c r="G16" s="30">
        <v>1.54E-2</v>
      </c>
      <c r="H16" s="57">
        <f>I16/G16</f>
        <v>50000</v>
      </c>
      <c r="I16" s="19">
        <v>770</v>
      </c>
      <c r="J16" s="19">
        <f>K16/G16</f>
        <v>0</v>
      </c>
      <c r="K16" s="19">
        <v>0</v>
      </c>
      <c r="BC16" s="14"/>
      <c r="BD16" s="15"/>
      <c r="BE16" s="21" t="s">
        <v>5024</v>
      </c>
    </row>
    <row r="17" spans="1:58" s="3" customFormat="1" ht="15" customHeight="1" x14ac:dyDescent="0.3">
      <c r="A17" s="437" t="s">
        <v>5025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24"/>
      <c r="BC17" s="14"/>
      <c r="BD17" s="15" t="s">
        <v>5025</v>
      </c>
      <c r="BE17" s="21"/>
    </row>
    <row r="18" spans="1:58" s="3" customFormat="1" ht="31.8" x14ac:dyDescent="0.3">
      <c r="A18" s="16" t="s">
        <v>22</v>
      </c>
      <c r="B18" s="17" t="s">
        <v>5026</v>
      </c>
      <c r="C18" s="405" t="s">
        <v>5027</v>
      </c>
      <c r="D18" s="405"/>
      <c r="E18" s="405"/>
      <c r="F18" s="16" t="s">
        <v>125</v>
      </c>
      <c r="G18" s="18">
        <v>5.1999999999999998E-2</v>
      </c>
      <c r="H18" s="57">
        <f>I18/G18</f>
        <v>107999.61538461538</v>
      </c>
      <c r="I18" s="19">
        <v>5615.98</v>
      </c>
      <c r="J18" s="19">
        <f>K18/G18</f>
        <v>0</v>
      </c>
      <c r="K18" s="19">
        <v>0</v>
      </c>
      <c r="BC18" s="14"/>
      <c r="BD18" s="15"/>
      <c r="BE18" s="21" t="s">
        <v>5027</v>
      </c>
    </row>
    <row r="19" spans="1:58" s="3" customFormat="1" ht="15" customHeight="1" x14ac:dyDescent="0.3">
      <c r="A19" s="437" t="s">
        <v>5029</v>
      </c>
      <c r="B19" s="418"/>
      <c r="C19" s="418"/>
      <c r="D19" s="418"/>
      <c r="E19" s="418"/>
      <c r="F19" s="418"/>
      <c r="G19" s="418"/>
      <c r="H19" s="123"/>
      <c r="I19" s="123"/>
      <c r="J19" s="123"/>
      <c r="K19" s="124"/>
      <c r="BC19" s="14"/>
      <c r="BD19" s="15" t="s">
        <v>5029</v>
      </c>
      <c r="BE19" s="21"/>
    </row>
    <row r="20" spans="1:58" s="3" customFormat="1" ht="42" x14ac:dyDescent="0.3">
      <c r="A20" s="16" t="s">
        <v>27</v>
      </c>
      <c r="B20" s="17" t="s">
        <v>617</v>
      </c>
      <c r="C20" s="405" t="s">
        <v>618</v>
      </c>
      <c r="D20" s="405"/>
      <c r="E20" s="405"/>
      <c r="F20" s="16" t="s">
        <v>43</v>
      </c>
      <c r="G20" s="30">
        <v>0.34839999999999999</v>
      </c>
      <c r="H20" s="57">
        <f>I20/G20</f>
        <v>46988.633754305396</v>
      </c>
      <c r="I20" s="19">
        <v>16370.84</v>
      </c>
      <c r="J20" s="19">
        <f>K20/G20</f>
        <v>0</v>
      </c>
      <c r="K20" s="19">
        <v>0</v>
      </c>
      <c r="BC20" s="14"/>
      <c r="BD20" s="15"/>
      <c r="BE20" s="21" t="s">
        <v>618</v>
      </c>
    </row>
    <row r="21" spans="1:58" s="3" customFormat="1" ht="42" x14ac:dyDescent="0.3">
      <c r="A21" s="16" t="s">
        <v>35</v>
      </c>
      <c r="B21" s="17" t="s">
        <v>48</v>
      </c>
      <c r="C21" s="405" t="s">
        <v>49</v>
      </c>
      <c r="D21" s="405"/>
      <c r="E21" s="405"/>
      <c r="F21" s="16" t="s">
        <v>50</v>
      </c>
      <c r="G21" s="24">
        <v>696.8</v>
      </c>
      <c r="H21" s="57">
        <f>I21/G21</f>
        <v>598.37580367393809</v>
      </c>
      <c r="I21" s="19">
        <v>416948.26</v>
      </c>
      <c r="J21" s="19">
        <f>K21/G21</f>
        <v>0</v>
      </c>
      <c r="K21" s="19">
        <v>0</v>
      </c>
      <c r="BC21" s="14"/>
      <c r="BD21" s="15"/>
      <c r="BE21" s="21" t="s">
        <v>49</v>
      </c>
    </row>
    <row r="22" spans="1:58" s="3" customFormat="1" ht="15" customHeight="1" x14ac:dyDescent="0.3">
      <c r="A22" s="435" t="s">
        <v>5030</v>
      </c>
      <c r="B22" s="436"/>
      <c r="C22" s="436"/>
      <c r="D22" s="436"/>
      <c r="E22" s="436"/>
      <c r="F22" s="436"/>
      <c r="G22" s="436"/>
      <c r="H22" s="103"/>
      <c r="I22" s="103"/>
      <c r="J22" s="103"/>
      <c r="K22" s="104"/>
      <c r="BC22" s="14" t="s">
        <v>5030</v>
      </c>
      <c r="BD22" s="15"/>
      <c r="BE22" s="21"/>
    </row>
    <row r="23" spans="1:58" s="3" customFormat="1" ht="15" customHeight="1" x14ac:dyDescent="0.3">
      <c r="A23" s="437" t="s">
        <v>5068</v>
      </c>
      <c r="B23" s="418"/>
      <c r="C23" s="418"/>
      <c r="D23" s="418"/>
      <c r="E23" s="418"/>
      <c r="F23" s="418"/>
      <c r="G23" s="418"/>
      <c r="H23" s="123"/>
      <c r="I23" s="123"/>
      <c r="J23" s="123"/>
      <c r="K23" s="124"/>
      <c r="BC23" s="14"/>
      <c r="BD23" s="15" t="s">
        <v>5068</v>
      </c>
      <c r="BE23" s="21"/>
    </row>
    <row r="24" spans="1:58" s="3" customFormat="1" ht="15" customHeight="1" x14ac:dyDescent="0.3">
      <c r="A24" s="437" t="s">
        <v>5069</v>
      </c>
      <c r="B24" s="418"/>
      <c r="C24" s="418"/>
      <c r="D24" s="418"/>
      <c r="E24" s="418"/>
      <c r="F24" s="418"/>
      <c r="G24" s="418"/>
      <c r="H24" s="123"/>
      <c r="I24" s="123"/>
      <c r="J24" s="123"/>
      <c r="K24" s="124"/>
      <c r="BC24" s="14"/>
      <c r="BD24" s="15" t="s">
        <v>5069</v>
      </c>
      <c r="BE24" s="21"/>
    </row>
    <row r="25" spans="1:58" s="3" customFormat="1" ht="21.6" x14ac:dyDescent="0.3">
      <c r="A25" s="16" t="s">
        <v>40</v>
      </c>
      <c r="B25" s="17" t="s">
        <v>4789</v>
      </c>
      <c r="C25" s="405" t="s">
        <v>4790</v>
      </c>
      <c r="D25" s="405"/>
      <c r="E25" s="405"/>
      <c r="F25" s="16" t="s">
        <v>125</v>
      </c>
      <c r="G25" s="18">
        <v>0.20599999999999999</v>
      </c>
      <c r="H25" s="57">
        <f>I25/G25</f>
        <v>15712.669902912621</v>
      </c>
      <c r="I25" s="19">
        <v>3236.81</v>
      </c>
      <c r="J25" s="19">
        <f>K25/G25</f>
        <v>0</v>
      </c>
      <c r="K25" s="19">
        <v>0</v>
      </c>
      <c r="BC25" s="14"/>
      <c r="BD25" s="15"/>
      <c r="BE25" s="21" t="s">
        <v>4790</v>
      </c>
    </row>
    <row r="26" spans="1:58" s="3" customFormat="1" ht="27.75" customHeight="1" x14ac:dyDescent="0.3">
      <c r="A26" s="437" t="s">
        <v>5044</v>
      </c>
      <c r="B26" s="418"/>
      <c r="C26" s="418"/>
      <c r="D26" s="418"/>
      <c r="E26" s="418"/>
      <c r="F26" s="418"/>
      <c r="G26" s="418"/>
      <c r="H26" s="123"/>
      <c r="I26" s="123"/>
      <c r="J26" s="123"/>
      <c r="K26" s="124"/>
      <c r="BC26" s="14"/>
      <c r="BD26" s="15" t="s">
        <v>5044</v>
      </c>
      <c r="BE26" s="21"/>
    </row>
    <row r="27" spans="1:58" s="3" customFormat="1" ht="62.4" x14ac:dyDescent="0.3">
      <c r="A27" s="16" t="s">
        <v>47</v>
      </c>
      <c r="B27" s="17" t="s">
        <v>5037</v>
      </c>
      <c r="C27" s="405" t="s">
        <v>5038</v>
      </c>
      <c r="D27" s="405"/>
      <c r="E27" s="405"/>
      <c r="F27" s="16" t="s">
        <v>189</v>
      </c>
      <c r="G27" s="18">
        <v>0.10299999999999999</v>
      </c>
      <c r="H27" s="57">
        <f>I27/G27</f>
        <v>196941.65048543693</v>
      </c>
      <c r="I27" s="19">
        <v>20284.990000000002</v>
      </c>
      <c r="J27" s="19">
        <f>K27/G27</f>
        <v>197554.56310679612</v>
      </c>
      <c r="K27" s="19">
        <v>20348.12</v>
      </c>
      <c r="BC27" s="14"/>
      <c r="BD27" s="15"/>
      <c r="BE27" s="21" t="s">
        <v>5038</v>
      </c>
    </row>
    <row r="28" spans="1:58" s="3" customFormat="1" ht="20.399999999999999" x14ac:dyDescent="0.3">
      <c r="A28" s="25"/>
      <c r="B28" s="26" t="s">
        <v>154</v>
      </c>
      <c r="C28" s="419" t="s">
        <v>155</v>
      </c>
      <c r="D28" s="419"/>
      <c r="E28" s="419"/>
      <c r="F28" s="27" t="s">
        <v>46</v>
      </c>
      <c r="G28" s="22" t="s">
        <v>5443</v>
      </c>
      <c r="H28" s="58"/>
      <c r="I28" s="28"/>
      <c r="J28" s="28"/>
      <c r="K28" s="29"/>
      <c r="BC28" s="14"/>
      <c r="BD28" s="15"/>
      <c r="BE28" s="21"/>
      <c r="BF28" s="12" t="s">
        <v>155</v>
      </c>
    </row>
    <row r="29" spans="1:58" s="3" customFormat="1" ht="20.399999999999999" x14ac:dyDescent="0.3">
      <c r="A29" s="25"/>
      <c r="B29" s="26" t="s">
        <v>677</v>
      </c>
      <c r="C29" s="419" t="s">
        <v>678</v>
      </c>
      <c r="D29" s="419"/>
      <c r="E29" s="419"/>
      <c r="F29" s="27" t="s">
        <v>46</v>
      </c>
      <c r="G29" s="22" t="s">
        <v>5444</v>
      </c>
      <c r="H29" s="58"/>
      <c r="I29" s="28"/>
      <c r="J29" s="28"/>
      <c r="K29" s="29"/>
      <c r="BC29" s="14"/>
      <c r="BD29" s="15"/>
      <c r="BE29" s="21"/>
      <c r="BF29" s="12" t="s">
        <v>678</v>
      </c>
    </row>
    <row r="30" spans="1:58" s="3" customFormat="1" ht="20.399999999999999" x14ac:dyDescent="0.3">
      <c r="A30" s="25"/>
      <c r="B30" s="26" t="s">
        <v>680</v>
      </c>
      <c r="C30" s="419" t="s">
        <v>681</v>
      </c>
      <c r="D30" s="419"/>
      <c r="E30" s="419"/>
      <c r="F30" s="27" t="s">
        <v>46</v>
      </c>
      <c r="G30" s="22" t="s">
        <v>5445</v>
      </c>
      <c r="H30" s="58"/>
      <c r="I30" s="28"/>
      <c r="J30" s="28"/>
      <c r="K30" s="29"/>
      <c r="BC30" s="14"/>
      <c r="BD30" s="15"/>
      <c r="BE30" s="21"/>
      <c r="BF30" s="12" t="s">
        <v>681</v>
      </c>
    </row>
    <row r="31" spans="1:58" s="3" customFormat="1" ht="15" customHeight="1" x14ac:dyDescent="0.3">
      <c r="A31" s="437" t="s">
        <v>661</v>
      </c>
      <c r="B31" s="418"/>
      <c r="C31" s="418"/>
      <c r="D31" s="418"/>
      <c r="E31" s="418"/>
      <c r="F31" s="418"/>
      <c r="G31" s="418"/>
      <c r="H31" s="123"/>
      <c r="I31" s="123"/>
      <c r="J31" s="123"/>
      <c r="K31" s="124"/>
      <c r="BC31" s="14"/>
      <c r="BD31" s="15" t="s">
        <v>661</v>
      </c>
      <c r="BE31" s="21"/>
      <c r="BF31" s="12"/>
    </row>
    <row r="32" spans="1:58" s="3" customFormat="1" ht="31.8" x14ac:dyDescent="0.3">
      <c r="A32" s="16" t="s">
        <v>52</v>
      </c>
      <c r="B32" s="17" t="s">
        <v>662</v>
      </c>
      <c r="C32" s="405" t="s">
        <v>663</v>
      </c>
      <c r="D32" s="405"/>
      <c r="E32" s="405"/>
      <c r="F32" s="16" t="s">
        <v>70</v>
      </c>
      <c r="G32" s="31">
        <v>0.04</v>
      </c>
      <c r="H32" s="57">
        <f>I32/G32</f>
        <v>2160.4999999999991</v>
      </c>
      <c r="I32" s="19">
        <v>86.419999999999959</v>
      </c>
      <c r="J32" s="19">
        <f>K32/G32</f>
        <v>14167.250000000002</v>
      </c>
      <c r="K32" s="19">
        <v>566.69000000000005</v>
      </c>
      <c r="BC32" s="14"/>
      <c r="BD32" s="15"/>
      <c r="BE32" s="21" t="s">
        <v>663</v>
      </c>
      <c r="BF32" s="12"/>
    </row>
    <row r="33" spans="1:60" s="3" customFormat="1" ht="20.399999999999999" x14ac:dyDescent="0.3">
      <c r="A33" s="25"/>
      <c r="B33" s="26" t="s">
        <v>631</v>
      </c>
      <c r="C33" s="419" t="s">
        <v>632</v>
      </c>
      <c r="D33" s="419"/>
      <c r="E33" s="419"/>
      <c r="F33" s="27" t="s">
        <v>70</v>
      </c>
      <c r="G33" s="22" t="s">
        <v>5446</v>
      </c>
      <c r="H33" s="58"/>
      <c r="I33" s="28"/>
      <c r="J33" s="28"/>
      <c r="K33" s="29"/>
      <c r="BC33" s="14"/>
      <c r="BD33" s="15"/>
      <c r="BE33" s="21"/>
      <c r="BF33" s="12" t="s">
        <v>632</v>
      </c>
    </row>
    <row r="34" spans="1:60" s="3" customFormat="1" ht="15" customHeight="1" x14ac:dyDescent="0.3">
      <c r="A34" s="437" t="s">
        <v>5057</v>
      </c>
      <c r="B34" s="418"/>
      <c r="C34" s="418"/>
      <c r="D34" s="418"/>
      <c r="E34" s="418"/>
      <c r="F34" s="418"/>
      <c r="G34" s="418"/>
      <c r="H34" s="123"/>
      <c r="I34" s="123"/>
      <c r="J34" s="123"/>
      <c r="K34" s="124"/>
      <c r="BC34" s="14"/>
      <c r="BD34" s="15" t="s">
        <v>5057</v>
      </c>
      <c r="BE34" s="21"/>
      <c r="BF34" s="12"/>
    </row>
    <row r="35" spans="1:60" s="3" customFormat="1" ht="42" x14ac:dyDescent="0.3">
      <c r="A35" s="16" t="s">
        <v>55</v>
      </c>
      <c r="B35" s="17" t="s">
        <v>5074</v>
      </c>
      <c r="C35" s="405" t="s">
        <v>5075</v>
      </c>
      <c r="D35" s="405"/>
      <c r="E35" s="405"/>
      <c r="F35" s="16" t="s">
        <v>189</v>
      </c>
      <c r="G35" s="18">
        <v>0.10299999999999999</v>
      </c>
      <c r="H35" s="57">
        <f>I35/G35</f>
        <v>88872.038834951454</v>
      </c>
      <c r="I35" s="19">
        <v>9153.82</v>
      </c>
      <c r="J35" s="19">
        <f>K35/G35</f>
        <v>423265.53398058255</v>
      </c>
      <c r="K35" s="19">
        <v>43596.35</v>
      </c>
      <c r="BC35" s="14"/>
      <c r="BD35" s="15"/>
      <c r="BE35" s="21" t="s">
        <v>5075</v>
      </c>
      <c r="BF35" s="12"/>
    </row>
    <row r="36" spans="1:60" s="3" customFormat="1" ht="20.399999999999999" x14ac:dyDescent="0.3">
      <c r="A36" s="37" t="s">
        <v>143</v>
      </c>
      <c r="B36" s="38" t="s">
        <v>5076</v>
      </c>
      <c r="C36" s="430" t="s">
        <v>331</v>
      </c>
      <c r="D36" s="430"/>
      <c r="E36" s="430"/>
      <c r="F36" s="39" t="s">
        <v>70</v>
      </c>
      <c r="G36" s="40" t="s">
        <v>5447</v>
      </c>
      <c r="H36" s="100"/>
      <c r="I36" s="41"/>
      <c r="J36" s="41"/>
      <c r="K36" s="42"/>
      <c r="BC36" s="14"/>
      <c r="BD36" s="15"/>
      <c r="BE36" s="21"/>
      <c r="BF36" s="12"/>
      <c r="BG36" s="43" t="s">
        <v>331</v>
      </c>
    </row>
    <row r="37" spans="1:60" s="3" customFormat="1" ht="20.399999999999999" x14ac:dyDescent="0.3">
      <c r="A37" s="25"/>
      <c r="B37" s="26" t="s">
        <v>154</v>
      </c>
      <c r="C37" s="419" t="s">
        <v>155</v>
      </c>
      <c r="D37" s="419"/>
      <c r="E37" s="419"/>
      <c r="F37" s="27" t="s">
        <v>46</v>
      </c>
      <c r="G37" s="22" t="s">
        <v>5448</v>
      </c>
      <c r="H37" s="58"/>
      <c r="I37" s="28"/>
      <c r="J37" s="28"/>
      <c r="K37" s="29"/>
      <c r="BC37" s="14"/>
      <c r="BD37" s="15"/>
      <c r="BE37" s="21"/>
      <c r="BF37" s="12" t="s">
        <v>155</v>
      </c>
      <c r="BG37" s="43"/>
    </row>
    <row r="38" spans="1:60" s="3" customFormat="1" ht="20.399999999999999" x14ac:dyDescent="0.3">
      <c r="A38" s="37" t="s">
        <v>78</v>
      </c>
      <c r="B38" s="38" t="s">
        <v>646</v>
      </c>
      <c r="C38" s="430" t="s">
        <v>647</v>
      </c>
      <c r="D38" s="430"/>
      <c r="E38" s="430"/>
      <c r="F38" s="39" t="s">
        <v>70</v>
      </c>
      <c r="G38" s="40" t="s">
        <v>33</v>
      </c>
      <c r="H38" s="100"/>
      <c r="I38" s="41"/>
      <c r="J38" s="41"/>
      <c r="K38" s="42"/>
      <c r="BC38" s="14"/>
      <c r="BD38" s="15"/>
      <c r="BE38" s="21"/>
      <c r="BF38" s="12"/>
      <c r="BG38" s="43" t="s">
        <v>647</v>
      </c>
    </row>
    <row r="39" spans="1:60" s="3" customFormat="1" ht="21.6" x14ac:dyDescent="0.3">
      <c r="A39" s="25" t="s">
        <v>129</v>
      </c>
      <c r="B39" s="26" t="s">
        <v>653</v>
      </c>
      <c r="C39" s="419" t="s">
        <v>654</v>
      </c>
      <c r="D39" s="419"/>
      <c r="E39" s="419"/>
      <c r="F39" s="27" t="s">
        <v>70</v>
      </c>
      <c r="G39" s="22" t="s">
        <v>5449</v>
      </c>
      <c r="H39" s="58"/>
      <c r="I39" s="28"/>
      <c r="J39" s="28"/>
      <c r="K39" s="29"/>
      <c r="BC39" s="14"/>
      <c r="BD39" s="15"/>
      <c r="BE39" s="21"/>
      <c r="BF39" s="12"/>
      <c r="BG39" s="43"/>
      <c r="BH39" s="12" t="s">
        <v>654</v>
      </c>
    </row>
    <row r="40" spans="1:60" s="3" customFormat="1" ht="31.8" x14ac:dyDescent="0.3">
      <c r="A40" s="16" t="s">
        <v>56</v>
      </c>
      <c r="B40" s="17" t="s">
        <v>5080</v>
      </c>
      <c r="C40" s="405" t="s">
        <v>5081</v>
      </c>
      <c r="D40" s="405"/>
      <c r="E40" s="405"/>
      <c r="F40" s="16" t="s">
        <v>189</v>
      </c>
      <c r="G40" s="18">
        <v>0.10299999999999999</v>
      </c>
      <c r="H40" s="57">
        <f>I40/G40</f>
        <v>7787.8640776698994</v>
      </c>
      <c r="I40" s="19">
        <v>802.14999999999964</v>
      </c>
      <c r="J40" s="19">
        <f>K40/G40</f>
        <v>105159.61165048544</v>
      </c>
      <c r="K40" s="19">
        <v>10831.44</v>
      </c>
      <c r="BC40" s="14"/>
      <c r="BD40" s="15"/>
      <c r="BE40" s="21" t="s">
        <v>5081</v>
      </c>
      <c r="BF40" s="12"/>
      <c r="BG40" s="43"/>
      <c r="BH40" s="12"/>
    </row>
    <row r="41" spans="1:60" s="3" customFormat="1" ht="20.399999999999999" x14ac:dyDescent="0.3">
      <c r="A41" s="37" t="s">
        <v>78</v>
      </c>
      <c r="B41" s="38" t="s">
        <v>646</v>
      </c>
      <c r="C41" s="430" t="s">
        <v>647</v>
      </c>
      <c r="D41" s="430"/>
      <c r="E41" s="430"/>
      <c r="F41" s="39" t="s">
        <v>70</v>
      </c>
      <c r="G41" s="40" t="s">
        <v>33</v>
      </c>
      <c r="H41" s="100"/>
      <c r="I41" s="41"/>
      <c r="J41" s="41"/>
      <c r="K41" s="42"/>
      <c r="BC41" s="14"/>
      <c r="BD41" s="15"/>
      <c r="BE41" s="21"/>
      <c r="BF41" s="12"/>
      <c r="BG41" s="43" t="s">
        <v>647</v>
      </c>
      <c r="BH41" s="12"/>
    </row>
    <row r="42" spans="1:60" s="3" customFormat="1" ht="21.6" x14ac:dyDescent="0.3">
      <c r="A42" s="25" t="s">
        <v>129</v>
      </c>
      <c r="B42" s="26" t="s">
        <v>653</v>
      </c>
      <c r="C42" s="419" t="s">
        <v>654</v>
      </c>
      <c r="D42" s="419"/>
      <c r="E42" s="419"/>
      <c r="F42" s="27" t="s">
        <v>70</v>
      </c>
      <c r="G42" s="22" t="s">
        <v>5450</v>
      </c>
      <c r="H42" s="58"/>
      <c r="I42" s="28"/>
      <c r="J42" s="28"/>
      <c r="K42" s="29"/>
      <c r="BC42" s="14"/>
      <c r="BD42" s="15"/>
      <c r="BE42" s="21"/>
      <c r="BF42" s="12"/>
      <c r="BG42" s="43"/>
      <c r="BH42" s="12" t="s">
        <v>654</v>
      </c>
    </row>
    <row r="43" spans="1:60" s="3" customFormat="1" ht="15" customHeight="1" x14ac:dyDescent="0.3">
      <c r="A43" s="437" t="s">
        <v>5083</v>
      </c>
      <c r="B43" s="418"/>
      <c r="C43" s="418"/>
      <c r="D43" s="418"/>
      <c r="E43" s="418"/>
      <c r="F43" s="418"/>
      <c r="G43" s="418"/>
      <c r="H43" s="123"/>
      <c r="I43" s="123"/>
      <c r="J43" s="123"/>
      <c r="K43" s="124"/>
      <c r="BC43" s="14"/>
      <c r="BD43" s="15" t="s">
        <v>5083</v>
      </c>
      <c r="BE43" s="21"/>
      <c r="BF43" s="12"/>
      <c r="BG43" s="43"/>
      <c r="BH43" s="12"/>
    </row>
    <row r="44" spans="1:60" s="3" customFormat="1" ht="21.6" x14ac:dyDescent="0.3">
      <c r="A44" s="16" t="s">
        <v>166</v>
      </c>
      <c r="B44" s="17" t="s">
        <v>705</v>
      </c>
      <c r="C44" s="405" t="s">
        <v>706</v>
      </c>
      <c r="D44" s="405"/>
      <c r="E44" s="405"/>
      <c r="F44" s="16" t="s">
        <v>67</v>
      </c>
      <c r="G44" s="31">
        <v>1.36</v>
      </c>
      <c r="H44" s="57">
        <f>I44/G44</f>
        <v>98108.926470588223</v>
      </c>
      <c r="I44" s="19">
        <v>133428.13999999998</v>
      </c>
      <c r="J44" s="19">
        <f>K44/G44</f>
        <v>52445.544117647056</v>
      </c>
      <c r="K44" s="19">
        <v>71325.94</v>
      </c>
      <c r="BC44" s="14"/>
      <c r="BD44" s="15"/>
      <c r="BE44" s="21" t="s">
        <v>706</v>
      </c>
      <c r="BF44" s="12"/>
      <c r="BG44" s="43"/>
      <c r="BH44" s="12"/>
    </row>
    <row r="45" spans="1:60" s="3" customFormat="1" ht="20.399999999999999" x14ac:dyDescent="0.3">
      <c r="A45" s="25"/>
      <c r="B45" s="26" t="s">
        <v>76</v>
      </c>
      <c r="C45" s="419" t="s">
        <v>77</v>
      </c>
      <c r="D45" s="419"/>
      <c r="E45" s="419"/>
      <c r="F45" s="27" t="s">
        <v>70</v>
      </c>
      <c r="G45" s="22" t="s">
        <v>5451</v>
      </c>
      <c r="H45" s="58"/>
      <c r="I45" s="28"/>
      <c r="J45" s="28"/>
      <c r="K45" s="29"/>
      <c r="BC45" s="14"/>
      <c r="BD45" s="15"/>
      <c r="BE45" s="21"/>
      <c r="BF45" s="12" t="s">
        <v>77</v>
      </c>
      <c r="BG45" s="43"/>
      <c r="BH45" s="12"/>
    </row>
    <row r="46" spans="1:60" s="3" customFormat="1" ht="21.6" x14ac:dyDescent="0.3">
      <c r="A46" s="25"/>
      <c r="B46" s="26" t="s">
        <v>107</v>
      </c>
      <c r="C46" s="419" t="s">
        <v>108</v>
      </c>
      <c r="D46" s="419"/>
      <c r="E46" s="419"/>
      <c r="F46" s="27" t="s">
        <v>46</v>
      </c>
      <c r="G46" s="22" t="s">
        <v>5452</v>
      </c>
      <c r="H46" s="58"/>
      <c r="I46" s="28"/>
      <c r="J46" s="28"/>
      <c r="K46" s="29"/>
      <c r="BC46" s="14"/>
      <c r="BD46" s="15"/>
      <c r="BE46" s="21"/>
      <c r="BF46" s="12" t="s">
        <v>108</v>
      </c>
      <c r="BG46" s="43"/>
      <c r="BH46" s="12"/>
    </row>
    <row r="47" spans="1:60" s="3" customFormat="1" ht="20.399999999999999" x14ac:dyDescent="0.3">
      <c r="A47" s="25"/>
      <c r="B47" s="26" t="s">
        <v>709</v>
      </c>
      <c r="C47" s="419" t="s">
        <v>710</v>
      </c>
      <c r="D47" s="419"/>
      <c r="E47" s="419"/>
      <c r="F47" s="27" t="s">
        <v>46</v>
      </c>
      <c r="G47" s="22" t="s">
        <v>5453</v>
      </c>
      <c r="H47" s="58"/>
      <c r="I47" s="28"/>
      <c r="J47" s="28"/>
      <c r="K47" s="29"/>
      <c r="BC47" s="14"/>
      <c r="BD47" s="15"/>
      <c r="BE47" s="21"/>
      <c r="BF47" s="12" t="s">
        <v>710</v>
      </c>
      <c r="BG47" s="43"/>
      <c r="BH47" s="12"/>
    </row>
    <row r="48" spans="1:60" s="3" customFormat="1" ht="31.8" x14ac:dyDescent="0.3">
      <c r="A48" s="25"/>
      <c r="B48" s="26" t="s">
        <v>712</v>
      </c>
      <c r="C48" s="419" t="s">
        <v>713</v>
      </c>
      <c r="D48" s="419"/>
      <c r="E48" s="419"/>
      <c r="F48" s="27" t="s">
        <v>46</v>
      </c>
      <c r="G48" s="22" t="s">
        <v>5454</v>
      </c>
      <c r="H48" s="58"/>
      <c r="I48" s="28"/>
      <c r="J48" s="28"/>
      <c r="K48" s="29"/>
      <c r="BC48" s="14"/>
      <c r="BD48" s="15"/>
      <c r="BE48" s="21"/>
      <c r="BF48" s="12" t="s">
        <v>713</v>
      </c>
      <c r="BG48" s="43"/>
      <c r="BH48" s="12"/>
    </row>
    <row r="49" spans="1:60" s="3" customFormat="1" ht="20.399999999999999" x14ac:dyDescent="0.3">
      <c r="A49" s="37" t="s">
        <v>143</v>
      </c>
      <c r="B49" s="38" t="s">
        <v>715</v>
      </c>
      <c r="C49" s="430" t="s">
        <v>716</v>
      </c>
      <c r="D49" s="430"/>
      <c r="E49" s="430"/>
      <c r="F49" s="39" t="s">
        <v>115</v>
      </c>
      <c r="G49" s="40" t="s">
        <v>5455</v>
      </c>
      <c r="H49" s="100"/>
      <c r="I49" s="41"/>
      <c r="J49" s="41"/>
      <c r="K49" s="42"/>
      <c r="BC49" s="14"/>
      <c r="BD49" s="15"/>
      <c r="BE49" s="21"/>
      <c r="BF49" s="12"/>
      <c r="BG49" s="43" t="s">
        <v>716</v>
      </c>
      <c r="BH49" s="12"/>
    </row>
    <row r="50" spans="1:60" s="3" customFormat="1" ht="21.6" x14ac:dyDescent="0.3">
      <c r="A50" s="25" t="s">
        <v>129</v>
      </c>
      <c r="B50" s="26" t="s">
        <v>5089</v>
      </c>
      <c r="C50" s="419" t="s">
        <v>5090</v>
      </c>
      <c r="D50" s="419"/>
      <c r="E50" s="419"/>
      <c r="F50" s="27" t="s">
        <v>38</v>
      </c>
      <c r="G50" s="22" t="s">
        <v>5455</v>
      </c>
      <c r="H50" s="58"/>
      <c r="I50" s="28"/>
      <c r="J50" s="28"/>
      <c r="K50" s="29"/>
      <c r="BC50" s="14"/>
      <c r="BD50" s="15"/>
      <c r="BE50" s="21"/>
      <c r="BF50" s="12"/>
      <c r="BG50" s="43"/>
      <c r="BH50" s="12" t="s">
        <v>5090</v>
      </c>
    </row>
    <row r="51" spans="1:60" s="3" customFormat="1" ht="15" customHeight="1" x14ac:dyDescent="0.3">
      <c r="A51" s="435" t="s">
        <v>5107</v>
      </c>
      <c r="B51" s="436"/>
      <c r="C51" s="436"/>
      <c r="D51" s="436"/>
      <c r="E51" s="436"/>
      <c r="F51" s="436"/>
      <c r="G51" s="436"/>
      <c r="H51" s="103"/>
      <c r="I51" s="103"/>
      <c r="J51" s="103"/>
      <c r="K51" s="104"/>
      <c r="BC51" s="14" t="s">
        <v>5107</v>
      </c>
      <c r="BD51" s="15"/>
      <c r="BE51" s="21"/>
      <c r="BF51" s="12"/>
      <c r="BG51" s="43"/>
      <c r="BH51" s="12"/>
    </row>
    <row r="52" spans="1:60" s="3" customFormat="1" ht="15" customHeight="1" x14ac:dyDescent="0.3">
      <c r="A52" s="437" t="s">
        <v>5108</v>
      </c>
      <c r="B52" s="418"/>
      <c r="C52" s="418"/>
      <c r="D52" s="418"/>
      <c r="E52" s="418"/>
      <c r="F52" s="418"/>
      <c r="G52" s="418"/>
      <c r="H52" s="123"/>
      <c r="I52" s="123"/>
      <c r="J52" s="123"/>
      <c r="K52" s="124"/>
      <c r="BC52" s="14"/>
      <c r="BD52" s="15" t="s">
        <v>5108</v>
      </c>
      <c r="BE52" s="21"/>
      <c r="BF52" s="12"/>
      <c r="BG52" s="43"/>
      <c r="BH52" s="12"/>
    </row>
    <row r="53" spans="1:60" s="3" customFormat="1" ht="42" x14ac:dyDescent="0.3">
      <c r="A53" s="16" t="s">
        <v>169</v>
      </c>
      <c r="B53" s="17" t="s">
        <v>800</v>
      </c>
      <c r="C53" s="405" t="s">
        <v>801</v>
      </c>
      <c r="D53" s="405"/>
      <c r="E53" s="405"/>
      <c r="F53" s="16" t="s">
        <v>329</v>
      </c>
      <c r="G53" s="18">
        <v>11.388999999999999</v>
      </c>
      <c r="H53" s="57">
        <f>I53/G53</f>
        <v>37294.179471419797</v>
      </c>
      <c r="I53" s="19">
        <v>424743.41000000003</v>
      </c>
      <c r="J53" s="19">
        <f>K53/G53</f>
        <v>18000.899991219598</v>
      </c>
      <c r="K53" s="19">
        <v>205012.25</v>
      </c>
      <c r="BC53" s="14"/>
      <c r="BD53" s="15"/>
      <c r="BE53" s="21" t="s">
        <v>801</v>
      </c>
      <c r="BF53" s="12"/>
      <c r="BG53" s="43"/>
      <c r="BH53" s="12"/>
    </row>
    <row r="54" spans="1:60" s="3" customFormat="1" ht="20.399999999999999" x14ac:dyDescent="0.3">
      <c r="A54" s="25"/>
      <c r="B54" s="26" t="s">
        <v>802</v>
      </c>
      <c r="C54" s="419" t="s">
        <v>787</v>
      </c>
      <c r="D54" s="419"/>
      <c r="E54" s="419"/>
      <c r="F54" s="27" t="s">
        <v>46</v>
      </c>
      <c r="G54" s="22" t="s">
        <v>5456</v>
      </c>
      <c r="H54" s="58"/>
      <c r="I54" s="28"/>
      <c r="J54" s="28"/>
      <c r="K54" s="29"/>
      <c r="BC54" s="14"/>
      <c r="BD54" s="15"/>
      <c r="BE54" s="21"/>
      <c r="BF54" s="12" t="s">
        <v>787</v>
      </c>
      <c r="BG54" s="43"/>
      <c r="BH54" s="12"/>
    </row>
    <row r="55" spans="1:60" s="3" customFormat="1" ht="15" customHeight="1" x14ac:dyDescent="0.3">
      <c r="A55" s="437" t="s">
        <v>5110</v>
      </c>
      <c r="B55" s="418"/>
      <c r="C55" s="418"/>
      <c r="D55" s="418"/>
      <c r="E55" s="418"/>
      <c r="F55" s="418"/>
      <c r="G55" s="418"/>
      <c r="H55" s="123"/>
      <c r="I55" s="123"/>
      <c r="J55" s="123"/>
      <c r="K55" s="124"/>
      <c r="BC55" s="14"/>
      <c r="BD55" s="15" t="s">
        <v>5110</v>
      </c>
      <c r="BE55" s="21"/>
      <c r="BF55" s="12"/>
      <c r="BG55" s="43"/>
      <c r="BH55" s="12"/>
    </row>
    <row r="56" spans="1:60" s="3" customFormat="1" ht="21.6" x14ac:dyDescent="0.3">
      <c r="A56" s="16" t="s">
        <v>170</v>
      </c>
      <c r="B56" s="17" t="s">
        <v>804</v>
      </c>
      <c r="C56" s="405" t="s">
        <v>805</v>
      </c>
      <c r="D56" s="405"/>
      <c r="E56" s="405"/>
      <c r="F56" s="16" t="s">
        <v>329</v>
      </c>
      <c r="G56" s="18">
        <v>11.388999999999999</v>
      </c>
      <c r="H56" s="57">
        <f>I56/G56</f>
        <v>11704.888049872685</v>
      </c>
      <c r="I56" s="19">
        <v>133306.97</v>
      </c>
      <c r="J56" s="19">
        <f>K56/G56</f>
        <v>2804.5649310738431</v>
      </c>
      <c r="K56" s="19">
        <v>31941.19</v>
      </c>
      <c r="BC56" s="14"/>
      <c r="BD56" s="15"/>
      <c r="BE56" s="21" t="s">
        <v>805</v>
      </c>
      <c r="BF56" s="12"/>
      <c r="BG56" s="43"/>
      <c r="BH56" s="12"/>
    </row>
    <row r="57" spans="1:60" s="3" customFormat="1" ht="20.399999999999999" x14ac:dyDescent="0.3">
      <c r="A57" s="25"/>
      <c r="B57" s="26" t="s">
        <v>154</v>
      </c>
      <c r="C57" s="419" t="s">
        <v>155</v>
      </c>
      <c r="D57" s="419"/>
      <c r="E57" s="419"/>
      <c r="F57" s="27" t="s">
        <v>46</v>
      </c>
      <c r="G57" s="22" t="s">
        <v>5457</v>
      </c>
      <c r="H57" s="58"/>
      <c r="I57" s="28"/>
      <c r="J57" s="28"/>
      <c r="K57" s="29"/>
      <c r="BC57" s="14"/>
      <c r="BD57" s="15"/>
      <c r="BE57" s="21"/>
      <c r="BF57" s="12" t="s">
        <v>155</v>
      </c>
      <c r="BG57" s="43"/>
      <c r="BH57" s="12"/>
    </row>
    <row r="58" spans="1:60" s="3" customFormat="1" ht="20.399999999999999" x14ac:dyDescent="0.3">
      <c r="A58" s="37" t="s">
        <v>143</v>
      </c>
      <c r="B58" s="38" t="s">
        <v>789</v>
      </c>
      <c r="C58" s="430" t="s">
        <v>807</v>
      </c>
      <c r="D58" s="430"/>
      <c r="E58" s="430"/>
      <c r="F58" s="39" t="s">
        <v>75</v>
      </c>
      <c r="G58" s="40" t="s">
        <v>5458</v>
      </c>
      <c r="H58" s="100"/>
      <c r="I58" s="41"/>
      <c r="J58" s="41"/>
      <c r="K58" s="42"/>
      <c r="BC58" s="14"/>
      <c r="BD58" s="15"/>
      <c r="BE58" s="21"/>
      <c r="BF58" s="12"/>
      <c r="BG58" s="43" t="s">
        <v>807</v>
      </c>
      <c r="BH58" s="12"/>
    </row>
    <row r="59" spans="1:60" s="3" customFormat="1" ht="20.399999999999999" x14ac:dyDescent="0.3">
      <c r="A59" s="25" t="s">
        <v>129</v>
      </c>
      <c r="B59" s="26" t="s">
        <v>796</v>
      </c>
      <c r="C59" s="419" t="s">
        <v>797</v>
      </c>
      <c r="D59" s="419"/>
      <c r="E59" s="419"/>
      <c r="F59" s="27" t="s">
        <v>75</v>
      </c>
      <c r="G59" s="22" t="s">
        <v>5458</v>
      </c>
      <c r="H59" s="58"/>
      <c r="I59" s="28"/>
      <c r="J59" s="28"/>
      <c r="K59" s="29"/>
      <c r="BC59" s="14"/>
      <c r="BD59" s="15"/>
      <c r="BE59" s="21"/>
      <c r="BF59" s="12"/>
      <c r="BG59" s="43"/>
      <c r="BH59" s="12"/>
    </row>
    <row r="60" spans="1:60" s="3" customFormat="1" ht="20.25" customHeight="1" x14ac:dyDescent="0.3">
      <c r="A60" s="406" t="s">
        <v>57</v>
      </c>
      <c r="B60" s="407"/>
      <c r="C60" s="407"/>
      <c r="D60" s="407"/>
      <c r="E60" s="407"/>
      <c r="F60" s="407"/>
      <c r="G60" s="407"/>
      <c r="H60" s="66"/>
      <c r="I60" s="67">
        <f>SUM(I12:I59)</f>
        <v>1165382.9100000001</v>
      </c>
      <c r="J60" s="72"/>
      <c r="K60" s="87">
        <f>SUM(K12:K59)</f>
        <v>383621.98</v>
      </c>
      <c r="N60" s="56"/>
    </row>
    <row r="61" spans="1:60" s="53" customFormat="1" ht="20.25" customHeight="1" thickBot="1" x14ac:dyDescent="0.35">
      <c r="A61" s="408" t="s">
        <v>5461</v>
      </c>
      <c r="B61" s="409"/>
      <c r="C61" s="409"/>
      <c r="D61" s="409"/>
      <c r="E61" s="409"/>
      <c r="F61" s="409"/>
      <c r="G61" s="409"/>
      <c r="H61" s="88"/>
      <c r="I61" s="410">
        <f>I60+K60</f>
        <v>1549004.8900000001</v>
      </c>
      <c r="J61" s="411"/>
      <c r="K61" s="412"/>
      <c r="N61" s="153"/>
    </row>
    <row r="62" spans="1:60" ht="11.25" customHeight="1" x14ac:dyDescent="0.2">
      <c r="N62" s="54"/>
    </row>
  </sheetData>
  <autoFilter ref="A10:BK61" xr:uid="{00000000-0001-0000-2900-000000000000}"/>
  <mergeCells count="59">
    <mergeCell ref="C50:E50"/>
    <mergeCell ref="C53:E53"/>
    <mergeCell ref="C54:E54"/>
    <mergeCell ref="A51:G51"/>
    <mergeCell ref="C45:E45"/>
    <mergeCell ref="C46:E46"/>
    <mergeCell ref="C47:E47"/>
    <mergeCell ref="C48:E48"/>
    <mergeCell ref="C49:E49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A43:G43"/>
    <mergeCell ref="C25:E25"/>
    <mergeCell ref="C27:E27"/>
    <mergeCell ref="C28:E28"/>
    <mergeCell ref="C29:E29"/>
    <mergeCell ref="A26:G26"/>
    <mergeCell ref="C30:E30"/>
    <mergeCell ref="C32:E32"/>
    <mergeCell ref="C33:E33"/>
    <mergeCell ref="A34:G34"/>
    <mergeCell ref="A31:G31"/>
    <mergeCell ref="C16:E16"/>
    <mergeCell ref="C18:E18"/>
    <mergeCell ref="A19:G19"/>
    <mergeCell ref="A17:G17"/>
    <mergeCell ref="A15:G15"/>
    <mergeCell ref="C20:E20"/>
    <mergeCell ref="C21:E21"/>
    <mergeCell ref="A24:G24"/>
    <mergeCell ref="A23:G23"/>
    <mergeCell ref="A22:G22"/>
    <mergeCell ref="C13:E13"/>
    <mergeCell ref="A6:K6"/>
    <mergeCell ref="C7:G7"/>
    <mergeCell ref="A14:G14"/>
    <mergeCell ref="A12:G12"/>
    <mergeCell ref="A11:G11"/>
    <mergeCell ref="A2:K2"/>
    <mergeCell ref="A3:K3"/>
    <mergeCell ref="A5:K5"/>
    <mergeCell ref="C8:E8"/>
    <mergeCell ref="C9:E9"/>
    <mergeCell ref="A60:G60"/>
    <mergeCell ref="A61:G61"/>
    <mergeCell ref="I61:K61"/>
    <mergeCell ref="A55:G55"/>
    <mergeCell ref="A52:G52"/>
    <mergeCell ref="C56:E56"/>
    <mergeCell ref="C57:E57"/>
    <mergeCell ref="C58:E58"/>
    <mergeCell ref="C59:E59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50"/>
    <pageSetUpPr fitToPage="1"/>
  </sheetPr>
  <dimension ref="A1:BK177"/>
  <sheetViews>
    <sheetView workbookViewId="0">
      <selection activeCell="M9" sqref="M9"/>
    </sheetView>
  </sheetViews>
  <sheetFormatPr defaultColWidth="9.109375" defaultRowHeight="11.25" customHeight="1" x14ac:dyDescent="0.2"/>
  <cols>
    <col min="1" max="1" width="17.44140625" style="1" customWidth="1"/>
    <col min="2" max="2" width="20.5546875" style="1" customWidth="1"/>
    <col min="3" max="3" width="14.109375" style="1" customWidth="1"/>
    <col min="4" max="4" width="18.44140625" style="1" customWidth="1"/>
    <col min="5" max="5" width="21.33203125" style="1" customWidth="1"/>
    <col min="6" max="7" width="10.6640625" style="1" customWidth="1"/>
    <col min="8" max="11" width="18.4414062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5577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29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5010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5010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4.4" x14ac:dyDescent="0.3">
      <c r="A7" s="4"/>
      <c r="B7" s="8" t="s">
        <v>5</v>
      </c>
      <c r="C7" s="402" t="s">
        <v>5011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5" customHeight="1" x14ac:dyDescent="0.3">
      <c r="A11" s="435" t="s">
        <v>1303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1303</v>
      </c>
    </row>
    <row r="12" spans="1:57" s="3" customFormat="1" ht="15" customHeight="1" x14ac:dyDescent="0.3">
      <c r="A12" s="437" t="s">
        <v>5012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C12" s="14"/>
      <c r="BD12" s="15" t="s">
        <v>5012</v>
      </c>
    </row>
    <row r="13" spans="1:57" s="3" customFormat="1" ht="15" customHeight="1" x14ac:dyDescent="0.3">
      <c r="A13" s="437" t="s">
        <v>5013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C13" s="14"/>
      <c r="BD13" s="15" t="s">
        <v>5013</v>
      </c>
    </row>
    <row r="14" spans="1:57" s="3" customFormat="1" ht="31.8" x14ac:dyDescent="0.3">
      <c r="A14" s="16" t="s">
        <v>15</v>
      </c>
      <c r="B14" s="17" t="s">
        <v>1307</v>
      </c>
      <c r="C14" s="405" t="s">
        <v>1308</v>
      </c>
      <c r="D14" s="405"/>
      <c r="E14" s="405"/>
      <c r="F14" s="16" t="s">
        <v>43</v>
      </c>
      <c r="G14" s="30">
        <v>1.1455</v>
      </c>
      <c r="H14" s="57">
        <f>I14/G14</f>
        <v>26809.725010912269</v>
      </c>
      <c r="I14" s="19">
        <f>30710.54-K14</f>
        <v>30710.54</v>
      </c>
      <c r="J14" s="19">
        <f>K14/G14</f>
        <v>0</v>
      </c>
      <c r="K14" s="19">
        <v>0</v>
      </c>
      <c r="BC14" s="14"/>
      <c r="BD14" s="15"/>
      <c r="BE14" s="21" t="s">
        <v>1308</v>
      </c>
    </row>
    <row r="15" spans="1:57" s="3" customFormat="1" ht="21.6" x14ac:dyDescent="0.3">
      <c r="A15" s="16" t="s">
        <v>20</v>
      </c>
      <c r="B15" s="17" t="s">
        <v>205</v>
      </c>
      <c r="C15" s="405" t="s">
        <v>82</v>
      </c>
      <c r="D15" s="405"/>
      <c r="E15" s="405"/>
      <c r="F15" s="16" t="s">
        <v>46</v>
      </c>
      <c r="G15" s="31">
        <v>1351.69</v>
      </c>
      <c r="H15" s="57">
        <f>I15/G15</f>
        <v>0</v>
      </c>
      <c r="I15" s="19">
        <f>717627.77-K15</f>
        <v>0</v>
      </c>
      <c r="J15" s="19">
        <f>K15/G15</f>
        <v>530.91150337725367</v>
      </c>
      <c r="K15" s="19">
        <v>717627.77</v>
      </c>
      <c r="BC15" s="14"/>
      <c r="BD15" s="15"/>
      <c r="BE15" s="21" t="s">
        <v>82</v>
      </c>
    </row>
    <row r="16" spans="1:57" s="3" customFormat="1" ht="42" x14ac:dyDescent="0.3">
      <c r="A16" s="16" t="s">
        <v>22</v>
      </c>
      <c r="B16" s="17" t="s">
        <v>5014</v>
      </c>
      <c r="C16" s="405" t="s">
        <v>5015</v>
      </c>
      <c r="D16" s="405"/>
      <c r="E16" s="405"/>
      <c r="F16" s="16" t="s">
        <v>43</v>
      </c>
      <c r="G16" s="30">
        <v>1.1455</v>
      </c>
      <c r="H16" s="57">
        <f t="shared" ref="H16:H17" si="0">I16/G16</f>
        <v>18041.344391095594</v>
      </c>
      <c r="I16" s="19">
        <f>20666.36-K16</f>
        <v>20666.36</v>
      </c>
      <c r="J16" s="19">
        <f t="shared" ref="J16:J17" si="1">K16/G16</f>
        <v>0</v>
      </c>
      <c r="K16" s="19">
        <v>0</v>
      </c>
      <c r="BC16" s="14"/>
      <c r="BD16" s="15"/>
      <c r="BE16" s="21" t="s">
        <v>5015</v>
      </c>
    </row>
    <row r="17" spans="1:57" s="3" customFormat="1" ht="21.6" x14ac:dyDescent="0.3">
      <c r="A17" s="16" t="s">
        <v>27</v>
      </c>
      <c r="B17" s="17" t="s">
        <v>5016</v>
      </c>
      <c r="C17" s="405" t="s">
        <v>5017</v>
      </c>
      <c r="D17" s="405"/>
      <c r="E17" s="405"/>
      <c r="F17" s="16" t="s">
        <v>43</v>
      </c>
      <c r="G17" s="30">
        <v>1.1455</v>
      </c>
      <c r="H17" s="57">
        <f t="shared" si="0"/>
        <v>33732.920122217372</v>
      </c>
      <c r="I17" s="19">
        <f>38641.06-K17</f>
        <v>38641.06</v>
      </c>
      <c r="J17" s="19">
        <f t="shared" si="1"/>
        <v>0</v>
      </c>
      <c r="K17" s="19">
        <v>0</v>
      </c>
      <c r="BC17" s="14"/>
      <c r="BD17" s="15"/>
      <c r="BE17" s="21" t="s">
        <v>5017</v>
      </c>
    </row>
    <row r="18" spans="1:57" s="3" customFormat="1" ht="15" customHeight="1" x14ac:dyDescent="0.3">
      <c r="A18" s="437" t="s">
        <v>5018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24"/>
      <c r="BC18" s="14"/>
      <c r="BD18" s="15" t="s">
        <v>5018</v>
      </c>
      <c r="BE18" s="21"/>
    </row>
    <row r="19" spans="1:57" s="3" customFormat="1" ht="31.8" x14ac:dyDescent="0.3">
      <c r="A19" s="16" t="s">
        <v>35</v>
      </c>
      <c r="B19" s="17" t="s">
        <v>5019</v>
      </c>
      <c r="C19" s="405" t="s">
        <v>5020</v>
      </c>
      <c r="D19" s="405"/>
      <c r="E19" s="405"/>
      <c r="F19" s="16" t="s">
        <v>189</v>
      </c>
      <c r="G19" s="30">
        <v>0.15040000000000001</v>
      </c>
      <c r="H19" s="57">
        <f>I19/G19</f>
        <v>26824.667553191488</v>
      </c>
      <c r="I19" s="19">
        <f>4034.43-K19</f>
        <v>4034.43</v>
      </c>
      <c r="J19" s="19">
        <f>K19/G19</f>
        <v>0</v>
      </c>
      <c r="K19" s="19">
        <v>0</v>
      </c>
      <c r="BC19" s="14"/>
      <c r="BD19" s="15"/>
      <c r="BE19" s="21" t="s">
        <v>5020</v>
      </c>
    </row>
    <row r="20" spans="1:57" s="3" customFormat="1" ht="15" customHeight="1" x14ac:dyDescent="0.3">
      <c r="A20" s="437" t="s">
        <v>5021</v>
      </c>
      <c r="B20" s="418"/>
      <c r="C20" s="418"/>
      <c r="D20" s="418"/>
      <c r="E20" s="418"/>
      <c r="F20" s="418"/>
      <c r="G20" s="418"/>
      <c r="H20" s="123"/>
      <c r="I20" s="123"/>
      <c r="J20" s="123"/>
      <c r="K20" s="124"/>
      <c r="BC20" s="14"/>
      <c r="BD20" s="15" t="s">
        <v>5021</v>
      </c>
      <c r="BE20" s="21"/>
    </row>
    <row r="21" spans="1:57" s="3" customFormat="1" ht="15" customHeight="1" x14ac:dyDescent="0.3">
      <c r="A21" s="437" t="s">
        <v>5022</v>
      </c>
      <c r="B21" s="418"/>
      <c r="C21" s="418"/>
      <c r="D21" s="418"/>
      <c r="E21" s="418"/>
      <c r="F21" s="418"/>
      <c r="G21" s="418"/>
      <c r="H21" s="123"/>
      <c r="I21" s="123"/>
      <c r="J21" s="123"/>
      <c r="K21" s="124"/>
      <c r="BC21" s="14"/>
      <c r="BD21" s="15" t="s">
        <v>5022</v>
      </c>
      <c r="BE21" s="21"/>
    </row>
    <row r="22" spans="1:57" s="3" customFormat="1" ht="42" x14ac:dyDescent="0.3">
      <c r="A22" s="16" t="s">
        <v>40</v>
      </c>
      <c r="B22" s="17" t="s">
        <v>5023</v>
      </c>
      <c r="C22" s="405" t="s">
        <v>5024</v>
      </c>
      <c r="D22" s="405"/>
      <c r="E22" s="405"/>
      <c r="F22" s="16" t="s">
        <v>43</v>
      </c>
      <c r="G22" s="30">
        <v>0.1948</v>
      </c>
      <c r="H22" s="57">
        <f>I22/G22</f>
        <v>49999.383983572894</v>
      </c>
      <c r="I22" s="19">
        <f>9739.88-K22</f>
        <v>9739.8799999999992</v>
      </c>
      <c r="J22" s="19">
        <f>K22/G22</f>
        <v>0</v>
      </c>
      <c r="K22" s="19">
        <v>0</v>
      </c>
      <c r="BC22" s="14"/>
      <c r="BD22" s="15"/>
      <c r="BE22" s="21" t="s">
        <v>5024</v>
      </c>
    </row>
    <row r="23" spans="1:57" s="3" customFormat="1" ht="15" customHeight="1" x14ac:dyDescent="0.3">
      <c r="A23" s="437" t="s">
        <v>5025</v>
      </c>
      <c r="B23" s="418"/>
      <c r="C23" s="418"/>
      <c r="D23" s="418"/>
      <c r="E23" s="418"/>
      <c r="F23" s="418"/>
      <c r="G23" s="418"/>
      <c r="H23" s="123"/>
      <c r="I23" s="123"/>
      <c r="J23" s="123"/>
      <c r="K23" s="124"/>
      <c r="BC23" s="14"/>
      <c r="BD23" s="15" t="s">
        <v>5025</v>
      </c>
      <c r="BE23" s="21"/>
    </row>
    <row r="24" spans="1:57" s="3" customFormat="1" ht="31.8" x14ac:dyDescent="0.3">
      <c r="A24" s="16" t="s">
        <v>47</v>
      </c>
      <c r="B24" s="17" t="s">
        <v>5026</v>
      </c>
      <c r="C24" s="405" t="s">
        <v>5027</v>
      </c>
      <c r="D24" s="405"/>
      <c r="E24" s="405"/>
      <c r="F24" s="16" t="s">
        <v>125</v>
      </c>
      <c r="G24" s="18">
        <v>0.23200000000000001</v>
      </c>
      <c r="H24" s="57">
        <f>I24/G24</f>
        <v>107999.35344827586</v>
      </c>
      <c r="I24" s="19">
        <f>25055.85-K24</f>
        <v>25055.85</v>
      </c>
      <c r="J24" s="19">
        <f>K24/G24</f>
        <v>0</v>
      </c>
      <c r="K24" s="19">
        <v>0</v>
      </c>
      <c r="BC24" s="14"/>
      <c r="BD24" s="15"/>
      <c r="BE24" s="21" t="s">
        <v>5027</v>
      </c>
    </row>
    <row r="25" spans="1:57" s="3" customFormat="1" ht="15" customHeight="1" x14ac:dyDescent="0.3">
      <c r="A25" s="437" t="s">
        <v>5028</v>
      </c>
      <c r="B25" s="418"/>
      <c r="C25" s="418"/>
      <c r="D25" s="418"/>
      <c r="E25" s="418"/>
      <c r="F25" s="418"/>
      <c r="G25" s="418"/>
      <c r="H25" s="123"/>
      <c r="I25" s="123"/>
      <c r="J25" s="123"/>
      <c r="K25" s="124"/>
      <c r="BC25" s="14"/>
      <c r="BD25" s="15" t="s">
        <v>5028</v>
      </c>
      <c r="BE25" s="21"/>
    </row>
    <row r="26" spans="1:57" s="3" customFormat="1" ht="15" customHeight="1" x14ac:dyDescent="0.3">
      <c r="A26" s="437" t="s">
        <v>5022</v>
      </c>
      <c r="B26" s="418"/>
      <c r="C26" s="418"/>
      <c r="D26" s="418"/>
      <c r="E26" s="418"/>
      <c r="F26" s="418"/>
      <c r="G26" s="418"/>
      <c r="H26" s="123"/>
      <c r="I26" s="123"/>
      <c r="J26" s="123"/>
      <c r="K26" s="124"/>
      <c r="BC26" s="14"/>
      <c r="BD26" s="15" t="s">
        <v>5022</v>
      </c>
      <c r="BE26" s="21"/>
    </row>
    <row r="27" spans="1:57" s="3" customFormat="1" ht="42" x14ac:dyDescent="0.3">
      <c r="A27" s="16" t="s">
        <v>52</v>
      </c>
      <c r="B27" s="17" t="s">
        <v>5023</v>
      </c>
      <c r="C27" s="405" t="s">
        <v>5024</v>
      </c>
      <c r="D27" s="405"/>
      <c r="E27" s="405"/>
      <c r="F27" s="16" t="s">
        <v>43</v>
      </c>
      <c r="G27" s="30">
        <v>5.3E-3</v>
      </c>
      <c r="H27" s="57">
        <f>I27/G27</f>
        <v>49996.226415094345</v>
      </c>
      <c r="I27" s="19">
        <f>264.98-K27</f>
        <v>264.98</v>
      </c>
      <c r="J27" s="19">
        <f>K27/G27</f>
        <v>0</v>
      </c>
      <c r="K27" s="19">
        <v>0</v>
      </c>
      <c r="BC27" s="14"/>
      <c r="BD27" s="15"/>
      <c r="BE27" s="21" t="s">
        <v>5024</v>
      </c>
    </row>
    <row r="28" spans="1:57" s="3" customFormat="1" ht="15" customHeight="1" x14ac:dyDescent="0.3">
      <c r="A28" s="437" t="s">
        <v>5025</v>
      </c>
      <c r="B28" s="418"/>
      <c r="C28" s="418"/>
      <c r="D28" s="418"/>
      <c r="E28" s="418"/>
      <c r="F28" s="418"/>
      <c r="G28" s="418"/>
      <c r="H28" s="123"/>
      <c r="I28" s="123"/>
      <c r="J28" s="123"/>
      <c r="K28" s="124"/>
      <c r="BC28" s="14"/>
      <c r="BD28" s="15" t="s">
        <v>5025</v>
      </c>
      <c r="BE28" s="21"/>
    </row>
    <row r="29" spans="1:57" s="3" customFormat="1" ht="31.8" x14ac:dyDescent="0.3">
      <c r="A29" s="16" t="s">
        <v>55</v>
      </c>
      <c r="B29" s="17" t="s">
        <v>5026</v>
      </c>
      <c r="C29" s="405" t="s">
        <v>5027</v>
      </c>
      <c r="D29" s="405"/>
      <c r="E29" s="405"/>
      <c r="F29" s="16" t="s">
        <v>125</v>
      </c>
      <c r="G29" s="18">
        <v>1.7000000000000001E-2</v>
      </c>
      <c r="H29" s="57">
        <f>I29/G29</f>
        <v>107999.41176470587</v>
      </c>
      <c r="I29" s="19">
        <f>1835.99-K29</f>
        <v>1835.99</v>
      </c>
      <c r="J29" s="19">
        <f>K29/G29</f>
        <v>0</v>
      </c>
      <c r="K29" s="19">
        <v>0</v>
      </c>
      <c r="BC29" s="14"/>
      <c r="BD29" s="15"/>
      <c r="BE29" s="21" t="s">
        <v>5027</v>
      </c>
    </row>
    <row r="30" spans="1:57" s="3" customFormat="1" ht="15" customHeight="1" x14ac:dyDescent="0.3">
      <c r="A30" s="437" t="s">
        <v>5029</v>
      </c>
      <c r="B30" s="418"/>
      <c r="C30" s="418"/>
      <c r="D30" s="418"/>
      <c r="E30" s="418"/>
      <c r="F30" s="418"/>
      <c r="G30" s="418"/>
      <c r="H30" s="123"/>
      <c r="I30" s="123"/>
      <c r="J30" s="123"/>
      <c r="K30" s="124"/>
      <c r="BC30" s="14"/>
      <c r="BD30" s="15" t="s">
        <v>5029</v>
      </c>
      <c r="BE30" s="21"/>
    </row>
    <row r="31" spans="1:57" s="3" customFormat="1" ht="42" x14ac:dyDescent="0.3">
      <c r="A31" s="16" t="s">
        <v>56</v>
      </c>
      <c r="B31" s="17" t="s">
        <v>617</v>
      </c>
      <c r="C31" s="405" t="s">
        <v>618</v>
      </c>
      <c r="D31" s="405"/>
      <c r="E31" s="405"/>
      <c r="F31" s="16" t="s">
        <v>43</v>
      </c>
      <c r="G31" s="30">
        <v>0.20180000000000001</v>
      </c>
      <c r="H31" s="57">
        <f>I31/G31</f>
        <v>46988.602576808713</v>
      </c>
      <c r="I31" s="19">
        <f>9482.3-K31</f>
        <v>9482.2999999999993</v>
      </c>
      <c r="J31" s="19">
        <f>K31/G31</f>
        <v>0</v>
      </c>
      <c r="K31" s="19">
        <v>0</v>
      </c>
      <c r="BC31" s="14"/>
      <c r="BD31" s="15"/>
      <c r="BE31" s="21" t="s">
        <v>618</v>
      </c>
    </row>
    <row r="32" spans="1:57" s="3" customFormat="1" ht="42" x14ac:dyDescent="0.3">
      <c r="A32" s="16" t="s">
        <v>166</v>
      </c>
      <c r="B32" s="17" t="s">
        <v>48</v>
      </c>
      <c r="C32" s="405" t="s">
        <v>49</v>
      </c>
      <c r="D32" s="405"/>
      <c r="E32" s="405"/>
      <c r="F32" s="16" t="s">
        <v>50</v>
      </c>
      <c r="G32" s="24">
        <v>403.6</v>
      </c>
      <c r="H32" s="57">
        <f>I32/G32</f>
        <v>598.37579286422192</v>
      </c>
      <c r="I32" s="19">
        <f>241504.47-K32</f>
        <v>241504.47</v>
      </c>
      <c r="J32" s="19">
        <f>K32/G32</f>
        <v>0</v>
      </c>
      <c r="K32" s="19">
        <v>0</v>
      </c>
      <c r="BC32" s="14"/>
      <c r="BD32" s="15"/>
      <c r="BE32" s="21" t="s">
        <v>49</v>
      </c>
    </row>
    <row r="33" spans="1:60" s="3" customFormat="1" ht="15" customHeight="1" x14ac:dyDescent="0.3">
      <c r="A33" s="435" t="s">
        <v>5030</v>
      </c>
      <c r="B33" s="436"/>
      <c r="C33" s="436"/>
      <c r="D33" s="436"/>
      <c r="E33" s="436"/>
      <c r="F33" s="436"/>
      <c r="G33" s="436"/>
      <c r="H33" s="103"/>
      <c r="I33" s="103"/>
      <c r="J33" s="103"/>
      <c r="K33" s="104"/>
      <c r="BC33" s="14" t="s">
        <v>5030</v>
      </c>
      <c r="BD33" s="15"/>
      <c r="BE33" s="21"/>
    </row>
    <row r="34" spans="1:60" s="3" customFormat="1" ht="15" customHeight="1" x14ac:dyDescent="0.3">
      <c r="A34" s="437" t="s">
        <v>5031</v>
      </c>
      <c r="B34" s="418"/>
      <c r="C34" s="418"/>
      <c r="D34" s="418"/>
      <c r="E34" s="418"/>
      <c r="F34" s="418"/>
      <c r="G34" s="418"/>
      <c r="H34" s="123"/>
      <c r="I34" s="123"/>
      <c r="J34" s="123"/>
      <c r="K34" s="124"/>
      <c r="BC34" s="14"/>
      <c r="BD34" s="15" t="s">
        <v>5031</v>
      </c>
      <c r="BE34" s="21"/>
    </row>
    <row r="35" spans="1:60" s="3" customFormat="1" ht="15" customHeight="1" x14ac:dyDescent="0.3">
      <c r="A35" s="437" t="s">
        <v>5032</v>
      </c>
      <c r="B35" s="418"/>
      <c r="C35" s="418"/>
      <c r="D35" s="418"/>
      <c r="E35" s="418"/>
      <c r="F35" s="418"/>
      <c r="G35" s="418"/>
      <c r="H35" s="123"/>
      <c r="I35" s="123"/>
      <c r="J35" s="123"/>
      <c r="K35" s="124"/>
      <c r="BC35" s="14"/>
      <c r="BD35" s="15" t="s">
        <v>5032</v>
      </c>
      <c r="BE35" s="21"/>
    </row>
    <row r="36" spans="1:60" s="3" customFormat="1" ht="21.6" x14ac:dyDescent="0.3">
      <c r="A36" s="16" t="s">
        <v>169</v>
      </c>
      <c r="B36" s="17" t="s">
        <v>4789</v>
      </c>
      <c r="C36" s="405" t="s">
        <v>4790</v>
      </c>
      <c r="D36" s="405"/>
      <c r="E36" s="405"/>
      <c r="F36" s="16" t="s">
        <v>125</v>
      </c>
      <c r="G36" s="30">
        <v>0.92779999999999996</v>
      </c>
      <c r="H36" s="57">
        <f>I36/G36</f>
        <v>15712.642810950638</v>
      </c>
      <c r="I36" s="19">
        <f>14578.19-K36</f>
        <v>14578.19</v>
      </c>
      <c r="J36" s="19">
        <f>K36/G36</f>
        <v>0</v>
      </c>
      <c r="K36" s="19">
        <v>0</v>
      </c>
      <c r="BC36" s="14"/>
      <c r="BD36" s="15"/>
      <c r="BE36" s="21" t="s">
        <v>4790</v>
      </c>
    </row>
    <row r="37" spans="1:60" s="3" customFormat="1" ht="15" customHeight="1" x14ac:dyDescent="0.3">
      <c r="A37" s="437" t="s">
        <v>5033</v>
      </c>
      <c r="B37" s="418"/>
      <c r="C37" s="418"/>
      <c r="D37" s="418"/>
      <c r="E37" s="418"/>
      <c r="F37" s="418"/>
      <c r="G37" s="418"/>
      <c r="H37" s="123"/>
      <c r="I37" s="123"/>
      <c r="J37" s="123"/>
      <c r="K37" s="124"/>
      <c r="BC37" s="14"/>
      <c r="BD37" s="15" t="s">
        <v>5033</v>
      </c>
      <c r="BE37" s="21"/>
    </row>
    <row r="38" spans="1:60" s="3" customFormat="1" ht="21.6" x14ac:dyDescent="0.3">
      <c r="A38" s="16" t="s">
        <v>170</v>
      </c>
      <c r="B38" s="17" t="s">
        <v>684</v>
      </c>
      <c r="C38" s="405" t="s">
        <v>685</v>
      </c>
      <c r="D38" s="405"/>
      <c r="E38" s="405"/>
      <c r="F38" s="16" t="s">
        <v>189</v>
      </c>
      <c r="G38" s="30">
        <v>0.51029999999999998</v>
      </c>
      <c r="H38" s="57">
        <f>I38/G38</f>
        <v>12474.113266705876</v>
      </c>
      <c r="I38" s="19">
        <f>192599.44-K38</f>
        <v>6365.5400000000081</v>
      </c>
      <c r="J38" s="19">
        <f>K38/G38</f>
        <v>364949.83343131491</v>
      </c>
      <c r="K38" s="19">
        <v>186233.9</v>
      </c>
      <c r="BC38" s="14"/>
      <c r="BD38" s="15"/>
      <c r="BE38" s="21" t="s">
        <v>685</v>
      </c>
    </row>
    <row r="39" spans="1:60" s="3" customFormat="1" ht="20.399999999999999" x14ac:dyDescent="0.3">
      <c r="A39" s="37" t="s">
        <v>78</v>
      </c>
      <c r="B39" s="38" t="s">
        <v>686</v>
      </c>
      <c r="C39" s="430" t="s">
        <v>687</v>
      </c>
      <c r="D39" s="430"/>
      <c r="E39" s="430"/>
      <c r="F39" s="39" t="s">
        <v>158</v>
      </c>
      <c r="G39" s="40" t="s">
        <v>33</v>
      </c>
      <c r="H39" s="100"/>
      <c r="I39" s="41"/>
      <c r="J39" s="41"/>
      <c r="K39" s="42"/>
      <c r="BC39" s="14"/>
      <c r="BD39" s="15"/>
      <c r="BE39" s="21"/>
      <c r="BF39" s="43" t="s">
        <v>687</v>
      </c>
    </row>
    <row r="40" spans="1:60" s="3" customFormat="1" ht="21.6" x14ac:dyDescent="0.3">
      <c r="A40" s="25"/>
      <c r="B40" s="26" t="s">
        <v>688</v>
      </c>
      <c r="C40" s="419" t="s">
        <v>689</v>
      </c>
      <c r="D40" s="419"/>
      <c r="E40" s="419"/>
      <c r="F40" s="27" t="s">
        <v>75</v>
      </c>
      <c r="G40" s="22" t="s">
        <v>5034</v>
      </c>
      <c r="H40" s="58"/>
      <c r="I40" s="28"/>
      <c r="J40" s="28"/>
      <c r="K40" s="29"/>
      <c r="BC40" s="14"/>
      <c r="BD40" s="15"/>
      <c r="BE40" s="21"/>
      <c r="BF40" s="43"/>
      <c r="BG40" s="12" t="s">
        <v>689</v>
      </c>
    </row>
    <row r="41" spans="1:60" s="3" customFormat="1" ht="21.6" x14ac:dyDescent="0.3">
      <c r="A41" s="25" t="s">
        <v>129</v>
      </c>
      <c r="B41" s="26" t="s">
        <v>691</v>
      </c>
      <c r="C41" s="419" t="s">
        <v>692</v>
      </c>
      <c r="D41" s="419"/>
      <c r="E41" s="419"/>
      <c r="F41" s="27" t="s">
        <v>158</v>
      </c>
      <c r="G41" s="22" t="s">
        <v>5035</v>
      </c>
      <c r="H41" s="58"/>
      <c r="I41" s="28"/>
      <c r="J41" s="28"/>
      <c r="K41" s="29"/>
      <c r="BC41" s="14"/>
      <c r="BD41" s="15"/>
      <c r="BE41" s="21"/>
      <c r="BF41" s="43"/>
      <c r="BG41" s="12"/>
      <c r="BH41" s="12" t="s">
        <v>692</v>
      </c>
    </row>
    <row r="42" spans="1:60" s="3" customFormat="1" ht="15" customHeight="1" x14ac:dyDescent="0.3">
      <c r="A42" s="437" t="s">
        <v>5036</v>
      </c>
      <c r="B42" s="418"/>
      <c r="C42" s="418"/>
      <c r="D42" s="418"/>
      <c r="E42" s="418"/>
      <c r="F42" s="418"/>
      <c r="G42" s="418"/>
      <c r="H42" s="123"/>
      <c r="I42" s="123"/>
      <c r="J42" s="123"/>
      <c r="K42" s="124"/>
      <c r="BC42" s="14"/>
      <c r="BD42" s="15" t="s">
        <v>5036</v>
      </c>
      <c r="BE42" s="21"/>
      <c r="BF42" s="43"/>
      <c r="BG42" s="12"/>
      <c r="BH42" s="12"/>
    </row>
    <row r="43" spans="1:60" s="3" customFormat="1" ht="62.4" x14ac:dyDescent="0.3">
      <c r="A43" s="16" t="s">
        <v>173</v>
      </c>
      <c r="B43" s="17" t="s">
        <v>5037</v>
      </c>
      <c r="C43" s="405" t="s">
        <v>5038</v>
      </c>
      <c r="D43" s="405"/>
      <c r="E43" s="405"/>
      <c r="F43" s="16" t="s">
        <v>189</v>
      </c>
      <c r="G43" s="30">
        <v>0.46389999999999998</v>
      </c>
      <c r="H43" s="57">
        <f>I43/G43</f>
        <v>196941.75468851047</v>
      </c>
      <c r="I43" s="19">
        <f>183006.84-K43</f>
        <v>91361.279999999999</v>
      </c>
      <c r="J43" s="19">
        <f>K43/G43</f>
        <v>197554.5591722354</v>
      </c>
      <c r="K43" s="19">
        <v>91645.56</v>
      </c>
      <c r="BC43" s="14"/>
      <c r="BD43" s="15"/>
      <c r="BE43" s="21" t="s">
        <v>5038</v>
      </c>
      <c r="BF43" s="43"/>
      <c r="BG43" s="12"/>
      <c r="BH43" s="12"/>
    </row>
    <row r="44" spans="1:60" s="3" customFormat="1" ht="20.399999999999999" x14ac:dyDescent="0.3">
      <c r="A44" s="25"/>
      <c r="B44" s="26" t="s">
        <v>154</v>
      </c>
      <c r="C44" s="419" t="s">
        <v>155</v>
      </c>
      <c r="D44" s="419"/>
      <c r="E44" s="419"/>
      <c r="F44" s="27" t="s">
        <v>46</v>
      </c>
      <c r="G44" s="22" t="s">
        <v>5039</v>
      </c>
      <c r="H44" s="58"/>
      <c r="I44" s="28"/>
      <c r="J44" s="28"/>
      <c r="K44" s="29"/>
      <c r="BC44" s="14"/>
      <c r="BD44" s="15"/>
      <c r="BE44" s="21"/>
      <c r="BF44" s="43"/>
      <c r="BG44" s="12" t="s">
        <v>155</v>
      </c>
      <c r="BH44" s="12"/>
    </row>
    <row r="45" spans="1:60" s="3" customFormat="1" ht="20.399999999999999" x14ac:dyDescent="0.3">
      <c r="A45" s="25"/>
      <c r="B45" s="26" t="s">
        <v>677</v>
      </c>
      <c r="C45" s="419" t="s">
        <v>678</v>
      </c>
      <c r="D45" s="419"/>
      <c r="E45" s="419"/>
      <c r="F45" s="27" t="s">
        <v>46</v>
      </c>
      <c r="G45" s="22" t="s">
        <v>5040</v>
      </c>
      <c r="H45" s="58"/>
      <c r="I45" s="28"/>
      <c r="J45" s="28"/>
      <c r="K45" s="29"/>
      <c r="BC45" s="14"/>
      <c r="BD45" s="15"/>
      <c r="BE45" s="21"/>
      <c r="BF45" s="43"/>
      <c r="BG45" s="12" t="s">
        <v>678</v>
      </c>
      <c r="BH45" s="12"/>
    </row>
    <row r="46" spans="1:60" s="3" customFormat="1" ht="20.399999999999999" x14ac:dyDescent="0.3">
      <c r="A46" s="25"/>
      <c r="B46" s="26" t="s">
        <v>680</v>
      </c>
      <c r="C46" s="419" t="s">
        <v>681</v>
      </c>
      <c r="D46" s="419"/>
      <c r="E46" s="419"/>
      <c r="F46" s="27" t="s">
        <v>46</v>
      </c>
      <c r="G46" s="22" t="s">
        <v>5041</v>
      </c>
      <c r="H46" s="58"/>
      <c r="I46" s="28"/>
      <c r="J46" s="28"/>
      <c r="K46" s="29"/>
      <c r="BC46" s="14"/>
      <c r="BD46" s="15"/>
      <c r="BE46" s="21"/>
      <c r="BF46" s="43"/>
      <c r="BG46" s="12" t="s">
        <v>681</v>
      </c>
      <c r="BH46" s="12"/>
    </row>
    <row r="47" spans="1:60" s="3" customFormat="1" ht="31.8" x14ac:dyDescent="0.3">
      <c r="A47" s="16" t="s">
        <v>176</v>
      </c>
      <c r="B47" s="17" t="s">
        <v>698</v>
      </c>
      <c r="C47" s="405" t="s">
        <v>699</v>
      </c>
      <c r="D47" s="405"/>
      <c r="E47" s="405"/>
      <c r="F47" s="16" t="s">
        <v>189</v>
      </c>
      <c r="G47" s="30">
        <v>0.46389999999999998</v>
      </c>
      <c r="H47" s="57">
        <f>I47/G47</f>
        <v>48703.944815693038</v>
      </c>
      <c r="I47" s="19">
        <f>49234.45-K47</f>
        <v>22593.759999999998</v>
      </c>
      <c r="J47" s="19">
        <f>K47/G47</f>
        <v>57427.656822591074</v>
      </c>
      <c r="K47" s="19">
        <v>26640.69</v>
      </c>
      <c r="BC47" s="14"/>
      <c r="BD47" s="15"/>
      <c r="BE47" s="21" t="s">
        <v>699</v>
      </c>
      <c r="BF47" s="43"/>
      <c r="BG47" s="12"/>
      <c r="BH47" s="12"/>
    </row>
    <row r="48" spans="1:60" s="3" customFormat="1" ht="20.399999999999999" x14ac:dyDescent="0.3">
      <c r="A48" s="25"/>
      <c r="B48" s="26" t="s">
        <v>680</v>
      </c>
      <c r="C48" s="419" t="s">
        <v>681</v>
      </c>
      <c r="D48" s="419"/>
      <c r="E48" s="419"/>
      <c r="F48" s="27" t="s">
        <v>46</v>
      </c>
      <c r="G48" s="22" t="s">
        <v>5042</v>
      </c>
      <c r="H48" s="58"/>
      <c r="I48" s="28"/>
      <c r="J48" s="28"/>
      <c r="K48" s="29"/>
      <c r="BC48" s="14"/>
      <c r="BD48" s="15"/>
      <c r="BE48" s="21"/>
      <c r="BF48" s="43"/>
      <c r="BG48" s="12" t="s">
        <v>681</v>
      </c>
      <c r="BH48" s="12"/>
    </row>
    <row r="49" spans="1:60" s="3" customFormat="1" ht="15" customHeight="1" x14ac:dyDescent="0.3">
      <c r="A49" s="437" t="s">
        <v>5033</v>
      </c>
      <c r="B49" s="418"/>
      <c r="C49" s="418"/>
      <c r="D49" s="418"/>
      <c r="E49" s="418"/>
      <c r="F49" s="418"/>
      <c r="G49" s="418"/>
      <c r="H49" s="123"/>
      <c r="I49" s="123"/>
      <c r="J49" s="123"/>
      <c r="K49" s="124"/>
      <c r="BC49" s="14"/>
      <c r="BD49" s="15" t="s">
        <v>5033</v>
      </c>
      <c r="BE49" s="21"/>
      <c r="BF49" s="43"/>
      <c r="BG49" s="12"/>
      <c r="BH49" s="12"/>
    </row>
    <row r="50" spans="1:60" s="3" customFormat="1" ht="21.6" x14ac:dyDescent="0.3">
      <c r="A50" s="16" t="s">
        <v>177</v>
      </c>
      <c r="B50" s="17" t="s">
        <v>684</v>
      </c>
      <c r="C50" s="405" t="s">
        <v>685</v>
      </c>
      <c r="D50" s="405"/>
      <c r="E50" s="405"/>
      <c r="F50" s="16" t="s">
        <v>189</v>
      </c>
      <c r="G50" s="30">
        <v>0.51029999999999998</v>
      </c>
      <c r="H50" s="57">
        <f>I50/G50</f>
        <v>12474.113266705876</v>
      </c>
      <c r="I50" s="19">
        <f>211192.45-K50</f>
        <v>6365.5400000000081</v>
      </c>
      <c r="J50" s="19">
        <f>K50/G50</f>
        <v>401385.28316676465</v>
      </c>
      <c r="K50" s="19">
        <v>204826.91</v>
      </c>
      <c r="BC50" s="14"/>
      <c r="BD50" s="15"/>
      <c r="BE50" s="21" t="s">
        <v>685</v>
      </c>
      <c r="BF50" s="43"/>
      <c r="BG50" s="12"/>
      <c r="BH50" s="12"/>
    </row>
    <row r="51" spans="1:60" s="3" customFormat="1" ht="20.399999999999999" x14ac:dyDescent="0.3">
      <c r="A51" s="37" t="s">
        <v>78</v>
      </c>
      <c r="B51" s="38" t="s">
        <v>686</v>
      </c>
      <c r="C51" s="430" t="s">
        <v>687</v>
      </c>
      <c r="D51" s="430"/>
      <c r="E51" s="430"/>
      <c r="F51" s="39" t="s">
        <v>158</v>
      </c>
      <c r="G51" s="40" t="s">
        <v>33</v>
      </c>
      <c r="H51" s="100"/>
      <c r="I51" s="41"/>
      <c r="J51" s="41"/>
      <c r="K51" s="42"/>
      <c r="BC51" s="14"/>
      <c r="BD51" s="15"/>
      <c r="BE51" s="21"/>
      <c r="BF51" s="43" t="s">
        <v>687</v>
      </c>
      <c r="BG51" s="12"/>
      <c r="BH51" s="12"/>
    </row>
    <row r="52" spans="1:60" s="3" customFormat="1" ht="21.6" x14ac:dyDescent="0.3">
      <c r="A52" s="25"/>
      <c r="B52" s="26" t="s">
        <v>688</v>
      </c>
      <c r="C52" s="419" t="s">
        <v>689</v>
      </c>
      <c r="D52" s="419"/>
      <c r="E52" s="419"/>
      <c r="F52" s="27" t="s">
        <v>75</v>
      </c>
      <c r="G52" s="22" t="s">
        <v>5034</v>
      </c>
      <c r="H52" s="58"/>
      <c r="I52" s="28"/>
      <c r="J52" s="28"/>
      <c r="K52" s="29"/>
      <c r="BC52" s="14"/>
      <c r="BD52" s="15"/>
      <c r="BE52" s="21"/>
      <c r="BF52" s="43"/>
      <c r="BG52" s="12" t="s">
        <v>689</v>
      </c>
      <c r="BH52" s="12"/>
    </row>
    <row r="53" spans="1:60" s="3" customFormat="1" ht="21.6" x14ac:dyDescent="0.3">
      <c r="A53" s="25" t="s">
        <v>129</v>
      </c>
      <c r="B53" s="26" t="s">
        <v>691</v>
      </c>
      <c r="C53" s="419" t="s">
        <v>692</v>
      </c>
      <c r="D53" s="419"/>
      <c r="E53" s="419"/>
      <c r="F53" s="27" t="s">
        <v>158</v>
      </c>
      <c r="G53" s="22" t="s">
        <v>5043</v>
      </c>
      <c r="H53" s="58"/>
      <c r="I53" s="28"/>
      <c r="J53" s="28"/>
      <c r="K53" s="29"/>
      <c r="BC53" s="14"/>
      <c r="BD53" s="15"/>
      <c r="BE53" s="21"/>
      <c r="BF53" s="43"/>
      <c r="BG53" s="12"/>
      <c r="BH53" s="12" t="s">
        <v>692</v>
      </c>
    </row>
    <row r="54" spans="1:60" s="3" customFormat="1" ht="15" customHeight="1" x14ac:dyDescent="0.3">
      <c r="A54" s="437" t="s">
        <v>5044</v>
      </c>
      <c r="B54" s="418"/>
      <c r="C54" s="418"/>
      <c r="D54" s="418"/>
      <c r="E54" s="418"/>
      <c r="F54" s="418"/>
      <c r="G54" s="418"/>
      <c r="H54" s="123"/>
      <c r="I54" s="123"/>
      <c r="J54" s="123"/>
      <c r="K54" s="124"/>
      <c r="BC54" s="14"/>
      <c r="BD54" s="15" t="s">
        <v>5044</v>
      </c>
      <c r="BE54" s="21"/>
      <c r="BF54" s="43"/>
      <c r="BG54" s="12"/>
      <c r="BH54" s="12"/>
    </row>
    <row r="55" spans="1:60" s="3" customFormat="1" ht="62.4" x14ac:dyDescent="0.3">
      <c r="A55" s="16" t="s">
        <v>180</v>
      </c>
      <c r="B55" s="17" t="s">
        <v>5037</v>
      </c>
      <c r="C55" s="405" t="s">
        <v>5038</v>
      </c>
      <c r="D55" s="405"/>
      <c r="E55" s="405"/>
      <c r="F55" s="16" t="s">
        <v>189</v>
      </c>
      <c r="G55" s="30">
        <v>0.46389999999999998</v>
      </c>
      <c r="H55" s="57">
        <f>I55/G55</f>
        <v>196941.75468851047</v>
      </c>
      <c r="I55" s="19">
        <f>183006.84-K55</f>
        <v>91361.279999999999</v>
      </c>
      <c r="J55" s="19">
        <f>K55/G55</f>
        <v>197554.5591722354</v>
      </c>
      <c r="K55" s="19">
        <v>91645.56</v>
      </c>
      <c r="BC55" s="14"/>
      <c r="BD55" s="15"/>
      <c r="BE55" s="21" t="s">
        <v>5038</v>
      </c>
      <c r="BF55" s="43"/>
      <c r="BG55" s="12"/>
      <c r="BH55" s="12"/>
    </row>
    <row r="56" spans="1:60" s="3" customFormat="1" ht="20.399999999999999" x14ac:dyDescent="0.3">
      <c r="A56" s="25"/>
      <c r="B56" s="26" t="s">
        <v>154</v>
      </c>
      <c r="C56" s="419" t="s">
        <v>155</v>
      </c>
      <c r="D56" s="419"/>
      <c r="E56" s="419"/>
      <c r="F56" s="27" t="s">
        <v>46</v>
      </c>
      <c r="G56" s="22" t="s">
        <v>5039</v>
      </c>
      <c r="H56" s="58"/>
      <c r="I56" s="28"/>
      <c r="J56" s="28"/>
      <c r="K56" s="29"/>
      <c r="BC56" s="14"/>
      <c r="BD56" s="15"/>
      <c r="BE56" s="21"/>
      <c r="BF56" s="43"/>
      <c r="BG56" s="12" t="s">
        <v>155</v>
      </c>
      <c r="BH56" s="12"/>
    </row>
    <row r="57" spans="1:60" s="3" customFormat="1" ht="20.399999999999999" x14ac:dyDescent="0.3">
      <c r="A57" s="25"/>
      <c r="B57" s="26" t="s">
        <v>677</v>
      </c>
      <c r="C57" s="419" t="s">
        <v>678</v>
      </c>
      <c r="D57" s="419"/>
      <c r="E57" s="419"/>
      <c r="F57" s="27" t="s">
        <v>46</v>
      </c>
      <c r="G57" s="22" t="s">
        <v>5040</v>
      </c>
      <c r="H57" s="58"/>
      <c r="I57" s="28"/>
      <c r="J57" s="28"/>
      <c r="K57" s="29"/>
      <c r="BC57" s="14"/>
      <c r="BD57" s="15"/>
      <c r="BE57" s="21"/>
      <c r="BF57" s="43"/>
      <c r="BG57" s="12" t="s">
        <v>678</v>
      </c>
      <c r="BH57" s="12"/>
    </row>
    <row r="58" spans="1:60" s="3" customFormat="1" ht="20.399999999999999" x14ac:dyDescent="0.3">
      <c r="A58" s="25"/>
      <c r="B58" s="26" t="s">
        <v>680</v>
      </c>
      <c r="C58" s="419" t="s">
        <v>681</v>
      </c>
      <c r="D58" s="419"/>
      <c r="E58" s="419"/>
      <c r="F58" s="27" t="s">
        <v>46</v>
      </c>
      <c r="G58" s="22" t="s">
        <v>5041</v>
      </c>
      <c r="H58" s="58"/>
      <c r="I58" s="28"/>
      <c r="J58" s="28"/>
      <c r="K58" s="29"/>
      <c r="BC58" s="14"/>
      <c r="BD58" s="15"/>
      <c r="BE58" s="21"/>
      <c r="BF58" s="43"/>
      <c r="BG58" s="12" t="s">
        <v>681</v>
      </c>
      <c r="BH58" s="12"/>
    </row>
    <row r="59" spans="1:60" s="3" customFormat="1" ht="15" customHeight="1" x14ac:dyDescent="0.3">
      <c r="A59" s="437" t="s">
        <v>661</v>
      </c>
      <c r="B59" s="418"/>
      <c r="C59" s="418"/>
      <c r="D59" s="418"/>
      <c r="E59" s="418"/>
      <c r="F59" s="418"/>
      <c r="G59" s="418"/>
      <c r="H59" s="123"/>
      <c r="I59" s="123"/>
      <c r="J59" s="123"/>
      <c r="K59" s="124"/>
      <c r="BC59" s="14"/>
      <c r="BD59" s="15" t="s">
        <v>661</v>
      </c>
      <c r="BE59" s="21"/>
      <c r="BF59" s="43"/>
      <c r="BG59" s="12"/>
      <c r="BH59" s="12"/>
    </row>
    <row r="60" spans="1:60" s="3" customFormat="1" ht="31.8" x14ac:dyDescent="0.3">
      <c r="A60" s="16" t="s">
        <v>182</v>
      </c>
      <c r="B60" s="17" t="s">
        <v>662</v>
      </c>
      <c r="C60" s="405" t="s">
        <v>663</v>
      </c>
      <c r="D60" s="405"/>
      <c r="E60" s="405"/>
      <c r="F60" s="16" t="s">
        <v>70</v>
      </c>
      <c r="G60" s="31">
        <v>0.19</v>
      </c>
      <c r="H60" s="57">
        <f>I60/G60</f>
        <v>2160.8421052631575</v>
      </c>
      <c r="I60" s="19">
        <f>3102.36-K60</f>
        <v>410.55999999999995</v>
      </c>
      <c r="J60" s="19">
        <f>K60/G60</f>
        <v>14167.368421052632</v>
      </c>
      <c r="K60" s="19">
        <v>2691.8</v>
      </c>
      <c r="BC60" s="14"/>
      <c r="BD60" s="15"/>
      <c r="BE60" s="21" t="s">
        <v>663</v>
      </c>
      <c r="BF60" s="43"/>
      <c r="BG60" s="12"/>
      <c r="BH60" s="12"/>
    </row>
    <row r="61" spans="1:60" s="3" customFormat="1" ht="20.399999999999999" x14ac:dyDescent="0.3">
      <c r="A61" s="25"/>
      <c r="B61" s="26" t="s">
        <v>631</v>
      </c>
      <c r="C61" s="419" t="s">
        <v>632</v>
      </c>
      <c r="D61" s="419"/>
      <c r="E61" s="419"/>
      <c r="F61" s="27" t="s">
        <v>70</v>
      </c>
      <c r="G61" s="22" t="s">
        <v>5045</v>
      </c>
      <c r="H61" s="58"/>
      <c r="I61" s="28"/>
      <c r="J61" s="28"/>
      <c r="K61" s="29"/>
      <c r="BC61" s="14"/>
      <c r="BD61" s="15"/>
      <c r="BE61" s="21"/>
      <c r="BF61" s="43"/>
      <c r="BG61" s="12" t="s">
        <v>632</v>
      </c>
      <c r="BH61" s="12"/>
    </row>
    <row r="62" spans="1:60" s="3" customFormat="1" ht="15" customHeight="1" x14ac:dyDescent="0.3">
      <c r="A62" s="437" t="s">
        <v>5046</v>
      </c>
      <c r="B62" s="418"/>
      <c r="C62" s="418"/>
      <c r="D62" s="418"/>
      <c r="E62" s="418"/>
      <c r="F62" s="418"/>
      <c r="G62" s="418"/>
      <c r="H62" s="123"/>
      <c r="I62" s="123"/>
      <c r="J62" s="123"/>
      <c r="K62" s="124"/>
      <c r="BC62" s="14"/>
      <c r="BD62" s="15" t="s">
        <v>5046</v>
      </c>
      <c r="BE62" s="21"/>
      <c r="BF62" s="43"/>
      <c r="BG62" s="12"/>
      <c r="BH62" s="12"/>
    </row>
    <row r="63" spans="1:60" s="3" customFormat="1" ht="42" x14ac:dyDescent="0.3">
      <c r="A63" s="16" t="s">
        <v>186</v>
      </c>
      <c r="B63" s="17" t="s">
        <v>629</v>
      </c>
      <c r="C63" s="405" t="s">
        <v>630</v>
      </c>
      <c r="D63" s="405"/>
      <c r="E63" s="405"/>
      <c r="F63" s="16" t="s">
        <v>189</v>
      </c>
      <c r="G63" s="30">
        <v>0.46389999999999998</v>
      </c>
      <c r="H63" s="57">
        <f>I63/G63</f>
        <v>159882.02198749728</v>
      </c>
      <c r="I63" s="19">
        <f>246462.75-K63</f>
        <v>74169.26999999999</v>
      </c>
      <c r="J63" s="19">
        <f>K63/G63</f>
        <v>371402.1987497306</v>
      </c>
      <c r="K63" s="19">
        <v>172293.48</v>
      </c>
      <c r="BC63" s="14"/>
      <c r="BD63" s="15"/>
      <c r="BE63" s="21" t="s">
        <v>630</v>
      </c>
      <c r="BF63" s="43"/>
      <c r="BG63" s="12"/>
      <c r="BH63" s="12"/>
    </row>
    <row r="64" spans="1:60" s="3" customFormat="1" ht="20.399999999999999" x14ac:dyDescent="0.3">
      <c r="A64" s="25"/>
      <c r="B64" s="26" t="s">
        <v>631</v>
      </c>
      <c r="C64" s="419" t="s">
        <v>632</v>
      </c>
      <c r="D64" s="419"/>
      <c r="E64" s="419"/>
      <c r="F64" s="27" t="s">
        <v>70</v>
      </c>
      <c r="G64" s="22" t="s">
        <v>5047</v>
      </c>
      <c r="H64" s="58"/>
      <c r="I64" s="28"/>
      <c r="J64" s="28"/>
      <c r="K64" s="29"/>
      <c r="BC64" s="14"/>
      <c r="BD64" s="15"/>
      <c r="BE64" s="21"/>
      <c r="BF64" s="43"/>
      <c r="BG64" s="12" t="s">
        <v>632</v>
      </c>
      <c r="BH64" s="12"/>
    </row>
    <row r="65" spans="1:60" s="3" customFormat="1" ht="20.399999999999999" x14ac:dyDescent="0.3">
      <c r="A65" s="25"/>
      <c r="B65" s="26" t="s">
        <v>634</v>
      </c>
      <c r="C65" s="419" t="s">
        <v>635</v>
      </c>
      <c r="D65" s="419"/>
      <c r="E65" s="419"/>
      <c r="F65" s="27" t="s">
        <v>46</v>
      </c>
      <c r="G65" s="22" t="s">
        <v>5048</v>
      </c>
      <c r="H65" s="58"/>
      <c r="I65" s="28"/>
      <c r="J65" s="28"/>
      <c r="K65" s="29"/>
      <c r="BC65" s="14"/>
      <c r="BD65" s="15"/>
      <c r="BE65" s="21"/>
      <c r="BF65" s="43"/>
      <c r="BG65" s="12" t="s">
        <v>635</v>
      </c>
      <c r="BH65" s="12"/>
    </row>
    <row r="66" spans="1:60" s="3" customFormat="1" ht="20.399999999999999" x14ac:dyDescent="0.3">
      <c r="A66" s="25"/>
      <c r="B66" s="26" t="s">
        <v>637</v>
      </c>
      <c r="C66" s="419" t="s">
        <v>638</v>
      </c>
      <c r="D66" s="419"/>
      <c r="E66" s="419"/>
      <c r="F66" s="27" t="s">
        <v>70</v>
      </c>
      <c r="G66" s="22" t="s">
        <v>5049</v>
      </c>
      <c r="H66" s="58"/>
      <c r="I66" s="28"/>
      <c r="J66" s="28"/>
      <c r="K66" s="29"/>
      <c r="BC66" s="14"/>
      <c r="BD66" s="15"/>
      <c r="BE66" s="21"/>
      <c r="BF66" s="43"/>
      <c r="BG66" s="12" t="s">
        <v>638</v>
      </c>
      <c r="BH66" s="12"/>
    </row>
    <row r="67" spans="1:60" s="3" customFormat="1" ht="20.399999999999999" x14ac:dyDescent="0.3">
      <c r="A67" s="25"/>
      <c r="B67" s="26" t="s">
        <v>640</v>
      </c>
      <c r="C67" s="419" t="s">
        <v>641</v>
      </c>
      <c r="D67" s="419"/>
      <c r="E67" s="419"/>
      <c r="F67" s="27" t="s">
        <v>70</v>
      </c>
      <c r="G67" s="22" t="s">
        <v>5050</v>
      </c>
      <c r="H67" s="58"/>
      <c r="I67" s="28"/>
      <c r="J67" s="28"/>
      <c r="K67" s="29"/>
      <c r="BC67" s="14"/>
      <c r="BD67" s="15"/>
      <c r="BE67" s="21"/>
      <c r="BF67" s="43"/>
      <c r="BG67" s="12" t="s">
        <v>641</v>
      </c>
      <c r="BH67" s="12"/>
    </row>
    <row r="68" spans="1:60" s="3" customFormat="1" ht="21.6" x14ac:dyDescent="0.3">
      <c r="A68" s="25"/>
      <c r="B68" s="26" t="s">
        <v>643</v>
      </c>
      <c r="C68" s="419" t="s">
        <v>644</v>
      </c>
      <c r="D68" s="419"/>
      <c r="E68" s="419"/>
      <c r="F68" s="27" t="s">
        <v>38</v>
      </c>
      <c r="G68" s="22" t="s">
        <v>5051</v>
      </c>
      <c r="H68" s="58"/>
      <c r="I68" s="28"/>
      <c r="J68" s="28"/>
      <c r="K68" s="29"/>
      <c r="BC68" s="14"/>
      <c r="BD68" s="15"/>
      <c r="BE68" s="21"/>
      <c r="BF68" s="43"/>
      <c r="BG68" s="12" t="s">
        <v>644</v>
      </c>
      <c r="BH68" s="12"/>
    </row>
    <row r="69" spans="1:60" s="3" customFormat="1" ht="20.399999999999999" x14ac:dyDescent="0.3">
      <c r="A69" s="37" t="s">
        <v>78</v>
      </c>
      <c r="B69" s="38" t="s">
        <v>646</v>
      </c>
      <c r="C69" s="430" t="s">
        <v>647</v>
      </c>
      <c r="D69" s="430"/>
      <c r="E69" s="430"/>
      <c r="F69" s="39" t="s">
        <v>70</v>
      </c>
      <c r="G69" s="40" t="s">
        <v>33</v>
      </c>
      <c r="H69" s="100"/>
      <c r="I69" s="41"/>
      <c r="J69" s="41"/>
      <c r="K69" s="42"/>
      <c r="BC69" s="14"/>
      <c r="BD69" s="15"/>
      <c r="BE69" s="21"/>
      <c r="BF69" s="43" t="s">
        <v>647</v>
      </c>
      <c r="BG69" s="12"/>
      <c r="BH69" s="12"/>
    </row>
    <row r="70" spans="1:60" s="3" customFormat="1" ht="20.399999999999999" x14ac:dyDescent="0.3">
      <c r="A70" s="25"/>
      <c r="B70" s="26" t="s">
        <v>648</v>
      </c>
      <c r="C70" s="419" t="s">
        <v>649</v>
      </c>
      <c r="D70" s="419"/>
      <c r="E70" s="419"/>
      <c r="F70" s="27" t="s">
        <v>70</v>
      </c>
      <c r="G70" s="22" t="s">
        <v>5052</v>
      </c>
      <c r="H70" s="58"/>
      <c r="I70" s="28"/>
      <c r="J70" s="28"/>
      <c r="K70" s="29"/>
      <c r="BC70" s="14"/>
      <c r="BD70" s="15"/>
      <c r="BE70" s="21"/>
      <c r="BF70" s="43"/>
      <c r="BG70" s="12" t="s">
        <v>649</v>
      </c>
      <c r="BH70" s="12"/>
    </row>
    <row r="71" spans="1:60" s="3" customFormat="1" ht="21.6" x14ac:dyDescent="0.3">
      <c r="A71" s="25"/>
      <c r="B71" s="26" t="s">
        <v>651</v>
      </c>
      <c r="C71" s="419" t="s">
        <v>652</v>
      </c>
      <c r="D71" s="419"/>
      <c r="E71" s="419"/>
      <c r="F71" s="27" t="s">
        <v>70</v>
      </c>
      <c r="G71" s="22" t="s">
        <v>5052</v>
      </c>
      <c r="H71" s="58"/>
      <c r="I71" s="28"/>
      <c r="J71" s="28"/>
      <c r="K71" s="29"/>
      <c r="BC71" s="14"/>
      <c r="BD71" s="15"/>
      <c r="BE71" s="21"/>
      <c r="BF71" s="43"/>
      <c r="BG71" s="12" t="s">
        <v>652</v>
      </c>
      <c r="BH71" s="12"/>
    </row>
    <row r="72" spans="1:60" s="3" customFormat="1" ht="21.6" x14ac:dyDescent="0.3">
      <c r="A72" s="25" t="s">
        <v>129</v>
      </c>
      <c r="B72" s="26" t="s">
        <v>666</v>
      </c>
      <c r="C72" s="419" t="s">
        <v>667</v>
      </c>
      <c r="D72" s="419"/>
      <c r="E72" s="419"/>
      <c r="F72" s="27" t="s">
        <v>70</v>
      </c>
      <c r="G72" s="22" t="s">
        <v>5053</v>
      </c>
      <c r="H72" s="58"/>
      <c r="I72" s="28"/>
      <c r="J72" s="28"/>
      <c r="K72" s="29"/>
      <c r="BC72" s="14"/>
      <c r="BD72" s="15"/>
      <c r="BE72" s="21"/>
      <c r="BF72" s="43"/>
      <c r="BG72" s="12"/>
      <c r="BH72" s="12" t="s">
        <v>667</v>
      </c>
    </row>
    <row r="73" spans="1:60" s="3" customFormat="1" ht="31.8" x14ac:dyDescent="0.3">
      <c r="A73" s="16" t="s">
        <v>192</v>
      </c>
      <c r="B73" s="17" t="s">
        <v>656</v>
      </c>
      <c r="C73" s="405" t="s">
        <v>657</v>
      </c>
      <c r="D73" s="405"/>
      <c r="E73" s="405"/>
      <c r="F73" s="16" t="s">
        <v>189</v>
      </c>
      <c r="G73" s="30">
        <v>0.46389999999999998</v>
      </c>
      <c r="H73" s="57">
        <f>I73/G73</f>
        <v>28370.424660487162</v>
      </c>
      <c r="I73" s="19">
        <f>139898.78-K73</f>
        <v>13161.039999999994</v>
      </c>
      <c r="J73" s="19">
        <f>K73/G73</f>
        <v>273200.56046561763</v>
      </c>
      <c r="K73" s="19">
        <v>126737.74</v>
      </c>
      <c r="BC73" s="14"/>
      <c r="BD73" s="15"/>
      <c r="BE73" s="21" t="s">
        <v>657</v>
      </c>
      <c r="BF73" s="43"/>
      <c r="BG73" s="12"/>
      <c r="BH73" s="12"/>
    </row>
    <row r="74" spans="1:60" s="3" customFormat="1" ht="20.399999999999999" x14ac:dyDescent="0.3">
      <c r="A74" s="25"/>
      <c r="B74" s="26" t="s">
        <v>631</v>
      </c>
      <c r="C74" s="419" t="s">
        <v>632</v>
      </c>
      <c r="D74" s="419"/>
      <c r="E74" s="419"/>
      <c r="F74" s="27" t="s">
        <v>70</v>
      </c>
      <c r="G74" s="22" t="s">
        <v>5054</v>
      </c>
      <c r="H74" s="58"/>
      <c r="I74" s="28"/>
      <c r="J74" s="28"/>
      <c r="K74" s="29"/>
      <c r="BC74" s="14"/>
      <c r="BD74" s="15"/>
      <c r="BE74" s="21"/>
      <c r="BF74" s="43"/>
      <c r="BG74" s="12" t="s">
        <v>632</v>
      </c>
      <c r="BH74" s="12"/>
    </row>
    <row r="75" spans="1:60" s="3" customFormat="1" ht="20.399999999999999" x14ac:dyDescent="0.3">
      <c r="A75" s="25"/>
      <c r="B75" s="26" t="s">
        <v>634</v>
      </c>
      <c r="C75" s="419" t="s">
        <v>635</v>
      </c>
      <c r="D75" s="419"/>
      <c r="E75" s="419"/>
      <c r="F75" s="27" t="s">
        <v>46</v>
      </c>
      <c r="G75" s="22" t="s">
        <v>5055</v>
      </c>
      <c r="H75" s="58"/>
      <c r="I75" s="28"/>
      <c r="J75" s="28"/>
      <c r="K75" s="29"/>
      <c r="BC75" s="14"/>
      <c r="BD75" s="15"/>
      <c r="BE75" s="21"/>
      <c r="BF75" s="43"/>
      <c r="BG75" s="12" t="s">
        <v>635</v>
      </c>
      <c r="BH75" s="12"/>
    </row>
    <row r="76" spans="1:60" s="3" customFormat="1" ht="20.399999999999999" x14ac:dyDescent="0.3">
      <c r="A76" s="37" t="s">
        <v>78</v>
      </c>
      <c r="B76" s="38" t="s">
        <v>646</v>
      </c>
      <c r="C76" s="430" t="s">
        <v>647</v>
      </c>
      <c r="D76" s="430"/>
      <c r="E76" s="430"/>
      <c r="F76" s="39" t="s">
        <v>70</v>
      </c>
      <c r="G76" s="40" t="s">
        <v>33</v>
      </c>
      <c r="H76" s="100"/>
      <c r="I76" s="41"/>
      <c r="J76" s="41"/>
      <c r="K76" s="42"/>
      <c r="BC76" s="14"/>
      <c r="BD76" s="15"/>
      <c r="BE76" s="21"/>
      <c r="BF76" s="43" t="s">
        <v>647</v>
      </c>
      <c r="BG76" s="12"/>
      <c r="BH76" s="12"/>
    </row>
    <row r="77" spans="1:60" s="3" customFormat="1" ht="21.6" x14ac:dyDescent="0.3">
      <c r="A77" s="25" t="s">
        <v>129</v>
      </c>
      <c r="B77" s="26" t="s">
        <v>666</v>
      </c>
      <c r="C77" s="419" t="s">
        <v>667</v>
      </c>
      <c r="D77" s="419"/>
      <c r="E77" s="419"/>
      <c r="F77" s="27" t="s">
        <v>70</v>
      </c>
      <c r="G77" s="22" t="s">
        <v>5056</v>
      </c>
      <c r="H77" s="58"/>
      <c r="I77" s="28"/>
      <c r="J77" s="28"/>
      <c r="K77" s="29"/>
      <c r="BC77" s="14"/>
      <c r="BD77" s="15"/>
      <c r="BE77" s="21"/>
      <c r="BF77" s="43"/>
      <c r="BG77" s="12"/>
      <c r="BH77" s="12" t="s">
        <v>667</v>
      </c>
    </row>
    <row r="78" spans="1:60" s="3" customFormat="1" ht="15" customHeight="1" x14ac:dyDescent="0.3">
      <c r="A78" s="437" t="s">
        <v>661</v>
      </c>
      <c r="B78" s="418"/>
      <c r="C78" s="418"/>
      <c r="D78" s="418"/>
      <c r="E78" s="418"/>
      <c r="F78" s="418"/>
      <c r="G78" s="418"/>
      <c r="H78" s="123"/>
      <c r="I78" s="123"/>
      <c r="J78" s="123"/>
      <c r="K78" s="124"/>
      <c r="BC78" s="14"/>
      <c r="BD78" s="15" t="s">
        <v>661</v>
      </c>
      <c r="BE78" s="21"/>
      <c r="BF78" s="43"/>
      <c r="BG78" s="12"/>
      <c r="BH78" s="12"/>
    </row>
    <row r="79" spans="1:60" s="3" customFormat="1" ht="31.8" x14ac:dyDescent="0.3">
      <c r="A79" s="16" t="s">
        <v>196</v>
      </c>
      <c r="B79" s="17" t="s">
        <v>662</v>
      </c>
      <c r="C79" s="405" t="s">
        <v>663</v>
      </c>
      <c r="D79" s="405"/>
      <c r="E79" s="405"/>
      <c r="F79" s="16" t="s">
        <v>70</v>
      </c>
      <c r="G79" s="31">
        <v>0.19</v>
      </c>
      <c r="H79" s="57">
        <f>I79/G79</f>
        <v>2160.8421052631575</v>
      </c>
      <c r="I79" s="19">
        <f>3102.36-K79</f>
        <v>410.55999999999995</v>
      </c>
      <c r="J79" s="19">
        <f>K79/G79</f>
        <v>14167.368421052632</v>
      </c>
      <c r="K79" s="19">
        <v>2691.8</v>
      </c>
      <c r="BC79" s="14"/>
      <c r="BD79" s="15"/>
      <c r="BE79" s="21" t="s">
        <v>663</v>
      </c>
      <c r="BF79" s="43"/>
      <c r="BG79" s="12"/>
      <c r="BH79" s="12"/>
    </row>
    <row r="80" spans="1:60" s="3" customFormat="1" ht="20.399999999999999" x14ac:dyDescent="0.3">
      <c r="A80" s="25"/>
      <c r="B80" s="26" t="s">
        <v>631</v>
      </c>
      <c r="C80" s="419" t="s">
        <v>632</v>
      </c>
      <c r="D80" s="419"/>
      <c r="E80" s="419"/>
      <c r="F80" s="27" t="s">
        <v>70</v>
      </c>
      <c r="G80" s="22" t="s">
        <v>5045</v>
      </c>
      <c r="H80" s="58"/>
      <c r="I80" s="28"/>
      <c r="J80" s="28"/>
      <c r="K80" s="29"/>
      <c r="BC80" s="14"/>
      <c r="BD80" s="15"/>
      <c r="BE80" s="21"/>
      <c r="BF80" s="43"/>
      <c r="BG80" s="12" t="s">
        <v>632</v>
      </c>
      <c r="BH80" s="12"/>
    </row>
    <row r="81" spans="1:60" s="3" customFormat="1" ht="15" customHeight="1" x14ac:dyDescent="0.3">
      <c r="A81" s="437" t="s">
        <v>5057</v>
      </c>
      <c r="B81" s="418"/>
      <c r="C81" s="418"/>
      <c r="D81" s="418"/>
      <c r="E81" s="418"/>
      <c r="F81" s="418"/>
      <c r="G81" s="418"/>
      <c r="H81" s="123"/>
      <c r="I81" s="123"/>
      <c r="J81" s="123"/>
      <c r="K81" s="124"/>
      <c r="BC81" s="14"/>
      <c r="BD81" s="15" t="s">
        <v>5057</v>
      </c>
      <c r="BE81" s="21"/>
      <c r="BF81" s="43"/>
      <c r="BG81" s="12"/>
      <c r="BH81" s="12"/>
    </row>
    <row r="82" spans="1:60" s="3" customFormat="1" ht="42" x14ac:dyDescent="0.3">
      <c r="A82" s="16" t="s">
        <v>198</v>
      </c>
      <c r="B82" s="17" t="s">
        <v>629</v>
      </c>
      <c r="C82" s="405" t="s">
        <v>630</v>
      </c>
      <c r="D82" s="405"/>
      <c r="E82" s="405"/>
      <c r="F82" s="16" t="s">
        <v>189</v>
      </c>
      <c r="G82" s="30">
        <v>0.46389999999999998</v>
      </c>
      <c r="H82" s="57">
        <f>I82/G82</f>
        <v>159882.02198749728</v>
      </c>
      <c r="I82" s="19">
        <f>274104.36-K82</f>
        <v>74169.26999999999</v>
      </c>
      <c r="J82" s="19">
        <f>K82/G82</f>
        <v>430987.47574908385</v>
      </c>
      <c r="K82" s="19">
        <v>199935.09</v>
      </c>
      <c r="BC82" s="14"/>
      <c r="BD82" s="15"/>
      <c r="BE82" s="21" t="s">
        <v>630</v>
      </c>
      <c r="BF82" s="43"/>
      <c r="BG82" s="12"/>
      <c r="BH82" s="12"/>
    </row>
    <row r="83" spans="1:60" s="3" customFormat="1" ht="20.399999999999999" x14ac:dyDescent="0.3">
      <c r="A83" s="25"/>
      <c r="B83" s="26" t="s">
        <v>631</v>
      </c>
      <c r="C83" s="419" t="s">
        <v>632</v>
      </c>
      <c r="D83" s="419"/>
      <c r="E83" s="419"/>
      <c r="F83" s="27" t="s">
        <v>70</v>
      </c>
      <c r="G83" s="22" t="s">
        <v>5047</v>
      </c>
      <c r="H83" s="58"/>
      <c r="I83" s="28"/>
      <c r="J83" s="28"/>
      <c r="K83" s="29"/>
      <c r="BC83" s="14"/>
      <c r="BD83" s="15"/>
      <c r="BE83" s="21"/>
      <c r="BF83" s="43"/>
      <c r="BG83" s="12" t="s">
        <v>632</v>
      </c>
      <c r="BH83" s="12"/>
    </row>
    <row r="84" spans="1:60" s="3" customFormat="1" ht="20.399999999999999" x14ac:dyDescent="0.3">
      <c r="A84" s="25"/>
      <c r="B84" s="26" t="s">
        <v>634</v>
      </c>
      <c r="C84" s="419" t="s">
        <v>635</v>
      </c>
      <c r="D84" s="419"/>
      <c r="E84" s="419"/>
      <c r="F84" s="27" t="s">
        <v>46</v>
      </c>
      <c r="G84" s="22" t="s">
        <v>5048</v>
      </c>
      <c r="H84" s="58"/>
      <c r="I84" s="28"/>
      <c r="J84" s="28"/>
      <c r="K84" s="29"/>
      <c r="BC84" s="14"/>
      <c r="BD84" s="15"/>
      <c r="BE84" s="21"/>
      <c r="BF84" s="43"/>
      <c r="BG84" s="12" t="s">
        <v>635</v>
      </c>
      <c r="BH84" s="12"/>
    </row>
    <row r="85" spans="1:60" s="3" customFormat="1" ht="20.399999999999999" x14ac:dyDescent="0.3">
      <c r="A85" s="25"/>
      <c r="B85" s="26" t="s">
        <v>637</v>
      </c>
      <c r="C85" s="419" t="s">
        <v>638</v>
      </c>
      <c r="D85" s="419"/>
      <c r="E85" s="419"/>
      <c r="F85" s="27" t="s">
        <v>70</v>
      </c>
      <c r="G85" s="22" t="s">
        <v>5049</v>
      </c>
      <c r="H85" s="58"/>
      <c r="I85" s="28"/>
      <c r="J85" s="28"/>
      <c r="K85" s="29"/>
      <c r="BC85" s="14"/>
      <c r="BD85" s="15"/>
      <c r="BE85" s="21"/>
      <c r="BF85" s="43"/>
      <c r="BG85" s="12" t="s">
        <v>638</v>
      </c>
      <c r="BH85" s="12"/>
    </row>
    <row r="86" spans="1:60" s="3" customFormat="1" ht="20.399999999999999" x14ac:dyDescent="0.3">
      <c r="A86" s="25"/>
      <c r="B86" s="26" t="s">
        <v>640</v>
      </c>
      <c r="C86" s="419" t="s">
        <v>641</v>
      </c>
      <c r="D86" s="419"/>
      <c r="E86" s="419"/>
      <c r="F86" s="27" t="s">
        <v>70</v>
      </c>
      <c r="G86" s="22" t="s">
        <v>5050</v>
      </c>
      <c r="H86" s="58"/>
      <c r="I86" s="28"/>
      <c r="J86" s="28"/>
      <c r="K86" s="29"/>
      <c r="BC86" s="14"/>
      <c r="BD86" s="15"/>
      <c r="BE86" s="21"/>
      <c r="BF86" s="43"/>
      <c r="BG86" s="12" t="s">
        <v>641</v>
      </c>
      <c r="BH86" s="12"/>
    </row>
    <row r="87" spans="1:60" s="3" customFormat="1" ht="21.6" x14ac:dyDescent="0.3">
      <c r="A87" s="25"/>
      <c r="B87" s="26" t="s">
        <v>643</v>
      </c>
      <c r="C87" s="419" t="s">
        <v>644</v>
      </c>
      <c r="D87" s="419"/>
      <c r="E87" s="419"/>
      <c r="F87" s="27" t="s">
        <v>38</v>
      </c>
      <c r="G87" s="22" t="s">
        <v>5051</v>
      </c>
      <c r="H87" s="58"/>
      <c r="I87" s="28"/>
      <c r="J87" s="28"/>
      <c r="K87" s="29"/>
      <c r="BC87" s="14"/>
      <c r="BD87" s="15"/>
      <c r="BE87" s="21"/>
      <c r="BF87" s="43"/>
      <c r="BG87" s="12" t="s">
        <v>644</v>
      </c>
      <c r="BH87" s="12"/>
    </row>
    <row r="88" spans="1:60" s="3" customFormat="1" ht="20.399999999999999" x14ac:dyDescent="0.3">
      <c r="A88" s="37" t="s">
        <v>78</v>
      </c>
      <c r="B88" s="38" t="s">
        <v>646</v>
      </c>
      <c r="C88" s="430" t="s">
        <v>647</v>
      </c>
      <c r="D88" s="430"/>
      <c r="E88" s="430"/>
      <c r="F88" s="39" t="s">
        <v>70</v>
      </c>
      <c r="G88" s="40" t="s">
        <v>33</v>
      </c>
      <c r="H88" s="100"/>
      <c r="I88" s="41"/>
      <c r="J88" s="41"/>
      <c r="K88" s="42"/>
      <c r="BC88" s="14"/>
      <c r="BD88" s="15"/>
      <c r="BE88" s="21"/>
      <c r="BF88" s="43" t="s">
        <v>647</v>
      </c>
      <c r="BG88" s="12"/>
      <c r="BH88" s="12"/>
    </row>
    <row r="89" spans="1:60" s="3" customFormat="1" ht="20.399999999999999" x14ac:dyDescent="0.3">
      <c r="A89" s="25"/>
      <c r="B89" s="26" t="s">
        <v>648</v>
      </c>
      <c r="C89" s="419" t="s">
        <v>649</v>
      </c>
      <c r="D89" s="419"/>
      <c r="E89" s="419"/>
      <c r="F89" s="27" t="s">
        <v>70</v>
      </c>
      <c r="G89" s="22" t="s">
        <v>5052</v>
      </c>
      <c r="H89" s="58"/>
      <c r="I89" s="28"/>
      <c r="J89" s="28"/>
      <c r="K89" s="29"/>
      <c r="BC89" s="14"/>
      <c r="BD89" s="15"/>
      <c r="BE89" s="21"/>
      <c r="BF89" s="43"/>
      <c r="BG89" s="12" t="s">
        <v>649</v>
      </c>
      <c r="BH89" s="12"/>
    </row>
    <row r="90" spans="1:60" s="3" customFormat="1" ht="21.6" x14ac:dyDescent="0.3">
      <c r="A90" s="25"/>
      <c r="B90" s="26" t="s">
        <v>651</v>
      </c>
      <c r="C90" s="419" t="s">
        <v>652</v>
      </c>
      <c r="D90" s="419"/>
      <c r="E90" s="419"/>
      <c r="F90" s="27" t="s">
        <v>70</v>
      </c>
      <c r="G90" s="22" t="s">
        <v>5052</v>
      </c>
      <c r="H90" s="58"/>
      <c r="I90" s="28"/>
      <c r="J90" s="28"/>
      <c r="K90" s="29"/>
      <c r="BC90" s="14"/>
      <c r="BD90" s="15"/>
      <c r="BE90" s="21"/>
      <c r="BF90" s="43"/>
      <c r="BG90" s="12" t="s">
        <v>652</v>
      </c>
      <c r="BH90" s="12"/>
    </row>
    <row r="91" spans="1:60" s="3" customFormat="1" ht="21.6" x14ac:dyDescent="0.3">
      <c r="A91" s="25" t="s">
        <v>129</v>
      </c>
      <c r="B91" s="26" t="s">
        <v>653</v>
      </c>
      <c r="C91" s="419" t="s">
        <v>654</v>
      </c>
      <c r="D91" s="419"/>
      <c r="E91" s="419"/>
      <c r="F91" s="27" t="s">
        <v>70</v>
      </c>
      <c r="G91" s="22" t="s">
        <v>5058</v>
      </c>
      <c r="H91" s="58"/>
      <c r="I91" s="28"/>
      <c r="J91" s="28"/>
      <c r="K91" s="29"/>
      <c r="BC91" s="14"/>
      <c r="BD91" s="15"/>
      <c r="BE91" s="21"/>
      <c r="BF91" s="43"/>
      <c r="BG91" s="12"/>
      <c r="BH91" s="12" t="s">
        <v>654</v>
      </c>
    </row>
    <row r="92" spans="1:60" s="3" customFormat="1" ht="31.8" x14ac:dyDescent="0.3">
      <c r="A92" s="16" t="s">
        <v>201</v>
      </c>
      <c r="B92" s="17" t="s">
        <v>656</v>
      </c>
      <c r="C92" s="405" t="s">
        <v>657</v>
      </c>
      <c r="D92" s="405"/>
      <c r="E92" s="405"/>
      <c r="F92" s="16" t="s">
        <v>189</v>
      </c>
      <c r="G92" s="30">
        <v>0.46389999999999998</v>
      </c>
      <c r="H92" s="57">
        <f>I92/G92</f>
        <v>9456.8225910756555</v>
      </c>
      <c r="I92" s="19">
        <f>53194.7-K92</f>
        <v>4387.0199999999968</v>
      </c>
      <c r="J92" s="19">
        <f>K92/G92</f>
        <v>105211.64043974996</v>
      </c>
      <c r="K92" s="19">
        <v>48807.68</v>
      </c>
      <c r="BC92" s="14"/>
      <c r="BD92" s="15"/>
      <c r="BE92" s="21" t="s">
        <v>657</v>
      </c>
      <c r="BF92" s="43"/>
      <c r="BG92" s="12"/>
      <c r="BH92" s="12"/>
    </row>
    <row r="93" spans="1:60" s="3" customFormat="1" ht="20.399999999999999" x14ac:dyDescent="0.3">
      <c r="A93" s="25"/>
      <c r="B93" s="26" t="s">
        <v>631</v>
      </c>
      <c r="C93" s="419" t="s">
        <v>632</v>
      </c>
      <c r="D93" s="419"/>
      <c r="E93" s="419"/>
      <c r="F93" s="27" t="s">
        <v>70</v>
      </c>
      <c r="G93" s="22" t="s">
        <v>5059</v>
      </c>
      <c r="H93" s="58"/>
      <c r="I93" s="28"/>
      <c r="J93" s="28"/>
      <c r="K93" s="29"/>
      <c r="BC93" s="14"/>
      <c r="BD93" s="15"/>
      <c r="BE93" s="21"/>
      <c r="BF93" s="43"/>
      <c r="BG93" s="12" t="s">
        <v>632</v>
      </c>
      <c r="BH93" s="12"/>
    </row>
    <row r="94" spans="1:60" s="3" customFormat="1" ht="20.399999999999999" x14ac:dyDescent="0.3">
      <c r="A94" s="25"/>
      <c r="B94" s="26" t="s">
        <v>634</v>
      </c>
      <c r="C94" s="419" t="s">
        <v>635</v>
      </c>
      <c r="D94" s="419"/>
      <c r="E94" s="419"/>
      <c r="F94" s="27" t="s">
        <v>46</v>
      </c>
      <c r="G94" s="22" t="s">
        <v>5060</v>
      </c>
      <c r="H94" s="58"/>
      <c r="I94" s="28"/>
      <c r="J94" s="28"/>
      <c r="K94" s="29"/>
      <c r="BC94" s="14"/>
      <c r="BD94" s="15"/>
      <c r="BE94" s="21"/>
      <c r="BF94" s="43"/>
      <c r="BG94" s="12" t="s">
        <v>635</v>
      </c>
      <c r="BH94" s="12"/>
    </row>
    <row r="95" spans="1:60" s="3" customFormat="1" ht="20.399999999999999" x14ac:dyDescent="0.3">
      <c r="A95" s="37" t="s">
        <v>78</v>
      </c>
      <c r="B95" s="38" t="s">
        <v>646</v>
      </c>
      <c r="C95" s="430" t="s">
        <v>647</v>
      </c>
      <c r="D95" s="430"/>
      <c r="E95" s="430"/>
      <c r="F95" s="39" t="s">
        <v>70</v>
      </c>
      <c r="G95" s="40" t="s">
        <v>33</v>
      </c>
      <c r="H95" s="100"/>
      <c r="I95" s="41"/>
      <c r="J95" s="41"/>
      <c r="K95" s="42"/>
      <c r="BC95" s="14"/>
      <c r="BD95" s="15"/>
      <c r="BE95" s="21"/>
      <c r="BF95" s="43" t="s">
        <v>647</v>
      </c>
      <c r="BG95" s="12"/>
      <c r="BH95" s="12"/>
    </row>
    <row r="96" spans="1:60" s="3" customFormat="1" ht="21.6" x14ac:dyDescent="0.3">
      <c r="A96" s="25" t="s">
        <v>129</v>
      </c>
      <c r="B96" s="26" t="s">
        <v>653</v>
      </c>
      <c r="C96" s="419" t="s">
        <v>654</v>
      </c>
      <c r="D96" s="419"/>
      <c r="E96" s="419"/>
      <c r="F96" s="27" t="s">
        <v>70</v>
      </c>
      <c r="G96" s="22" t="s">
        <v>5061</v>
      </c>
      <c r="H96" s="58"/>
      <c r="I96" s="28"/>
      <c r="J96" s="28"/>
      <c r="K96" s="29"/>
      <c r="BC96" s="14"/>
      <c r="BD96" s="15"/>
      <c r="BE96" s="21"/>
      <c r="BF96" s="43"/>
      <c r="BG96" s="12"/>
      <c r="BH96" s="12" t="s">
        <v>654</v>
      </c>
    </row>
    <row r="97" spans="1:60" s="3" customFormat="1" ht="15" customHeight="1" x14ac:dyDescent="0.3">
      <c r="A97" s="437" t="s">
        <v>5062</v>
      </c>
      <c r="B97" s="418"/>
      <c r="C97" s="418"/>
      <c r="D97" s="418"/>
      <c r="E97" s="418"/>
      <c r="F97" s="418"/>
      <c r="G97" s="418"/>
      <c r="H97" s="123"/>
      <c r="I97" s="123"/>
      <c r="J97" s="123"/>
      <c r="K97" s="124"/>
      <c r="BC97" s="14"/>
      <c r="BD97" s="15" t="s">
        <v>5062</v>
      </c>
      <c r="BE97" s="21"/>
      <c r="BF97" s="43"/>
      <c r="BG97" s="12"/>
      <c r="BH97" s="12"/>
    </row>
    <row r="98" spans="1:60" s="3" customFormat="1" ht="21.6" x14ac:dyDescent="0.3">
      <c r="A98" s="16" t="s">
        <v>219</v>
      </c>
      <c r="B98" s="17" t="s">
        <v>705</v>
      </c>
      <c r="C98" s="405" t="s">
        <v>706</v>
      </c>
      <c r="D98" s="405"/>
      <c r="E98" s="405"/>
      <c r="F98" s="16" t="s">
        <v>67</v>
      </c>
      <c r="G98" s="31">
        <v>1.52</v>
      </c>
      <c r="H98" s="57">
        <f>I98/G98</f>
        <v>98108.901315789466</v>
      </c>
      <c r="I98" s="19">
        <f>283673.11-K98</f>
        <v>149125.53</v>
      </c>
      <c r="J98" s="19">
        <f>K98/G98</f>
        <v>88518.144736842092</v>
      </c>
      <c r="K98" s="19">
        <v>134547.57999999999</v>
      </c>
      <c r="BC98" s="14"/>
      <c r="BD98" s="15"/>
      <c r="BE98" s="21" t="s">
        <v>706</v>
      </c>
      <c r="BF98" s="43"/>
      <c r="BG98" s="12"/>
      <c r="BH98" s="12"/>
    </row>
    <row r="99" spans="1:60" s="3" customFormat="1" ht="20.399999999999999" x14ac:dyDescent="0.3">
      <c r="A99" s="25"/>
      <c r="B99" s="26" t="s">
        <v>76</v>
      </c>
      <c r="C99" s="419" t="s">
        <v>77</v>
      </c>
      <c r="D99" s="419"/>
      <c r="E99" s="419"/>
      <c r="F99" s="27" t="s">
        <v>70</v>
      </c>
      <c r="G99" s="22" t="s">
        <v>5063</v>
      </c>
      <c r="H99" s="58"/>
      <c r="I99" s="28"/>
      <c r="J99" s="28"/>
      <c r="K99" s="29"/>
      <c r="BC99" s="14"/>
      <c r="BD99" s="15"/>
      <c r="BE99" s="21"/>
      <c r="BF99" s="43"/>
      <c r="BG99" s="12" t="s">
        <v>77</v>
      </c>
      <c r="BH99" s="12"/>
    </row>
    <row r="100" spans="1:60" s="3" customFormat="1" ht="21.6" x14ac:dyDescent="0.3">
      <c r="A100" s="25"/>
      <c r="B100" s="26" t="s">
        <v>107</v>
      </c>
      <c r="C100" s="419" t="s">
        <v>108</v>
      </c>
      <c r="D100" s="419"/>
      <c r="E100" s="419"/>
      <c r="F100" s="27" t="s">
        <v>46</v>
      </c>
      <c r="G100" s="22" t="s">
        <v>5064</v>
      </c>
      <c r="H100" s="58"/>
      <c r="I100" s="28"/>
      <c r="J100" s="28"/>
      <c r="K100" s="29"/>
      <c r="BC100" s="14"/>
      <c r="BD100" s="15"/>
      <c r="BE100" s="21"/>
      <c r="BF100" s="43"/>
      <c r="BG100" s="12" t="s">
        <v>108</v>
      </c>
      <c r="BH100" s="12"/>
    </row>
    <row r="101" spans="1:60" s="3" customFormat="1" ht="20.399999999999999" x14ac:dyDescent="0.3">
      <c r="A101" s="25"/>
      <c r="B101" s="26" t="s">
        <v>709</v>
      </c>
      <c r="C101" s="419" t="s">
        <v>710</v>
      </c>
      <c r="D101" s="419"/>
      <c r="E101" s="419"/>
      <c r="F101" s="27" t="s">
        <v>46</v>
      </c>
      <c r="G101" s="22" t="s">
        <v>5065</v>
      </c>
      <c r="H101" s="58"/>
      <c r="I101" s="28"/>
      <c r="J101" s="28"/>
      <c r="K101" s="29"/>
      <c r="BC101" s="14"/>
      <c r="BD101" s="15"/>
      <c r="BE101" s="21"/>
      <c r="BF101" s="43"/>
      <c r="BG101" s="12" t="s">
        <v>710</v>
      </c>
      <c r="BH101" s="12"/>
    </row>
    <row r="102" spans="1:60" s="3" customFormat="1" ht="31.8" x14ac:dyDescent="0.3">
      <c r="A102" s="25"/>
      <c r="B102" s="26" t="s">
        <v>712</v>
      </c>
      <c r="C102" s="419" t="s">
        <v>713</v>
      </c>
      <c r="D102" s="419"/>
      <c r="E102" s="419"/>
      <c r="F102" s="27" t="s">
        <v>46</v>
      </c>
      <c r="G102" s="22" t="s">
        <v>5066</v>
      </c>
      <c r="H102" s="58"/>
      <c r="I102" s="28"/>
      <c r="J102" s="28"/>
      <c r="K102" s="29"/>
      <c r="BC102" s="14"/>
      <c r="BD102" s="15"/>
      <c r="BE102" s="21"/>
      <c r="BF102" s="43"/>
      <c r="BG102" s="12" t="s">
        <v>713</v>
      </c>
      <c r="BH102" s="12"/>
    </row>
    <row r="103" spans="1:60" s="3" customFormat="1" ht="20.399999999999999" x14ac:dyDescent="0.3">
      <c r="A103" s="37" t="s">
        <v>143</v>
      </c>
      <c r="B103" s="38" t="s">
        <v>715</v>
      </c>
      <c r="C103" s="430" t="s">
        <v>716</v>
      </c>
      <c r="D103" s="430"/>
      <c r="E103" s="430"/>
      <c r="F103" s="39" t="s">
        <v>115</v>
      </c>
      <c r="G103" s="40" t="s">
        <v>5067</v>
      </c>
      <c r="H103" s="100"/>
      <c r="I103" s="41"/>
      <c r="J103" s="41"/>
      <c r="K103" s="42"/>
      <c r="BC103" s="14"/>
      <c r="BD103" s="15"/>
      <c r="BE103" s="21"/>
      <c r="BF103" s="43" t="s">
        <v>716</v>
      </c>
      <c r="BG103" s="12"/>
      <c r="BH103" s="12"/>
    </row>
    <row r="104" spans="1:60" s="3" customFormat="1" ht="21.6" x14ac:dyDescent="0.3">
      <c r="A104" s="25" t="s">
        <v>129</v>
      </c>
      <c r="B104" s="26" t="s">
        <v>718</v>
      </c>
      <c r="C104" s="419" t="s">
        <v>719</v>
      </c>
      <c r="D104" s="419"/>
      <c r="E104" s="419"/>
      <c r="F104" s="27" t="s">
        <v>38</v>
      </c>
      <c r="G104" s="22" t="s">
        <v>5067</v>
      </c>
      <c r="H104" s="58"/>
      <c r="I104" s="28"/>
      <c r="J104" s="28"/>
      <c r="K104" s="29"/>
      <c r="BC104" s="14"/>
      <c r="BD104" s="15"/>
      <c r="BE104" s="21"/>
      <c r="BF104" s="43"/>
      <c r="BG104" s="12"/>
      <c r="BH104" s="12" t="s">
        <v>719</v>
      </c>
    </row>
    <row r="105" spans="1:60" s="3" customFormat="1" ht="15" customHeight="1" x14ac:dyDescent="0.3">
      <c r="A105" s="437" t="s">
        <v>5068</v>
      </c>
      <c r="B105" s="418"/>
      <c r="C105" s="418"/>
      <c r="D105" s="418"/>
      <c r="E105" s="418"/>
      <c r="F105" s="418"/>
      <c r="G105" s="418"/>
      <c r="H105" s="123"/>
      <c r="I105" s="123"/>
      <c r="J105" s="123"/>
      <c r="K105" s="124"/>
      <c r="BC105" s="14"/>
      <c r="BD105" s="15" t="s">
        <v>5068</v>
      </c>
      <c r="BE105" s="21"/>
      <c r="BF105" s="43"/>
      <c r="BG105" s="12"/>
      <c r="BH105" s="12"/>
    </row>
    <row r="106" spans="1:60" s="3" customFormat="1" ht="15" customHeight="1" x14ac:dyDescent="0.3">
      <c r="A106" s="437" t="s">
        <v>5069</v>
      </c>
      <c r="B106" s="418"/>
      <c r="C106" s="418"/>
      <c r="D106" s="418"/>
      <c r="E106" s="418"/>
      <c r="F106" s="418"/>
      <c r="G106" s="418"/>
      <c r="H106" s="123"/>
      <c r="I106" s="123"/>
      <c r="J106" s="123"/>
      <c r="K106" s="124"/>
      <c r="BC106" s="14"/>
      <c r="BD106" s="15" t="s">
        <v>5069</v>
      </c>
      <c r="BE106" s="21"/>
      <c r="BF106" s="43"/>
      <c r="BG106" s="12"/>
      <c r="BH106" s="12"/>
    </row>
    <row r="107" spans="1:60" s="3" customFormat="1" ht="21.6" x14ac:dyDescent="0.3">
      <c r="A107" s="16" t="s">
        <v>222</v>
      </c>
      <c r="B107" s="17" t="s">
        <v>4789</v>
      </c>
      <c r="C107" s="405" t="s">
        <v>4790</v>
      </c>
      <c r="D107" s="405"/>
      <c r="E107" s="405"/>
      <c r="F107" s="16" t="s">
        <v>125</v>
      </c>
      <c r="G107" s="30">
        <v>6.9800000000000001E-2</v>
      </c>
      <c r="H107" s="57">
        <f>I107/G107</f>
        <v>15712.464183381089</v>
      </c>
      <c r="I107" s="19">
        <f>1096.73-K107</f>
        <v>1096.73</v>
      </c>
      <c r="J107" s="19">
        <f>K107/G107</f>
        <v>0</v>
      </c>
      <c r="K107" s="19"/>
      <c r="BC107" s="14"/>
      <c r="BD107" s="15"/>
      <c r="BE107" s="21" t="s">
        <v>4790</v>
      </c>
      <c r="BF107" s="43"/>
      <c r="BG107" s="12"/>
      <c r="BH107" s="12"/>
    </row>
    <row r="108" spans="1:60" s="3" customFormat="1" ht="15" customHeight="1" x14ac:dyDescent="0.3">
      <c r="A108" s="437" t="s">
        <v>5044</v>
      </c>
      <c r="B108" s="418"/>
      <c r="C108" s="418"/>
      <c r="D108" s="418"/>
      <c r="E108" s="418"/>
      <c r="F108" s="418"/>
      <c r="G108" s="418"/>
      <c r="H108" s="123"/>
      <c r="I108" s="123"/>
      <c r="J108" s="123"/>
      <c r="K108" s="124"/>
      <c r="BC108" s="14"/>
      <c r="BD108" s="15" t="s">
        <v>5044</v>
      </c>
      <c r="BE108" s="21"/>
      <c r="BF108" s="43"/>
      <c r="BG108" s="12"/>
      <c r="BH108" s="12"/>
    </row>
    <row r="109" spans="1:60" s="3" customFormat="1" ht="62.4" x14ac:dyDescent="0.3">
      <c r="A109" s="16" t="s">
        <v>225</v>
      </c>
      <c r="B109" s="17" t="s">
        <v>5037</v>
      </c>
      <c r="C109" s="405" t="s">
        <v>5038</v>
      </c>
      <c r="D109" s="405"/>
      <c r="E109" s="405"/>
      <c r="F109" s="16" t="s">
        <v>189</v>
      </c>
      <c r="G109" s="30">
        <v>3.49E-2</v>
      </c>
      <c r="H109" s="57">
        <f>I109/G109</f>
        <v>196941.83381088826</v>
      </c>
      <c r="I109" s="19">
        <f>13767.92-K109</f>
        <v>6873.27</v>
      </c>
      <c r="J109" s="19">
        <f>K109/G109</f>
        <v>197554.44126074496</v>
      </c>
      <c r="K109" s="19">
        <v>6894.65</v>
      </c>
      <c r="BC109" s="14"/>
      <c r="BD109" s="15"/>
      <c r="BE109" s="21" t="s">
        <v>5038</v>
      </c>
      <c r="BF109" s="43"/>
      <c r="BG109" s="12"/>
      <c r="BH109" s="12"/>
    </row>
    <row r="110" spans="1:60" s="3" customFormat="1" ht="20.399999999999999" x14ac:dyDescent="0.3">
      <c r="A110" s="25"/>
      <c r="B110" s="26" t="s">
        <v>154</v>
      </c>
      <c r="C110" s="419" t="s">
        <v>155</v>
      </c>
      <c r="D110" s="419"/>
      <c r="E110" s="419"/>
      <c r="F110" s="27" t="s">
        <v>46</v>
      </c>
      <c r="G110" s="22" t="s">
        <v>5070</v>
      </c>
      <c r="H110" s="58"/>
      <c r="I110" s="28"/>
      <c r="J110" s="28"/>
      <c r="K110" s="29"/>
      <c r="BC110" s="14"/>
      <c r="BD110" s="15"/>
      <c r="BE110" s="21"/>
      <c r="BF110" s="43"/>
      <c r="BG110" s="12" t="s">
        <v>155</v>
      </c>
      <c r="BH110" s="12"/>
    </row>
    <row r="111" spans="1:60" s="3" customFormat="1" ht="20.399999999999999" x14ac:dyDescent="0.3">
      <c r="A111" s="25"/>
      <c r="B111" s="26" t="s">
        <v>677</v>
      </c>
      <c r="C111" s="419" t="s">
        <v>678</v>
      </c>
      <c r="D111" s="419"/>
      <c r="E111" s="419"/>
      <c r="F111" s="27" t="s">
        <v>46</v>
      </c>
      <c r="G111" s="22" t="s">
        <v>5071</v>
      </c>
      <c r="H111" s="58"/>
      <c r="I111" s="28"/>
      <c r="J111" s="28"/>
      <c r="K111" s="29"/>
      <c r="BC111" s="14"/>
      <c r="BD111" s="15"/>
      <c r="BE111" s="21"/>
      <c r="BF111" s="43"/>
      <c r="BG111" s="12" t="s">
        <v>678</v>
      </c>
      <c r="BH111" s="12"/>
    </row>
    <row r="112" spans="1:60" s="3" customFormat="1" ht="20.399999999999999" x14ac:dyDescent="0.3">
      <c r="A112" s="25"/>
      <c r="B112" s="26" t="s">
        <v>680</v>
      </c>
      <c r="C112" s="419" t="s">
        <v>681</v>
      </c>
      <c r="D112" s="419"/>
      <c r="E112" s="419"/>
      <c r="F112" s="27" t="s">
        <v>46</v>
      </c>
      <c r="G112" s="22" t="s">
        <v>5072</v>
      </c>
      <c r="H112" s="58"/>
      <c r="I112" s="28"/>
      <c r="J112" s="28"/>
      <c r="K112" s="29"/>
      <c r="BC112" s="14"/>
      <c r="BD112" s="15"/>
      <c r="BE112" s="21"/>
      <c r="BF112" s="43"/>
      <c r="BG112" s="12" t="s">
        <v>681</v>
      </c>
      <c r="BH112" s="12"/>
    </row>
    <row r="113" spans="1:60" s="3" customFormat="1" ht="15" customHeight="1" x14ac:dyDescent="0.3">
      <c r="A113" s="437" t="s">
        <v>661</v>
      </c>
      <c r="B113" s="418"/>
      <c r="C113" s="418"/>
      <c r="D113" s="418"/>
      <c r="E113" s="418"/>
      <c r="F113" s="418"/>
      <c r="G113" s="418"/>
      <c r="H113" s="123"/>
      <c r="I113" s="123"/>
      <c r="J113" s="123"/>
      <c r="K113" s="124"/>
      <c r="BC113" s="14"/>
      <c r="BD113" s="15" t="s">
        <v>661</v>
      </c>
      <c r="BE113" s="21"/>
      <c r="BF113" s="43"/>
      <c r="BG113" s="12"/>
      <c r="BH113" s="12"/>
    </row>
    <row r="114" spans="1:60" s="3" customFormat="1" ht="31.8" x14ac:dyDescent="0.3">
      <c r="A114" s="16" t="s">
        <v>227</v>
      </c>
      <c r="B114" s="17" t="s">
        <v>662</v>
      </c>
      <c r="C114" s="405" t="s">
        <v>663</v>
      </c>
      <c r="D114" s="405"/>
      <c r="E114" s="405"/>
      <c r="F114" s="16" t="s">
        <v>70</v>
      </c>
      <c r="G114" s="31">
        <v>0.01</v>
      </c>
      <c r="H114" s="57">
        <f>I114/G114</f>
        <v>2162.0000000000005</v>
      </c>
      <c r="I114" s="19">
        <f>163.29-K114</f>
        <v>21.620000000000005</v>
      </c>
      <c r="J114" s="19">
        <f>K114/G114</f>
        <v>14166.999999999998</v>
      </c>
      <c r="K114" s="19">
        <v>141.66999999999999</v>
      </c>
      <c r="BC114" s="14"/>
      <c r="BD114" s="15"/>
      <c r="BE114" s="21" t="s">
        <v>663</v>
      </c>
      <c r="BF114" s="43"/>
      <c r="BG114" s="12"/>
      <c r="BH114" s="12"/>
    </row>
    <row r="115" spans="1:60" s="3" customFormat="1" ht="20.399999999999999" x14ac:dyDescent="0.3">
      <c r="A115" s="25"/>
      <c r="B115" s="26" t="s">
        <v>631</v>
      </c>
      <c r="C115" s="419" t="s">
        <v>632</v>
      </c>
      <c r="D115" s="419"/>
      <c r="E115" s="419"/>
      <c r="F115" s="27" t="s">
        <v>70</v>
      </c>
      <c r="G115" s="22" t="s">
        <v>5073</v>
      </c>
      <c r="H115" s="58"/>
      <c r="I115" s="28"/>
      <c r="J115" s="28"/>
      <c r="K115" s="29"/>
      <c r="BC115" s="14"/>
      <c r="BD115" s="15"/>
      <c r="BE115" s="21"/>
      <c r="BF115" s="43"/>
      <c r="BG115" s="12" t="s">
        <v>632</v>
      </c>
      <c r="BH115" s="12"/>
    </row>
    <row r="116" spans="1:60" s="3" customFormat="1" ht="15" customHeight="1" x14ac:dyDescent="0.3">
      <c r="A116" s="437" t="s">
        <v>5057</v>
      </c>
      <c r="B116" s="418"/>
      <c r="C116" s="418"/>
      <c r="D116" s="418"/>
      <c r="E116" s="418"/>
      <c r="F116" s="418"/>
      <c r="G116" s="418"/>
      <c r="H116" s="123"/>
      <c r="I116" s="123"/>
      <c r="J116" s="123"/>
      <c r="K116" s="124"/>
      <c r="BC116" s="14"/>
      <c r="BD116" s="15" t="s">
        <v>5057</v>
      </c>
      <c r="BE116" s="21"/>
      <c r="BF116" s="43"/>
      <c r="BG116" s="12"/>
      <c r="BH116" s="12"/>
    </row>
    <row r="117" spans="1:60" s="3" customFormat="1" ht="42" x14ac:dyDescent="0.3">
      <c r="A117" s="16" t="s">
        <v>230</v>
      </c>
      <c r="B117" s="17" t="s">
        <v>5074</v>
      </c>
      <c r="C117" s="405" t="s">
        <v>5075</v>
      </c>
      <c r="D117" s="405"/>
      <c r="E117" s="405"/>
      <c r="F117" s="16" t="s">
        <v>189</v>
      </c>
      <c r="G117" s="30">
        <v>3.49E-2</v>
      </c>
      <c r="H117" s="57">
        <f>I117/G117</f>
        <v>88871.633237822374</v>
      </c>
      <c r="I117" s="19">
        <f>17873.59-K117</f>
        <v>3101.6200000000008</v>
      </c>
      <c r="J117" s="19">
        <f>K117/G117</f>
        <v>423265.61604584527</v>
      </c>
      <c r="K117" s="19">
        <v>14771.97</v>
      </c>
      <c r="BC117" s="14"/>
      <c r="BD117" s="15"/>
      <c r="BE117" s="21" t="s">
        <v>5075</v>
      </c>
      <c r="BF117" s="43"/>
      <c r="BG117" s="12"/>
      <c r="BH117" s="12"/>
    </row>
    <row r="118" spans="1:60" s="3" customFormat="1" ht="20.399999999999999" x14ac:dyDescent="0.3">
      <c r="A118" s="37" t="s">
        <v>143</v>
      </c>
      <c r="B118" s="38" t="s">
        <v>5076</v>
      </c>
      <c r="C118" s="430" t="s">
        <v>331</v>
      </c>
      <c r="D118" s="430"/>
      <c r="E118" s="430"/>
      <c r="F118" s="39" t="s">
        <v>70</v>
      </c>
      <c r="G118" s="40" t="s">
        <v>5077</v>
      </c>
      <c r="H118" s="100"/>
      <c r="I118" s="41"/>
      <c r="J118" s="41"/>
      <c r="K118" s="42"/>
      <c r="BC118" s="14"/>
      <c r="BD118" s="15"/>
      <c r="BE118" s="21"/>
      <c r="BF118" s="43" t="s">
        <v>331</v>
      </c>
      <c r="BG118" s="12"/>
      <c r="BH118" s="12"/>
    </row>
    <row r="119" spans="1:60" s="3" customFormat="1" ht="20.399999999999999" x14ac:dyDescent="0.3">
      <c r="A119" s="25"/>
      <c r="B119" s="26" t="s">
        <v>154</v>
      </c>
      <c r="C119" s="419" t="s">
        <v>155</v>
      </c>
      <c r="D119" s="419"/>
      <c r="E119" s="419"/>
      <c r="F119" s="27" t="s">
        <v>46</v>
      </c>
      <c r="G119" s="22" t="s">
        <v>5078</v>
      </c>
      <c r="H119" s="58"/>
      <c r="I119" s="28"/>
      <c r="J119" s="28"/>
      <c r="K119" s="29"/>
      <c r="BC119" s="14"/>
      <c r="BD119" s="15"/>
      <c r="BE119" s="21"/>
      <c r="BF119" s="43"/>
      <c r="BG119" s="12" t="s">
        <v>155</v>
      </c>
      <c r="BH119" s="12"/>
    </row>
    <row r="120" spans="1:60" s="3" customFormat="1" ht="20.399999999999999" x14ac:dyDescent="0.3">
      <c r="A120" s="37" t="s">
        <v>78</v>
      </c>
      <c r="B120" s="38" t="s">
        <v>646</v>
      </c>
      <c r="C120" s="430" t="s">
        <v>647</v>
      </c>
      <c r="D120" s="430"/>
      <c r="E120" s="430"/>
      <c r="F120" s="39" t="s">
        <v>70</v>
      </c>
      <c r="G120" s="40" t="s">
        <v>33</v>
      </c>
      <c r="H120" s="100"/>
      <c r="I120" s="41"/>
      <c r="J120" s="41"/>
      <c r="K120" s="42"/>
      <c r="BC120" s="14"/>
      <c r="BD120" s="15"/>
      <c r="BE120" s="21"/>
      <c r="BF120" s="43" t="s">
        <v>647</v>
      </c>
      <c r="BG120" s="12"/>
      <c r="BH120" s="12"/>
    </row>
    <row r="121" spans="1:60" s="3" customFormat="1" ht="21.6" x14ac:dyDescent="0.3">
      <c r="A121" s="25" t="s">
        <v>129</v>
      </c>
      <c r="B121" s="26" t="s">
        <v>653</v>
      </c>
      <c r="C121" s="419" t="s">
        <v>654</v>
      </c>
      <c r="D121" s="419"/>
      <c r="E121" s="419"/>
      <c r="F121" s="27" t="s">
        <v>70</v>
      </c>
      <c r="G121" s="22" t="s">
        <v>5079</v>
      </c>
      <c r="H121" s="58"/>
      <c r="I121" s="28"/>
      <c r="J121" s="28"/>
      <c r="K121" s="29"/>
      <c r="BC121" s="14"/>
      <c r="BD121" s="15"/>
      <c r="BE121" s="21"/>
      <c r="BF121" s="43"/>
      <c r="BG121" s="12"/>
      <c r="BH121" s="12" t="s">
        <v>654</v>
      </c>
    </row>
    <row r="122" spans="1:60" s="3" customFormat="1" ht="31.8" x14ac:dyDescent="0.3">
      <c r="A122" s="16" t="s">
        <v>233</v>
      </c>
      <c r="B122" s="17" t="s">
        <v>5080</v>
      </c>
      <c r="C122" s="405" t="s">
        <v>5081</v>
      </c>
      <c r="D122" s="405"/>
      <c r="E122" s="405"/>
      <c r="F122" s="16" t="s">
        <v>189</v>
      </c>
      <c r="G122" s="30">
        <v>3.49E-2</v>
      </c>
      <c r="H122" s="57">
        <f>I122/G122</f>
        <v>7787.9656160458371</v>
      </c>
      <c r="I122" s="19">
        <f>3941.87-K122</f>
        <v>271.79999999999973</v>
      </c>
      <c r="J122" s="19">
        <f>K122/G122</f>
        <v>105159.5988538682</v>
      </c>
      <c r="K122" s="19">
        <v>3670.07</v>
      </c>
      <c r="BC122" s="14"/>
      <c r="BD122" s="15"/>
      <c r="BE122" s="21" t="s">
        <v>5081</v>
      </c>
      <c r="BF122" s="43"/>
      <c r="BG122" s="12"/>
      <c r="BH122" s="12"/>
    </row>
    <row r="123" spans="1:60" s="3" customFormat="1" ht="20.399999999999999" x14ac:dyDescent="0.3">
      <c r="A123" s="37" t="s">
        <v>78</v>
      </c>
      <c r="B123" s="38" t="s">
        <v>646</v>
      </c>
      <c r="C123" s="430" t="s">
        <v>647</v>
      </c>
      <c r="D123" s="430"/>
      <c r="E123" s="430"/>
      <c r="F123" s="39" t="s">
        <v>70</v>
      </c>
      <c r="G123" s="40" t="s">
        <v>33</v>
      </c>
      <c r="H123" s="100"/>
      <c r="I123" s="41"/>
      <c r="J123" s="41"/>
      <c r="K123" s="42"/>
      <c r="BC123" s="14"/>
      <c r="BD123" s="15"/>
      <c r="BE123" s="21"/>
      <c r="BF123" s="43" t="s">
        <v>647</v>
      </c>
      <c r="BG123" s="12"/>
      <c r="BH123" s="12"/>
    </row>
    <row r="124" spans="1:60" s="3" customFormat="1" ht="21.6" x14ac:dyDescent="0.3">
      <c r="A124" s="25" t="s">
        <v>129</v>
      </c>
      <c r="B124" s="26" t="s">
        <v>653</v>
      </c>
      <c r="C124" s="419" t="s">
        <v>654</v>
      </c>
      <c r="D124" s="419"/>
      <c r="E124" s="419"/>
      <c r="F124" s="27" t="s">
        <v>70</v>
      </c>
      <c r="G124" s="22" t="s">
        <v>5082</v>
      </c>
      <c r="H124" s="58"/>
      <c r="I124" s="28"/>
      <c r="J124" s="28"/>
      <c r="K124" s="29"/>
      <c r="BC124" s="14"/>
      <c r="BD124" s="15"/>
      <c r="BE124" s="21"/>
      <c r="BF124" s="43"/>
      <c r="BG124" s="12"/>
      <c r="BH124" s="12" t="s">
        <v>654</v>
      </c>
    </row>
    <row r="125" spans="1:60" s="3" customFormat="1" ht="15" customHeight="1" x14ac:dyDescent="0.3">
      <c r="A125" s="437" t="s">
        <v>5083</v>
      </c>
      <c r="B125" s="418"/>
      <c r="C125" s="418"/>
      <c r="D125" s="418"/>
      <c r="E125" s="418"/>
      <c r="F125" s="418"/>
      <c r="G125" s="418"/>
      <c r="H125" s="123"/>
      <c r="I125" s="123"/>
      <c r="J125" s="123"/>
      <c r="K125" s="124"/>
      <c r="BC125" s="14"/>
      <c r="BD125" s="15" t="s">
        <v>5083</v>
      </c>
      <c r="BE125" s="21"/>
      <c r="BF125" s="43"/>
      <c r="BG125" s="12"/>
      <c r="BH125" s="12"/>
    </row>
    <row r="126" spans="1:60" s="3" customFormat="1" ht="21.6" x14ac:dyDescent="0.3">
      <c r="A126" s="16" t="s">
        <v>235</v>
      </c>
      <c r="B126" s="17" t="s">
        <v>705</v>
      </c>
      <c r="C126" s="405" t="s">
        <v>706</v>
      </c>
      <c r="D126" s="405"/>
      <c r="E126" s="405"/>
      <c r="F126" s="16" t="s">
        <v>67</v>
      </c>
      <c r="G126" s="31">
        <v>0.37</v>
      </c>
      <c r="H126" s="57">
        <f>I126/G126</f>
        <v>98108.918918918935</v>
      </c>
      <c r="I126" s="19">
        <f>55705.15-K126</f>
        <v>36300.300000000003</v>
      </c>
      <c r="J126" s="19">
        <f>K126/G126</f>
        <v>52445.54054054054</v>
      </c>
      <c r="K126" s="19">
        <v>19404.849999999999</v>
      </c>
      <c r="BC126" s="14"/>
      <c r="BD126" s="15"/>
      <c r="BE126" s="21" t="s">
        <v>706</v>
      </c>
      <c r="BF126" s="43"/>
      <c r="BG126" s="12"/>
      <c r="BH126" s="12"/>
    </row>
    <row r="127" spans="1:60" s="3" customFormat="1" ht="20.399999999999999" x14ac:dyDescent="0.3">
      <c r="A127" s="25"/>
      <c r="B127" s="26" t="s">
        <v>76</v>
      </c>
      <c r="C127" s="419" t="s">
        <v>77</v>
      </c>
      <c r="D127" s="419"/>
      <c r="E127" s="419"/>
      <c r="F127" s="27" t="s">
        <v>70</v>
      </c>
      <c r="G127" s="22" t="s">
        <v>5084</v>
      </c>
      <c r="H127" s="58"/>
      <c r="I127" s="28"/>
      <c r="J127" s="28"/>
      <c r="K127" s="29"/>
      <c r="BC127" s="14"/>
      <c r="BD127" s="15"/>
      <c r="BE127" s="21"/>
      <c r="BF127" s="43"/>
      <c r="BG127" s="12" t="s">
        <v>77</v>
      </c>
      <c r="BH127" s="12"/>
    </row>
    <row r="128" spans="1:60" s="3" customFormat="1" ht="21.6" x14ac:dyDescent="0.3">
      <c r="A128" s="25"/>
      <c r="B128" s="26" t="s">
        <v>107</v>
      </c>
      <c r="C128" s="419" t="s">
        <v>108</v>
      </c>
      <c r="D128" s="419"/>
      <c r="E128" s="419"/>
      <c r="F128" s="27" t="s">
        <v>46</v>
      </c>
      <c r="G128" s="22" t="s">
        <v>5085</v>
      </c>
      <c r="H128" s="58"/>
      <c r="I128" s="28"/>
      <c r="J128" s="28"/>
      <c r="K128" s="29"/>
      <c r="BC128" s="14"/>
      <c r="BD128" s="15"/>
      <c r="BE128" s="21"/>
      <c r="BF128" s="43"/>
      <c r="BG128" s="12" t="s">
        <v>108</v>
      </c>
      <c r="BH128" s="12"/>
    </row>
    <row r="129" spans="1:60" s="3" customFormat="1" ht="20.399999999999999" x14ac:dyDescent="0.3">
      <c r="A129" s="25"/>
      <c r="B129" s="26" t="s">
        <v>709</v>
      </c>
      <c r="C129" s="419" t="s">
        <v>710</v>
      </c>
      <c r="D129" s="419"/>
      <c r="E129" s="419"/>
      <c r="F129" s="27" t="s">
        <v>46</v>
      </c>
      <c r="G129" s="22" t="s">
        <v>5086</v>
      </c>
      <c r="H129" s="58"/>
      <c r="I129" s="28"/>
      <c r="J129" s="28"/>
      <c r="K129" s="29"/>
      <c r="BC129" s="14"/>
      <c r="BD129" s="15"/>
      <c r="BE129" s="21"/>
      <c r="BF129" s="43"/>
      <c r="BG129" s="12" t="s">
        <v>710</v>
      </c>
      <c r="BH129" s="12"/>
    </row>
    <row r="130" spans="1:60" s="3" customFormat="1" ht="31.8" x14ac:dyDescent="0.3">
      <c r="A130" s="25"/>
      <c r="B130" s="26" t="s">
        <v>712</v>
      </c>
      <c r="C130" s="419" t="s">
        <v>713</v>
      </c>
      <c r="D130" s="419"/>
      <c r="E130" s="419"/>
      <c r="F130" s="27" t="s">
        <v>46</v>
      </c>
      <c r="G130" s="22" t="s">
        <v>5087</v>
      </c>
      <c r="H130" s="58"/>
      <c r="I130" s="28"/>
      <c r="J130" s="28"/>
      <c r="K130" s="29"/>
      <c r="BC130" s="14"/>
      <c r="BD130" s="15"/>
      <c r="BE130" s="21"/>
      <c r="BF130" s="43"/>
      <c r="BG130" s="12" t="s">
        <v>713</v>
      </c>
      <c r="BH130" s="12"/>
    </row>
    <row r="131" spans="1:60" s="3" customFormat="1" ht="20.399999999999999" x14ac:dyDescent="0.3">
      <c r="A131" s="37" t="s">
        <v>143</v>
      </c>
      <c r="B131" s="38" t="s">
        <v>715</v>
      </c>
      <c r="C131" s="430" t="s">
        <v>716</v>
      </c>
      <c r="D131" s="430"/>
      <c r="E131" s="430"/>
      <c r="F131" s="39" t="s">
        <v>115</v>
      </c>
      <c r="G131" s="40" t="s">
        <v>5088</v>
      </c>
      <c r="H131" s="100"/>
      <c r="I131" s="41"/>
      <c r="J131" s="41"/>
      <c r="K131" s="42"/>
      <c r="BC131" s="14"/>
      <c r="BD131" s="15"/>
      <c r="BE131" s="21"/>
      <c r="BF131" s="43" t="s">
        <v>716</v>
      </c>
      <c r="BG131" s="12"/>
      <c r="BH131" s="12"/>
    </row>
    <row r="132" spans="1:60" s="3" customFormat="1" ht="21.6" x14ac:dyDescent="0.3">
      <c r="A132" s="25" t="s">
        <v>129</v>
      </c>
      <c r="B132" s="26" t="s">
        <v>5089</v>
      </c>
      <c r="C132" s="419" t="s">
        <v>5090</v>
      </c>
      <c r="D132" s="419"/>
      <c r="E132" s="419"/>
      <c r="F132" s="27" t="s">
        <v>38</v>
      </c>
      <c r="G132" s="22" t="s">
        <v>5088</v>
      </c>
      <c r="H132" s="58"/>
      <c r="I132" s="28"/>
      <c r="J132" s="28"/>
      <c r="K132" s="29"/>
      <c r="BC132" s="14"/>
      <c r="BD132" s="15"/>
      <c r="BE132" s="21"/>
      <c r="BF132" s="43"/>
      <c r="BG132" s="12"/>
      <c r="BH132" s="12" t="s">
        <v>5090</v>
      </c>
    </row>
    <row r="133" spans="1:60" s="3" customFormat="1" ht="15" customHeight="1" x14ac:dyDescent="0.3">
      <c r="A133" s="437" t="s">
        <v>5091</v>
      </c>
      <c r="B133" s="418"/>
      <c r="C133" s="418"/>
      <c r="D133" s="418"/>
      <c r="E133" s="418"/>
      <c r="F133" s="418"/>
      <c r="G133" s="418"/>
      <c r="H133" s="123"/>
      <c r="I133" s="123"/>
      <c r="J133" s="123"/>
      <c r="K133" s="124"/>
      <c r="BC133" s="14"/>
      <c r="BD133" s="15" t="s">
        <v>5091</v>
      </c>
      <c r="BE133" s="21"/>
      <c r="BF133" s="43"/>
      <c r="BG133" s="12"/>
      <c r="BH133" s="12"/>
    </row>
    <row r="134" spans="1:60" s="3" customFormat="1" ht="15" customHeight="1" x14ac:dyDescent="0.3">
      <c r="A134" s="437" t="s">
        <v>5069</v>
      </c>
      <c r="B134" s="418"/>
      <c r="C134" s="418"/>
      <c r="D134" s="418"/>
      <c r="E134" s="418"/>
      <c r="F134" s="418"/>
      <c r="G134" s="418"/>
      <c r="H134" s="123"/>
      <c r="I134" s="123"/>
      <c r="J134" s="123"/>
      <c r="K134" s="124"/>
      <c r="BC134" s="14"/>
      <c r="BD134" s="15" t="s">
        <v>5069</v>
      </c>
      <c r="BE134" s="21"/>
      <c r="BF134" s="43"/>
      <c r="BG134" s="12"/>
      <c r="BH134" s="12"/>
    </row>
    <row r="135" spans="1:60" s="3" customFormat="1" ht="21.6" x14ac:dyDescent="0.3">
      <c r="A135" s="16" t="s">
        <v>237</v>
      </c>
      <c r="B135" s="17" t="s">
        <v>4789</v>
      </c>
      <c r="C135" s="405" t="s">
        <v>4790</v>
      </c>
      <c r="D135" s="405"/>
      <c r="E135" s="405"/>
      <c r="F135" s="16" t="s">
        <v>125</v>
      </c>
      <c r="G135" s="30">
        <v>0.1236</v>
      </c>
      <c r="H135" s="57">
        <f>I135/G135</f>
        <v>15712.540453074433</v>
      </c>
      <c r="I135" s="19">
        <f>1942.07-K135</f>
        <v>1942.07</v>
      </c>
      <c r="J135" s="19">
        <f>K135/G135</f>
        <v>0</v>
      </c>
      <c r="K135" s="19">
        <v>0</v>
      </c>
      <c r="BC135" s="14"/>
      <c r="BD135" s="15"/>
      <c r="BE135" s="21" t="s">
        <v>4790</v>
      </c>
      <c r="BF135" s="43"/>
      <c r="BG135" s="12"/>
      <c r="BH135" s="12"/>
    </row>
    <row r="136" spans="1:60" s="3" customFormat="1" ht="15" customHeight="1" x14ac:dyDescent="0.3">
      <c r="A136" s="437" t="s">
        <v>5092</v>
      </c>
      <c r="B136" s="418"/>
      <c r="C136" s="418"/>
      <c r="D136" s="418"/>
      <c r="E136" s="418"/>
      <c r="F136" s="418"/>
      <c r="G136" s="418"/>
      <c r="H136" s="123"/>
      <c r="I136" s="123"/>
      <c r="J136" s="123"/>
      <c r="K136" s="124"/>
      <c r="BC136" s="14"/>
      <c r="BD136" s="15" t="s">
        <v>5092</v>
      </c>
      <c r="BE136" s="21"/>
      <c r="BF136" s="43"/>
      <c r="BG136" s="12"/>
      <c r="BH136" s="12"/>
    </row>
    <row r="137" spans="1:60" s="3" customFormat="1" ht="62.4" x14ac:dyDescent="0.3">
      <c r="A137" s="16" t="s">
        <v>243</v>
      </c>
      <c r="B137" s="17" t="s">
        <v>5037</v>
      </c>
      <c r="C137" s="405" t="s">
        <v>5038</v>
      </c>
      <c r="D137" s="405"/>
      <c r="E137" s="405"/>
      <c r="F137" s="16" t="s">
        <v>189</v>
      </c>
      <c r="G137" s="30">
        <v>6.1800000000000001E-2</v>
      </c>
      <c r="H137" s="57">
        <f>I137/G137</f>
        <v>196941.5857605178</v>
      </c>
      <c r="I137" s="19">
        <f>24379.86-K137</f>
        <v>12170.99</v>
      </c>
      <c r="J137" s="19">
        <f>K137/G137</f>
        <v>197554.53074433657</v>
      </c>
      <c r="K137" s="19">
        <v>12208.87</v>
      </c>
      <c r="BC137" s="14"/>
      <c r="BD137" s="15"/>
      <c r="BE137" s="21" t="s">
        <v>5038</v>
      </c>
      <c r="BF137" s="43"/>
      <c r="BG137" s="12"/>
      <c r="BH137" s="12"/>
    </row>
    <row r="138" spans="1:60" s="3" customFormat="1" ht="20.399999999999999" x14ac:dyDescent="0.3">
      <c r="A138" s="25"/>
      <c r="B138" s="26" t="s">
        <v>154</v>
      </c>
      <c r="C138" s="419" t="s">
        <v>155</v>
      </c>
      <c r="D138" s="419"/>
      <c r="E138" s="419"/>
      <c r="F138" s="27" t="s">
        <v>46</v>
      </c>
      <c r="G138" s="22" t="s">
        <v>5093</v>
      </c>
      <c r="H138" s="58"/>
      <c r="I138" s="28"/>
      <c r="J138" s="28"/>
      <c r="K138" s="29"/>
      <c r="BC138" s="14"/>
      <c r="BD138" s="15"/>
      <c r="BE138" s="21"/>
      <c r="BF138" s="43"/>
      <c r="BG138" s="12" t="s">
        <v>155</v>
      </c>
      <c r="BH138" s="12"/>
    </row>
    <row r="139" spans="1:60" s="3" customFormat="1" ht="20.399999999999999" x14ac:dyDescent="0.3">
      <c r="A139" s="25"/>
      <c r="B139" s="26" t="s">
        <v>677</v>
      </c>
      <c r="C139" s="419" t="s">
        <v>678</v>
      </c>
      <c r="D139" s="419"/>
      <c r="E139" s="419"/>
      <c r="F139" s="27" t="s">
        <v>46</v>
      </c>
      <c r="G139" s="22" t="s">
        <v>5094</v>
      </c>
      <c r="H139" s="58"/>
      <c r="I139" s="28"/>
      <c r="J139" s="28"/>
      <c r="K139" s="29"/>
      <c r="BC139" s="14"/>
      <c r="BD139" s="15"/>
      <c r="BE139" s="21"/>
      <c r="BF139" s="43"/>
      <c r="BG139" s="12" t="s">
        <v>678</v>
      </c>
      <c r="BH139" s="12"/>
    </row>
    <row r="140" spans="1:60" s="3" customFormat="1" ht="20.399999999999999" x14ac:dyDescent="0.3">
      <c r="A140" s="25"/>
      <c r="B140" s="26" t="s">
        <v>680</v>
      </c>
      <c r="C140" s="419" t="s">
        <v>681</v>
      </c>
      <c r="D140" s="419"/>
      <c r="E140" s="419"/>
      <c r="F140" s="27" t="s">
        <v>46</v>
      </c>
      <c r="G140" s="22" t="s">
        <v>5095</v>
      </c>
      <c r="H140" s="58"/>
      <c r="I140" s="28"/>
      <c r="J140" s="28"/>
      <c r="K140" s="29"/>
      <c r="BC140" s="14"/>
      <c r="BD140" s="15"/>
      <c r="BE140" s="21"/>
      <c r="BF140" s="43"/>
      <c r="BG140" s="12" t="s">
        <v>681</v>
      </c>
      <c r="BH140" s="12"/>
    </row>
    <row r="141" spans="1:60" s="3" customFormat="1" ht="15" customHeight="1" x14ac:dyDescent="0.3">
      <c r="A141" s="437" t="s">
        <v>661</v>
      </c>
      <c r="B141" s="418"/>
      <c r="C141" s="418"/>
      <c r="D141" s="418"/>
      <c r="E141" s="418"/>
      <c r="F141" s="418"/>
      <c r="G141" s="418"/>
      <c r="H141" s="123"/>
      <c r="I141" s="123"/>
      <c r="J141" s="123"/>
      <c r="K141" s="124"/>
      <c r="BC141" s="14"/>
      <c r="BD141" s="15" t="s">
        <v>661</v>
      </c>
      <c r="BE141" s="21"/>
      <c r="BF141" s="43"/>
      <c r="BG141" s="12"/>
      <c r="BH141" s="12"/>
    </row>
    <row r="142" spans="1:60" s="3" customFormat="1" ht="31.8" x14ac:dyDescent="0.3">
      <c r="A142" s="16" t="s">
        <v>244</v>
      </c>
      <c r="B142" s="17" t="s">
        <v>662</v>
      </c>
      <c r="C142" s="405" t="s">
        <v>663</v>
      </c>
      <c r="D142" s="405"/>
      <c r="E142" s="405"/>
      <c r="F142" s="16" t="s">
        <v>70</v>
      </c>
      <c r="G142" s="31">
        <v>0.03</v>
      </c>
      <c r="H142" s="57">
        <f>I142/G142</f>
        <v>2161.3333333333344</v>
      </c>
      <c r="I142" s="19">
        <f>489.86-K142</f>
        <v>64.840000000000032</v>
      </c>
      <c r="J142" s="19">
        <f>K142/G142</f>
        <v>14167.333333333334</v>
      </c>
      <c r="K142" s="19">
        <v>425.02</v>
      </c>
      <c r="BC142" s="14"/>
      <c r="BD142" s="15"/>
      <c r="BE142" s="21" t="s">
        <v>663</v>
      </c>
      <c r="BF142" s="43"/>
      <c r="BG142" s="12"/>
      <c r="BH142" s="12"/>
    </row>
    <row r="143" spans="1:60" s="3" customFormat="1" ht="20.399999999999999" x14ac:dyDescent="0.3">
      <c r="A143" s="25"/>
      <c r="B143" s="26" t="s">
        <v>631</v>
      </c>
      <c r="C143" s="419" t="s">
        <v>632</v>
      </c>
      <c r="D143" s="419"/>
      <c r="E143" s="419"/>
      <c r="F143" s="27" t="s">
        <v>70</v>
      </c>
      <c r="G143" s="22" t="s">
        <v>5096</v>
      </c>
      <c r="H143" s="58"/>
      <c r="I143" s="28"/>
      <c r="J143" s="28"/>
      <c r="K143" s="29"/>
      <c r="BC143" s="14"/>
      <c r="BD143" s="15"/>
      <c r="BE143" s="21"/>
      <c r="BF143" s="43"/>
      <c r="BG143" s="12" t="s">
        <v>632</v>
      </c>
      <c r="BH143" s="12"/>
    </row>
    <row r="144" spans="1:60" s="3" customFormat="1" ht="15" customHeight="1" x14ac:dyDescent="0.3">
      <c r="A144" s="437" t="s">
        <v>5057</v>
      </c>
      <c r="B144" s="418"/>
      <c r="C144" s="418"/>
      <c r="D144" s="418"/>
      <c r="E144" s="418"/>
      <c r="F144" s="418"/>
      <c r="G144" s="418"/>
      <c r="H144" s="123"/>
      <c r="I144" s="123"/>
      <c r="J144" s="123"/>
      <c r="K144" s="124"/>
      <c r="BC144" s="14"/>
      <c r="BD144" s="15" t="s">
        <v>5057</v>
      </c>
      <c r="BE144" s="21"/>
      <c r="BF144" s="43"/>
      <c r="BG144" s="12"/>
      <c r="BH144" s="12"/>
    </row>
    <row r="145" spans="1:60" s="3" customFormat="1" ht="42" x14ac:dyDescent="0.3">
      <c r="A145" s="16" t="s">
        <v>246</v>
      </c>
      <c r="B145" s="17" t="s">
        <v>629</v>
      </c>
      <c r="C145" s="405" t="s">
        <v>630</v>
      </c>
      <c r="D145" s="405"/>
      <c r="E145" s="405"/>
      <c r="F145" s="16" t="s">
        <v>189</v>
      </c>
      <c r="G145" s="30">
        <v>6.1800000000000001E-2</v>
      </c>
      <c r="H145" s="57">
        <f>I145/G145</f>
        <v>159882.36245954697</v>
      </c>
      <c r="I145" s="19">
        <f>36515.76-K145</f>
        <v>9880.7300000000032</v>
      </c>
      <c r="J145" s="19">
        <f>K145/G145</f>
        <v>430987.54045307438</v>
      </c>
      <c r="K145" s="19">
        <v>26635.03</v>
      </c>
      <c r="BC145" s="14"/>
      <c r="BD145" s="15"/>
      <c r="BE145" s="21" t="s">
        <v>630</v>
      </c>
      <c r="BF145" s="43"/>
      <c r="BG145" s="12"/>
      <c r="BH145" s="12"/>
    </row>
    <row r="146" spans="1:60" s="3" customFormat="1" ht="20.399999999999999" x14ac:dyDescent="0.3">
      <c r="A146" s="25"/>
      <c r="B146" s="26" t="s">
        <v>631</v>
      </c>
      <c r="C146" s="419" t="s">
        <v>632</v>
      </c>
      <c r="D146" s="419"/>
      <c r="E146" s="419"/>
      <c r="F146" s="27" t="s">
        <v>70</v>
      </c>
      <c r="G146" s="22" t="s">
        <v>5097</v>
      </c>
      <c r="H146" s="58"/>
      <c r="I146" s="28"/>
      <c r="J146" s="28"/>
      <c r="K146" s="29"/>
      <c r="BC146" s="14"/>
      <c r="BD146" s="15"/>
      <c r="BE146" s="21"/>
      <c r="BF146" s="43"/>
      <c r="BG146" s="12" t="s">
        <v>632</v>
      </c>
      <c r="BH146" s="12"/>
    </row>
    <row r="147" spans="1:60" s="3" customFormat="1" ht="20.399999999999999" x14ac:dyDescent="0.3">
      <c r="A147" s="25"/>
      <c r="B147" s="26" t="s">
        <v>634</v>
      </c>
      <c r="C147" s="419" t="s">
        <v>635</v>
      </c>
      <c r="D147" s="419"/>
      <c r="E147" s="419"/>
      <c r="F147" s="27" t="s">
        <v>46</v>
      </c>
      <c r="G147" s="22" t="s">
        <v>5098</v>
      </c>
      <c r="H147" s="58"/>
      <c r="I147" s="28"/>
      <c r="J147" s="28"/>
      <c r="K147" s="29"/>
      <c r="BC147" s="14"/>
      <c r="BD147" s="15"/>
      <c r="BE147" s="21"/>
      <c r="BF147" s="43"/>
      <c r="BG147" s="12" t="s">
        <v>635</v>
      </c>
      <c r="BH147" s="12"/>
    </row>
    <row r="148" spans="1:60" s="3" customFormat="1" ht="20.399999999999999" x14ac:dyDescent="0.3">
      <c r="A148" s="25"/>
      <c r="B148" s="26" t="s">
        <v>637</v>
      </c>
      <c r="C148" s="419" t="s">
        <v>638</v>
      </c>
      <c r="D148" s="419"/>
      <c r="E148" s="419"/>
      <c r="F148" s="27" t="s">
        <v>70</v>
      </c>
      <c r="G148" s="22" t="s">
        <v>5099</v>
      </c>
      <c r="H148" s="58"/>
      <c r="I148" s="28"/>
      <c r="J148" s="28"/>
      <c r="K148" s="29"/>
      <c r="BC148" s="14"/>
      <c r="BD148" s="15"/>
      <c r="BE148" s="21"/>
      <c r="BF148" s="43"/>
      <c r="BG148" s="12" t="s">
        <v>638</v>
      </c>
      <c r="BH148" s="12"/>
    </row>
    <row r="149" spans="1:60" s="3" customFormat="1" ht="20.399999999999999" x14ac:dyDescent="0.3">
      <c r="A149" s="25"/>
      <c r="B149" s="26" t="s">
        <v>640</v>
      </c>
      <c r="C149" s="419" t="s">
        <v>641</v>
      </c>
      <c r="D149" s="419"/>
      <c r="E149" s="419"/>
      <c r="F149" s="27" t="s">
        <v>70</v>
      </c>
      <c r="G149" s="22" t="s">
        <v>5100</v>
      </c>
      <c r="H149" s="58"/>
      <c r="I149" s="28"/>
      <c r="J149" s="28"/>
      <c r="K149" s="29"/>
      <c r="BC149" s="14"/>
      <c r="BD149" s="15"/>
      <c r="BE149" s="21"/>
      <c r="BF149" s="43"/>
      <c r="BG149" s="12" t="s">
        <v>641</v>
      </c>
      <c r="BH149" s="12"/>
    </row>
    <row r="150" spans="1:60" s="3" customFormat="1" ht="21.6" x14ac:dyDescent="0.3">
      <c r="A150" s="25"/>
      <c r="B150" s="26" t="s">
        <v>643</v>
      </c>
      <c r="C150" s="419" t="s">
        <v>644</v>
      </c>
      <c r="D150" s="419"/>
      <c r="E150" s="419"/>
      <c r="F150" s="27" t="s">
        <v>38</v>
      </c>
      <c r="G150" s="22" t="s">
        <v>5101</v>
      </c>
      <c r="H150" s="58"/>
      <c r="I150" s="28"/>
      <c r="J150" s="28"/>
      <c r="K150" s="29"/>
      <c r="BC150" s="14"/>
      <c r="BD150" s="15"/>
      <c r="BE150" s="21"/>
      <c r="BF150" s="43"/>
      <c r="BG150" s="12" t="s">
        <v>644</v>
      </c>
      <c r="BH150" s="12"/>
    </row>
    <row r="151" spans="1:60" s="3" customFormat="1" ht="20.399999999999999" x14ac:dyDescent="0.3">
      <c r="A151" s="37" t="s">
        <v>78</v>
      </c>
      <c r="B151" s="38" t="s">
        <v>646</v>
      </c>
      <c r="C151" s="430" t="s">
        <v>647</v>
      </c>
      <c r="D151" s="430"/>
      <c r="E151" s="430"/>
      <c r="F151" s="39" t="s">
        <v>70</v>
      </c>
      <c r="G151" s="40" t="s">
        <v>33</v>
      </c>
      <c r="H151" s="100"/>
      <c r="I151" s="41"/>
      <c r="J151" s="41"/>
      <c r="K151" s="42"/>
      <c r="BC151" s="14"/>
      <c r="BD151" s="15"/>
      <c r="BE151" s="21"/>
      <c r="BF151" s="43" t="s">
        <v>647</v>
      </c>
      <c r="BG151" s="12"/>
      <c r="BH151" s="12"/>
    </row>
    <row r="152" spans="1:60" s="3" customFormat="1" ht="20.399999999999999" x14ac:dyDescent="0.3">
      <c r="A152" s="25"/>
      <c r="B152" s="26" t="s">
        <v>648</v>
      </c>
      <c r="C152" s="419" t="s">
        <v>649</v>
      </c>
      <c r="D152" s="419"/>
      <c r="E152" s="419"/>
      <c r="F152" s="27" t="s">
        <v>70</v>
      </c>
      <c r="G152" s="22" t="s">
        <v>5102</v>
      </c>
      <c r="H152" s="58"/>
      <c r="I152" s="28"/>
      <c r="J152" s="28"/>
      <c r="K152" s="29"/>
      <c r="BC152" s="14"/>
      <c r="BD152" s="15"/>
      <c r="BE152" s="21"/>
      <c r="BF152" s="43"/>
      <c r="BG152" s="12" t="s">
        <v>649</v>
      </c>
      <c r="BH152" s="12"/>
    </row>
    <row r="153" spans="1:60" s="3" customFormat="1" ht="21.6" x14ac:dyDescent="0.3">
      <c r="A153" s="25"/>
      <c r="B153" s="26" t="s">
        <v>651</v>
      </c>
      <c r="C153" s="419" t="s">
        <v>652</v>
      </c>
      <c r="D153" s="419"/>
      <c r="E153" s="419"/>
      <c r="F153" s="27" t="s">
        <v>70</v>
      </c>
      <c r="G153" s="22" t="s">
        <v>5102</v>
      </c>
      <c r="H153" s="58"/>
      <c r="I153" s="28"/>
      <c r="J153" s="28"/>
      <c r="K153" s="29"/>
      <c r="BC153" s="14"/>
      <c r="BD153" s="15"/>
      <c r="BE153" s="21"/>
      <c r="BF153" s="43"/>
      <c r="BG153" s="12" t="s">
        <v>652</v>
      </c>
      <c r="BH153" s="12"/>
    </row>
    <row r="154" spans="1:60" s="3" customFormat="1" ht="21.6" x14ac:dyDescent="0.3">
      <c r="A154" s="25" t="s">
        <v>129</v>
      </c>
      <c r="B154" s="26" t="s">
        <v>653</v>
      </c>
      <c r="C154" s="419" t="s">
        <v>654</v>
      </c>
      <c r="D154" s="419"/>
      <c r="E154" s="419"/>
      <c r="F154" s="27" t="s">
        <v>70</v>
      </c>
      <c r="G154" s="22" t="s">
        <v>5103</v>
      </c>
      <c r="H154" s="58"/>
      <c r="I154" s="28"/>
      <c r="J154" s="28"/>
      <c r="K154" s="29"/>
      <c r="BC154" s="14"/>
      <c r="BD154" s="15"/>
      <c r="BE154" s="21"/>
      <c r="BF154" s="43"/>
      <c r="BG154" s="12"/>
      <c r="BH154" s="12" t="s">
        <v>654</v>
      </c>
    </row>
    <row r="155" spans="1:60" s="3" customFormat="1" ht="31.8" x14ac:dyDescent="0.3">
      <c r="A155" s="16" t="s">
        <v>247</v>
      </c>
      <c r="B155" s="17" t="s">
        <v>656</v>
      </c>
      <c r="C155" s="405" t="s">
        <v>657</v>
      </c>
      <c r="D155" s="405"/>
      <c r="E155" s="405"/>
      <c r="F155" s="16" t="s">
        <v>189</v>
      </c>
      <c r="G155" s="30">
        <v>6.1800000000000001E-2</v>
      </c>
      <c r="H155" s="57">
        <f>I155/G155</f>
        <v>9456.6343042071203</v>
      </c>
      <c r="I155" s="19">
        <f>7086.5-K155</f>
        <v>584.42000000000007</v>
      </c>
      <c r="J155" s="19">
        <f>K155/G155</f>
        <v>105211.6504854369</v>
      </c>
      <c r="K155" s="19">
        <v>6502.08</v>
      </c>
      <c r="BC155" s="14"/>
      <c r="BD155" s="15"/>
      <c r="BE155" s="21" t="s">
        <v>657</v>
      </c>
      <c r="BF155" s="43"/>
      <c r="BG155" s="12"/>
      <c r="BH155" s="12"/>
    </row>
    <row r="156" spans="1:60" s="3" customFormat="1" ht="20.399999999999999" x14ac:dyDescent="0.3">
      <c r="A156" s="25"/>
      <c r="B156" s="26" t="s">
        <v>631</v>
      </c>
      <c r="C156" s="419" t="s">
        <v>632</v>
      </c>
      <c r="D156" s="419"/>
      <c r="E156" s="419"/>
      <c r="F156" s="27" t="s">
        <v>70</v>
      </c>
      <c r="G156" s="22" t="s">
        <v>5104</v>
      </c>
      <c r="H156" s="58"/>
      <c r="I156" s="28"/>
      <c r="J156" s="28"/>
      <c r="K156" s="29"/>
      <c r="BC156" s="14"/>
      <c r="BD156" s="15"/>
      <c r="BE156" s="21"/>
      <c r="BF156" s="43"/>
      <c r="BG156" s="12" t="s">
        <v>632</v>
      </c>
      <c r="BH156" s="12"/>
    </row>
    <row r="157" spans="1:60" s="3" customFormat="1" ht="20.399999999999999" x14ac:dyDescent="0.3">
      <c r="A157" s="25"/>
      <c r="B157" s="26" t="s">
        <v>634</v>
      </c>
      <c r="C157" s="419" t="s">
        <v>635</v>
      </c>
      <c r="D157" s="419"/>
      <c r="E157" s="419"/>
      <c r="F157" s="27" t="s">
        <v>46</v>
      </c>
      <c r="G157" s="22" t="s">
        <v>5105</v>
      </c>
      <c r="H157" s="58"/>
      <c r="I157" s="28"/>
      <c r="J157" s="28"/>
      <c r="K157" s="29"/>
      <c r="BC157" s="14"/>
      <c r="BD157" s="15"/>
      <c r="BE157" s="21"/>
      <c r="BF157" s="43"/>
      <c r="BG157" s="12" t="s">
        <v>635</v>
      </c>
      <c r="BH157" s="12"/>
    </row>
    <row r="158" spans="1:60" s="3" customFormat="1" ht="20.399999999999999" x14ac:dyDescent="0.3">
      <c r="A158" s="37" t="s">
        <v>78</v>
      </c>
      <c r="B158" s="38" t="s">
        <v>646</v>
      </c>
      <c r="C158" s="430" t="s">
        <v>647</v>
      </c>
      <c r="D158" s="430"/>
      <c r="E158" s="430"/>
      <c r="F158" s="39" t="s">
        <v>70</v>
      </c>
      <c r="G158" s="40" t="s">
        <v>33</v>
      </c>
      <c r="H158" s="100"/>
      <c r="I158" s="41"/>
      <c r="J158" s="41"/>
      <c r="K158" s="42"/>
      <c r="BC158" s="14"/>
      <c r="BD158" s="15"/>
      <c r="BE158" s="21"/>
      <c r="BF158" s="43" t="s">
        <v>647</v>
      </c>
      <c r="BG158" s="12"/>
      <c r="BH158" s="12"/>
    </row>
    <row r="159" spans="1:60" s="3" customFormat="1" ht="21.6" x14ac:dyDescent="0.3">
      <c r="A159" s="25" t="s">
        <v>129</v>
      </c>
      <c r="B159" s="26" t="s">
        <v>653</v>
      </c>
      <c r="C159" s="419" t="s">
        <v>654</v>
      </c>
      <c r="D159" s="419"/>
      <c r="E159" s="419"/>
      <c r="F159" s="27" t="s">
        <v>70</v>
      </c>
      <c r="G159" s="22" t="s">
        <v>5106</v>
      </c>
      <c r="H159" s="58"/>
      <c r="I159" s="28"/>
      <c r="J159" s="28"/>
      <c r="K159" s="29"/>
      <c r="BC159" s="14"/>
      <c r="BD159" s="15"/>
      <c r="BE159" s="21"/>
      <c r="BF159" s="43"/>
      <c r="BG159" s="12"/>
      <c r="BH159" s="12" t="s">
        <v>654</v>
      </c>
    </row>
    <row r="160" spans="1:60" s="3" customFormat="1" ht="15" customHeight="1" x14ac:dyDescent="0.3">
      <c r="A160" s="435" t="s">
        <v>5107</v>
      </c>
      <c r="B160" s="436"/>
      <c r="C160" s="436"/>
      <c r="D160" s="436"/>
      <c r="E160" s="436"/>
      <c r="F160" s="436"/>
      <c r="G160" s="436"/>
      <c r="H160" s="103"/>
      <c r="I160" s="103"/>
      <c r="J160" s="103"/>
      <c r="K160" s="104"/>
      <c r="BC160" s="14" t="s">
        <v>5107</v>
      </c>
      <c r="BD160" s="15"/>
      <c r="BE160" s="21"/>
      <c r="BF160" s="43"/>
      <c r="BG160" s="12"/>
      <c r="BH160" s="12"/>
    </row>
    <row r="161" spans="1:60" s="3" customFormat="1" ht="15" customHeight="1" x14ac:dyDescent="0.3">
      <c r="A161" s="437" t="s">
        <v>5108</v>
      </c>
      <c r="B161" s="418"/>
      <c r="C161" s="418"/>
      <c r="D161" s="418"/>
      <c r="E161" s="418"/>
      <c r="F161" s="418"/>
      <c r="G161" s="418"/>
      <c r="H161" s="123"/>
      <c r="I161" s="123"/>
      <c r="J161" s="123"/>
      <c r="K161" s="124"/>
      <c r="BC161" s="14"/>
      <c r="BD161" s="15" t="s">
        <v>5108</v>
      </c>
      <c r="BE161" s="21"/>
      <c r="BF161" s="43"/>
      <c r="BG161" s="12"/>
      <c r="BH161" s="12"/>
    </row>
    <row r="162" spans="1:60" s="3" customFormat="1" ht="42" x14ac:dyDescent="0.3">
      <c r="A162" s="16" t="s">
        <v>531</v>
      </c>
      <c r="B162" s="17" t="s">
        <v>800</v>
      </c>
      <c r="C162" s="405" t="s">
        <v>801</v>
      </c>
      <c r="D162" s="405"/>
      <c r="E162" s="405"/>
      <c r="F162" s="16" t="s">
        <v>329</v>
      </c>
      <c r="G162" s="18">
        <v>20.498000000000001</v>
      </c>
      <c r="H162" s="57">
        <f>I162/G162</f>
        <v>37294.180407844673</v>
      </c>
      <c r="I162" s="19">
        <f>1133438.56-K162</f>
        <v>764456.1100000001</v>
      </c>
      <c r="J162" s="19">
        <f>K162/G162</f>
        <v>18000.900087813447</v>
      </c>
      <c r="K162" s="19">
        <v>368982.45</v>
      </c>
      <c r="BC162" s="14"/>
      <c r="BD162" s="15"/>
      <c r="BE162" s="21" t="s">
        <v>801</v>
      </c>
      <c r="BF162" s="43"/>
      <c r="BG162" s="12"/>
      <c r="BH162" s="12"/>
    </row>
    <row r="163" spans="1:60" s="3" customFormat="1" ht="20.399999999999999" x14ac:dyDescent="0.3">
      <c r="A163" s="25"/>
      <c r="B163" s="26" t="s">
        <v>802</v>
      </c>
      <c r="C163" s="419" t="s">
        <v>787</v>
      </c>
      <c r="D163" s="419"/>
      <c r="E163" s="419"/>
      <c r="F163" s="27" t="s">
        <v>46</v>
      </c>
      <c r="G163" s="22" t="s">
        <v>5109</v>
      </c>
      <c r="H163" s="58"/>
      <c r="I163" s="28"/>
      <c r="J163" s="28"/>
      <c r="K163" s="29"/>
      <c r="BC163" s="14"/>
      <c r="BD163" s="15"/>
      <c r="BE163" s="21"/>
      <c r="BF163" s="43"/>
      <c r="BG163" s="12" t="s">
        <v>787</v>
      </c>
      <c r="BH163" s="12"/>
    </row>
    <row r="164" spans="1:60" s="3" customFormat="1" ht="15" customHeight="1" x14ac:dyDescent="0.3">
      <c r="A164" s="437" t="s">
        <v>5110</v>
      </c>
      <c r="B164" s="418"/>
      <c r="C164" s="418"/>
      <c r="D164" s="418"/>
      <c r="E164" s="418"/>
      <c r="F164" s="418"/>
      <c r="G164" s="418"/>
      <c r="H164" s="123"/>
      <c r="I164" s="123"/>
      <c r="J164" s="123"/>
      <c r="K164" s="124"/>
      <c r="BC164" s="14"/>
      <c r="BD164" s="15" t="s">
        <v>5110</v>
      </c>
      <c r="BE164" s="21"/>
      <c r="BF164" s="43"/>
      <c r="BG164" s="12"/>
      <c r="BH164" s="12"/>
    </row>
    <row r="165" spans="1:60" s="3" customFormat="1" ht="21.6" x14ac:dyDescent="0.3">
      <c r="A165" s="16" t="s">
        <v>533</v>
      </c>
      <c r="B165" s="17" t="s">
        <v>804</v>
      </c>
      <c r="C165" s="405" t="s">
        <v>805</v>
      </c>
      <c r="D165" s="405"/>
      <c r="E165" s="405"/>
      <c r="F165" s="16" t="s">
        <v>329</v>
      </c>
      <c r="G165" s="18">
        <v>20.498000000000001</v>
      </c>
      <c r="H165" s="57">
        <f>I165/G165</f>
        <v>11704.888769636063</v>
      </c>
      <c r="I165" s="19">
        <f>297414.78-K165</f>
        <v>239926.81000000003</v>
      </c>
      <c r="J165" s="19">
        <f>K165/G165</f>
        <v>2804.5648355937165</v>
      </c>
      <c r="K165" s="19">
        <v>57487.97</v>
      </c>
      <c r="BC165" s="14"/>
      <c r="BD165" s="15"/>
      <c r="BE165" s="21" t="s">
        <v>805</v>
      </c>
      <c r="BF165" s="43"/>
      <c r="BG165" s="12"/>
      <c r="BH165" s="12"/>
    </row>
    <row r="166" spans="1:60" s="3" customFormat="1" ht="20.399999999999999" x14ac:dyDescent="0.3">
      <c r="A166" s="25"/>
      <c r="B166" s="26" t="s">
        <v>154</v>
      </c>
      <c r="C166" s="419" t="s">
        <v>155</v>
      </c>
      <c r="D166" s="419"/>
      <c r="E166" s="419"/>
      <c r="F166" s="27" t="s">
        <v>46</v>
      </c>
      <c r="G166" s="22" t="s">
        <v>5111</v>
      </c>
      <c r="H166" s="58"/>
      <c r="I166" s="28"/>
      <c r="J166" s="28"/>
      <c r="K166" s="29"/>
      <c r="BC166" s="14"/>
      <c r="BD166" s="15"/>
      <c r="BE166" s="21"/>
      <c r="BF166" s="43"/>
      <c r="BG166" s="12" t="s">
        <v>155</v>
      </c>
      <c r="BH166" s="12"/>
    </row>
    <row r="167" spans="1:60" s="3" customFormat="1" ht="20.399999999999999" x14ac:dyDescent="0.3">
      <c r="A167" s="37" t="s">
        <v>143</v>
      </c>
      <c r="B167" s="38" t="s">
        <v>789</v>
      </c>
      <c r="C167" s="430" t="s">
        <v>807</v>
      </c>
      <c r="D167" s="430"/>
      <c r="E167" s="430"/>
      <c r="F167" s="39" t="s">
        <v>75</v>
      </c>
      <c r="G167" s="40" t="s">
        <v>5112</v>
      </c>
      <c r="H167" s="100"/>
      <c r="I167" s="41"/>
      <c r="J167" s="41"/>
      <c r="K167" s="42"/>
      <c r="BC167" s="14"/>
      <c r="BD167" s="15"/>
      <c r="BE167" s="21"/>
      <c r="BF167" s="43" t="s">
        <v>807</v>
      </c>
      <c r="BG167" s="12"/>
      <c r="BH167" s="12"/>
    </row>
    <row r="168" spans="1:60" s="3" customFormat="1" ht="20.399999999999999" x14ac:dyDescent="0.3">
      <c r="A168" s="25" t="s">
        <v>129</v>
      </c>
      <c r="B168" s="26" t="s">
        <v>796</v>
      </c>
      <c r="C168" s="419" t="s">
        <v>797</v>
      </c>
      <c r="D168" s="419"/>
      <c r="E168" s="419"/>
      <c r="F168" s="27" t="s">
        <v>75</v>
      </c>
      <c r="G168" s="22" t="s">
        <v>5112</v>
      </c>
      <c r="H168" s="58"/>
      <c r="I168" s="28"/>
      <c r="J168" s="28"/>
      <c r="K168" s="29"/>
      <c r="BC168" s="14"/>
      <c r="BD168" s="15"/>
      <c r="BE168" s="21"/>
      <c r="BF168" s="43"/>
      <c r="BG168" s="12"/>
      <c r="BH168" s="12" t="s">
        <v>797</v>
      </c>
    </row>
    <row r="169" spans="1:60" s="3" customFormat="1" ht="15" customHeight="1" x14ac:dyDescent="0.3">
      <c r="A169" s="437" t="s">
        <v>5113</v>
      </c>
      <c r="B169" s="418"/>
      <c r="C169" s="418"/>
      <c r="D169" s="418"/>
      <c r="E169" s="418"/>
      <c r="F169" s="418"/>
      <c r="G169" s="418"/>
      <c r="H169" s="123"/>
      <c r="I169" s="123"/>
      <c r="J169" s="123"/>
      <c r="K169" s="124"/>
      <c r="BC169" s="14"/>
      <c r="BD169" s="15" t="s">
        <v>5113</v>
      </c>
      <c r="BE169" s="21"/>
      <c r="BF169" s="43"/>
      <c r="BG169" s="12"/>
      <c r="BH169" s="12"/>
    </row>
    <row r="170" spans="1:60" s="3" customFormat="1" ht="31.8" x14ac:dyDescent="0.3">
      <c r="A170" s="16" t="s">
        <v>539</v>
      </c>
      <c r="B170" s="17" t="s">
        <v>5114</v>
      </c>
      <c r="C170" s="405" t="s">
        <v>5115</v>
      </c>
      <c r="D170" s="405"/>
      <c r="E170" s="405"/>
      <c r="F170" s="16" t="s">
        <v>329</v>
      </c>
      <c r="G170" s="18">
        <v>1.504</v>
      </c>
      <c r="H170" s="57">
        <f>I170/G170</f>
        <v>25914.12234042554</v>
      </c>
      <c r="I170" s="19">
        <f>65857.32-K170</f>
        <v>38974.840000000011</v>
      </c>
      <c r="J170" s="19">
        <f>K170/G170</f>
        <v>17873.989361702126</v>
      </c>
      <c r="K170" s="19">
        <v>26882.48</v>
      </c>
      <c r="BC170" s="14"/>
      <c r="BD170" s="15"/>
      <c r="BE170" s="21" t="s">
        <v>5115</v>
      </c>
      <c r="BF170" s="43"/>
      <c r="BG170" s="12"/>
      <c r="BH170" s="12"/>
    </row>
    <row r="171" spans="1:60" s="3" customFormat="1" ht="20.399999999999999" x14ac:dyDescent="0.3">
      <c r="A171" s="37" t="s">
        <v>143</v>
      </c>
      <c r="B171" s="38" t="s">
        <v>786</v>
      </c>
      <c r="C171" s="430" t="s">
        <v>787</v>
      </c>
      <c r="D171" s="430"/>
      <c r="E171" s="430"/>
      <c r="F171" s="39" t="s">
        <v>46</v>
      </c>
      <c r="G171" s="40" t="s">
        <v>5116</v>
      </c>
      <c r="H171" s="100"/>
      <c r="I171" s="41"/>
      <c r="J171" s="41"/>
      <c r="K171" s="42"/>
      <c r="BC171" s="14"/>
      <c r="BD171" s="15"/>
      <c r="BE171" s="21"/>
      <c r="BF171" s="43" t="s">
        <v>787</v>
      </c>
      <c r="BG171" s="12"/>
      <c r="BH171" s="12"/>
    </row>
    <row r="172" spans="1:60" s="3" customFormat="1" ht="20.399999999999999" x14ac:dyDescent="0.3">
      <c r="A172" s="37" t="s">
        <v>143</v>
      </c>
      <c r="B172" s="38" t="s">
        <v>789</v>
      </c>
      <c r="C172" s="430" t="s">
        <v>790</v>
      </c>
      <c r="D172" s="430"/>
      <c r="E172" s="430"/>
      <c r="F172" s="39" t="s">
        <v>75</v>
      </c>
      <c r="G172" s="40" t="s">
        <v>5117</v>
      </c>
      <c r="H172" s="100"/>
      <c r="I172" s="41"/>
      <c r="J172" s="41"/>
      <c r="K172" s="42"/>
      <c r="BC172" s="14"/>
      <c r="BD172" s="15"/>
      <c r="BE172" s="21"/>
      <c r="BF172" s="43" t="s">
        <v>790</v>
      </c>
      <c r="BG172" s="12"/>
      <c r="BH172" s="12"/>
    </row>
    <row r="173" spans="1:60" s="3" customFormat="1" ht="20.399999999999999" x14ac:dyDescent="0.3">
      <c r="A173" s="25" t="s">
        <v>129</v>
      </c>
      <c r="B173" s="26" t="s">
        <v>795</v>
      </c>
      <c r="C173" s="419" t="s">
        <v>787</v>
      </c>
      <c r="D173" s="419"/>
      <c r="E173" s="419"/>
      <c r="F173" s="27" t="s">
        <v>46</v>
      </c>
      <c r="G173" s="22" t="s">
        <v>5116</v>
      </c>
      <c r="H173" s="58"/>
      <c r="I173" s="28"/>
      <c r="J173" s="28"/>
      <c r="K173" s="29"/>
      <c r="BC173" s="14"/>
      <c r="BD173" s="15"/>
      <c r="BE173" s="21"/>
      <c r="BF173" s="43"/>
      <c r="BG173" s="12"/>
      <c r="BH173" s="12" t="s">
        <v>787</v>
      </c>
    </row>
    <row r="174" spans="1:60" s="3" customFormat="1" ht="20.399999999999999" x14ac:dyDescent="0.3">
      <c r="A174" s="25" t="s">
        <v>129</v>
      </c>
      <c r="B174" s="26" t="s">
        <v>796</v>
      </c>
      <c r="C174" s="419" t="s">
        <v>797</v>
      </c>
      <c r="D174" s="419"/>
      <c r="E174" s="419"/>
      <c r="F174" s="27" t="s">
        <v>75</v>
      </c>
      <c r="G174" s="22" t="s">
        <v>5117</v>
      </c>
      <c r="H174" s="58"/>
      <c r="I174" s="28"/>
      <c r="J174" s="28"/>
      <c r="K174" s="29"/>
      <c r="BC174" s="14"/>
      <c r="BD174" s="15"/>
      <c r="BE174" s="21"/>
      <c r="BF174" s="43"/>
      <c r="BG174" s="12"/>
      <c r="BH174" s="12" t="s">
        <v>797</v>
      </c>
    </row>
    <row r="175" spans="1:60" s="3" customFormat="1" ht="20.25" customHeight="1" x14ac:dyDescent="0.3">
      <c r="A175" s="406" t="s">
        <v>57</v>
      </c>
      <c r="B175" s="407"/>
      <c r="C175" s="407"/>
      <c r="D175" s="407"/>
      <c r="E175" s="407"/>
      <c r="F175" s="407"/>
      <c r="G175" s="407"/>
      <c r="H175" s="66"/>
      <c r="I175" s="67">
        <f>SUM(I11:I174)</f>
        <v>2046060.8500000006</v>
      </c>
      <c r="J175" s="72"/>
      <c r="K175" s="87">
        <f>SUM(K11:K174)</f>
        <v>2550332.6700000004</v>
      </c>
      <c r="N175" s="56"/>
    </row>
    <row r="176" spans="1:60" s="53" customFormat="1" ht="20.25" customHeight="1" thickBot="1" x14ac:dyDescent="0.35">
      <c r="A176" s="408" t="s">
        <v>5461</v>
      </c>
      <c r="B176" s="409"/>
      <c r="C176" s="409"/>
      <c r="D176" s="409"/>
      <c r="E176" s="409"/>
      <c r="F176" s="409"/>
      <c r="G176" s="409"/>
      <c r="H176" s="88"/>
      <c r="I176" s="410">
        <f>I175+K175</f>
        <v>4596393.5200000014</v>
      </c>
      <c r="J176" s="411"/>
      <c r="K176" s="412"/>
      <c r="M176" s="153"/>
      <c r="N176" s="153"/>
    </row>
    <row r="177" spans="13:13" ht="11.25" customHeight="1" x14ac:dyDescent="0.2">
      <c r="M177" s="54"/>
    </row>
  </sheetData>
  <mergeCells count="174">
    <mergeCell ref="A175:G175"/>
    <mergeCell ref="A176:G176"/>
    <mergeCell ref="I176:K176"/>
    <mergeCell ref="A59:G59"/>
    <mergeCell ref="A54:G54"/>
    <mergeCell ref="A49:G49"/>
    <mergeCell ref="A42:G42"/>
    <mergeCell ref="A37:G37"/>
    <mergeCell ref="A35:G35"/>
    <mergeCell ref="A169:G169"/>
    <mergeCell ref="A164:G164"/>
    <mergeCell ref="A161:G161"/>
    <mergeCell ref="A160:G160"/>
    <mergeCell ref="A144:G144"/>
    <mergeCell ref="A141:G141"/>
    <mergeCell ref="A136:G136"/>
    <mergeCell ref="A134:G134"/>
    <mergeCell ref="A133:G133"/>
    <mergeCell ref="A125:G125"/>
    <mergeCell ref="A116:G116"/>
    <mergeCell ref="A113:G113"/>
    <mergeCell ref="A108:G108"/>
    <mergeCell ref="A106:G106"/>
    <mergeCell ref="A105:G105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2:E162"/>
    <mergeCell ref="C163:E163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2:E142"/>
    <mergeCell ref="C143:E143"/>
    <mergeCell ref="C135:E135"/>
    <mergeCell ref="C137:E137"/>
    <mergeCell ref="C138:E138"/>
    <mergeCell ref="C139:E139"/>
    <mergeCell ref="C130:E130"/>
    <mergeCell ref="C131:E131"/>
    <mergeCell ref="C132:E132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7:E117"/>
    <mergeCell ref="C118:E118"/>
    <mergeCell ref="C119:E119"/>
    <mergeCell ref="C110:E110"/>
    <mergeCell ref="C111:E111"/>
    <mergeCell ref="C112:E112"/>
    <mergeCell ref="C114:E114"/>
    <mergeCell ref="C107:E107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8:E98"/>
    <mergeCell ref="C99:E99"/>
    <mergeCell ref="A97:G97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2:E82"/>
    <mergeCell ref="C83:E83"/>
    <mergeCell ref="C84:E84"/>
    <mergeCell ref="C75:E75"/>
    <mergeCell ref="C76:E76"/>
    <mergeCell ref="C77:E77"/>
    <mergeCell ref="C79:E79"/>
    <mergeCell ref="A81:G81"/>
    <mergeCell ref="A78:G78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3:E63"/>
    <mergeCell ref="C64:E64"/>
    <mergeCell ref="C55:E55"/>
    <mergeCell ref="C56:E56"/>
    <mergeCell ref="C57:E57"/>
    <mergeCell ref="C58:E58"/>
    <mergeCell ref="A62:G62"/>
    <mergeCell ref="C50:E50"/>
    <mergeCell ref="C51:E51"/>
    <mergeCell ref="C52:E52"/>
    <mergeCell ref="C53:E53"/>
    <mergeCell ref="C45:E45"/>
    <mergeCell ref="C46:E46"/>
    <mergeCell ref="C47:E47"/>
    <mergeCell ref="C48:E48"/>
    <mergeCell ref="C40:E40"/>
    <mergeCell ref="C41:E41"/>
    <mergeCell ref="C43:E43"/>
    <mergeCell ref="C44:E44"/>
    <mergeCell ref="C36:E36"/>
    <mergeCell ref="C38:E38"/>
    <mergeCell ref="C39:E39"/>
    <mergeCell ref="C31:E31"/>
    <mergeCell ref="C32:E32"/>
    <mergeCell ref="C27:E27"/>
    <mergeCell ref="C29:E29"/>
    <mergeCell ref="A34:G34"/>
    <mergeCell ref="A33:G33"/>
    <mergeCell ref="A30:G30"/>
    <mergeCell ref="A28:G28"/>
    <mergeCell ref="A26:G26"/>
    <mergeCell ref="A25:G25"/>
    <mergeCell ref="C22:E22"/>
    <mergeCell ref="C24:E24"/>
    <mergeCell ref="C15:E15"/>
    <mergeCell ref="C16:E16"/>
    <mergeCell ref="C17:E17"/>
    <mergeCell ref="C19:E19"/>
    <mergeCell ref="A23:G23"/>
    <mergeCell ref="A21:G21"/>
    <mergeCell ref="A20:G20"/>
    <mergeCell ref="A18:G18"/>
    <mergeCell ref="A2:K2"/>
    <mergeCell ref="A3:K3"/>
    <mergeCell ref="A5:K5"/>
    <mergeCell ref="C9:E9"/>
    <mergeCell ref="C10:E10"/>
    <mergeCell ref="C14:E14"/>
    <mergeCell ref="A6:K6"/>
    <mergeCell ref="C7:G7"/>
    <mergeCell ref="A13:G13"/>
    <mergeCell ref="A12:G12"/>
    <mergeCell ref="A11:G11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50"/>
    <pageSetUpPr fitToPage="1"/>
  </sheetPr>
  <dimension ref="A1:BJ331"/>
  <sheetViews>
    <sheetView workbookViewId="0">
      <selection activeCell="L7" sqref="L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.109375" style="1" customWidth="1"/>
    <col min="4" max="4" width="16" style="1" customWidth="1"/>
    <col min="5" max="5" width="20.5546875" style="1" customWidth="1"/>
    <col min="6" max="7" width="10.6640625" style="1" customWidth="1"/>
    <col min="8" max="11" width="19" style="54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9" width="34.109375" style="2" hidden="1" customWidth="1"/>
    <col min="60" max="62" width="127.5546875" style="2" hidden="1" customWidth="1"/>
    <col min="63" max="16384" width="9.109375" style="1"/>
  </cols>
  <sheetData>
    <row r="1" spans="1:56" s="3" customFormat="1" ht="14.4" x14ac:dyDescent="0.3">
      <c r="A1" s="95" t="s">
        <v>5578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6" s="3" customFormat="1" ht="31.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14.4" x14ac:dyDescent="0.3">
      <c r="A5" s="404" t="s">
        <v>4742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4742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14.4" x14ac:dyDescent="0.3">
      <c r="A7" s="4"/>
      <c r="B7" s="8" t="s">
        <v>5</v>
      </c>
      <c r="C7" s="402" t="s">
        <v>4743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5" customHeight="1" x14ac:dyDescent="0.3">
      <c r="A11" s="435" t="s">
        <v>4744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B11" s="14" t="s">
        <v>4744</v>
      </c>
    </row>
    <row r="12" spans="1:56" s="3" customFormat="1" ht="15" customHeight="1" x14ac:dyDescent="0.3">
      <c r="A12" s="454" t="s">
        <v>4745</v>
      </c>
      <c r="B12" s="455"/>
      <c r="C12" s="455"/>
      <c r="D12" s="455"/>
      <c r="E12" s="455"/>
      <c r="F12" s="455"/>
      <c r="G12" s="455"/>
      <c r="H12" s="296"/>
      <c r="I12" s="296"/>
      <c r="J12" s="296"/>
      <c r="K12" s="297"/>
      <c r="BB12" s="14"/>
      <c r="BC12" s="15" t="s">
        <v>4745</v>
      </c>
    </row>
    <row r="13" spans="1:56" s="3" customFormat="1" ht="42" x14ac:dyDescent="0.3">
      <c r="A13" s="16" t="s">
        <v>15</v>
      </c>
      <c r="B13" s="17" t="s">
        <v>4746</v>
      </c>
      <c r="C13" s="405" t="s">
        <v>4747</v>
      </c>
      <c r="D13" s="405"/>
      <c r="E13" s="405"/>
      <c r="F13" s="16" t="s">
        <v>43</v>
      </c>
      <c r="G13" s="30">
        <v>0.34870000000000001</v>
      </c>
      <c r="H13" s="57">
        <f>I13/G13</f>
        <v>63128.391167192422</v>
      </c>
      <c r="I13" s="19">
        <f>22012.87-K13</f>
        <v>22012.87</v>
      </c>
      <c r="J13" s="19">
        <f>K13/G13</f>
        <v>0</v>
      </c>
      <c r="K13" s="19">
        <v>0</v>
      </c>
      <c r="BB13" s="14"/>
      <c r="BC13" s="15"/>
      <c r="BD13" s="21" t="s">
        <v>4747</v>
      </c>
    </row>
    <row r="14" spans="1:56" s="3" customFormat="1" ht="15" customHeight="1" x14ac:dyDescent="0.3">
      <c r="A14" s="454" t="s">
        <v>4748</v>
      </c>
      <c r="B14" s="455"/>
      <c r="C14" s="455"/>
      <c r="D14" s="455"/>
      <c r="E14" s="455"/>
      <c r="F14" s="455"/>
      <c r="G14" s="455"/>
      <c r="H14" s="296"/>
      <c r="I14" s="296"/>
      <c r="J14" s="296"/>
      <c r="K14" s="297"/>
      <c r="BB14" s="14"/>
      <c r="BC14" s="15" t="s">
        <v>4748</v>
      </c>
      <c r="BD14" s="21"/>
    </row>
    <row r="15" spans="1:56" s="3" customFormat="1" ht="31.8" x14ac:dyDescent="0.3">
      <c r="A15" s="16" t="s">
        <v>20</v>
      </c>
      <c r="B15" s="17" t="s">
        <v>1732</v>
      </c>
      <c r="C15" s="405" t="s">
        <v>1733</v>
      </c>
      <c r="D15" s="405"/>
      <c r="E15" s="405"/>
      <c r="F15" s="16" t="s">
        <v>125</v>
      </c>
      <c r="G15" s="18">
        <v>0.108</v>
      </c>
      <c r="H15" s="57">
        <f>I15/G15</f>
        <v>140948.24074074073</v>
      </c>
      <c r="I15" s="19">
        <f>15222.41-K15</f>
        <v>15222.41</v>
      </c>
      <c r="J15" s="19">
        <f>K15/G15</f>
        <v>0</v>
      </c>
      <c r="K15" s="19">
        <v>0</v>
      </c>
      <c r="BB15" s="14"/>
      <c r="BC15" s="15"/>
      <c r="BD15" s="21" t="s">
        <v>1733</v>
      </c>
    </row>
    <row r="16" spans="1:56" s="3" customFormat="1" ht="15" customHeight="1" x14ac:dyDescent="0.3">
      <c r="A16" s="454" t="s">
        <v>4749</v>
      </c>
      <c r="B16" s="455"/>
      <c r="C16" s="455"/>
      <c r="D16" s="455"/>
      <c r="E16" s="455"/>
      <c r="F16" s="455"/>
      <c r="G16" s="455"/>
      <c r="H16" s="296"/>
      <c r="I16" s="296"/>
      <c r="J16" s="296"/>
      <c r="K16" s="297"/>
      <c r="BB16" s="14"/>
      <c r="BC16" s="15" t="s">
        <v>4749</v>
      </c>
      <c r="BD16" s="21"/>
    </row>
    <row r="17" spans="1:59" s="3" customFormat="1" ht="21.6" x14ac:dyDescent="0.3">
      <c r="A17" s="16" t="s">
        <v>22</v>
      </c>
      <c r="B17" s="17" t="s">
        <v>4355</v>
      </c>
      <c r="C17" s="405" t="s">
        <v>4356</v>
      </c>
      <c r="D17" s="405"/>
      <c r="E17" s="405"/>
      <c r="F17" s="16" t="s">
        <v>46</v>
      </c>
      <c r="G17" s="24">
        <v>27.2</v>
      </c>
      <c r="H17" s="57">
        <f>I17/G17</f>
        <v>909.90919117647059</v>
      </c>
      <c r="I17" s="19">
        <f>40723.71-K17</f>
        <v>24749.53</v>
      </c>
      <c r="J17" s="19">
        <f>K17/G17</f>
        <v>587.28602941176473</v>
      </c>
      <c r="K17" s="19">
        <v>15974.18</v>
      </c>
      <c r="BB17" s="14"/>
      <c r="BC17" s="15"/>
      <c r="BD17" s="21" t="s">
        <v>4356</v>
      </c>
    </row>
    <row r="18" spans="1:59" s="3" customFormat="1" ht="20.399999999999999" x14ac:dyDescent="0.3">
      <c r="A18" s="25"/>
      <c r="B18" s="26" t="s">
        <v>154</v>
      </c>
      <c r="C18" s="419" t="s">
        <v>155</v>
      </c>
      <c r="D18" s="419"/>
      <c r="E18" s="419"/>
      <c r="F18" s="27" t="s">
        <v>46</v>
      </c>
      <c r="G18" s="22" t="s">
        <v>4750</v>
      </c>
      <c r="H18" s="58"/>
      <c r="I18" s="28"/>
      <c r="J18" s="28"/>
      <c r="K18" s="29"/>
      <c r="BB18" s="14"/>
      <c r="BC18" s="15"/>
      <c r="BD18" s="21"/>
      <c r="BE18" s="12" t="s">
        <v>155</v>
      </c>
    </row>
    <row r="19" spans="1:59" s="3" customFormat="1" ht="20.399999999999999" x14ac:dyDescent="0.3">
      <c r="A19" s="37" t="s">
        <v>143</v>
      </c>
      <c r="B19" s="38" t="s">
        <v>767</v>
      </c>
      <c r="C19" s="430" t="s">
        <v>768</v>
      </c>
      <c r="D19" s="430"/>
      <c r="E19" s="430"/>
      <c r="F19" s="39" t="s">
        <v>46</v>
      </c>
      <c r="G19" s="40" t="s">
        <v>4751</v>
      </c>
      <c r="H19" s="100"/>
      <c r="I19" s="41"/>
      <c r="J19" s="41"/>
      <c r="K19" s="42"/>
      <c r="BB19" s="14"/>
      <c r="BC19" s="15"/>
      <c r="BD19" s="21"/>
      <c r="BE19" s="12"/>
      <c r="BF19" s="43" t="s">
        <v>768</v>
      </c>
    </row>
    <row r="20" spans="1:59" s="3" customFormat="1" ht="21.6" x14ac:dyDescent="0.3">
      <c r="A20" s="25" t="s">
        <v>129</v>
      </c>
      <c r="B20" s="26" t="s">
        <v>205</v>
      </c>
      <c r="C20" s="419" t="s">
        <v>82</v>
      </c>
      <c r="D20" s="419"/>
      <c r="E20" s="419"/>
      <c r="F20" s="27" t="s">
        <v>46</v>
      </c>
      <c r="G20" s="22" t="s">
        <v>4751</v>
      </c>
      <c r="H20" s="58"/>
      <c r="I20" s="28"/>
      <c r="J20" s="28"/>
      <c r="K20" s="29"/>
      <c r="BB20" s="14"/>
      <c r="BC20" s="15"/>
      <c r="BD20" s="21"/>
      <c r="BE20" s="12"/>
      <c r="BF20" s="43"/>
      <c r="BG20" s="12" t="s">
        <v>82</v>
      </c>
    </row>
    <row r="21" spans="1:59" s="3" customFormat="1" ht="15" customHeight="1" x14ac:dyDescent="0.3">
      <c r="A21" s="454" t="s">
        <v>4752</v>
      </c>
      <c r="B21" s="455"/>
      <c r="C21" s="455"/>
      <c r="D21" s="455"/>
      <c r="E21" s="455"/>
      <c r="F21" s="455"/>
      <c r="G21" s="455"/>
      <c r="H21" s="296"/>
      <c r="I21" s="296"/>
      <c r="J21" s="296"/>
      <c r="K21" s="297"/>
      <c r="BB21" s="14"/>
      <c r="BC21" s="15" t="s">
        <v>4752</v>
      </c>
      <c r="BD21" s="21"/>
      <c r="BE21" s="12"/>
      <c r="BF21" s="43"/>
      <c r="BG21" s="12"/>
    </row>
    <row r="22" spans="1:59" s="3" customFormat="1" ht="21.6" x14ac:dyDescent="0.3">
      <c r="A22" s="16" t="s">
        <v>27</v>
      </c>
      <c r="B22" s="17" t="s">
        <v>4753</v>
      </c>
      <c r="C22" s="405" t="s">
        <v>4754</v>
      </c>
      <c r="D22" s="405"/>
      <c r="E22" s="405"/>
      <c r="F22" s="16" t="s">
        <v>4755</v>
      </c>
      <c r="G22" s="18">
        <v>0.82299999999999995</v>
      </c>
      <c r="H22" s="57">
        <f>I22/G22</f>
        <v>52457.509113001215</v>
      </c>
      <c r="I22" s="19">
        <f>43200.35-K22</f>
        <v>43172.53</v>
      </c>
      <c r="J22" s="19">
        <f>K22/G22</f>
        <v>33.803159173754558</v>
      </c>
      <c r="K22" s="19">
        <v>27.82</v>
      </c>
      <c r="BB22" s="14"/>
      <c r="BC22" s="15"/>
      <c r="BD22" s="21" t="s">
        <v>4754</v>
      </c>
      <c r="BE22" s="12"/>
      <c r="BF22" s="43"/>
      <c r="BG22" s="12"/>
    </row>
    <row r="23" spans="1:59" s="3" customFormat="1" ht="21.6" x14ac:dyDescent="0.3">
      <c r="A23" s="25"/>
      <c r="B23" s="26" t="s">
        <v>607</v>
      </c>
      <c r="C23" s="419" t="s">
        <v>608</v>
      </c>
      <c r="D23" s="419"/>
      <c r="E23" s="419"/>
      <c r="F23" s="27" t="s">
        <v>609</v>
      </c>
      <c r="G23" s="22" t="s">
        <v>4756</v>
      </c>
      <c r="H23" s="58"/>
      <c r="I23" s="28"/>
      <c r="J23" s="28"/>
      <c r="K23" s="29"/>
      <c r="BB23" s="14"/>
      <c r="BC23" s="15"/>
      <c r="BD23" s="21"/>
      <c r="BE23" s="12" t="s">
        <v>608</v>
      </c>
      <c r="BF23" s="43"/>
      <c r="BG23" s="12"/>
    </row>
    <row r="24" spans="1:59" s="3" customFormat="1" ht="30.6" x14ac:dyDescent="0.3">
      <c r="A24" s="16" t="s">
        <v>35</v>
      </c>
      <c r="B24" s="17" t="s">
        <v>4757</v>
      </c>
      <c r="C24" s="405" t="s">
        <v>4758</v>
      </c>
      <c r="D24" s="405"/>
      <c r="E24" s="405"/>
      <c r="F24" s="16" t="s">
        <v>1049</v>
      </c>
      <c r="G24" s="44">
        <v>0.83945999999999998</v>
      </c>
      <c r="H24" s="57">
        <f>I24/G24</f>
        <v>0</v>
      </c>
      <c r="I24" s="19">
        <f>52270.59-K24</f>
        <v>0</v>
      </c>
      <c r="J24" s="19">
        <f>K24/G24</f>
        <v>62266.921592452287</v>
      </c>
      <c r="K24" s="19">
        <v>52270.59</v>
      </c>
      <c r="BB24" s="14"/>
      <c r="BC24" s="15"/>
      <c r="BD24" s="21" t="s">
        <v>4758</v>
      </c>
      <c r="BE24" s="12"/>
      <c r="BF24" s="43"/>
      <c r="BG24" s="12"/>
    </row>
    <row r="25" spans="1:59" s="3" customFormat="1" ht="15" customHeight="1" x14ac:dyDescent="0.3">
      <c r="A25" s="454" t="s">
        <v>4759</v>
      </c>
      <c r="B25" s="455"/>
      <c r="C25" s="455"/>
      <c r="D25" s="455"/>
      <c r="E25" s="455"/>
      <c r="F25" s="455"/>
      <c r="G25" s="455"/>
      <c r="H25" s="296"/>
      <c r="I25" s="296"/>
      <c r="J25" s="296"/>
      <c r="K25" s="297"/>
      <c r="BB25" s="14"/>
      <c r="BC25" s="15" t="s">
        <v>4759</v>
      </c>
      <c r="BD25" s="21"/>
      <c r="BE25" s="12"/>
      <c r="BF25" s="43"/>
      <c r="BG25" s="12"/>
    </row>
    <row r="26" spans="1:59" s="3" customFormat="1" ht="21.6" x14ac:dyDescent="0.3">
      <c r="A26" s="16" t="s">
        <v>40</v>
      </c>
      <c r="B26" s="17" t="s">
        <v>4753</v>
      </c>
      <c r="C26" s="405" t="s">
        <v>4754</v>
      </c>
      <c r="D26" s="405"/>
      <c r="E26" s="405"/>
      <c r="F26" s="16" t="s">
        <v>4755</v>
      </c>
      <c r="G26" s="31">
        <v>0.47</v>
      </c>
      <c r="H26" s="57">
        <f>I26/G26</f>
        <v>52457.51063829787</v>
      </c>
      <c r="I26" s="19">
        <f>24670.92-K26</f>
        <v>24655.03</v>
      </c>
      <c r="J26" s="19">
        <f>K26/G26</f>
        <v>33.808510638297875</v>
      </c>
      <c r="K26" s="19">
        <v>15.89</v>
      </c>
      <c r="BB26" s="14"/>
      <c r="BC26" s="15"/>
      <c r="BD26" s="21" t="s">
        <v>4754</v>
      </c>
      <c r="BE26" s="12"/>
      <c r="BF26" s="43"/>
      <c r="BG26" s="12"/>
    </row>
    <row r="27" spans="1:59" s="3" customFormat="1" ht="21.6" x14ac:dyDescent="0.3">
      <c r="A27" s="25"/>
      <c r="B27" s="26" t="s">
        <v>607</v>
      </c>
      <c r="C27" s="419" t="s">
        <v>608</v>
      </c>
      <c r="D27" s="419"/>
      <c r="E27" s="419"/>
      <c r="F27" s="27" t="s">
        <v>609</v>
      </c>
      <c r="G27" s="22" t="s">
        <v>4760</v>
      </c>
      <c r="H27" s="58"/>
      <c r="I27" s="28"/>
      <c r="J27" s="28"/>
      <c r="K27" s="29"/>
      <c r="BB27" s="14"/>
      <c r="BC27" s="15"/>
      <c r="BD27" s="21"/>
      <c r="BE27" s="12" t="s">
        <v>608</v>
      </c>
      <c r="BF27" s="43"/>
      <c r="BG27" s="12"/>
    </row>
    <row r="28" spans="1:59" s="3" customFormat="1" ht="30.6" x14ac:dyDescent="0.3">
      <c r="A28" s="16" t="s">
        <v>47</v>
      </c>
      <c r="B28" s="17" t="s">
        <v>4761</v>
      </c>
      <c r="C28" s="405" t="s">
        <v>4762</v>
      </c>
      <c r="D28" s="405"/>
      <c r="E28" s="405"/>
      <c r="F28" s="16" t="s">
        <v>1049</v>
      </c>
      <c r="G28" s="30">
        <v>0.47939999999999999</v>
      </c>
      <c r="H28" s="57">
        <f>I28/G28</f>
        <v>0</v>
      </c>
      <c r="I28" s="19">
        <f>35062.01-K28</f>
        <v>0</v>
      </c>
      <c r="J28" s="19">
        <f>K28/G28</f>
        <v>73137.275761368379</v>
      </c>
      <c r="K28" s="19">
        <v>35062.01</v>
      </c>
      <c r="BB28" s="14"/>
      <c r="BC28" s="15"/>
      <c r="BD28" s="21" t="s">
        <v>4762</v>
      </c>
      <c r="BE28" s="12"/>
      <c r="BF28" s="43"/>
      <c r="BG28" s="12"/>
    </row>
    <row r="29" spans="1:59" s="3" customFormat="1" ht="15" customHeight="1" x14ac:dyDescent="0.3">
      <c r="A29" s="454" t="s">
        <v>4763</v>
      </c>
      <c r="B29" s="455"/>
      <c r="C29" s="455"/>
      <c r="D29" s="455"/>
      <c r="E29" s="455"/>
      <c r="F29" s="455"/>
      <c r="G29" s="455"/>
      <c r="H29" s="296"/>
      <c r="I29" s="296"/>
      <c r="J29" s="296"/>
      <c r="K29" s="297"/>
      <c r="BB29" s="14"/>
      <c r="BC29" s="15" t="s">
        <v>4763</v>
      </c>
      <c r="BD29" s="21"/>
      <c r="BE29" s="12"/>
      <c r="BF29" s="43"/>
      <c r="BG29" s="12"/>
    </row>
    <row r="30" spans="1:59" s="3" customFormat="1" ht="21.6" x14ac:dyDescent="0.3">
      <c r="A30" s="16" t="s">
        <v>52</v>
      </c>
      <c r="B30" s="17" t="s">
        <v>597</v>
      </c>
      <c r="C30" s="405" t="s">
        <v>598</v>
      </c>
      <c r="D30" s="405"/>
      <c r="E30" s="405"/>
      <c r="F30" s="16" t="s">
        <v>67</v>
      </c>
      <c r="G30" s="31">
        <v>21.56</v>
      </c>
      <c r="H30" s="57">
        <f>I30/G30</f>
        <v>12315.160946196662</v>
      </c>
      <c r="I30" s="19">
        <f>279437.98-K30</f>
        <v>265514.87</v>
      </c>
      <c r="J30" s="19">
        <f>K30/G30</f>
        <v>645.78432282003712</v>
      </c>
      <c r="K30" s="19">
        <v>13923.11</v>
      </c>
      <c r="BB30" s="14"/>
      <c r="BC30" s="15"/>
      <c r="BD30" s="21" t="s">
        <v>598</v>
      </c>
      <c r="BE30" s="12"/>
      <c r="BF30" s="43"/>
      <c r="BG30" s="12"/>
    </row>
    <row r="31" spans="1:59" s="3" customFormat="1" ht="20.399999999999999" x14ac:dyDescent="0.3">
      <c r="A31" s="25"/>
      <c r="B31" s="26" t="s">
        <v>599</v>
      </c>
      <c r="C31" s="419" t="s">
        <v>600</v>
      </c>
      <c r="D31" s="419"/>
      <c r="E31" s="419"/>
      <c r="F31" s="27" t="s">
        <v>406</v>
      </c>
      <c r="G31" s="22" t="s">
        <v>4764</v>
      </c>
      <c r="H31" s="58"/>
      <c r="I31" s="28"/>
      <c r="J31" s="28"/>
      <c r="K31" s="29"/>
      <c r="BB31" s="14"/>
      <c r="BC31" s="15"/>
      <c r="BD31" s="21"/>
      <c r="BE31" s="12" t="s">
        <v>600</v>
      </c>
      <c r="BF31" s="43"/>
      <c r="BG31" s="12"/>
    </row>
    <row r="32" spans="1:59" s="3" customFormat="1" ht="21.6" x14ac:dyDescent="0.3">
      <c r="A32" s="25"/>
      <c r="B32" s="26" t="s">
        <v>601</v>
      </c>
      <c r="C32" s="419" t="s">
        <v>602</v>
      </c>
      <c r="D32" s="419"/>
      <c r="E32" s="419"/>
      <c r="F32" s="27" t="s">
        <v>70</v>
      </c>
      <c r="G32" s="22" t="s">
        <v>4765</v>
      </c>
      <c r="H32" s="58"/>
      <c r="I32" s="28"/>
      <c r="J32" s="28"/>
      <c r="K32" s="29"/>
      <c r="BB32" s="14"/>
      <c r="BC32" s="15"/>
      <c r="BD32" s="21"/>
      <c r="BE32" s="12" t="s">
        <v>602</v>
      </c>
      <c r="BF32" s="43"/>
      <c r="BG32" s="12"/>
    </row>
    <row r="33" spans="1:59" s="3" customFormat="1" ht="21.6" x14ac:dyDescent="0.3">
      <c r="A33" s="25"/>
      <c r="B33" s="26" t="s">
        <v>603</v>
      </c>
      <c r="C33" s="419" t="s">
        <v>604</v>
      </c>
      <c r="D33" s="419"/>
      <c r="E33" s="419"/>
      <c r="F33" s="27" t="s">
        <v>70</v>
      </c>
      <c r="G33" s="22" t="s">
        <v>4766</v>
      </c>
      <c r="H33" s="58"/>
      <c r="I33" s="28"/>
      <c r="J33" s="28"/>
      <c r="K33" s="29"/>
      <c r="BB33" s="14"/>
      <c r="BC33" s="15"/>
      <c r="BD33" s="21"/>
      <c r="BE33" s="12" t="s">
        <v>604</v>
      </c>
      <c r="BF33" s="43"/>
      <c r="BG33" s="12"/>
    </row>
    <row r="34" spans="1:59" s="3" customFormat="1" ht="20.399999999999999" x14ac:dyDescent="0.3">
      <c r="A34" s="25"/>
      <c r="B34" s="26" t="s">
        <v>605</v>
      </c>
      <c r="C34" s="419" t="s">
        <v>606</v>
      </c>
      <c r="D34" s="419"/>
      <c r="E34" s="419"/>
      <c r="F34" s="27" t="s">
        <v>75</v>
      </c>
      <c r="G34" s="22" t="s">
        <v>4767</v>
      </c>
      <c r="H34" s="58"/>
      <c r="I34" s="28"/>
      <c r="J34" s="28"/>
      <c r="K34" s="29"/>
      <c r="BB34" s="14"/>
      <c r="BC34" s="15"/>
      <c r="BD34" s="21"/>
      <c r="BE34" s="12" t="s">
        <v>606</v>
      </c>
      <c r="BF34" s="43"/>
      <c r="BG34" s="12"/>
    </row>
    <row r="35" spans="1:59" s="3" customFormat="1" ht="20.399999999999999" x14ac:dyDescent="0.3">
      <c r="A35" s="25"/>
      <c r="B35" s="26" t="s">
        <v>89</v>
      </c>
      <c r="C35" s="419" t="s">
        <v>90</v>
      </c>
      <c r="D35" s="419"/>
      <c r="E35" s="419"/>
      <c r="F35" s="27" t="s">
        <v>70</v>
      </c>
      <c r="G35" s="22" t="s">
        <v>4768</v>
      </c>
      <c r="H35" s="58"/>
      <c r="I35" s="28"/>
      <c r="J35" s="28"/>
      <c r="K35" s="29"/>
      <c r="BB35" s="14"/>
      <c r="BC35" s="15"/>
      <c r="BD35" s="21"/>
      <c r="BE35" s="12" t="s">
        <v>90</v>
      </c>
      <c r="BF35" s="43"/>
      <c r="BG35" s="12"/>
    </row>
    <row r="36" spans="1:59" s="3" customFormat="1" ht="21.6" x14ac:dyDescent="0.3">
      <c r="A36" s="25"/>
      <c r="B36" s="26" t="s">
        <v>607</v>
      </c>
      <c r="C36" s="419" t="s">
        <v>608</v>
      </c>
      <c r="D36" s="419"/>
      <c r="E36" s="419"/>
      <c r="F36" s="27" t="s">
        <v>609</v>
      </c>
      <c r="G36" s="22" t="s">
        <v>4769</v>
      </c>
      <c r="H36" s="58"/>
      <c r="I36" s="28"/>
      <c r="J36" s="28"/>
      <c r="K36" s="29"/>
      <c r="BB36" s="14"/>
      <c r="BC36" s="15"/>
      <c r="BD36" s="21"/>
      <c r="BE36" s="12" t="s">
        <v>608</v>
      </c>
      <c r="BF36" s="43"/>
      <c r="BG36" s="12"/>
    </row>
    <row r="37" spans="1:59" s="3" customFormat="1" ht="20.399999999999999" x14ac:dyDescent="0.3">
      <c r="A37" s="16" t="s">
        <v>55</v>
      </c>
      <c r="B37" s="17" t="s">
        <v>4770</v>
      </c>
      <c r="C37" s="405" t="s">
        <v>4771</v>
      </c>
      <c r="D37" s="405"/>
      <c r="E37" s="405"/>
      <c r="F37" s="16" t="s">
        <v>115</v>
      </c>
      <c r="G37" s="31">
        <v>2199.12</v>
      </c>
      <c r="H37" s="57"/>
      <c r="I37" s="19">
        <f>272860.21-K37</f>
        <v>0</v>
      </c>
      <c r="J37" s="19"/>
      <c r="K37" s="19">
        <v>272860.21000000002</v>
      </c>
      <c r="BB37" s="14"/>
      <c r="BC37" s="15"/>
      <c r="BD37" s="21" t="s">
        <v>4771</v>
      </c>
      <c r="BE37" s="12"/>
      <c r="BF37" s="43"/>
      <c r="BG37" s="12"/>
    </row>
    <row r="38" spans="1:59" s="3" customFormat="1" ht="15" customHeight="1" x14ac:dyDescent="0.3">
      <c r="A38" s="454" t="s">
        <v>4772</v>
      </c>
      <c r="B38" s="455"/>
      <c r="C38" s="455"/>
      <c r="D38" s="455"/>
      <c r="E38" s="455"/>
      <c r="F38" s="455"/>
      <c r="G38" s="455"/>
      <c r="H38" s="296"/>
      <c r="I38" s="296"/>
      <c r="J38" s="296"/>
      <c r="K38" s="297"/>
      <c r="BB38" s="14"/>
      <c r="BC38" s="15" t="s">
        <v>4772</v>
      </c>
      <c r="BD38" s="21"/>
      <c r="BE38" s="12"/>
      <c r="BF38" s="43"/>
      <c r="BG38" s="12"/>
    </row>
    <row r="39" spans="1:59" s="3" customFormat="1" ht="21.6" x14ac:dyDescent="0.3">
      <c r="A39" s="16" t="s">
        <v>56</v>
      </c>
      <c r="B39" s="17" t="s">
        <v>597</v>
      </c>
      <c r="C39" s="405" t="s">
        <v>598</v>
      </c>
      <c r="D39" s="405"/>
      <c r="E39" s="405"/>
      <c r="F39" s="16" t="s">
        <v>67</v>
      </c>
      <c r="G39" s="31">
        <v>0.36</v>
      </c>
      <c r="H39" s="57">
        <f>I39/G39</f>
        <v>12315.138888888891</v>
      </c>
      <c r="I39" s="19">
        <f>4665.93-K39</f>
        <v>4433.4500000000007</v>
      </c>
      <c r="J39" s="19">
        <f>K39/G39</f>
        <v>645.77777777777783</v>
      </c>
      <c r="K39" s="19">
        <v>232.48</v>
      </c>
      <c r="BB39" s="14"/>
      <c r="BC39" s="15"/>
      <c r="BD39" s="21" t="s">
        <v>598</v>
      </c>
      <c r="BE39" s="12"/>
      <c r="BF39" s="43"/>
      <c r="BG39" s="12"/>
    </row>
    <row r="40" spans="1:59" s="3" customFormat="1" ht="20.399999999999999" x14ac:dyDescent="0.3">
      <c r="A40" s="25"/>
      <c r="B40" s="26" t="s">
        <v>599</v>
      </c>
      <c r="C40" s="419" t="s">
        <v>600</v>
      </c>
      <c r="D40" s="419"/>
      <c r="E40" s="419"/>
      <c r="F40" s="27" t="s">
        <v>406</v>
      </c>
      <c r="G40" s="22" t="s">
        <v>4773</v>
      </c>
      <c r="H40" s="58"/>
      <c r="I40" s="28"/>
      <c r="J40" s="28"/>
      <c r="K40" s="29"/>
      <c r="BB40" s="14"/>
      <c r="BC40" s="15"/>
      <c r="BD40" s="21"/>
      <c r="BE40" s="12" t="s">
        <v>600</v>
      </c>
      <c r="BF40" s="43"/>
      <c r="BG40" s="12"/>
    </row>
    <row r="41" spans="1:59" s="3" customFormat="1" ht="21.6" x14ac:dyDescent="0.3">
      <c r="A41" s="25"/>
      <c r="B41" s="26" t="s">
        <v>601</v>
      </c>
      <c r="C41" s="419" t="s">
        <v>602</v>
      </c>
      <c r="D41" s="419"/>
      <c r="E41" s="419"/>
      <c r="F41" s="27" t="s">
        <v>70</v>
      </c>
      <c r="G41" s="22" t="s">
        <v>4774</v>
      </c>
      <c r="H41" s="58"/>
      <c r="I41" s="28"/>
      <c r="J41" s="28"/>
      <c r="K41" s="29"/>
      <c r="BB41" s="14"/>
      <c r="BC41" s="15"/>
      <c r="BD41" s="21"/>
      <c r="BE41" s="12" t="s">
        <v>602</v>
      </c>
      <c r="BF41" s="43"/>
      <c r="BG41" s="12"/>
    </row>
    <row r="42" spans="1:59" s="3" customFormat="1" ht="21.6" x14ac:dyDescent="0.3">
      <c r="A42" s="25"/>
      <c r="B42" s="26" t="s">
        <v>603</v>
      </c>
      <c r="C42" s="419" t="s">
        <v>604</v>
      </c>
      <c r="D42" s="419"/>
      <c r="E42" s="419"/>
      <c r="F42" s="27" t="s">
        <v>70</v>
      </c>
      <c r="G42" s="22" t="s">
        <v>4775</v>
      </c>
      <c r="H42" s="58"/>
      <c r="I42" s="28"/>
      <c r="J42" s="28"/>
      <c r="K42" s="29"/>
      <c r="BB42" s="14"/>
      <c r="BC42" s="15"/>
      <c r="BD42" s="21"/>
      <c r="BE42" s="12" t="s">
        <v>604</v>
      </c>
      <c r="BF42" s="43"/>
      <c r="BG42" s="12"/>
    </row>
    <row r="43" spans="1:59" s="3" customFormat="1" ht="20.399999999999999" x14ac:dyDescent="0.3">
      <c r="A43" s="25"/>
      <c r="B43" s="26" t="s">
        <v>605</v>
      </c>
      <c r="C43" s="419" t="s">
        <v>606</v>
      </c>
      <c r="D43" s="419"/>
      <c r="E43" s="419"/>
      <c r="F43" s="27" t="s">
        <v>75</v>
      </c>
      <c r="G43" s="22" t="s">
        <v>4776</v>
      </c>
      <c r="H43" s="58"/>
      <c r="I43" s="28"/>
      <c r="J43" s="28"/>
      <c r="K43" s="29"/>
      <c r="BB43" s="14"/>
      <c r="BC43" s="15"/>
      <c r="BD43" s="21"/>
      <c r="BE43" s="12" t="s">
        <v>606</v>
      </c>
      <c r="BF43" s="43"/>
      <c r="BG43" s="12"/>
    </row>
    <row r="44" spans="1:59" s="3" customFormat="1" ht="20.399999999999999" x14ac:dyDescent="0.3">
      <c r="A44" s="25"/>
      <c r="B44" s="26" t="s">
        <v>89</v>
      </c>
      <c r="C44" s="419" t="s">
        <v>90</v>
      </c>
      <c r="D44" s="419"/>
      <c r="E44" s="419"/>
      <c r="F44" s="27" t="s">
        <v>70</v>
      </c>
      <c r="G44" s="22" t="s">
        <v>4777</v>
      </c>
      <c r="H44" s="58"/>
      <c r="I44" s="28"/>
      <c r="J44" s="28"/>
      <c r="K44" s="29"/>
      <c r="BB44" s="14"/>
      <c r="BC44" s="15"/>
      <c r="BD44" s="21"/>
      <c r="BE44" s="12" t="s">
        <v>90</v>
      </c>
      <c r="BF44" s="43"/>
      <c r="BG44" s="12"/>
    </row>
    <row r="45" spans="1:59" s="3" customFormat="1" ht="21.6" x14ac:dyDescent="0.3">
      <c r="A45" s="25"/>
      <c r="B45" s="26" t="s">
        <v>607</v>
      </c>
      <c r="C45" s="419" t="s">
        <v>608</v>
      </c>
      <c r="D45" s="419"/>
      <c r="E45" s="419"/>
      <c r="F45" s="27" t="s">
        <v>609</v>
      </c>
      <c r="G45" s="22" t="s">
        <v>4778</v>
      </c>
      <c r="H45" s="58"/>
      <c r="I45" s="28"/>
      <c r="J45" s="28"/>
      <c r="K45" s="29"/>
      <c r="BB45" s="14"/>
      <c r="BC45" s="15"/>
      <c r="BD45" s="21"/>
      <c r="BE45" s="12" t="s">
        <v>608</v>
      </c>
      <c r="BF45" s="43"/>
      <c r="BG45" s="12"/>
    </row>
    <row r="46" spans="1:59" s="3" customFormat="1" ht="20.399999999999999" x14ac:dyDescent="0.3">
      <c r="A46" s="16" t="s">
        <v>166</v>
      </c>
      <c r="B46" s="17" t="s">
        <v>4779</v>
      </c>
      <c r="C46" s="405" t="s">
        <v>4780</v>
      </c>
      <c r="D46" s="405"/>
      <c r="E46" s="405"/>
      <c r="F46" s="16" t="s">
        <v>3907</v>
      </c>
      <c r="G46" s="44">
        <v>3.6720000000000003E-2</v>
      </c>
      <c r="H46" s="57"/>
      <c r="I46" s="19">
        <f>6336.94-K46</f>
        <v>0</v>
      </c>
      <c r="J46" s="19"/>
      <c r="K46" s="19">
        <v>6336.94</v>
      </c>
      <c r="BB46" s="14"/>
      <c r="BC46" s="15"/>
      <c r="BD46" s="21" t="s">
        <v>4780</v>
      </c>
      <c r="BE46" s="12"/>
      <c r="BF46" s="43"/>
      <c r="BG46" s="12"/>
    </row>
    <row r="47" spans="1:59" s="3" customFormat="1" ht="15" customHeight="1" x14ac:dyDescent="0.3">
      <c r="A47" s="454" t="s">
        <v>4781</v>
      </c>
      <c r="B47" s="455"/>
      <c r="C47" s="455"/>
      <c r="D47" s="455"/>
      <c r="E47" s="455"/>
      <c r="F47" s="455"/>
      <c r="G47" s="455"/>
      <c r="H47" s="296"/>
      <c r="I47" s="296"/>
      <c r="J47" s="296"/>
      <c r="K47" s="297"/>
      <c r="BB47" s="14"/>
      <c r="BC47" s="15" t="s">
        <v>4781</v>
      </c>
      <c r="BD47" s="21"/>
      <c r="BE47" s="12"/>
      <c r="BF47" s="43"/>
      <c r="BG47" s="12"/>
    </row>
    <row r="48" spans="1:59" s="3" customFormat="1" ht="21.6" x14ac:dyDescent="0.3">
      <c r="A48" s="16" t="s">
        <v>169</v>
      </c>
      <c r="B48" s="17" t="s">
        <v>1945</v>
      </c>
      <c r="C48" s="405" t="s">
        <v>1946</v>
      </c>
      <c r="D48" s="405"/>
      <c r="E48" s="405"/>
      <c r="F48" s="16" t="s">
        <v>67</v>
      </c>
      <c r="G48" s="31">
        <v>0.99</v>
      </c>
      <c r="H48" s="57">
        <f>I48/G48</f>
        <v>10823.363636363636</v>
      </c>
      <c r="I48" s="19">
        <f>11039.57-K48</f>
        <v>10715.13</v>
      </c>
      <c r="J48" s="19">
        <f>K48/G48</f>
        <v>327.71717171717171</v>
      </c>
      <c r="K48" s="19">
        <v>324.44</v>
      </c>
      <c r="BB48" s="14"/>
      <c r="BC48" s="15"/>
      <c r="BD48" s="21" t="s">
        <v>1946</v>
      </c>
      <c r="BE48" s="12"/>
      <c r="BF48" s="43"/>
      <c r="BG48" s="12"/>
    </row>
    <row r="49" spans="1:59" s="3" customFormat="1" ht="20.399999999999999" x14ac:dyDescent="0.3">
      <c r="A49" s="25"/>
      <c r="B49" s="26" t="s">
        <v>599</v>
      </c>
      <c r="C49" s="419" t="s">
        <v>600</v>
      </c>
      <c r="D49" s="419"/>
      <c r="E49" s="419"/>
      <c r="F49" s="27" t="s">
        <v>406</v>
      </c>
      <c r="G49" s="22" t="s">
        <v>4782</v>
      </c>
      <c r="H49" s="58"/>
      <c r="I49" s="28"/>
      <c r="J49" s="28"/>
      <c r="K49" s="29"/>
      <c r="BB49" s="14"/>
      <c r="BC49" s="15"/>
      <c r="BD49" s="21"/>
      <c r="BE49" s="12" t="s">
        <v>600</v>
      </c>
      <c r="BF49" s="43"/>
      <c r="BG49" s="12"/>
    </row>
    <row r="50" spans="1:59" s="3" customFormat="1" ht="21.6" x14ac:dyDescent="0.3">
      <c r="A50" s="25"/>
      <c r="B50" s="26" t="s">
        <v>1766</v>
      </c>
      <c r="C50" s="419" t="s">
        <v>1767</v>
      </c>
      <c r="D50" s="419"/>
      <c r="E50" s="419"/>
      <c r="F50" s="27" t="s">
        <v>70</v>
      </c>
      <c r="G50" s="22" t="s">
        <v>4783</v>
      </c>
      <c r="H50" s="58"/>
      <c r="I50" s="28"/>
      <c r="J50" s="28"/>
      <c r="K50" s="29"/>
      <c r="BB50" s="14"/>
      <c r="BC50" s="15"/>
      <c r="BD50" s="21"/>
      <c r="BE50" s="12" t="s">
        <v>1767</v>
      </c>
      <c r="BF50" s="43"/>
      <c r="BG50" s="12"/>
    </row>
    <row r="51" spans="1:59" s="3" customFormat="1" ht="20.399999999999999" x14ac:dyDescent="0.3">
      <c r="A51" s="25"/>
      <c r="B51" s="26" t="s">
        <v>89</v>
      </c>
      <c r="C51" s="419" t="s">
        <v>90</v>
      </c>
      <c r="D51" s="419"/>
      <c r="E51" s="419"/>
      <c r="F51" s="27" t="s">
        <v>70</v>
      </c>
      <c r="G51" s="22" t="s">
        <v>4784</v>
      </c>
      <c r="H51" s="58"/>
      <c r="I51" s="28"/>
      <c r="J51" s="28"/>
      <c r="K51" s="29"/>
      <c r="BB51" s="14"/>
      <c r="BC51" s="15"/>
      <c r="BD51" s="21"/>
      <c r="BE51" s="12" t="s">
        <v>90</v>
      </c>
      <c r="BF51" s="43"/>
      <c r="BG51" s="12"/>
    </row>
    <row r="52" spans="1:59" s="3" customFormat="1" ht="21.6" x14ac:dyDescent="0.3">
      <c r="A52" s="25"/>
      <c r="B52" s="26" t="s">
        <v>607</v>
      </c>
      <c r="C52" s="419" t="s">
        <v>608</v>
      </c>
      <c r="D52" s="419"/>
      <c r="E52" s="419"/>
      <c r="F52" s="27" t="s">
        <v>609</v>
      </c>
      <c r="G52" s="22" t="s">
        <v>4785</v>
      </c>
      <c r="H52" s="58"/>
      <c r="I52" s="28"/>
      <c r="J52" s="28"/>
      <c r="K52" s="29"/>
      <c r="BB52" s="14"/>
      <c r="BC52" s="15"/>
      <c r="BD52" s="21"/>
      <c r="BE52" s="12" t="s">
        <v>608</v>
      </c>
      <c r="BF52" s="43"/>
      <c r="BG52" s="12"/>
    </row>
    <row r="53" spans="1:59" s="3" customFormat="1" ht="21.6" x14ac:dyDescent="0.3">
      <c r="A53" s="16" t="s">
        <v>170</v>
      </c>
      <c r="B53" s="17" t="s">
        <v>4786</v>
      </c>
      <c r="C53" s="405" t="s">
        <v>4787</v>
      </c>
      <c r="D53" s="405"/>
      <c r="E53" s="405"/>
      <c r="F53" s="16" t="s">
        <v>115</v>
      </c>
      <c r="G53" s="31">
        <v>100.98</v>
      </c>
      <c r="H53" s="57"/>
      <c r="I53" s="19">
        <f>35067.73-K53</f>
        <v>0</v>
      </c>
      <c r="J53" s="19"/>
      <c r="K53" s="19">
        <v>35067.730000000003</v>
      </c>
      <c r="BB53" s="14"/>
      <c r="BC53" s="15"/>
      <c r="BD53" s="21" t="s">
        <v>4787</v>
      </c>
      <c r="BE53" s="12"/>
      <c r="BF53" s="43"/>
      <c r="BG53" s="12"/>
    </row>
    <row r="54" spans="1:59" s="3" customFormat="1" ht="15" customHeight="1" x14ac:dyDescent="0.3">
      <c r="A54" s="454" t="s">
        <v>4788</v>
      </c>
      <c r="B54" s="455"/>
      <c r="C54" s="455"/>
      <c r="D54" s="455"/>
      <c r="E54" s="455"/>
      <c r="F54" s="455"/>
      <c r="G54" s="455"/>
      <c r="H54" s="296"/>
      <c r="I54" s="296"/>
      <c r="J54" s="296"/>
      <c r="K54" s="297"/>
      <c r="BB54" s="14"/>
      <c r="BC54" s="15" t="s">
        <v>4788</v>
      </c>
      <c r="BD54" s="21"/>
      <c r="BE54" s="12"/>
      <c r="BF54" s="43"/>
      <c r="BG54" s="12"/>
    </row>
    <row r="55" spans="1:59" s="3" customFormat="1" ht="42" x14ac:dyDescent="0.3">
      <c r="A55" s="16" t="s">
        <v>173</v>
      </c>
      <c r="B55" s="17" t="s">
        <v>257</v>
      </c>
      <c r="C55" s="405" t="s">
        <v>258</v>
      </c>
      <c r="D55" s="405"/>
      <c r="E55" s="405"/>
      <c r="F55" s="16" t="s">
        <v>43</v>
      </c>
      <c r="G55" s="30">
        <v>3.15E-2</v>
      </c>
      <c r="H55" s="57">
        <f>I55/G55</f>
        <v>11166.349206349207</v>
      </c>
      <c r="I55" s="19">
        <f>351.74-K55</f>
        <v>351.74</v>
      </c>
      <c r="J55" s="19">
        <f>K55/G55</f>
        <v>0</v>
      </c>
      <c r="K55" s="19">
        <v>0</v>
      </c>
      <c r="BB55" s="14"/>
      <c r="BC55" s="15"/>
      <c r="BD55" s="21" t="s">
        <v>258</v>
      </c>
      <c r="BE55" s="12"/>
      <c r="BF55" s="43"/>
      <c r="BG55" s="12"/>
    </row>
    <row r="56" spans="1:59" s="3" customFormat="1" ht="21.6" x14ac:dyDescent="0.3">
      <c r="A56" s="16" t="s">
        <v>176</v>
      </c>
      <c r="B56" s="17" t="s">
        <v>205</v>
      </c>
      <c r="C56" s="405" t="s">
        <v>82</v>
      </c>
      <c r="D56" s="405"/>
      <c r="E56" s="405"/>
      <c r="F56" s="16" t="s">
        <v>46</v>
      </c>
      <c r="G56" s="31">
        <v>34.65</v>
      </c>
      <c r="H56" s="57">
        <f>I56/G56</f>
        <v>0</v>
      </c>
      <c r="I56" s="19">
        <f>18396.08-K56</f>
        <v>0</v>
      </c>
      <c r="J56" s="19">
        <f>K56/G56</f>
        <v>530.91139971139978</v>
      </c>
      <c r="K56" s="19">
        <v>18396.080000000002</v>
      </c>
      <c r="BB56" s="14"/>
      <c r="BC56" s="15"/>
      <c r="BD56" s="21" t="s">
        <v>82</v>
      </c>
      <c r="BE56" s="12"/>
      <c r="BF56" s="43"/>
      <c r="BG56" s="12"/>
    </row>
    <row r="57" spans="1:59" s="3" customFormat="1" ht="21.6" x14ac:dyDescent="0.3">
      <c r="A57" s="16" t="s">
        <v>177</v>
      </c>
      <c r="B57" s="17" t="s">
        <v>4789</v>
      </c>
      <c r="C57" s="405" t="s">
        <v>4790</v>
      </c>
      <c r="D57" s="405"/>
      <c r="E57" s="405"/>
      <c r="F57" s="16" t="s">
        <v>125</v>
      </c>
      <c r="G57" s="18">
        <v>0.315</v>
      </c>
      <c r="H57" s="57">
        <f>I57/G57</f>
        <v>15712.666666666666</v>
      </c>
      <c r="I57" s="19">
        <f>4949.49-K57</f>
        <v>4949.49</v>
      </c>
      <c r="J57" s="19">
        <f>K57/G57</f>
        <v>0</v>
      </c>
      <c r="K57" s="19">
        <v>0</v>
      </c>
      <c r="BB57" s="14"/>
      <c r="BC57" s="15"/>
      <c r="BD57" s="21" t="s">
        <v>4790</v>
      </c>
      <c r="BE57" s="12"/>
      <c r="BF57" s="43"/>
      <c r="BG57" s="12"/>
    </row>
    <row r="58" spans="1:59" s="3" customFormat="1" ht="15" customHeight="1" x14ac:dyDescent="0.3">
      <c r="A58" s="454" t="s">
        <v>4791</v>
      </c>
      <c r="B58" s="455"/>
      <c r="C58" s="455"/>
      <c r="D58" s="455"/>
      <c r="E58" s="455"/>
      <c r="F58" s="455"/>
      <c r="G58" s="455"/>
      <c r="H58" s="296"/>
      <c r="I58" s="296"/>
      <c r="J58" s="296"/>
      <c r="K58" s="297"/>
      <c r="BB58" s="14"/>
      <c r="BC58" s="15" t="s">
        <v>4791</v>
      </c>
      <c r="BD58" s="21"/>
      <c r="BE58" s="12"/>
      <c r="BF58" s="43"/>
      <c r="BG58" s="12"/>
    </row>
    <row r="59" spans="1:59" s="3" customFormat="1" ht="42" x14ac:dyDescent="0.3">
      <c r="A59" s="16" t="s">
        <v>180</v>
      </c>
      <c r="B59" s="17" t="s">
        <v>257</v>
      </c>
      <c r="C59" s="405" t="s">
        <v>258</v>
      </c>
      <c r="D59" s="405"/>
      <c r="E59" s="405"/>
      <c r="F59" s="16" t="s">
        <v>43</v>
      </c>
      <c r="G59" s="30">
        <v>0.29959999999999998</v>
      </c>
      <c r="H59" s="57">
        <f t="shared" ref="H59:H60" si="0">I59/G59</f>
        <v>11166.088117489988</v>
      </c>
      <c r="I59" s="19">
        <f>3345.36-K59</f>
        <v>3345.36</v>
      </c>
      <c r="J59" s="19">
        <f t="shared" ref="J59:J60" si="1">K59/G59</f>
        <v>0</v>
      </c>
      <c r="K59" s="19">
        <v>0</v>
      </c>
      <c r="BB59" s="14"/>
      <c r="BC59" s="15"/>
      <c r="BD59" s="21" t="s">
        <v>258</v>
      </c>
      <c r="BE59" s="12"/>
      <c r="BF59" s="43"/>
      <c r="BG59" s="12"/>
    </row>
    <row r="60" spans="1:59" s="3" customFormat="1" ht="21.6" x14ac:dyDescent="0.3">
      <c r="A60" s="16" t="s">
        <v>182</v>
      </c>
      <c r="B60" s="17" t="s">
        <v>4789</v>
      </c>
      <c r="C60" s="405" t="s">
        <v>4790</v>
      </c>
      <c r="D60" s="405"/>
      <c r="E60" s="405"/>
      <c r="F60" s="16" t="s">
        <v>125</v>
      </c>
      <c r="G60" s="18">
        <v>2.996</v>
      </c>
      <c r="H60" s="57">
        <f t="shared" si="0"/>
        <v>15712.640186915887</v>
      </c>
      <c r="I60" s="19">
        <f>47075.07-K60</f>
        <v>47075.07</v>
      </c>
      <c r="J60" s="19">
        <f t="shared" si="1"/>
        <v>0</v>
      </c>
      <c r="K60" s="19">
        <v>0</v>
      </c>
      <c r="BB60" s="14"/>
      <c r="BC60" s="15"/>
      <c r="BD60" s="21" t="s">
        <v>4790</v>
      </c>
      <c r="BE60" s="12"/>
      <c r="BF60" s="43"/>
      <c r="BG60" s="12"/>
    </row>
    <row r="61" spans="1:59" s="3" customFormat="1" ht="15" customHeight="1" x14ac:dyDescent="0.3">
      <c r="A61" s="454" t="s">
        <v>4792</v>
      </c>
      <c r="B61" s="455"/>
      <c r="C61" s="455"/>
      <c r="D61" s="455"/>
      <c r="E61" s="455"/>
      <c r="F61" s="455"/>
      <c r="G61" s="455"/>
      <c r="H61" s="296"/>
      <c r="I61" s="296"/>
      <c r="J61" s="296"/>
      <c r="K61" s="297"/>
      <c r="BB61" s="14"/>
      <c r="BC61" s="15" t="s">
        <v>4792</v>
      </c>
      <c r="BD61" s="21"/>
      <c r="BE61" s="12"/>
      <c r="BF61" s="43"/>
      <c r="BG61" s="12"/>
    </row>
    <row r="62" spans="1:59" s="3" customFormat="1" ht="42" x14ac:dyDescent="0.3">
      <c r="A62" s="16" t="s">
        <v>186</v>
      </c>
      <c r="B62" s="17" t="s">
        <v>4793</v>
      </c>
      <c r="C62" s="405" t="s">
        <v>4794</v>
      </c>
      <c r="D62" s="405"/>
      <c r="E62" s="405"/>
      <c r="F62" s="16" t="s">
        <v>43</v>
      </c>
      <c r="G62" s="30">
        <v>5.9900000000000002E-2</v>
      </c>
      <c r="H62" s="57">
        <f>I62/G62</f>
        <v>88854.090150250413</v>
      </c>
      <c r="I62" s="19">
        <f>5324.66-K62</f>
        <v>5322.36</v>
      </c>
      <c r="J62" s="19">
        <f>K62/G62</f>
        <v>38.397328881469114</v>
      </c>
      <c r="K62" s="19">
        <v>2.2999999999999998</v>
      </c>
      <c r="BB62" s="14"/>
      <c r="BC62" s="15"/>
      <c r="BD62" s="21" t="s">
        <v>4794</v>
      </c>
      <c r="BE62" s="12"/>
      <c r="BF62" s="43"/>
      <c r="BG62" s="12"/>
    </row>
    <row r="63" spans="1:59" s="3" customFormat="1" ht="20.399999999999999" x14ac:dyDescent="0.3">
      <c r="A63" s="25"/>
      <c r="B63" s="26" t="s">
        <v>44</v>
      </c>
      <c r="C63" s="419" t="s">
        <v>45</v>
      </c>
      <c r="D63" s="419"/>
      <c r="E63" s="419"/>
      <c r="F63" s="27" t="s">
        <v>46</v>
      </c>
      <c r="G63" s="22" t="s">
        <v>4795</v>
      </c>
      <c r="H63" s="58"/>
      <c r="I63" s="28"/>
      <c r="J63" s="28"/>
      <c r="K63" s="29"/>
      <c r="BB63" s="14"/>
      <c r="BC63" s="15"/>
      <c r="BD63" s="21"/>
      <c r="BE63" s="12" t="s">
        <v>45</v>
      </c>
      <c r="BF63" s="43"/>
      <c r="BG63" s="12"/>
    </row>
    <row r="64" spans="1:59" s="3" customFormat="1" ht="42" x14ac:dyDescent="0.3">
      <c r="A64" s="16" t="s">
        <v>192</v>
      </c>
      <c r="B64" s="17" t="s">
        <v>48</v>
      </c>
      <c r="C64" s="405" t="s">
        <v>49</v>
      </c>
      <c r="D64" s="405"/>
      <c r="E64" s="405"/>
      <c r="F64" s="16" t="s">
        <v>50</v>
      </c>
      <c r="G64" s="24">
        <v>119.8</v>
      </c>
      <c r="H64" s="57">
        <f>I64/G64</f>
        <v>598.37579298831383</v>
      </c>
      <c r="I64" s="19">
        <f>71685.42-K64</f>
        <v>71685.42</v>
      </c>
      <c r="J64" s="19">
        <f>K64/G64</f>
        <v>0</v>
      </c>
      <c r="K64" s="19">
        <v>0</v>
      </c>
      <c r="BB64" s="14"/>
      <c r="BC64" s="15"/>
      <c r="BD64" s="21" t="s">
        <v>49</v>
      </c>
      <c r="BE64" s="12"/>
      <c r="BF64" s="43"/>
      <c r="BG64" s="12"/>
    </row>
    <row r="65" spans="1:59" s="3" customFormat="1" ht="15" customHeight="1" x14ac:dyDescent="0.3">
      <c r="A65" s="454" t="s">
        <v>4796</v>
      </c>
      <c r="B65" s="455"/>
      <c r="C65" s="455"/>
      <c r="D65" s="455"/>
      <c r="E65" s="455"/>
      <c r="F65" s="455"/>
      <c r="G65" s="455"/>
      <c r="H65" s="296"/>
      <c r="I65" s="296"/>
      <c r="J65" s="296"/>
      <c r="K65" s="297"/>
      <c r="BB65" s="14"/>
      <c r="BC65" s="15" t="s">
        <v>4796</v>
      </c>
      <c r="BD65" s="21"/>
      <c r="BE65" s="12"/>
      <c r="BF65" s="43"/>
      <c r="BG65" s="12"/>
    </row>
    <row r="66" spans="1:59" s="3" customFormat="1" ht="21.6" x14ac:dyDescent="0.3">
      <c r="A66" s="16" t="s">
        <v>196</v>
      </c>
      <c r="B66" s="17" t="s">
        <v>1656</v>
      </c>
      <c r="C66" s="405" t="s">
        <v>1657</v>
      </c>
      <c r="D66" s="405"/>
      <c r="E66" s="405"/>
      <c r="F66" s="16" t="s">
        <v>67</v>
      </c>
      <c r="G66" s="24">
        <v>15.8</v>
      </c>
      <c r="H66" s="57">
        <f>I66/G66</f>
        <v>440.11582278481018</v>
      </c>
      <c r="I66" s="19">
        <f>6965.02-K66</f>
        <v>6953.8300000000008</v>
      </c>
      <c r="J66" s="19">
        <f>K66/G66</f>
        <v>0.70822784810126571</v>
      </c>
      <c r="K66" s="19">
        <v>11.19</v>
      </c>
      <c r="BB66" s="14"/>
      <c r="BC66" s="15"/>
      <c r="BD66" s="21" t="s">
        <v>1657</v>
      </c>
      <c r="BE66" s="12"/>
      <c r="BF66" s="43"/>
      <c r="BG66" s="12"/>
    </row>
    <row r="67" spans="1:59" s="3" customFormat="1" ht="21.6" x14ac:dyDescent="0.3">
      <c r="A67" s="25"/>
      <c r="B67" s="26" t="s">
        <v>607</v>
      </c>
      <c r="C67" s="419" t="s">
        <v>608</v>
      </c>
      <c r="D67" s="419"/>
      <c r="E67" s="419"/>
      <c r="F67" s="27" t="s">
        <v>609</v>
      </c>
      <c r="G67" s="22" t="s">
        <v>4797</v>
      </c>
      <c r="H67" s="58"/>
      <c r="I67" s="28"/>
      <c r="J67" s="28"/>
      <c r="K67" s="29"/>
      <c r="BB67" s="14"/>
      <c r="BC67" s="15"/>
      <c r="BD67" s="21"/>
      <c r="BE67" s="12" t="s">
        <v>608</v>
      </c>
      <c r="BF67" s="43"/>
      <c r="BG67" s="12"/>
    </row>
    <row r="68" spans="1:59" s="3" customFormat="1" ht="21.6" x14ac:dyDescent="0.3">
      <c r="A68" s="16" t="s">
        <v>198</v>
      </c>
      <c r="B68" s="17" t="s">
        <v>4798</v>
      </c>
      <c r="C68" s="405" t="s">
        <v>4799</v>
      </c>
      <c r="D68" s="405"/>
      <c r="E68" s="405"/>
      <c r="F68" s="16" t="s">
        <v>67</v>
      </c>
      <c r="G68" s="24">
        <v>15.8</v>
      </c>
      <c r="H68" s="57">
        <f>I68/G68</f>
        <v>0</v>
      </c>
      <c r="I68" s="19">
        <f>15101.64-K68</f>
        <v>0</v>
      </c>
      <c r="J68" s="19">
        <f>K68/G68</f>
        <v>955.8</v>
      </c>
      <c r="K68" s="19">
        <v>15101.64</v>
      </c>
      <c r="BB68" s="14"/>
      <c r="BC68" s="15"/>
      <c r="BD68" s="21" t="s">
        <v>4799</v>
      </c>
      <c r="BE68" s="12"/>
      <c r="BF68" s="43"/>
      <c r="BG68" s="12"/>
    </row>
    <row r="69" spans="1:59" s="3" customFormat="1" ht="15" customHeight="1" x14ac:dyDescent="0.3">
      <c r="A69" s="435" t="s">
        <v>4800</v>
      </c>
      <c r="B69" s="436"/>
      <c r="C69" s="436"/>
      <c r="D69" s="436"/>
      <c r="E69" s="436"/>
      <c r="F69" s="436"/>
      <c r="G69" s="436"/>
      <c r="H69" s="103"/>
      <c r="I69" s="103"/>
      <c r="J69" s="103"/>
      <c r="K69" s="104"/>
      <c r="BB69" s="14" t="s">
        <v>4800</v>
      </c>
      <c r="BC69" s="15"/>
      <c r="BD69" s="21"/>
      <c r="BE69" s="12"/>
      <c r="BF69" s="43"/>
      <c r="BG69" s="12"/>
    </row>
    <row r="70" spans="1:59" s="3" customFormat="1" ht="15" customHeight="1" x14ac:dyDescent="0.3">
      <c r="A70" s="454" t="s">
        <v>4745</v>
      </c>
      <c r="B70" s="455"/>
      <c r="C70" s="455"/>
      <c r="D70" s="455"/>
      <c r="E70" s="455"/>
      <c r="F70" s="455"/>
      <c r="G70" s="455"/>
      <c r="H70" s="296"/>
      <c r="I70" s="296"/>
      <c r="J70" s="296"/>
      <c r="K70" s="297"/>
      <c r="BB70" s="14"/>
      <c r="BC70" s="15" t="s">
        <v>4745</v>
      </c>
      <c r="BD70" s="21"/>
      <c r="BE70" s="12"/>
      <c r="BF70" s="43"/>
      <c r="BG70" s="12"/>
    </row>
    <row r="71" spans="1:59" s="3" customFormat="1" ht="42" x14ac:dyDescent="0.3">
      <c r="A71" s="16" t="s">
        <v>201</v>
      </c>
      <c r="B71" s="17" t="s">
        <v>4746</v>
      </c>
      <c r="C71" s="405" t="s">
        <v>4747</v>
      </c>
      <c r="D71" s="405"/>
      <c r="E71" s="405"/>
      <c r="F71" s="16" t="s">
        <v>43</v>
      </c>
      <c r="G71" s="30">
        <v>6.25E-2</v>
      </c>
      <c r="H71" s="57">
        <f>I71/G71</f>
        <v>63128.32</v>
      </c>
      <c r="I71" s="19">
        <f>3945.52-K71</f>
        <v>3945.52</v>
      </c>
      <c r="J71" s="19">
        <f>K71/G71</f>
        <v>0</v>
      </c>
      <c r="K71" s="19">
        <v>0</v>
      </c>
      <c r="BB71" s="14"/>
      <c r="BC71" s="15"/>
      <c r="BD71" s="21" t="s">
        <v>4747</v>
      </c>
      <c r="BE71" s="12"/>
      <c r="BF71" s="43"/>
      <c r="BG71" s="12"/>
    </row>
    <row r="72" spans="1:59" s="3" customFormat="1" ht="15" customHeight="1" x14ac:dyDescent="0.3">
      <c r="A72" s="454" t="s">
        <v>4748</v>
      </c>
      <c r="B72" s="455"/>
      <c r="C72" s="455"/>
      <c r="D72" s="455"/>
      <c r="E72" s="455"/>
      <c r="F72" s="455"/>
      <c r="G72" s="455"/>
      <c r="H72" s="296"/>
      <c r="I72" s="296"/>
      <c r="J72" s="296"/>
      <c r="K72" s="297"/>
      <c r="BB72" s="14"/>
      <c r="BC72" s="15" t="s">
        <v>4748</v>
      </c>
      <c r="BD72" s="21"/>
      <c r="BE72" s="12"/>
      <c r="BF72" s="43"/>
      <c r="BG72" s="12"/>
    </row>
    <row r="73" spans="1:59" s="3" customFormat="1" ht="31.8" x14ac:dyDescent="0.3">
      <c r="A73" s="16" t="s">
        <v>219</v>
      </c>
      <c r="B73" s="17" t="s">
        <v>1732</v>
      </c>
      <c r="C73" s="405" t="s">
        <v>1733</v>
      </c>
      <c r="D73" s="405"/>
      <c r="E73" s="405"/>
      <c r="F73" s="16" t="s">
        <v>125</v>
      </c>
      <c r="G73" s="18">
        <v>1.9E-2</v>
      </c>
      <c r="H73" s="57">
        <f>I73/G73</f>
        <v>140948.42105263157</v>
      </c>
      <c r="I73" s="19">
        <f>2678.02-K73</f>
        <v>2678.02</v>
      </c>
      <c r="J73" s="19">
        <f>K73/G73</f>
        <v>0</v>
      </c>
      <c r="K73" s="19">
        <v>0</v>
      </c>
      <c r="BB73" s="14"/>
      <c r="BC73" s="15"/>
      <c r="BD73" s="21" t="s">
        <v>1733</v>
      </c>
      <c r="BE73" s="12"/>
      <c r="BF73" s="43"/>
      <c r="BG73" s="12"/>
    </row>
    <row r="74" spans="1:59" s="3" customFormat="1" ht="15" customHeight="1" x14ac:dyDescent="0.3">
      <c r="A74" s="454" t="s">
        <v>4749</v>
      </c>
      <c r="B74" s="455"/>
      <c r="C74" s="455"/>
      <c r="D74" s="455"/>
      <c r="E74" s="455"/>
      <c r="F74" s="455"/>
      <c r="G74" s="455"/>
      <c r="H74" s="296"/>
      <c r="I74" s="296"/>
      <c r="J74" s="296"/>
      <c r="K74" s="297"/>
      <c r="BB74" s="14"/>
      <c r="BC74" s="15" t="s">
        <v>4749</v>
      </c>
      <c r="BD74" s="21"/>
      <c r="BE74" s="12"/>
      <c r="BF74" s="43"/>
      <c r="BG74" s="12"/>
    </row>
    <row r="75" spans="1:59" s="3" customFormat="1" ht="21.6" x14ac:dyDescent="0.3">
      <c r="A75" s="16" t="s">
        <v>222</v>
      </c>
      <c r="B75" s="17" t="s">
        <v>1601</v>
      </c>
      <c r="C75" s="405" t="s">
        <v>1602</v>
      </c>
      <c r="D75" s="405"/>
      <c r="E75" s="405"/>
      <c r="F75" s="16" t="s">
        <v>102</v>
      </c>
      <c r="G75" s="31">
        <v>0.36</v>
      </c>
      <c r="H75" s="57">
        <f>I75/G75</f>
        <v>11010.083333333334</v>
      </c>
      <c r="I75" s="19">
        <f>6066.04-K75</f>
        <v>3963.63</v>
      </c>
      <c r="J75" s="19">
        <f>K75/G75</f>
        <v>5840.0277777777774</v>
      </c>
      <c r="K75" s="19">
        <v>2102.41</v>
      </c>
      <c r="BB75" s="14"/>
      <c r="BC75" s="15"/>
      <c r="BD75" s="21" t="s">
        <v>1602</v>
      </c>
      <c r="BE75" s="12"/>
      <c r="BF75" s="43"/>
      <c r="BG75" s="12"/>
    </row>
    <row r="76" spans="1:59" s="3" customFormat="1" ht="20.399999999999999" x14ac:dyDescent="0.3">
      <c r="A76" s="37" t="s">
        <v>143</v>
      </c>
      <c r="B76" s="38" t="s">
        <v>767</v>
      </c>
      <c r="C76" s="430" t="s">
        <v>768</v>
      </c>
      <c r="D76" s="430"/>
      <c r="E76" s="430"/>
      <c r="F76" s="39" t="s">
        <v>46</v>
      </c>
      <c r="G76" s="40" t="s">
        <v>4801</v>
      </c>
      <c r="H76" s="100"/>
      <c r="I76" s="41"/>
      <c r="J76" s="41"/>
      <c r="K76" s="42"/>
      <c r="BB76" s="14"/>
      <c r="BC76" s="15"/>
      <c r="BD76" s="21"/>
      <c r="BE76" s="12"/>
      <c r="BF76" s="43" t="s">
        <v>768</v>
      </c>
      <c r="BG76" s="12"/>
    </row>
    <row r="77" spans="1:59" s="3" customFormat="1" ht="21.6" x14ac:dyDescent="0.3">
      <c r="A77" s="25" t="s">
        <v>129</v>
      </c>
      <c r="B77" s="26" t="s">
        <v>205</v>
      </c>
      <c r="C77" s="419" t="s">
        <v>82</v>
      </c>
      <c r="D77" s="419"/>
      <c r="E77" s="419"/>
      <c r="F77" s="27" t="s">
        <v>46</v>
      </c>
      <c r="G77" s="22" t="s">
        <v>4801</v>
      </c>
      <c r="H77" s="57"/>
      <c r="I77" s="28"/>
      <c r="J77" s="19"/>
      <c r="K77" s="29"/>
      <c r="BB77" s="14"/>
      <c r="BC77" s="15"/>
      <c r="BD77" s="21"/>
      <c r="BE77" s="12"/>
      <c r="BF77" s="43"/>
      <c r="BG77" s="12" t="s">
        <v>82</v>
      </c>
    </row>
    <row r="78" spans="1:59" s="3" customFormat="1" ht="15" customHeight="1" x14ac:dyDescent="0.3">
      <c r="A78" s="454" t="s">
        <v>4802</v>
      </c>
      <c r="B78" s="455"/>
      <c r="C78" s="455"/>
      <c r="D78" s="455"/>
      <c r="E78" s="455"/>
      <c r="F78" s="455"/>
      <c r="G78" s="455"/>
      <c r="H78" s="296"/>
      <c r="I78" s="296"/>
      <c r="J78" s="296"/>
      <c r="K78" s="297"/>
      <c r="BB78" s="14"/>
      <c r="BC78" s="15" t="s">
        <v>4802</v>
      </c>
      <c r="BD78" s="21"/>
      <c r="BE78" s="12"/>
      <c r="BF78" s="43"/>
      <c r="BG78" s="12"/>
    </row>
    <row r="79" spans="1:59" s="3" customFormat="1" ht="31.8" x14ac:dyDescent="0.3">
      <c r="A79" s="16" t="s">
        <v>225</v>
      </c>
      <c r="B79" s="17" t="s">
        <v>3341</v>
      </c>
      <c r="C79" s="405" t="s">
        <v>3342</v>
      </c>
      <c r="D79" s="405"/>
      <c r="E79" s="405"/>
      <c r="F79" s="16" t="s">
        <v>67</v>
      </c>
      <c r="G79" s="31">
        <v>2.21</v>
      </c>
      <c r="H79" s="57">
        <f>I79/G79</f>
        <v>5335.6380090497742</v>
      </c>
      <c r="I79" s="19">
        <f>11811.12-K79</f>
        <v>11791.76</v>
      </c>
      <c r="J79" s="19">
        <f>K79/G79</f>
        <v>8.7601809954751122</v>
      </c>
      <c r="K79" s="19">
        <v>19.36</v>
      </c>
      <c r="BB79" s="14"/>
      <c r="BC79" s="15"/>
      <c r="BD79" s="21" t="s">
        <v>3342</v>
      </c>
      <c r="BE79" s="12"/>
      <c r="BF79" s="43"/>
      <c r="BG79" s="12"/>
    </row>
    <row r="80" spans="1:59" s="3" customFormat="1" ht="21.6" x14ac:dyDescent="0.3">
      <c r="A80" s="25"/>
      <c r="B80" s="26" t="s">
        <v>607</v>
      </c>
      <c r="C80" s="419" t="s">
        <v>608</v>
      </c>
      <c r="D80" s="419"/>
      <c r="E80" s="419"/>
      <c r="F80" s="27" t="s">
        <v>609</v>
      </c>
      <c r="G80" s="22" t="s">
        <v>4803</v>
      </c>
      <c r="H80" s="58"/>
      <c r="I80" s="28"/>
      <c r="J80" s="28"/>
      <c r="K80" s="29"/>
      <c r="BB80" s="14"/>
      <c r="BC80" s="15"/>
      <c r="BD80" s="21"/>
      <c r="BE80" s="12" t="s">
        <v>608</v>
      </c>
      <c r="BF80" s="43"/>
      <c r="BG80" s="12"/>
    </row>
    <row r="81" spans="1:59" s="3" customFormat="1" ht="52.2" x14ac:dyDescent="0.3">
      <c r="A81" s="16" t="s">
        <v>227</v>
      </c>
      <c r="B81" s="17" t="s">
        <v>4804</v>
      </c>
      <c r="C81" s="405" t="s">
        <v>4805</v>
      </c>
      <c r="D81" s="405"/>
      <c r="E81" s="405"/>
      <c r="F81" s="16" t="s">
        <v>115</v>
      </c>
      <c r="G81" s="31">
        <v>225.42</v>
      </c>
      <c r="H81" s="57">
        <f>I81/G81</f>
        <v>0</v>
      </c>
      <c r="I81" s="19">
        <f>457206.54-K81</f>
        <v>0</v>
      </c>
      <c r="J81" s="19">
        <f>K81/G81</f>
        <v>2028.2430130423211</v>
      </c>
      <c r="K81" s="19">
        <v>457206.54</v>
      </c>
      <c r="BB81" s="14"/>
      <c r="BC81" s="15"/>
      <c r="BD81" s="21" t="s">
        <v>4805</v>
      </c>
      <c r="BE81" s="12"/>
      <c r="BF81" s="43"/>
      <c r="BG81" s="12"/>
    </row>
    <row r="82" spans="1:59" s="3" customFormat="1" ht="15" customHeight="1" x14ac:dyDescent="0.3">
      <c r="A82" s="454" t="s">
        <v>4806</v>
      </c>
      <c r="B82" s="455"/>
      <c r="C82" s="455"/>
      <c r="D82" s="455"/>
      <c r="E82" s="455"/>
      <c r="F82" s="455"/>
      <c r="G82" s="455"/>
      <c r="H82" s="296"/>
      <c r="I82" s="296"/>
      <c r="J82" s="296"/>
      <c r="K82" s="297"/>
      <c r="BB82" s="14"/>
      <c r="BC82" s="15" t="s">
        <v>4806</v>
      </c>
      <c r="BD82" s="21"/>
      <c r="BE82" s="12"/>
      <c r="BF82" s="43"/>
      <c r="BG82" s="12"/>
    </row>
    <row r="83" spans="1:59" s="3" customFormat="1" ht="31.8" x14ac:dyDescent="0.3">
      <c r="A83" s="16" t="s">
        <v>230</v>
      </c>
      <c r="B83" s="17" t="s">
        <v>4807</v>
      </c>
      <c r="C83" s="405" t="s">
        <v>4808</v>
      </c>
      <c r="D83" s="405"/>
      <c r="E83" s="405"/>
      <c r="F83" s="16" t="s">
        <v>4809</v>
      </c>
      <c r="G83" s="31">
        <v>0.06</v>
      </c>
      <c r="H83" s="57">
        <f>I83/G83</f>
        <v>22096.166666666672</v>
      </c>
      <c r="I83" s="19">
        <f>1334.63-K83</f>
        <v>1325.7700000000002</v>
      </c>
      <c r="J83" s="19">
        <f>K83/G83</f>
        <v>147.66666666666666</v>
      </c>
      <c r="K83" s="19">
        <v>8.86</v>
      </c>
      <c r="BB83" s="14"/>
      <c r="BC83" s="15"/>
      <c r="BD83" s="21" t="s">
        <v>4808</v>
      </c>
      <c r="BE83" s="12"/>
      <c r="BF83" s="43"/>
      <c r="BG83" s="12"/>
    </row>
    <row r="84" spans="1:59" s="3" customFormat="1" ht="20.399999999999999" x14ac:dyDescent="0.3">
      <c r="A84" s="25"/>
      <c r="B84" s="26" t="s">
        <v>4503</v>
      </c>
      <c r="C84" s="419" t="s">
        <v>4504</v>
      </c>
      <c r="D84" s="419"/>
      <c r="E84" s="419"/>
      <c r="F84" s="27" t="s">
        <v>75</v>
      </c>
      <c r="G84" s="22" t="s">
        <v>4810</v>
      </c>
      <c r="H84" s="58"/>
      <c r="I84" s="28"/>
      <c r="J84" s="28"/>
      <c r="K84" s="29"/>
      <c r="BB84" s="14"/>
      <c r="BC84" s="15"/>
      <c r="BD84" s="21"/>
      <c r="BE84" s="12" t="s">
        <v>4504</v>
      </c>
      <c r="BF84" s="43"/>
      <c r="BG84" s="12"/>
    </row>
    <row r="85" spans="1:59" s="3" customFormat="1" ht="31.8" x14ac:dyDescent="0.3">
      <c r="A85" s="25"/>
      <c r="B85" s="26" t="s">
        <v>1703</v>
      </c>
      <c r="C85" s="419" t="s">
        <v>1704</v>
      </c>
      <c r="D85" s="419"/>
      <c r="E85" s="419"/>
      <c r="F85" s="27" t="s">
        <v>75</v>
      </c>
      <c r="G85" s="22" t="s">
        <v>4811</v>
      </c>
      <c r="H85" s="58"/>
      <c r="I85" s="28"/>
      <c r="J85" s="28"/>
      <c r="K85" s="29"/>
      <c r="BB85" s="14"/>
      <c r="BC85" s="15"/>
      <c r="BD85" s="21"/>
      <c r="BE85" s="12" t="s">
        <v>1704</v>
      </c>
      <c r="BF85" s="43"/>
      <c r="BG85" s="12"/>
    </row>
    <row r="86" spans="1:59" s="3" customFormat="1" ht="20.399999999999999" x14ac:dyDescent="0.3">
      <c r="A86" s="25"/>
      <c r="B86" s="26" t="s">
        <v>4812</v>
      </c>
      <c r="C86" s="419" t="s">
        <v>4813</v>
      </c>
      <c r="D86" s="419"/>
      <c r="E86" s="419"/>
      <c r="F86" s="27" t="s">
        <v>70</v>
      </c>
      <c r="G86" s="22" t="s">
        <v>4810</v>
      </c>
      <c r="H86" s="58"/>
      <c r="I86" s="28"/>
      <c r="J86" s="28"/>
      <c r="K86" s="29"/>
      <c r="BB86" s="14"/>
      <c r="BC86" s="15"/>
      <c r="BD86" s="21"/>
      <c r="BE86" s="12" t="s">
        <v>4813</v>
      </c>
      <c r="BF86" s="43"/>
      <c r="BG86" s="12"/>
    </row>
    <row r="87" spans="1:59" s="3" customFormat="1" ht="21.6" x14ac:dyDescent="0.3">
      <c r="A87" s="25"/>
      <c r="B87" s="26" t="s">
        <v>607</v>
      </c>
      <c r="C87" s="419" t="s">
        <v>608</v>
      </c>
      <c r="D87" s="419"/>
      <c r="E87" s="419"/>
      <c r="F87" s="27" t="s">
        <v>609</v>
      </c>
      <c r="G87" s="22" t="s">
        <v>4814</v>
      </c>
      <c r="H87" s="58"/>
      <c r="I87" s="28"/>
      <c r="J87" s="28"/>
      <c r="K87" s="29"/>
      <c r="BB87" s="14"/>
      <c r="BC87" s="15"/>
      <c r="BD87" s="21"/>
      <c r="BE87" s="12" t="s">
        <v>608</v>
      </c>
      <c r="BF87" s="43"/>
      <c r="BG87" s="12"/>
    </row>
    <row r="88" spans="1:59" s="3" customFormat="1" ht="30.6" x14ac:dyDescent="0.3">
      <c r="A88" s="16" t="s">
        <v>233</v>
      </c>
      <c r="B88" s="17" t="s">
        <v>4757</v>
      </c>
      <c r="C88" s="405" t="s">
        <v>4758</v>
      </c>
      <c r="D88" s="405"/>
      <c r="E88" s="405"/>
      <c r="F88" s="16" t="s">
        <v>1049</v>
      </c>
      <c r="G88" s="44">
        <v>6.1199999999999996E-3</v>
      </c>
      <c r="H88" s="57">
        <f>I88/G88</f>
        <v>0</v>
      </c>
      <c r="I88" s="19">
        <f>381.07-K88</f>
        <v>0</v>
      </c>
      <c r="J88" s="19">
        <f>K88/G88</f>
        <v>62266.339869281052</v>
      </c>
      <c r="K88" s="19">
        <v>381.07</v>
      </c>
      <c r="BB88" s="14"/>
      <c r="BC88" s="15"/>
      <c r="BD88" s="21" t="s">
        <v>4758</v>
      </c>
      <c r="BE88" s="12"/>
      <c r="BF88" s="43"/>
      <c r="BG88" s="12"/>
    </row>
    <row r="89" spans="1:59" s="3" customFormat="1" ht="15" customHeight="1" x14ac:dyDescent="0.3">
      <c r="A89" s="454" t="s">
        <v>4815</v>
      </c>
      <c r="B89" s="455"/>
      <c r="C89" s="455"/>
      <c r="D89" s="455"/>
      <c r="E89" s="455"/>
      <c r="F89" s="455"/>
      <c r="G89" s="455"/>
      <c r="H89" s="296"/>
      <c r="I89" s="296"/>
      <c r="J89" s="296"/>
      <c r="K89" s="297"/>
      <c r="BB89" s="14"/>
      <c r="BC89" s="15" t="s">
        <v>4815</v>
      </c>
      <c r="BD89" s="21"/>
      <c r="BE89" s="12"/>
      <c r="BF89" s="43"/>
      <c r="BG89" s="12"/>
    </row>
    <row r="90" spans="1:59" s="3" customFormat="1" ht="31.8" x14ac:dyDescent="0.3">
      <c r="A90" s="16" t="s">
        <v>235</v>
      </c>
      <c r="B90" s="17" t="s">
        <v>4807</v>
      </c>
      <c r="C90" s="405" t="s">
        <v>4808</v>
      </c>
      <c r="D90" s="405"/>
      <c r="E90" s="405"/>
      <c r="F90" s="16" t="s">
        <v>4809</v>
      </c>
      <c r="G90" s="31">
        <v>1.26</v>
      </c>
      <c r="H90" s="57">
        <f>I90/G90</f>
        <v>22096.166666666664</v>
      </c>
      <c r="I90" s="19">
        <f>28027.17-K90</f>
        <v>27841.17</v>
      </c>
      <c r="J90" s="19">
        <f>K90/G90</f>
        <v>147.61904761904762</v>
      </c>
      <c r="K90" s="19">
        <v>186</v>
      </c>
      <c r="BB90" s="14"/>
      <c r="BC90" s="15"/>
      <c r="BD90" s="21" t="s">
        <v>4808</v>
      </c>
      <c r="BE90" s="12"/>
      <c r="BF90" s="43"/>
      <c r="BG90" s="12"/>
    </row>
    <row r="91" spans="1:59" s="3" customFormat="1" ht="20.399999999999999" x14ac:dyDescent="0.3">
      <c r="A91" s="25"/>
      <c r="B91" s="26" t="s">
        <v>4503</v>
      </c>
      <c r="C91" s="419" t="s">
        <v>4504</v>
      </c>
      <c r="D91" s="419"/>
      <c r="E91" s="419"/>
      <c r="F91" s="27" t="s">
        <v>75</v>
      </c>
      <c r="G91" s="22" t="s">
        <v>4816</v>
      </c>
      <c r="H91" s="58"/>
      <c r="I91" s="28"/>
      <c r="J91" s="28"/>
      <c r="K91" s="29"/>
      <c r="BB91" s="14"/>
      <c r="BC91" s="15"/>
      <c r="BD91" s="21"/>
      <c r="BE91" s="12" t="s">
        <v>4504</v>
      </c>
      <c r="BF91" s="43"/>
      <c r="BG91" s="12"/>
    </row>
    <row r="92" spans="1:59" s="3" customFormat="1" ht="31.8" x14ac:dyDescent="0.3">
      <c r="A92" s="25"/>
      <c r="B92" s="26" t="s">
        <v>1703</v>
      </c>
      <c r="C92" s="419" t="s">
        <v>1704</v>
      </c>
      <c r="D92" s="419"/>
      <c r="E92" s="419"/>
      <c r="F92" s="27" t="s">
        <v>75</v>
      </c>
      <c r="G92" s="22" t="s">
        <v>4817</v>
      </c>
      <c r="H92" s="58"/>
      <c r="I92" s="28"/>
      <c r="J92" s="28"/>
      <c r="K92" s="29"/>
      <c r="BB92" s="14"/>
      <c r="BC92" s="15"/>
      <c r="BD92" s="21"/>
      <c r="BE92" s="12" t="s">
        <v>1704</v>
      </c>
      <c r="BF92" s="43"/>
      <c r="BG92" s="12"/>
    </row>
    <row r="93" spans="1:59" s="3" customFormat="1" ht="20.399999999999999" x14ac:dyDescent="0.3">
      <c r="A93" s="25"/>
      <c r="B93" s="26" t="s">
        <v>4812</v>
      </c>
      <c r="C93" s="419" t="s">
        <v>4813</v>
      </c>
      <c r="D93" s="419"/>
      <c r="E93" s="419"/>
      <c r="F93" s="27" t="s">
        <v>70</v>
      </c>
      <c r="G93" s="22" t="s">
        <v>4816</v>
      </c>
      <c r="H93" s="58"/>
      <c r="I93" s="28"/>
      <c r="J93" s="28"/>
      <c r="K93" s="29"/>
      <c r="BB93" s="14"/>
      <c r="BC93" s="15"/>
      <c r="BD93" s="21"/>
      <c r="BE93" s="12" t="s">
        <v>4813</v>
      </c>
      <c r="BF93" s="43"/>
      <c r="BG93" s="12"/>
    </row>
    <row r="94" spans="1:59" s="3" customFormat="1" ht="21.6" x14ac:dyDescent="0.3">
      <c r="A94" s="25"/>
      <c r="B94" s="26" t="s">
        <v>607</v>
      </c>
      <c r="C94" s="419" t="s">
        <v>608</v>
      </c>
      <c r="D94" s="419"/>
      <c r="E94" s="419"/>
      <c r="F94" s="27" t="s">
        <v>609</v>
      </c>
      <c r="G94" s="22" t="s">
        <v>4818</v>
      </c>
      <c r="H94" s="58"/>
      <c r="I94" s="28"/>
      <c r="J94" s="28"/>
      <c r="K94" s="29"/>
      <c r="BB94" s="14"/>
      <c r="BC94" s="15"/>
      <c r="BD94" s="21"/>
      <c r="BE94" s="12" t="s">
        <v>608</v>
      </c>
      <c r="BF94" s="43"/>
      <c r="BG94" s="12"/>
    </row>
    <row r="95" spans="1:59" s="3" customFormat="1" ht="30.6" x14ac:dyDescent="0.3">
      <c r="A95" s="16" t="s">
        <v>237</v>
      </c>
      <c r="B95" s="17" t="s">
        <v>4761</v>
      </c>
      <c r="C95" s="405" t="s">
        <v>4762</v>
      </c>
      <c r="D95" s="405"/>
      <c r="E95" s="405"/>
      <c r="F95" s="16" t="s">
        <v>1049</v>
      </c>
      <c r="G95" s="44">
        <v>0.12852</v>
      </c>
      <c r="H95" s="57">
        <f>I95/G95</f>
        <v>0</v>
      </c>
      <c r="I95" s="19">
        <f>9399.6-K95</f>
        <v>0</v>
      </c>
      <c r="J95" s="19">
        <f>K95/G95</f>
        <v>73137.254901960783</v>
      </c>
      <c r="K95" s="19">
        <v>9399.6</v>
      </c>
      <c r="BB95" s="14"/>
      <c r="BC95" s="15"/>
      <c r="BD95" s="21" t="s">
        <v>4762</v>
      </c>
      <c r="BE95" s="12"/>
      <c r="BF95" s="43"/>
      <c r="BG95" s="12"/>
    </row>
    <row r="96" spans="1:59" s="3" customFormat="1" ht="15" customHeight="1" x14ac:dyDescent="0.3">
      <c r="A96" s="454" t="s">
        <v>4819</v>
      </c>
      <c r="B96" s="455"/>
      <c r="C96" s="455"/>
      <c r="D96" s="455"/>
      <c r="E96" s="455"/>
      <c r="F96" s="455"/>
      <c r="G96" s="455"/>
      <c r="H96" s="296"/>
      <c r="I96" s="296"/>
      <c r="J96" s="296"/>
      <c r="K96" s="297"/>
      <c r="BB96" s="14"/>
      <c r="BC96" s="15" t="s">
        <v>4819</v>
      </c>
      <c r="BD96" s="21"/>
      <c r="BE96" s="12"/>
      <c r="BF96" s="43"/>
      <c r="BG96" s="12"/>
    </row>
    <row r="97" spans="1:59" s="3" customFormat="1" ht="21.6" x14ac:dyDescent="0.3">
      <c r="A97" s="16" t="s">
        <v>243</v>
      </c>
      <c r="B97" s="17" t="s">
        <v>1945</v>
      </c>
      <c r="C97" s="405" t="s">
        <v>1946</v>
      </c>
      <c r="D97" s="405"/>
      <c r="E97" s="405"/>
      <c r="F97" s="16" t="s">
        <v>67</v>
      </c>
      <c r="G97" s="31">
        <v>0.09</v>
      </c>
      <c r="H97" s="57">
        <f>I97/G97</f>
        <v>10823.333333333334</v>
      </c>
      <c r="I97" s="19">
        <f>1003.59-K97</f>
        <v>974.1</v>
      </c>
      <c r="J97" s="19">
        <f>K97/G97</f>
        <v>327.66666666666669</v>
      </c>
      <c r="K97" s="19">
        <v>29.49</v>
      </c>
      <c r="BB97" s="14"/>
      <c r="BC97" s="15"/>
      <c r="BD97" s="21" t="s">
        <v>1946</v>
      </c>
      <c r="BE97" s="12"/>
      <c r="BF97" s="43"/>
      <c r="BG97" s="12"/>
    </row>
    <row r="98" spans="1:59" s="3" customFormat="1" ht="20.399999999999999" x14ac:dyDescent="0.3">
      <c r="A98" s="25"/>
      <c r="B98" s="26" t="s">
        <v>599</v>
      </c>
      <c r="C98" s="419" t="s">
        <v>600</v>
      </c>
      <c r="D98" s="419"/>
      <c r="E98" s="419"/>
      <c r="F98" s="27" t="s">
        <v>406</v>
      </c>
      <c r="G98" s="22" t="s">
        <v>3679</v>
      </c>
      <c r="H98" s="58"/>
      <c r="I98" s="28"/>
      <c r="J98" s="28"/>
      <c r="K98" s="29"/>
      <c r="BB98" s="14"/>
      <c r="BC98" s="15"/>
      <c r="BD98" s="21"/>
      <c r="BE98" s="12" t="s">
        <v>600</v>
      </c>
      <c r="BF98" s="43"/>
      <c r="BG98" s="12"/>
    </row>
    <row r="99" spans="1:59" s="3" customFormat="1" ht="21.6" x14ac:dyDescent="0.3">
      <c r="A99" s="25"/>
      <c r="B99" s="26" t="s">
        <v>1766</v>
      </c>
      <c r="C99" s="419" t="s">
        <v>1767</v>
      </c>
      <c r="D99" s="419"/>
      <c r="E99" s="419"/>
      <c r="F99" s="27" t="s">
        <v>70</v>
      </c>
      <c r="G99" s="22" t="s">
        <v>4820</v>
      </c>
      <c r="H99" s="58"/>
      <c r="I99" s="28"/>
      <c r="J99" s="28"/>
      <c r="K99" s="29"/>
      <c r="BB99" s="14"/>
      <c r="BC99" s="15"/>
      <c r="BD99" s="21"/>
      <c r="BE99" s="12" t="s">
        <v>1767</v>
      </c>
      <c r="BF99" s="43"/>
      <c r="BG99" s="12"/>
    </row>
    <row r="100" spans="1:59" s="3" customFormat="1" ht="20.399999999999999" x14ac:dyDescent="0.3">
      <c r="A100" s="25"/>
      <c r="B100" s="26" t="s">
        <v>89</v>
      </c>
      <c r="C100" s="419" t="s">
        <v>90</v>
      </c>
      <c r="D100" s="419"/>
      <c r="E100" s="419"/>
      <c r="F100" s="27" t="s">
        <v>70</v>
      </c>
      <c r="G100" s="22" t="s">
        <v>3683</v>
      </c>
      <c r="H100" s="58"/>
      <c r="I100" s="28"/>
      <c r="J100" s="28"/>
      <c r="K100" s="29"/>
      <c r="BB100" s="14"/>
      <c r="BC100" s="15"/>
      <c r="BD100" s="21"/>
      <c r="BE100" s="12" t="s">
        <v>90</v>
      </c>
      <c r="BF100" s="43"/>
      <c r="BG100" s="12"/>
    </row>
    <row r="101" spans="1:59" s="3" customFormat="1" ht="21.6" x14ac:dyDescent="0.3">
      <c r="A101" s="25"/>
      <c r="B101" s="26" t="s">
        <v>607</v>
      </c>
      <c r="C101" s="419" t="s">
        <v>608</v>
      </c>
      <c r="D101" s="419"/>
      <c r="E101" s="419"/>
      <c r="F101" s="27" t="s">
        <v>609</v>
      </c>
      <c r="G101" s="22" t="s">
        <v>4821</v>
      </c>
      <c r="H101" s="58"/>
      <c r="I101" s="28"/>
      <c r="J101" s="28"/>
      <c r="K101" s="29"/>
      <c r="BB101" s="14"/>
      <c r="BC101" s="15"/>
      <c r="BD101" s="21"/>
      <c r="BE101" s="12" t="s">
        <v>608</v>
      </c>
      <c r="BF101" s="43"/>
      <c r="BG101" s="12"/>
    </row>
    <row r="102" spans="1:59" s="3" customFormat="1" ht="21.6" x14ac:dyDescent="0.3">
      <c r="A102" s="16" t="s">
        <v>244</v>
      </c>
      <c r="B102" s="17" t="s">
        <v>4786</v>
      </c>
      <c r="C102" s="405" t="s">
        <v>4787</v>
      </c>
      <c r="D102" s="405"/>
      <c r="E102" s="405"/>
      <c r="F102" s="16" t="s">
        <v>115</v>
      </c>
      <c r="G102" s="31">
        <v>9.18</v>
      </c>
      <c r="H102" s="57"/>
      <c r="I102" s="19">
        <f>3187.98-K102</f>
        <v>0</v>
      </c>
      <c r="J102" s="19"/>
      <c r="K102" s="19">
        <v>3187.98</v>
      </c>
      <c r="BB102" s="14"/>
      <c r="BC102" s="15"/>
      <c r="BD102" s="21" t="s">
        <v>4787</v>
      </c>
      <c r="BE102" s="12"/>
      <c r="BF102" s="43"/>
      <c r="BG102" s="12"/>
    </row>
    <row r="103" spans="1:59" s="3" customFormat="1" ht="15" customHeight="1" x14ac:dyDescent="0.3">
      <c r="A103" s="454" t="s">
        <v>4822</v>
      </c>
      <c r="B103" s="455"/>
      <c r="C103" s="455"/>
      <c r="D103" s="455"/>
      <c r="E103" s="455"/>
      <c r="F103" s="455"/>
      <c r="G103" s="455"/>
      <c r="H103" s="296"/>
      <c r="I103" s="296"/>
      <c r="J103" s="296"/>
      <c r="K103" s="297"/>
      <c r="BB103" s="14"/>
      <c r="BC103" s="15" t="s">
        <v>4822</v>
      </c>
      <c r="BD103" s="21"/>
      <c r="BE103" s="12"/>
      <c r="BF103" s="43"/>
      <c r="BG103" s="12"/>
    </row>
    <row r="104" spans="1:59" s="3" customFormat="1" ht="21.6" x14ac:dyDescent="0.3">
      <c r="A104" s="16" t="s">
        <v>246</v>
      </c>
      <c r="B104" s="17" t="s">
        <v>1945</v>
      </c>
      <c r="C104" s="405" t="s">
        <v>1946</v>
      </c>
      <c r="D104" s="405"/>
      <c r="E104" s="405"/>
      <c r="F104" s="16" t="s">
        <v>67</v>
      </c>
      <c r="G104" s="31">
        <v>0.03</v>
      </c>
      <c r="H104" s="57">
        <f>I104/G104</f>
        <v>10823</v>
      </c>
      <c r="I104" s="19">
        <f>334.52-K104</f>
        <v>324.69</v>
      </c>
      <c r="J104" s="19">
        <f>K104/G104</f>
        <v>327.66666666666669</v>
      </c>
      <c r="K104" s="19">
        <v>9.83</v>
      </c>
      <c r="BB104" s="14"/>
      <c r="BC104" s="15"/>
      <c r="BD104" s="21" t="s">
        <v>1946</v>
      </c>
      <c r="BE104" s="12"/>
      <c r="BF104" s="43"/>
      <c r="BG104" s="12"/>
    </row>
    <row r="105" spans="1:59" s="3" customFormat="1" ht="20.399999999999999" x14ac:dyDescent="0.3">
      <c r="A105" s="25"/>
      <c r="B105" s="26" t="s">
        <v>599</v>
      </c>
      <c r="C105" s="419" t="s">
        <v>600</v>
      </c>
      <c r="D105" s="419"/>
      <c r="E105" s="419"/>
      <c r="F105" s="27" t="s">
        <v>406</v>
      </c>
      <c r="G105" s="22" t="s">
        <v>4823</v>
      </c>
      <c r="H105" s="58"/>
      <c r="I105" s="28"/>
      <c r="J105" s="28"/>
      <c r="K105" s="29"/>
      <c r="BB105" s="14"/>
      <c r="BC105" s="15"/>
      <c r="BD105" s="21"/>
      <c r="BE105" s="12" t="s">
        <v>600</v>
      </c>
      <c r="BF105" s="43"/>
      <c r="BG105" s="12"/>
    </row>
    <row r="106" spans="1:59" s="3" customFormat="1" ht="21.6" x14ac:dyDescent="0.3">
      <c r="A106" s="25"/>
      <c r="B106" s="26" t="s">
        <v>1766</v>
      </c>
      <c r="C106" s="419" t="s">
        <v>1767</v>
      </c>
      <c r="D106" s="419"/>
      <c r="E106" s="419"/>
      <c r="F106" s="27" t="s">
        <v>70</v>
      </c>
      <c r="G106" s="22" t="s">
        <v>4824</v>
      </c>
      <c r="H106" s="58"/>
      <c r="I106" s="28"/>
      <c r="J106" s="28"/>
      <c r="K106" s="29"/>
      <c r="BB106" s="14"/>
      <c r="BC106" s="15"/>
      <c r="BD106" s="21"/>
      <c r="BE106" s="12" t="s">
        <v>1767</v>
      </c>
      <c r="BF106" s="43"/>
      <c r="BG106" s="12"/>
    </row>
    <row r="107" spans="1:59" s="3" customFormat="1" ht="20.399999999999999" x14ac:dyDescent="0.3">
      <c r="A107" s="25"/>
      <c r="B107" s="26" t="s">
        <v>89</v>
      </c>
      <c r="C107" s="419" t="s">
        <v>90</v>
      </c>
      <c r="D107" s="419"/>
      <c r="E107" s="419"/>
      <c r="F107" s="27" t="s">
        <v>70</v>
      </c>
      <c r="G107" s="22" t="s">
        <v>4825</v>
      </c>
      <c r="H107" s="58"/>
      <c r="I107" s="28"/>
      <c r="J107" s="28"/>
      <c r="K107" s="29"/>
      <c r="BB107" s="14"/>
      <c r="BC107" s="15"/>
      <c r="BD107" s="21"/>
      <c r="BE107" s="12" t="s">
        <v>90</v>
      </c>
      <c r="BF107" s="43"/>
      <c r="BG107" s="12"/>
    </row>
    <row r="108" spans="1:59" s="3" customFormat="1" ht="21.6" x14ac:dyDescent="0.3">
      <c r="A108" s="25"/>
      <c r="B108" s="26" t="s">
        <v>607</v>
      </c>
      <c r="C108" s="419" t="s">
        <v>608</v>
      </c>
      <c r="D108" s="419"/>
      <c r="E108" s="419"/>
      <c r="F108" s="27" t="s">
        <v>609</v>
      </c>
      <c r="G108" s="22" t="s">
        <v>4826</v>
      </c>
      <c r="H108" s="58"/>
      <c r="I108" s="28"/>
      <c r="J108" s="28"/>
      <c r="K108" s="29"/>
      <c r="BB108" s="14"/>
      <c r="BC108" s="15"/>
      <c r="BD108" s="21"/>
      <c r="BE108" s="12" t="s">
        <v>608</v>
      </c>
      <c r="BF108" s="43"/>
      <c r="BG108" s="12"/>
    </row>
    <row r="109" spans="1:59" s="3" customFormat="1" ht="20.399999999999999" x14ac:dyDescent="0.3">
      <c r="A109" s="16" t="s">
        <v>247</v>
      </c>
      <c r="B109" s="17" t="s">
        <v>4779</v>
      </c>
      <c r="C109" s="405" t="s">
        <v>4780</v>
      </c>
      <c r="D109" s="405"/>
      <c r="E109" s="405"/>
      <c r="F109" s="16" t="s">
        <v>3907</v>
      </c>
      <c r="G109" s="44">
        <v>3.0599999999999998E-3</v>
      </c>
      <c r="H109" s="57"/>
      <c r="I109" s="19">
        <f>528.08-K109</f>
        <v>0</v>
      </c>
      <c r="J109" s="19"/>
      <c r="K109" s="19">
        <v>528.08000000000004</v>
      </c>
      <c r="BB109" s="14"/>
      <c r="BC109" s="15"/>
      <c r="BD109" s="21" t="s">
        <v>4780</v>
      </c>
      <c r="BE109" s="12"/>
      <c r="BF109" s="43"/>
      <c r="BG109" s="12"/>
    </row>
    <row r="110" spans="1:59" s="3" customFormat="1" ht="15" customHeight="1" x14ac:dyDescent="0.3">
      <c r="A110" s="454" t="s">
        <v>4827</v>
      </c>
      <c r="B110" s="455"/>
      <c r="C110" s="455"/>
      <c r="D110" s="455"/>
      <c r="E110" s="455"/>
      <c r="F110" s="455"/>
      <c r="G110" s="455"/>
      <c r="H110" s="296"/>
      <c r="I110" s="296"/>
      <c r="J110" s="296"/>
      <c r="K110" s="297"/>
      <c r="BB110" s="14"/>
      <c r="BC110" s="15" t="s">
        <v>4827</v>
      </c>
      <c r="BD110" s="21"/>
      <c r="BE110" s="12"/>
      <c r="BF110" s="43"/>
      <c r="BG110" s="12"/>
    </row>
    <row r="111" spans="1:59" s="3" customFormat="1" ht="21.6" x14ac:dyDescent="0.3">
      <c r="A111" s="16" t="s">
        <v>531</v>
      </c>
      <c r="B111" s="17" t="s">
        <v>1945</v>
      </c>
      <c r="C111" s="405" t="s">
        <v>1946</v>
      </c>
      <c r="D111" s="405"/>
      <c r="E111" s="405"/>
      <c r="F111" s="16" t="s">
        <v>67</v>
      </c>
      <c r="G111" s="31">
        <v>3.16</v>
      </c>
      <c r="H111" s="57">
        <f>I111/G111</f>
        <v>10823.360759493671</v>
      </c>
      <c r="I111" s="19">
        <f>35237.4-K111</f>
        <v>34201.82</v>
      </c>
      <c r="J111" s="19">
        <f>K111/G111</f>
        <v>327.71518987341767</v>
      </c>
      <c r="K111" s="19">
        <v>1035.58</v>
      </c>
      <c r="BB111" s="14"/>
      <c r="BC111" s="15"/>
      <c r="BD111" s="21" t="s">
        <v>1946</v>
      </c>
      <c r="BE111" s="12"/>
      <c r="BF111" s="43"/>
      <c r="BG111" s="12"/>
    </row>
    <row r="112" spans="1:59" s="3" customFormat="1" ht="20.399999999999999" x14ac:dyDescent="0.3">
      <c r="A112" s="25"/>
      <c r="B112" s="26" t="s">
        <v>599</v>
      </c>
      <c r="C112" s="419" t="s">
        <v>600</v>
      </c>
      <c r="D112" s="419"/>
      <c r="E112" s="419"/>
      <c r="F112" s="27" t="s">
        <v>406</v>
      </c>
      <c r="G112" s="22" t="s">
        <v>4828</v>
      </c>
      <c r="H112" s="58"/>
      <c r="I112" s="28"/>
      <c r="J112" s="28"/>
      <c r="K112" s="29"/>
      <c r="BB112" s="14"/>
      <c r="BC112" s="15"/>
      <c r="BD112" s="21"/>
      <c r="BE112" s="12" t="s">
        <v>600</v>
      </c>
      <c r="BF112" s="43"/>
      <c r="BG112" s="12"/>
    </row>
    <row r="113" spans="1:59" s="3" customFormat="1" ht="21.6" x14ac:dyDescent="0.3">
      <c r="A113" s="25"/>
      <c r="B113" s="26" t="s">
        <v>1766</v>
      </c>
      <c r="C113" s="419" t="s">
        <v>1767</v>
      </c>
      <c r="D113" s="419"/>
      <c r="E113" s="419"/>
      <c r="F113" s="27" t="s">
        <v>70</v>
      </c>
      <c r="G113" s="22" t="s">
        <v>4829</v>
      </c>
      <c r="H113" s="58"/>
      <c r="I113" s="28"/>
      <c r="J113" s="28"/>
      <c r="K113" s="29"/>
      <c r="BB113" s="14"/>
      <c r="BC113" s="15"/>
      <c r="BD113" s="21"/>
      <c r="BE113" s="12" t="s">
        <v>1767</v>
      </c>
      <c r="BF113" s="43"/>
      <c r="BG113" s="12"/>
    </row>
    <row r="114" spans="1:59" s="3" customFormat="1" ht="20.399999999999999" x14ac:dyDescent="0.3">
      <c r="A114" s="25"/>
      <c r="B114" s="26" t="s">
        <v>89</v>
      </c>
      <c r="C114" s="419" t="s">
        <v>90</v>
      </c>
      <c r="D114" s="419"/>
      <c r="E114" s="419"/>
      <c r="F114" s="27" t="s">
        <v>70</v>
      </c>
      <c r="G114" s="22" t="s">
        <v>4830</v>
      </c>
      <c r="H114" s="58"/>
      <c r="I114" s="28"/>
      <c r="J114" s="28"/>
      <c r="K114" s="29"/>
      <c r="BB114" s="14"/>
      <c r="BC114" s="15"/>
      <c r="BD114" s="21"/>
      <c r="BE114" s="12" t="s">
        <v>90</v>
      </c>
      <c r="BF114" s="43"/>
      <c r="BG114" s="12"/>
    </row>
    <row r="115" spans="1:59" s="3" customFormat="1" ht="21.6" x14ac:dyDescent="0.3">
      <c r="A115" s="25"/>
      <c r="B115" s="26" t="s">
        <v>607</v>
      </c>
      <c r="C115" s="419" t="s">
        <v>608</v>
      </c>
      <c r="D115" s="419"/>
      <c r="E115" s="419"/>
      <c r="F115" s="27" t="s">
        <v>609</v>
      </c>
      <c r="G115" s="22" t="s">
        <v>4831</v>
      </c>
      <c r="H115" s="58"/>
      <c r="I115" s="28"/>
      <c r="J115" s="28"/>
      <c r="K115" s="29"/>
      <c r="BB115" s="14"/>
      <c r="BC115" s="15"/>
      <c r="BD115" s="21"/>
      <c r="BE115" s="12" t="s">
        <v>608</v>
      </c>
      <c r="BF115" s="43"/>
      <c r="BG115" s="12"/>
    </row>
    <row r="116" spans="1:59" s="3" customFormat="1" ht="20.399999999999999" x14ac:dyDescent="0.3">
      <c r="A116" s="16" t="s">
        <v>533</v>
      </c>
      <c r="B116" s="17" t="s">
        <v>4770</v>
      </c>
      <c r="C116" s="405" t="s">
        <v>4771</v>
      </c>
      <c r="D116" s="405"/>
      <c r="E116" s="405"/>
      <c r="F116" s="16" t="s">
        <v>115</v>
      </c>
      <c r="G116" s="31">
        <v>322.32</v>
      </c>
      <c r="H116" s="57"/>
      <c r="I116" s="19">
        <f>39992.5-K116</f>
        <v>0</v>
      </c>
      <c r="J116" s="19"/>
      <c r="K116" s="19">
        <v>39992.5</v>
      </c>
      <c r="BB116" s="14"/>
      <c r="BC116" s="15"/>
      <c r="BD116" s="21" t="s">
        <v>4771</v>
      </c>
      <c r="BE116" s="12"/>
      <c r="BF116" s="43"/>
      <c r="BG116" s="12"/>
    </row>
    <row r="117" spans="1:59" s="3" customFormat="1" ht="15" customHeight="1" x14ac:dyDescent="0.3">
      <c r="A117" s="454" t="s">
        <v>4788</v>
      </c>
      <c r="B117" s="455"/>
      <c r="C117" s="455"/>
      <c r="D117" s="455"/>
      <c r="E117" s="455"/>
      <c r="F117" s="455"/>
      <c r="G117" s="455"/>
      <c r="H117" s="296"/>
      <c r="I117" s="296"/>
      <c r="J117" s="296"/>
      <c r="K117" s="297"/>
      <c r="BB117" s="14"/>
      <c r="BC117" s="15" t="s">
        <v>4788</v>
      </c>
      <c r="BD117" s="21"/>
      <c r="BE117" s="12"/>
      <c r="BF117" s="43"/>
      <c r="BG117" s="12"/>
    </row>
    <row r="118" spans="1:59" s="3" customFormat="1" ht="42" x14ac:dyDescent="0.3">
      <c r="A118" s="16" t="s">
        <v>539</v>
      </c>
      <c r="B118" s="17" t="s">
        <v>257</v>
      </c>
      <c r="C118" s="405" t="s">
        <v>258</v>
      </c>
      <c r="D118" s="405"/>
      <c r="E118" s="405"/>
      <c r="F118" s="16" t="s">
        <v>43</v>
      </c>
      <c r="G118" s="30">
        <v>5.5999999999999999E-3</v>
      </c>
      <c r="H118" s="57">
        <f>I118/G118</f>
        <v>11167.857142857143</v>
      </c>
      <c r="I118" s="19">
        <f>62.54-K118</f>
        <v>62.54</v>
      </c>
      <c r="J118" s="19">
        <f>K118/G118</f>
        <v>0</v>
      </c>
      <c r="K118" s="19">
        <v>0</v>
      </c>
      <c r="BB118" s="14"/>
      <c r="BC118" s="15"/>
      <c r="BD118" s="21" t="s">
        <v>258</v>
      </c>
      <c r="BE118" s="12"/>
      <c r="BF118" s="43"/>
      <c r="BG118" s="12"/>
    </row>
    <row r="119" spans="1:59" s="3" customFormat="1" ht="21.6" x14ac:dyDescent="0.3">
      <c r="A119" s="16" t="s">
        <v>542</v>
      </c>
      <c r="B119" s="17" t="s">
        <v>205</v>
      </c>
      <c r="C119" s="405" t="s">
        <v>82</v>
      </c>
      <c r="D119" s="405"/>
      <c r="E119" s="405"/>
      <c r="F119" s="16" t="s">
        <v>46</v>
      </c>
      <c r="G119" s="31">
        <v>6.16</v>
      </c>
      <c r="H119" s="57">
        <f>I119/G119</f>
        <v>0</v>
      </c>
      <c r="I119" s="19">
        <f>3270.41-K119</f>
        <v>0</v>
      </c>
      <c r="J119" s="19">
        <f>K119/G119</f>
        <v>530.91071428571422</v>
      </c>
      <c r="K119" s="19">
        <v>3270.41</v>
      </c>
      <c r="BB119" s="14"/>
      <c r="BC119" s="15"/>
      <c r="BD119" s="21" t="s">
        <v>82</v>
      </c>
      <c r="BE119" s="12"/>
      <c r="BF119" s="43"/>
      <c r="BG119" s="12"/>
    </row>
    <row r="120" spans="1:59" s="3" customFormat="1" ht="21.6" x14ac:dyDescent="0.3">
      <c r="A120" s="16" t="s">
        <v>547</v>
      </c>
      <c r="B120" s="17" t="s">
        <v>4789</v>
      </c>
      <c r="C120" s="405" t="s">
        <v>4790</v>
      </c>
      <c r="D120" s="405"/>
      <c r="E120" s="405"/>
      <c r="F120" s="16" t="s">
        <v>125</v>
      </c>
      <c r="G120" s="18">
        <v>5.6000000000000001E-2</v>
      </c>
      <c r="H120" s="57">
        <f>I120/G120</f>
        <v>15712.5</v>
      </c>
      <c r="I120" s="19">
        <f>879.9-K120</f>
        <v>879.9</v>
      </c>
      <c r="J120" s="19">
        <f>K120/G120</f>
        <v>0</v>
      </c>
      <c r="K120" s="19">
        <v>0</v>
      </c>
      <c r="BB120" s="14"/>
      <c r="BC120" s="15"/>
      <c r="BD120" s="21" t="s">
        <v>4790</v>
      </c>
      <c r="BE120" s="12"/>
      <c r="BF120" s="43"/>
      <c r="BG120" s="12"/>
    </row>
    <row r="121" spans="1:59" s="3" customFormat="1" ht="15" customHeight="1" x14ac:dyDescent="0.3">
      <c r="A121" s="454" t="s">
        <v>4791</v>
      </c>
      <c r="B121" s="455"/>
      <c r="C121" s="455"/>
      <c r="D121" s="455"/>
      <c r="E121" s="455"/>
      <c r="F121" s="455"/>
      <c r="G121" s="455"/>
      <c r="H121" s="296"/>
      <c r="I121" s="296"/>
      <c r="J121" s="296"/>
      <c r="K121" s="297"/>
      <c r="BB121" s="14"/>
      <c r="BC121" s="15" t="s">
        <v>4791</v>
      </c>
      <c r="BD121" s="21"/>
      <c r="BE121" s="12"/>
      <c r="BF121" s="43"/>
      <c r="BG121" s="12"/>
    </row>
    <row r="122" spans="1:59" s="3" customFormat="1" ht="42" x14ac:dyDescent="0.3">
      <c r="A122" s="16" t="s">
        <v>549</v>
      </c>
      <c r="B122" s="17" t="s">
        <v>257</v>
      </c>
      <c r="C122" s="405" t="s">
        <v>258</v>
      </c>
      <c r="D122" s="405"/>
      <c r="E122" s="405"/>
      <c r="F122" s="16" t="s">
        <v>43</v>
      </c>
      <c r="G122" s="30">
        <v>5.3199999999999997E-2</v>
      </c>
      <c r="H122" s="57">
        <f t="shared" ref="H122:H123" si="2">I122/G122</f>
        <v>11165.977443609023</v>
      </c>
      <c r="I122" s="19">
        <f>594.03-K122</f>
        <v>594.03</v>
      </c>
      <c r="J122" s="19">
        <f t="shared" ref="J122:J123" si="3">K122/G122</f>
        <v>0</v>
      </c>
      <c r="K122" s="19">
        <v>0</v>
      </c>
      <c r="BB122" s="14"/>
      <c r="BC122" s="15"/>
      <c r="BD122" s="21" t="s">
        <v>258</v>
      </c>
      <c r="BE122" s="12"/>
      <c r="BF122" s="43"/>
      <c r="BG122" s="12"/>
    </row>
    <row r="123" spans="1:59" s="3" customFormat="1" ht="21.6" x14ac:dyDescent="0.3">
      <c r="A123" s="16" t="s">
        <v>570</v>
      </c>
      <c r="B123" s="17" t="s">
        <v>4789</v>
      </c>
      <c r="C123" s="405" t="s">
        <v>4790</v>
      </c>
      <c r="D123" s="405"/>
      <c r="E123" s="405"/>
      <c r="F123" s="16" t="s">
        <v>125</v>
      </c>
      <c r="G123" s="18">
        <v>0.53200000000000003</v>
      </c>
      <c r="H123" s="57">
        <f t="shared" si="2"/>
        <v>15712.650375939847</v>
      </c>
      <c r="I123" s="19">
        <f>8359.13-K123</f>
        <v>8359.1299999999992</v>
      </c>
      <c r="J123" s="19">
        <f t="shared" si="3"/>
        <v>0</v>
      </c>
      <c r="K123" s="19">
        <v>0</v>
      </c>
      <c r="BB123" s="14"/>
      <c r="BC123" s="15"/>
      <c r="BD123" s="21" t="s">
        <v>4790</v>
      </c>
      <c r="BE123" s="12"/>
      <c r="BF123" s="43"/>
      <c r="BG123" s="12"/>
    </row>
    <row r="124" spans="1:59" s="3" customFormat="1" ht="15" customHeight="1" x14ac:dyDescent="0.3">
      <c r="A124" s="454" t="s">
        <v>4792</v>
      </c>
      <c r="B124" s="455"/>
      <c r="C124" s="455"/>
      <c r="D124" s="455"/>
      <c r="E124" s="455"/>
      <c r="F124" s="455"/>
      <c r="G124" s="455"/>
      <c r="H124" s="296"/>
      <c r="I124" s="296"/>
      <c r="J124" s="296"/>
      <c r="K124" s="297"/>
      <c r="BB124" s="14"/>
      <c r="BC124" s="15" t="s">
        <v>4792</v>
      </c>
      <c r="BD124" s="21"/>
      <c r="BE124" s="12"/>
      <c r="BF124" s="43"/>
      <c r="BG124" s="12"/>
    </row>
    <row r="125" spans="1:59" s="3" customFormat="1" ht="42" x14ac:dyDescent="0.3">
      <c r="A125" s="16" t="s">
        <v>584</v>
      </c>
      <c r="B125" s="17" t="s">
        <v>4793</v>
      </c>
      <c r="C125" s="405" t="s">
        <v>4794</v>
      </c>
      <c r="D125" s="405"/>
      <c r="E125" s="405"/>
      <c r="F125" s="16" t="s">
        <v>43</v>
      </c>
      <c r="G125" s="30">
        <v>1.12E-2</v>
      </c>
      <c r="H125" s="57">
        <f>I125/G125</f>
        <v>88852.67857142858</v>
      </c>
      <c r="I125" s="19">
        <f>995.58-K125</f>
        <v>995.15000000000009</v>
      </c>
      <c r="J125" s="19">
        <f>K125/G125</f>
        <v>38.392857142857146</v>
      </c>
      <c r="K125" s="19">
        <v>0.43</v>
      </c>
      <c r="BB125" s="14"/>
      <c r="BC125" s="15"/>
      <c r="BD125" s="21" t="s">
        <v>4794</v>
      </c>
      <c r="BE125" s="12"/>
      <c r="BF125" s="43"/>
      <c r="BG125" s="12"/>
    </row>
    <row r="126" spans="1:59" s="3" customFormat="1" ht="20.399999999999999" x14ac:dyDescent="0.3">
      <c r="A126" s="25"/>
      <c r="B126" s="26" t="s">
        <v>44</v>
      </c>
      <c r="C126" s="419" t="s">
        <v>45</v>
      </c>
      <c r="D126" s="419"/>
      <c r="E126" s="419"/>
      <c r="F126" s="27" t="s">
        <v>46</v>
      </c>
      <c r="G126" s="22" t="s">
        <v>4832</v>
      </c>
      <c r="H126" s="58"/>
      <c r="I126" s="28"/>
      <c r="J126" s="28"/>
      <c r="K126" s="29"/>
      <c r="BB126" s="14"/>
      <c r="BC126" s="15"/>
      <c r="BD126" s="21"/>
      <c r="BE126" s="12" t="s">
        <v>45</v>
      </c>
      <c r="BF126" s="43"/>
      <c r="BG126" s="12"/>
    </row>
    <row r="127" spans="1:59" s="3" customFormat="1" ht="42" x14ac:dyDescent="0.3">
      <c r="A127" s="16" t="s">
        <v>585</v>
      </c>
      <c r="B127" s="17" t="s">
        <v>48</v>
      </c>
      <c r="C127" s="405" t="s">
        <v>49</v>
      </c>
      <c r="D127" s="405"/>
      <c r="E127" s="405"/>
      <c r="F127" s="16" t="s">
        <v>50</v>
      </c>
      <c r="G127" s="24">
        <v>22.4</v>
      </c>
      <c r="H127" s="57">
        <f>I127/G127</f>
        <v>598.37589285714296</v>
      </c>
      <c r="I127" s="19">
        <f>13403.62-K127</f>
        <v>13403.62</v>
      </c>
      <c r="J127" s="19">
        <f>K127/G127</f>
        <v>0</v>
      </c>
      <c r="K127" s="19"/>
      <c r="BB127" s="14"/>
      <c r="BC127" s="15"/>
      <c r="BD127" s="21" t="s">
        <v>49</v>
      </c>
      <c r="BE127" s="12"/>
      <c r="BF127" s="43"/>
      <c r="BG127" s="12"/>
    </row>
    <row r="128" spans="1:59" s="3" customFormat="1" ht="15" customHeight="1" x14ac:dyDescent="0.3">
      <c r="A128" s="454" t="s">
        <v>4833</v>
      </c>
      <c r="B128" s="455"/>
      <c r="C128" s="455"/>
      <c r="D128" s="455"/>
      <c r="E128" s="455"/>
      <c r="F128" s="455"/>
      <c r="G128" s="455"/>
      <c r="H128" s="296"/>
      <c r="I128" s="296"/>
      <c r="J128" s="296"/>
      <c r="K128" s="297"/>
      <c r="BB128" s="14"/>
      <c r="BC128" s="15" t="s">
        <v>4833</v>
      </c>
      <c r="BD128" s="21"/>
      <c r="BE128" s="12"/>
      <c r="BF128" s="43"/>
      <c r="BG128" s="12"/>
    </row>
    <row r="129" spans="1:59" s="3" customFormat="1" ht="31.8" x14ac:dyDescent="0.3">
      <c r="A129" s="16" t="s">
        <v>2137</v>
      </c>
      <c r="B129" s="17" t="s">
        <v>3727</v>
      </c>
      <c r="C129" s="405" t="s">
        <v>3728</v>
      </c>
      <c r="D129" s="405"/>
      <c r="E129" s="405"/>
      <c r="F129" s="16" t="s">
        <v>67</v>
      </c>
      <c r="G129" s="31">
        <v>1.51</v>
      </c>
      <c r="H129" s="57">
        <f>I129/G129</f>
        <v>15017.662251655631</v>
      </c>
      <c r="I129" s="19">
        <f>23140.38-K129</f>
        <v>22676.670000000002</v>
      </c>
      <c r="J129" s="19">
        <f>K129/G129</f>
        <v>307.09271523178808</v>
      </c>
      <c r="K129" s="19">
        <v>463.71</v>
      </c>
      <c r="BB129" s="14"/>
      <c r="BC129" s="15"/>
      <c r="BD129" s="21" t="s">
        <v>3728</v>
      </c>
      <c r="BE129" s="12"/>
      <c r="BF129" s="43"/>
      <c r="BG129" s="12"/>
    </row>
    <row r="130" spans="1:59" s="3" customFormat="1" ht="20.399999999999999" x14ac:dyDescent="0.3">
      <c r="A130" s="25"/>
      <c r="B130" s="26" t="s">
        <v>599</v>
      </c>
      <c r="C130" s="419" t="s">
        <v>600</v>
      </c>
      <c r="D130" s="419"/>
      <c r="E130" s="419"/>
      <c r="F130" s="27" t="s">
        <v>406</v>
      </c>
      <c r="G130" s="22" t="s">
        <v>4834</v>
      </c>
      <c r="H130" s="58"/>
      <c r="I130" s="28"/>
      <c r="J130" s="28"/>
      <c r="K130" s="29"/>
      <c r="BB130" s="14"/>
      <c r="BC130" s="15"/>
      <c r="BD130" s="21"/>
      <c r="BE130" s="12" t="s">
        <v>600</v>
      </c>
      <c r="BF130" s="43"/>
      <c r="BG130" s="12"/>
    </row>
    <row r="131" spans="1:59" s="3" customFormat="1" ht="20.399999999999999" x14ac:dyDescent="0.3">
      <c r="A131" s="25"/>
      <c r="B131" s="26" t="s">
        <v>1964</v>
      </c>
      <c r="C131" s="419" t="s">
        <v>1965</v>
      </c>
      <c r="D131" s="419"/>
      <c r="E131" s="419"/>
      <c r="F131" s="27" t="s">
        <v>70</v>
      </c>
      <c r="G131" s="22" t="s">
        <v>4835</v>
      </c>
      <c r="H131" s="58"/>
      <c r="I131" s="28"/>
      <c r="J131" s="28"/>
      <c r="K131" s="29"/>
      <c r="BB131" s="14"/>
      <c r="BC131" s="15"/>
      <c r="BD131" s="21"/>
      <c r="BE131" s="12" t="s">
        <v>1965</v>
      </c>
      <c r="BF131" s="43"/>
      <c r="BG131" s="12"/>
    </row>
    <row r="132" spans="1:59" s="3" customFormat="1" ht="21.6" x14ac:dyDescent="0.3">
      <c r="A132" s="25"/>
      <c r="B132" s="26" t="s">
        <v>1766</v>
      </c>
      <c r="C132" s="419" t="s">
        <v>1767</v>
      </c>
      <c r="D132" s="419"/>
      <c r="E132" s="419"/>
      <c r="F132" s="27" t="s">
        <v>70</v>
      </c>
      <c r="G132" s="22" t="s">
        <v>4836</v>
      </c>
      <c r="H132" s="58"/>
      <c r="I132" s="28"/>
      <c r="J132" s="28"/>
      <c r="K132" s="29"/>
      <c r="BB132" s="14"/>
      <c r="BC132" s="15"/>
      <c r="BD132" s="21"/>
      <c r="BE132" s="12" t="s">
        <v>1767</v>
      </c>
      <c r="BF132" s="43"/>
      <c r="BG132" s="12"/>
    </row>
    <row r="133" spans="1:59" s="3" customFormat="1" ht="20.399999999999999" x14ac:dyDescent="0.3">
      <c r="A133" s="25"/>
      <c r="B133" s="26" t="s">
        <v>89</v>
      </c>
      <c r="C133" s="419" t="s">
        <v>90</v>
      </c>
      <c r="D133" s="419"/>
      <c r="E133" s="419"/>
      <c r="F133" s="27" t="s">
        <v>70</v>
      </c>
      <c r="G133" s="22" t="s">
        <v>4837</v>
      </c>
      <c r="H133" s="58"/>
      <c r="I133" s="28"/>
      <c r="J133" s="28"/>
      <c r="K133" s="29"/>
      <c r="BB133" s="14"/>
      <c r="BC133" s="15"/>
      <c r="BD133" s="21"/>
      <c r="BE133" s="12" t="s">
        <v>90</v>
      </c>
      <c r="BF133" s="43"/>
      <c r="BG133" s="12"/>
    </row>
    <row r="134" spans="1:59" s="3" customFormat="1" ht="21.6" x14ac:dyDescent="0.3">
      <c r="A134" s="25"/>
      <c r="B134" s="26" t="s">
        <v>607</v>
      </c>
      <c r="C134" s="419" t="s">
        <v>608</v>
      </c>
      <c r="D134" s="419"/>
      <c r="E134" s="419"/>
      <c r="F134" s="27" t="s">
        <v>609</v>
      </c>
      <c r="G134" s="22" t="s">
        <v>4838</v>
      </c>
      <c r="H134" s="58"/>
      <c r="I134" s="28"/>
      <c r="J134" s="28"/>
      <c r="K134" s="29"/>
      <c r="BB134" s="14"/>
      <c r="BC134" s="15"/>
      <c r="BD134" s="21"/>
      <c r="BE134" s="12" t="s">
        <v>608</v>
      </c>
      <c r="BF134" s="43"/>
      <c r="BG134" s="12"/>
    </row>
    <row r="135" spans="1:59" s="3" customFormat="1" ht="30.6" x14ac:dyDescent="0.3">
      <c r="A135" s="16" t="s">
        <v>2138</v>
      </c>
      <c r="B135" s="17" t="s">
        <v>4757</v>
      </c>
      <c r="C135" s="405" t="s">
        <v>4758</v>
      </c>
      <c r="D135" s="405"/>
      <c r="E135" s="405"/>
      <c r="F135" s="16" t="s">
        <v>1049</v>
      </c>
      <c r="G135" s="44">
        <v>0.15401999999999999</v>
      </c>
      <c r="H135" s="57">
        <f>I135/G135</f>
        <v>0</v>
      </c>
      <c r="I135" s="19">
        <f>9590.35-K135</f>
        <v>0</v>
      </c>
      <c r="J135" s="19">
        <f>K135/G135</f>
        <v>62266.913387871711</v>
      </c>
      <c r="K135" s="19">
        <v>9590.35</v>
      </c>
      <c r="BB135" s="14"/>
      <c r="BC135" s="15"/>
      <c r="BD135" s="21" t="s">
        <v>4758</v>
      </c>
      <c r="BE135" s="12"/>
      <c r="BF135" s="43"/>
      <c r="BG135" s="12"/>
    </row>
    <row r="136" spans="1:59" s="3" customFormat="1" ht="15" customHeight="1" x14ac:dyDescent="0.3">
      <c r="A136" s="454" t="s">
        <v>4839</v>
      </c>
      <c r="B136" s="455"/>
      <c r="C136" s="455"/>
      <c r="D136" s="455"/>
      <c r="E136" s="455"/>
      <c r="F136" s="455"/>
      <c r="G136" s="455"/>
      <c r="H136" s="296"/>
      <c r="I136" s="296"/>
      <c r="J136" s="296"/>
      <c r="K136" s="297"/>
      <c r="BB136" s="14"/>
      <c r="BC136" s="15" t="s">
        <v>4839</v>
      </c>
      <c r="BD136" s="21"/>
      <c r="BE136" s="12"/>
      <c r="BF136" s="43"/>
      <c r="BG136" s="12"/>
    </row>
    <row r="137" spans="1:59" s="3" customFormat="1" ht="31.8" x14ac:dyDescent="0.3">
      <c r="A137" s="16" t="s">
        <v>2139</v>
      </c>
      <c r="B137" s="17" t="s">
        <v>3727</v>
      </c>
      <c r="C137" s="405" t="s">
        <v>3728</v>
      </c>
      <c r="D137" s="405"/>
      <c r="E137" s="405"/>
      <c r="F137" s="16" t="s">
        <v>67</v>
      </c>
      <c r="G137" s="24">
        <v>1.4</v>
      </c>
      <c r="H137" s="57">
        <f>I137/G137</f>
        <v>15017.671428571428</v>
      </c>
      <c r="I137" s="19">
        <f>21454.67-K137</f>
        <v>21024.739999999998</v>
      </c>
      <c r="J137" s="19">
        <f>K137/G137</f>
        <v>307.09285714285716</v>
      </c>
      <c r="K137" s="19">
        <v>429.93</v>
      </c>
      <c r="BB137" s="14"/>
      <c r="BC137" s="15"/>
      <c r="BD137" s="21" t="s">
        <v>3728</v>
      </c>
      <c r="BE137" s="12"/>
      <c r="BF137" s="43"/>
      <c r="BG137" s="12"/>
    </row>
    <row r="138" spans="1:59" s="3" customFormat="1" ht="20.399999999999999" x14ac:dyDescent="0.3">
      <c r="A138" s="25"/>
      <c r="B138" s="26" t="s">
        <v>599</v>
      </c>
      <c r="C138" s="419" t="s">
        <v>600</v>
      </c>
      <c r="D138" s="419"/>
      <c r="E138" s="419"/>
      <c r="F138" s="27" t="s">
        <v>406</v>
      </c>
      <c r="G138" s="22" t="s">
        <v>4840</v>
      </c>
      <c r="H138" s="58"/>
      <c r="I138" s="28"/>
      <c r="J138" s="28"/>
      <c r="K138" s="29"/>
      <c r="BB138" s="14"/>
      <c r="BC138" s="15"/>
      <c r="BD138" s="21"/>
      <c r="BE138" s="12" t="s">
        <v>600</v>
      </c>
      <c r="BF138" s="43"/>
      <c r="BG138" s="12"/>
    </row>
    <row r="139" spans="1:59" s="3" customFormat="1" ht="20.399999999999999" x14ac:dyDescent="0.3">
      <c r="A139" s="25"/>
      <c r="B139" s="26" t="s">
        <v>1964</v>
      </c>
      <c r="C139" s="419" t="s">
        <v>1965</v>
      </c>
      <c r="D139" s="419"/>
      <c r="E139" s="419"/>
      <c r="F139" s="27" t="s">
        <v>70</v>
      </c>
      <c r="G139" s="22" t="s">
        <v>4841</v>
      </c>
      <c r="H139" s="58"/>
      <c r="I139" s="28"/>
      <c r="J139" s="28"/>
      <c r="K139" s="29"/>
      <c r="BB139" s="14"/>
      <c r="BC139" s="15"/>
      <c r="BD139" s="21"/>
      <c r="BE139" s="12" t="s">
        <v>1965</v>
      </c>
      <c r="BF139" s="43"/>
      <c r="BG139" s="12"/>
    </row>
    <row r="140" spans="1:59" s="3" customFormat="1" ht="21.6" x14ac:dyDescent="0.3">
      <c r="A140" s="25"/>
      <c r="B140" s="26" t="s">
        <v>1766</v>
      </c>
      <c r="C140" s="419" t="s">
        <v>1767</v>
      </c>
      <c r="D140" s="419"/>
      <c r="E140" s="419"/>
      <c r="F140" s="27" t="s">
        <v>70</v>
      </c>
      <c r="G140" s="22" t="s">
        <v>4842</v>
      </c>
      <c r="H140" s="58"/>
      <c r="I140" s="28"/>
      <c r="J140" s="28"/>
      <c r="K140" s="29"/>
      <c r="BB140" s="14"/>
      <c r="BC140" s="15"/>
      <c r="BD140" s="21"/>
      <c r="BE140" s="12" t="s">
        <v>1767</v>
      </c>
      <c r="BF140" s="43"/>
      <c r="BG140" s="12"/>
    </row>
    <row r="141" spans="1:59" s="3" customFormat="1" ht="20.399999999999999" x14ac:dyDescent="0.3">
      <c r="A141" s="25"/>
      <c r="B141" s="26" t="s">
        <v>89</v>
      </c>
      <c r="C141" s="419" t="s">
        <v>90</v>
      </c>
      <c r="D141" s="419"/>
      <c r="E141" s="419"/>
      <c r="F141" s="27" t="s">
        <v>70</v>
      </c>
      <c r="G141" s="22" t="s">
        <v>4843</v>
      </c>
      <c r="H141" s="58"/>
      <c r="I141" s="28"/>
      <c r="J141" s="28"/>
      <c r="K141" s="29"/>
      <c r="BB141" s="14"/>
      <c r="BC141" s="15"/>
      <c r="BD141" s="21"/>
      <c r="BE141" s="12" t="s">
        <v>90</v>
      </c>
      <c r="BF141" s="43"/>
      <c r="BG141" s="12"/>
    </row>
    <row r="142" spans="1:59" s="3" customFormat="1" ht="21.6" x14ac:dyDescent="0.3">
      <c r="A142" s="25"/>
      <c r="B142" s="26" t="s">
        <v>607</v>
      </c>
      <c r="C142" s="419" t="s">
        <v>608</v>
      </c>
      <c r="D142" s="419"/>
      <c r="E142" s="419"/>
      <c r="F142" s="27" t="s">
        <v>609</v>
      </c>
      <c r="G142" s="22" t="s">
        <v>4844</v>
      </c>
      <c r="H142" s="58"/>
      <c r="I142" s="28"/>
      <c r="J142" s="28"/>
      <c r="K142" s="29"/>
      <c r="BB142" s="14"/>
      <c r="BC142" s="15"/>
      <c r="BD142" s="21"/>
      <c r="BE142" s="12" t="s">
        <v>608</v>
      </c>
      <c r="BF142" s="43"/>
      <c r="BG142" s="12"/>
    </row>
    <row r="143" spans="1:59" s="3" customFormat="1" ht="30.6" x14ac:dyDescent="0.3">
      <c r="A143" s="16" t="s">
        <v>2144</v>
      </c>
      <c r="B143" s="17" t="s">
        <v>4761</v>
      </c>
      <c r="C143" s="405" t="s">
        <v>4762</v>
      </c>
      <c r="D143" s="405"/>
      <c r="E143" s="405"/>
      <c r="F143" s="16" t="s">
        <v>1049</v>
      </c>
      <c r="G143" s="30">
        <v>0.14280000000000001</v>
      </c>
      <c r="H143" s="57">
        <f>I143/G143</f>
        <v>0</v>
      </c>
      <c r="I143" s="19">
        <f>10444-K143</f>
        <v>0</v>
      </c>
      <c r="J143" s="19">
        <f>K143/G143</f>
        <v>73137.254901960783</v>
      </c>
      <c r="K143" s="19">
        <v>10444</v>
      </c>
      <c r="BB143" s="14"/>
      <c r="BC143" s="15"/>
      <c r="BD143" s="21" t="s">
        <v>4762</v>
      </c>
      <c r="BE143" s="12"/>
      <c r="BF143" s="43"/>
      <c r="BG143" s="12"/>
    </row>
    <row r="144" spans="1:59" s="3" customFormat="1" ht="15" customHeight="1" x14ac:dyDescent="0.3">
      <c r="A144" s="454" t="s">
        <v>4845</v>
      </c>
      <c r="B144" s="455"/>
      <c r="C144" s="455"/>
      <c r="D144" s="455"/>
      <c r="E144" s="455"/>
      <c r="F144" s="455"/>
      <c r="G144" s="455"/>
      <c r="H144" s="296"/>
      <c r="I144" s="296"/>
      <c r="J144" s="296"/>
      <c r="K144" s="297"/>
      <c r="BB144" s="14"/>
      <c r="BC144" s="15" t="s">
        <v>4845</v>
      </c>
      <c r="BD144" s="21"/>
      <c r="BE144" s="12"/>
      <c r="BF144" s="43"/>
      <c r="BG144" s="12"/>
    </row>
    <row r="145" spans="1:59" s="3" customFormat="1" ht="31.8" x14ac:dyDescent="0.3">
      <c r="A145" s="16" t="s">
        <v>2169</v>
      </c>
      <c r="B145" s="17" t="s">
        <v>3727</v>
      </c>
      <c r="C145" s="405" t="s">
        <v>3728</v>
      </c>
      <c r="D145" s="405"/>
      <c r="E145" s="405"/>
      <c r="F145" s="16" t="s">
        <v>67</v>
      </c>
      <c r="G145" s="31">
        <v>1.1200000000000001</v>
      </c>
      <c r="H145" s="57">
        <f>I145/G145</f>
        <v>15017.678571428569</v>
      </c>
      <c r="I145" s="19">
        <f>17163.75-K145</f>
        <v>16819.8</v>
      </c>
      <c r="J145" s="19">
        <f>K145/G145</f>
        <v>307.09821428571422</v>
      </c>
      <c r="K145" s="19">
        <v>343.95</v>
      </c>
      <c r="BB145" s="14"/>
      <c r="BC145" s="15"/>
      <c r="BD145" s="21" t="s">
        <v>3728</v>
      </c>
      <c r="BE145" s="12"/>
      <c r="BF145" s="43"/>
      <c r="BG145" s="12"/>
    </row>
    <row r="146" spans="1:59" s="3" customFormat="1" ht="20.399999999999999" x14ac:dyDescent="0.3">
      <c r="A146" s="25"/>
      <c r="B146" s="26" t="s">
        <v>599</v>
      </c>
      <c r="C146" s="419" t="s">
        <v>600</v>
      </c>
      <c r="D146" s="419"/>
      <c r="E146" s="419"/>
      <c r="F146" s="27" t="s">
        <v>406</v>
      </c>
      <c r="G146" s="22" t="s">
        <v>4846</v>
      </c>
      <c r="H146" s="58"/>
      <c r="I146" s="28"/>
      <c r="J146" s="28"/>
      <c r="K146" s="29"/>
      <c r="BB146" s="14"/>
      <c r="BC146" s="15"/>
      <c r="BD146" s="21"/>
      <c r="BE146" s="12" t="s">
        <v>600</v>
      </c>
      <c r="BF146" s="43"/>
      <c r="BG146" s="12"/>
    </row>
    <row r="147" spans="1:59" s="3" customFormat="1" ht="20.399999999999999" x14ac:dyDescent="0.3">
      <c r="A147" s="25"/>
      <c r="B147" s="26" t="s">
        <v>1964</v>
      </c>
      <c r="C147" s="419" t="s">
        <v>1965</v>
      </c>
      <c r="D147" s="419"/>
      <c r="E147" s="419"/>
      <c r="F147" s="27" t="s">
        <v>70</v>
      </c>
      <c r="G147" s="22" t="s">
        <v>4847</v>
      </c>
      <c r="H147" s="58"/>
      <c r="I147" s="28"/>
      <c r="J147" s="28"/>
      <c r="K147" s="29"/>
      <c r="BB147" s="14"/>
      <c r="BC147" s="15"/>
      <c r="BD147" s="21"/>
      <c r="BE147" s="12" t="s">
        <v>1965</v>
      </c>
      <c r="BF147" s="43"/>
      <c r="BG147" s="12"/>
    </row>
    <row r="148" spans="1:59" s="3" customFormat="1" ht="21.6" x14ac:dyDescent="0.3">
      <c r="A148" s="25"/>
      <c r="B148" s="26" t="s">
        <v>1766</v>
      </c>
      <c r="C148" s="419" t="s">
        <v>1767</v>
      </c>
      <c r="D148" s="419"/>
      <c r="E148" s="419"/>
      <c r="F148" s="27" t="s">
        <v>70</v>
      </c>
      <c r="G148" s="22" t="s">
        <v>4848</v>
      </c>
      <c r="H148" s="58"/>
      <c r="I148" s="28"/>
      <c r="J148" s="28"/>
      <c r="K148" s="29"/>
      <c r="BB148" s="14"/>
      <c r="BC148" s="15"/>
      <c r="BD148" s="21"/>
      <c r="BE148" s="12" t="s">
        <v>1767</v>
      </c>
      <c r="BF148" s="43"/>
      <c r="BG148" s="12"/>
    </row>
    <row r="149" spans="1:59" s="3" customFormat="1" ht="20.399999999999999" x14ac:dyDescent="0.3">
      <c r="A149" s="25"/>
      <c r="B149" s="26" t="s">
        <v>89</v>
      </c>
      <c r="C149" s="419" t="s">
        <v>90</v>
      </c>
      <c r="D149" s="419"/>
      <c r="E149" s="419"/>
      <c r="F149" s="27" t="s">
        <v>70</v>
      </c>
      <c r="G149" s="22" t="s">
        <v>4849</v>
      </c>
      <c r="H149" s="58"/>
      <c r="I149" s="28"/>
      <c r="J149" s="28"/>
      <c r="K149" s="29"/>
      <c r="BB149" s="14"/>
      <c r="BC149" s="15"/>
      <c r="BD149" s="21"/>
      <c r="BE149" s="12" t="s">
        <v>90</v>
      </c>
      <c r="BF149" s="43"/>
      <c r="BG149" s="12"/>
    </row>
    <row r="150" spans="1:59" s="3" customFormat="1" ht="21.6" x14ac:dyDescent="0.3">
      <c r="A150" s="25"/>
      <c r="B150" s="26" t="s">
        <v>607</v>
      </c>
      <c r="C150" s="419" t="s">
        <v>608</v>
      </c>
      <c r="D150" s="419"/>
      <c r="E150" s="419"/>
      <c r="F150" s="27" t="s">
        <v>609</v>
      </c>
      <c r="G150" s="22" t="s">
        <v>4850</v>
      </c>
      <c r="H150" s="58"/>
      <c r="I150" s="28"/>
      <c r="J150" s="28"/>
      <c r="K150" s="29"/>
      <c r="BB150" s="14"/>
      <c r="BC150" s="15"/>
      <c r="BD150" s="21"/>
      <c r="BE150" s="12" t="s">
        <v>608</v>
      </c>
      <c r="BF150" s="43"/>
      <c r="BG150" s="12"/>
    </row>
    <row r="151" spans="1:59" s="3" customFormat="1" ht="21.6" x14ac:dyDescent="0.3">
      <c r="A151" s="16" t="s">
        <v>2179</v>
      </c>
      <c r="B151" s="17" t="s">
        <v>4786</v>
      </c>
      <c r="C151" s="405" t="s">
        <v>4787</v>
      </c>
      <c r="D151" s="405"/>
      <c r="E151" s="405"/>
      <c r="F151" s="16" t="s">
        <v>115</v>
      </c>
      <c r="G151" s="31">
        <v>114.24</v>
      </c>
      <c r="H151" s="57"/>
      <c r="I151" s="19">
        <f>39672.58-K151</f>
        <v>0</v>
      </c>
      <c r="J151" s="19"/>
      <c r="K151" s="19">
        <v>39672.58</v>
      </c>
      <c r="BB151" s="14"/>
      <c r="BC151" s="15"/>
      <c r="BD151" s="21" t="s">
        <v>4787</v>
      </c>
      <c r="BE151" s="12"/>
      <c r="BF151" s="43"/>
      <c r="BG151" s="12"/>
    </row>
    <row r="152" spans="1:59" s="3" customFormat="1" ht="15" customHeight="1" x14ac:dyDescent="0.3">
      <c r="A152" s="454" t="s">
        <v>4851</v>
      </c>
      <c r="B152" s="455"/>
      <c r="C152" s="455"/>
      <c r="D152" s="455"/>
      <c r="E152" s="455"/>
      <c r="F152" s="455"/>
      <c r="G152" s="455"/>
      <c r="H152" s="296"/>
      <c r="I152" s="296"/>
      <c r="J152" s="296"/>
      <c r="K152" s="297"/>
      <c r="BB152" s="14"/>
      <c r="BC152" s="15" t="s">
        <v>4851</v>
      </c>
      <c r="BD152" s="21"/>
      <c r="BE152" s="12"/>
      <c r="BF152" s="43"/>
      <c r="BG152" s="12"/>
    </row>
    <row r="153" spans="1:59" s="3" customFormat="1" ht="31.8" x14ac:dyDescent="0.3">
      <c r="A153" s="16" t="s">
        <v>2180</v>
      </c>
      <c r="B153" s="17" t="s">
        <v>3727</v>
      </c>
      <c r="C153" s="405" t="s">
        <v>3728</v>
      </c>
      <c r="D153" s="405"/>
      <c r="E153" s="405"/>
      <c r="F153" s="16" t="s">
        <v>67</v>
      </c>
      <c r="G153" s="31">
        <v>0.33</v>
      </c>
      <c r="H153" s="57">
        <f>I153/G153</f>
        <v>15017.666666666666</v>
      </c>
      <c r="I153" s="19">
        <f>5057.17-K153</f>
        <v>4955.83</v>
      </c>
      <c r="J153" s="19">
        <f>K153/G153</f>
        <v>307.09090909090907</v>
      </c>
      <c r="K153" s="19">
        <v>101.34</v>
      </c>
      <c r="BB153" s="14"/>
      <c r="BC153" s="15"/>
      <c r="BD153" s="21" t="s">
        <v>3728</v>
      </c>
      <c r="BE153" s="12"/>
      <c r="BF153" s="43"/>
      <c r="BG153" s="12"/>
    </row>
    <row r="154" spans="1:59" s="3" customFormat="1" ht="20.399999999999999" x14ac:dyDescent="0.3">
      <c r="A154" s="25"/>
      <c r="B154" s="26" t="s">
        <v>599</v>
      </c>
      <c r="C154" s="419" t="s">
        <v>600</v>
      </c>
      <c r="D154" s="419"/>
      <c r="E154" s="419"/>
      <c r="F154" s="27" t="s">
        <v>406</v>
      </c>
      <c r="G154" s="22" t="s">
        <v>4852</v>
      </c>
      <c r="H154" s="58"/>
      <c r="I154" s="28"/>
      <c r="J154" s="28"/>
      <c r="K154" s="29"/>
      <c r="BB154" s="14"/>
      <c r="BC154" s="15"/>
      <c r="BD154" s="21"/>
      <c r="BE154" s="12" t="s">
        <v>600</v>
      </c>
      <c r="BF154" s="43"/>
      <c r="BG154" s="12"/>
    </row>
    <row r="155" spans="1:59" s="3" customFormat="1" ht="20.399999999999999" x14ac:dyDescent="0.3">
      <c r="A155" s="25"/>
      <c r="B155" s="26" t="s">
        <v>1964</v>
      </c>
      <c r="C155" s="419" t="s">
        <v>1965</v>
      </c>
      <c r="D155" s="419"/>
      <c r="E155" s="419"/>
      <c r="F155" s="27" t="s">
        <v>70</v>
      </c>
      <c r="G155" s="22" t="s">
        <v>4853</v>
      </c>
      <c r="H155" s="58"/>
      <c r="I155" s="28"/>
      <c r="J155" s="28"/>
      <c r="K155" s="29"/>
      <c r="BB155" s="14"/>
      <c r="BC155" s="15"/>
      <c r="BD155" s="21"/>
      <c r="BE155" s="12" t="s">
        <v>1965</v>
      </c>
      <c r="BF155" s="43"/>
      <c r="BG155" s="12"/>
    </row>
    <row r="156" spans="1:59" s="3" customFormat="1" ht="21.6" x14ac:dyDescent="0.3">
      <c r="A156" s="25"/>
      <c r="B156" s="26" t="s">
        <v>1766</v>
      </c>
      <c r="C156" s="419" t="s">
        <v>1767</v>
      </c>
      <c r="D156" s="419"/>
      <c r="E156" s="419"/>
      <c r="F156" s="27" t="s">
        <v>70</v>
      </c>
      <c r="G156" s="22" t="s">
        <v>4854</v>
      </c>
      <c r="H156" s="58"/>
      <c r="I156" s="28"/>
      <c r="J156" s="28"/>
      <c r="K156" s="29"/>
      <c r="BB156" s="14"/>
      <c r="BC156" s="15"/>
      <c r="BD156" s="21"/>
      <c r="BE156" s="12" t="s">
        <v>1767</v>
      </c>
      <c r="BF156" s="43"/>
      <c r="BG156" s="12"/>
    </row>
    <row r="157" spans="1:59" s="3" customFormat="1" ht="20.399999999999999" x14ac:dyDescent="0.3">
      <c r="A157" s="25"/>
      <c r="B157" s="26" t="s">
        <v>89</v>
      </c>
      <c r="C157" s="419" t="s">
        <v>90</v>
      </c>
      <c r="D157" s="419"/>
      <c r="E157" s="419"/>
      <c r="F157" s="27" t="s">
        <v>70</v>
      </c>
      <c r="G157" s="22" t="s">
        <v>4855</v>
      </c>
      <c r="H157" s="58"/>
      <c r="I157" s="28"/>
      <c r="J157" s="28"/>
      <c r="K157" s="29"/>
      <c r="BB157" s="14"/>
      <c r="BC157" s="15"/>
      <c r="BD157" s="21"/>
      <c r="BE157" s="12" t="s">
        <v>90</v>
      </c>
      <c r="BF157" s="43"/>
      <c r="BG157" s="12"/>
    </row>
    <row r="158" spans="1:59" s="3" customFormat="1" ht="21.6" x14ac:dyDescent="0.3">
      <c r="A158" s="25"/>
      <c r="B158" s="26" t="s">
        <v>607</v>
      </c>
      <c r="C158" s="419" t="s">
        <v>608</v>
      </c>
      <c r="D158" s="419"/>
      <c r="E158" s="419"/>
      <c r="F158" s="27" t="s">
        <v>609</v>
      </c>
      <c r="G158" s="22" t="s">
        <v>4856</v>
      </c>
      <c r="H158" s="58"/>
      <c r="I158" s="28"/>
      <c r="J158" s="28"/>
      <c r="K158" s="29"/>
      <c r="BB158" s="14"/>
      <c r="BC158" s="15"/>
      <c r="BD158" s="21"/>
      <c r="BE158" s="12" t="s">
        <v>608</v>
      </c>
      <c r="BF158" s="43"/>
      <c r="BG158" s="12"/>
    </row>
    <row r="159" spans="1:59" s="3" customFormat="1" ht="20.399999999999999" x14ac:dyDescent="0.3">
      <c r="A159" s="16" t="s">
        <v>2183</v>
      </c>
      <c r="B159" s="17" t="s">
        <v>4779</v>
      </c>
      <c r="C159" s="405" t="s">
        <v>4780</v>
      </c>
      <c r="D159" s="405"/>
      <c r="E159" s="405"/>
      <c r="F159" s="16" t="s">
        <v>3907</v>
      </c>
      <c r="G159" s="44">
        <v>3.3660000000000002E-2</v>
      </c>
      <c r="H159" s="57"/>
      <c r="I159" s="19">
        <f>5808.87-K159</f>
        <v>0</v>
      </c>
      <c r="J159" s="19"/>
      <c r="K159" s="19">
        <v>5808.87</v>
      </c>
      <c r="BB159" s="14"/>
      <c r="BC159" s="15"/>
      <c r="BD159" s="21" t="s">
        <v>4780</v>
      </c>
      <c r="BE159" s="12"/>
      <c r="BF159" s="43"/>
      <c r="BG159" s="12"/>
    </row>
    <row r="160" spans="1:59" s="3" customFormat="1" ht="15" customHeight="1" x14ac:dyDescent="0.3">
      <c r="A160" s="454" t="s">
        <v>4857</v>
      </c>
      <c r="B160" s="455"/>
      <c r="C160" s="455"/>
      <c r="D160" s="455"/>
      <c r="E160" s="455"/>
      <c r="F160" s="455"/>
      <c r="G160" s="455"/>
      <c r="H160" s="296"/>
      <c r="I160" s="296"/>
      <c r="J160" s="296"/>
      <c r="K160" s="297"/>
      <c r="BB160" s="14"/>
      <c r="BC160" s="15" t="s">
        <v>4857</v>
      </c>
      <c r="BD160" s="21"/>
      <c r="BE160" s="12"/>
      <c r="BF160" s="43"/>
      <c r="BG160" s="12"/>
    </row>
    <row r="161" spans="1:59" s="3" customFormat="1" ht="31.8" x14ac:dyDescent="0.3">
      <c r="A161" s="16" t="s">
        <v>2210</v>
      </c>
      <c r="B161" s="17" t="s">
        <v>3727</v>
      </c>
      <c r="C161" s="405" t="s">
        <v>3728</v>
      </c>
      <c r="D161" s="405"/>
      <c r="E161" s="405"/>
      <c r="F161" s="16" t="s">
        <v>67</v>
      </c>
      <c r="G161" s="24">
        <v>0.6</v>
      </c>
      <c r="H161" s="57">
        <f>I161/G161</f>
        <v>15017.683333333334</v>
      </c>
      <c r="I161" s="19">
        <f>9194.87-K161</f>
        <v>9010.61</v>
      </c>
      <c r="J161" s="19">
        <f>K161/G161</f>
        <v>307.10000000000002</v>
      </c>
      <c r="K161" s="19">
        <v>184.26</v>
      </c>
      <c r="BB161" s="14"/>
      <c r="BC161" s="15"/>
      <c r="BD161" s="21" t="s">
        <v>3728</v>
      </c>
      <c r="BE161" s="12"/>
      <c r="BF161" s="43"/>
      <c r="BG161" s="12"/>
    </row>
    <row r="162" spans="1:59" s="3" customFormat="1" ht="20.399999999999999" x14ac:dyDescent="0.3">
      <c r="A162" s="25"/>
      <c r="B162" s="26" t="s">
        <v>599</v>
      </c>
      <c r="C162" s="419" t="s">
        <v>600</v>
      </c>
      <c r="D162" s="419"/>
      <c r="E162" s="419"/>
      <c r="F162" s="27" t="s">
        <v>406</v>
      </c>
      <c r="G162" s="22" t="s">
        <v>3729</v>
      </c>
      <c r="H162" s="58"/>
      <c r="I162" s="28"/>
      <c r="J162" s="28"/>
      <c r="K162" s="29"/>
      <c r="BB162" s="14"/>
      <c r="BC162" s="15"/>
      <c r="BD162" s="21"/>
      <c r="BE162" s="12" t="s">
        <v>600</v>
      </c>
      <c r="BF162" s="43"/>
      <c r="BG162" s="12"/>
    </row>
    <row r="163" spans="1:59" s="3" customFormat="1" ht="20.399999999999999" x14ac:dyDescent="0.3">
      <c r="A163" s="25"/>
      <c r="B163" s="26" t="s">
        <v>1964</v>
      </c>
      <c r="C163" s="419" t="s">
        <v>1965</v>
      </c>
      <c r="D163" s="419"/>
      <c r="E163" s="419"/>
      <c r="F163" s="27" t="s">
        <v>70</v>
      </c>
      <c r="G163" s="22" t="s">
        <v>3730</v>
      </c>
      <c r="H163" s="58"/>
      <c r="I163" s="28"/>
      <c r="J163" s="28"/>
      <c r="K163" s="29"/>
      <c r="BB163" s="14"/>
      <c r="BC163" s="15"/>
      <c r="BD163" s="21"/>
      <c r="BE163" s="12" t="s">
        <v>1965</v>
      </c>
      <c r="BF163" s="43"/>
      <c r="BG163" s="12"/>
    </row>
    <row r="164" spans="1:59" s="3" customFormat="1" ht="21.6" x14ac:dyDescent="0.3">
      <c r="A164" s="25"/>
      <c r="B164" s="26" t="s">
        <v>1766</v>
      </c>
      <c r="C164" s="419" t="s">
        <v>1767</v>
      </c>
      <c r="D164" s="419"/>
      <c r="E164" s="419"/>
      <c r="F164" s="27" t="s">
        <v>70</v>
      </c>
      <c r="G164" s="22" t="s">
        <v>3731</v>
      </c>
      <c r="H164" s="58"/>
      <c r="I164" s="28"/>
      <c r="J164" s="28"/>
      <c r="K164" s="29"/>
      <c r="BB164" s="14"/>
      <c r="BC164" s="15"/>
      <c r="BD164" s="21"/>
      <c r="BE164" s="12" t="s">
        <v>1767</v>
      </c>
      <c r="BF164" s="43"/>
      <c r="BG164" s="12"/>
    </row>
    <row r="165" spans="1:59" s="3" customFormat="1" ht="20.399999999999999" x14ac:dyDescent="0.3">
      <c r="A165" s="25"/>
      <c r="B165" s="26" t="s">
        <v>89</v>
      </c>
      <c r="C165" s="419" t="s">
        <v>90</v>
      </c>
      <c r="D165" s="419"/>
      <c r="E165" s="419"/>
      <c r="F165" s="27" t="s">
        <v>70</v>
      </c>
      <c r="G165" s="22" t="s">
        <v>3732</v>
      </c>
      <c r="H165" s="58"/>
      <c r="I165" s="28"/>
      <c r="J165" s="28"/>
      <c r="K165" s="29"/>
      <c r="BB165" s="14"/>
      <c r="BC165" s="15"/>
      <c r="BD165" s="21"/>
      <c r="BE165" s="12" t="s">
        <v>90</v>
      </c>
      <c r="BF165" s="43"/>
      <c r="BG165" s="12"/>
    </row>
    <row r="166" spans="1:59" s="3" customFormat="1" ht="21.6" x14ac:dyDescent="0.3">
      <c r="A166" s="25"/>
      <c r="B166" s="26" t="s">
        <v>607</v>
      </c>
      <c r="C166" s="419" t="s">
        <v>608</v>
      </c>
      <c r="D166" s="419"/>
      <c r="E166" s="419"/>
      <c r="F166" s="27" t="s">
        <v>609</v>
      </c>
      <c r="G166" s="22" t="s">
        <v>3733</v>
      </c>
      <c r="H166" s="58"/>
      <c r="I166" s="28"/>
      <c r="J166" s="28"/>
      <c r="K166" s="29"/>
      <c r="BB166" s="14"/>
      <c r="BC166" s="15"/>
      <c r="BD166" s="21"/>
      <c r="BE166" s="12" t="s">
        <v>608</v>
      </c>
      <c r="BF166" s="43"/>
      <c r="BG166" s="12"/>
    </row>
    <row r="167" spans="1:59" s="3" customFormat="1" ht="20.399999999999999" x14ac:dyDescent="0.3">
      <c r="A167" s="16" t="s">
        <v>2214</v>
      </c>
      <c r="B167" s="17" t="s">
        <v>4770</v>
      </c>
      <c r="C167" s="405" t="s">
        <v>4771</v>
      </c>
      <c r="D167" s="405"/>
      <c r="E167" s="405"/>
      <c r="F167" s="16" t="s">
        <v>115</v>
      </c>
      <c r="G167" s="24">
        <v>61.2</v>
      </c>
      <c r="H167" s="57"/>
      <c r="I167" s="19">
        <f>7593.51-K167</f>
        <v>0</v>
      </c>
      <c r="J167" s="19"/>
      <c r="K167" s="19">
        <v>7593.51</v>
      </c>
      <c r="BB167" s="14"/>
      <c r="BC167" s="15"/>
      <c r="BD167" s="21" t="s">
        <v>4771</v>
      </c>
      <c r="BE167" s="12"/>
      <c r="BF167" s="43"/>
      <c r="BG167" s="12"/>
    </row>
    <row r="168" spans="1:59" s="3" customFormat="1" ht="15" customHeight="1" x14ac:dyDescent="0.3">
      <c r="A168" s="454" t="s">
        <v>4858</v>
      </c>
      <c r="B168" s="455"/>
      <c r="C168" s="455"/>
      <c r="D168" s="455"/>
      <c r="E168" s="455"/>
      <c r="F168" s="455"/>
      <c r="G168" s="455"/>
      <c r="H168" s="296"/>
      <c r="I168" s="296"/>
      <c r="J168" s="296"/>
      <c r="K168" s="297"/>
      <c r="BB168" s="14"/>
      <c r="BC168" s="15" t="s">
        <v>4858</v>
      </c>
      <c r="BD168" s="21"/>
      <c r="BE168" s="12"/>
      <c r="BF168" s="43"/>
      <c r="BG168" s="12"/>
    </row>
    <row r="169" spans="1:59" s="3" customFormat="1" ht="31.8" x14ac:dyDescent="0.3">
      <c r="A169" s="16" t="s">
        <v>2222</v>
      </c>
      <c r="B169" s="17" t="s">
        <v>3727</v>
      </c>
      <c r="C169" s="405" t="s">
        <v>3728</v>
      </c>
      <c r="D169" s="405"/>
      <c r="E169" s="405"/>
      <c r="F169" s="16" t="s">
        <v>67</v>
      </c>
      <c r="G169" s="31">
        <v>0.75</v>
      </c>
      <c r="H169" s="57">
        <f>I169/G169</f>
        <v>15017.68</v>
      </c>
      <c r="I169" s="19">
        <f>11493.58-K169</f>
        <v>11263.26</v>
      </c>
      <c r="J169" s="19">
        <f>K169/G169</f>
        <v>307.09333333333331</v>
      </c>
      <c r="K169" s="19">
        <v>230.32</v>
      </c>
      <c r="BB169" s="14"/>
      <c r="BC169" s="15"/>
      <c r="BD169" s="21" t="s">
        <v>3728</v>
      </c>
      <c r="BE169" s="12"/>
      <c r="BF169" s="43"/>
      <c r="BG169" s="12"/>
    </row>
    <row r="170" spans="1:59" s="3" customFormat="1" ht="20.399999999999999" x14ac:dyDescent="0.3">
      <c r="A170" s="25"/>
      <c r="B170" s="26" t="s">
        <v>599</v>
      </c>
      <c r="C170" s="419" t="s">
        <v>600</v>
      </c>
      <c r="D170" s="419"/>
      <c r="E170" s="419"/>
      <c r="F170" s="27" t="s">
        <v>406</v>
      </c>
      <c r="G170" s="22" t="s">
        <v>4859</v>
      </c>
      <c r="H170" s="58"/>
      <c r="I170" s="28"/>
      <c r="J170" s="28"/>
      <c r="K170" s="29"/>
      <c r="BB170" s="14"/>
      <c r="BC170" s="15"/>
      <c r="BD170" s="21"/>
      <c r="BE170" s="12" t="s">
        <v>600</v>
      </c>
      <c r="BF170" s="43"/>
      <c r="BG170" s="12"/>
    </row>
    <row r="171" spans="1:59" s="3" customFormat="1" ht="20.399999999999999" x14ac:dyDescent="0.3">
      <c r="A171" s="25"/>
      <c r="B171" s="26" t="s">
        <v>1964</v>
      </c>
      <c r="C171" s="419" t="s">
        <v>1965</v>
      </c>
      <c r="D171" s="419"/>
      <c r="E171" s="419"/>
      <c r="F171" s="27" t="s">
        <v>70</v>
      </c>
      <c r="G171" s="22" t="s">
        <v>4860</v>
      </c>
      <c r="H171" s="58"/>
      <c r="I171" s="28"/>
      <c r="J171" s="28"/>
      <c r="K171" s="29"/>
      <c r="BB171" s="14"/>
      <c r="BC171" s="15"/>
      <c r="BD171" s="21"/>
      <c r="BE171" s="12" t="s">
        <v>1965</v>
      </c>
      <c r="BF171" s="43"/>
      <c r="BG171" s="12"/>
    </row>
    <row r="172" spans="1:59" s="3" customFormat="1" ht="21.6" x14ac:dyDescent="0.3">
      <c r="A172" s="25"/>
      <c r="B172" s="26" t="s">
        <v>1766</v>
      </c>
      <c r="C172" s="419" t="s">
        <v>1767</v>
      </c>
      <c r="D172" s="419"/>
      <c r="E172" s="419"/>
      <c r="F172" s="27" t="s">
        <v>70</v>
      </c>
      <c r="G172" s="22" t="s">
        <v>4861</v>
      </c>
      <c r="H172" s="58"/>
      <c r="I172" s="28"/>
      <c r="J172" s="28"/>
      <c r="K172" s="29"/>
      <c r="BB172" s="14"/>
      <c r="BC172" s="15"/>
      <c r="BD172" s="21"/>
      <c r="BE172" s="12" t="s">
        <v>1767</v>
      </c>
      <c r="BF172" s="43"/>
      <c r="BG172" s="12"/>
    </row>
    <row r="173" spans="1:59" s="3" customFormat="1" ht="20.399999999999999" x14ac:dyDescent="0.3">
      <c r="A173" s="25"/>
      <c r="B173" s="26" t="s">
        <v>89</v>
      </c>
      <c r="C173" s="419" t="s">
        <v>90</v>
      </c>
      <c r="D173" s="419"/>
      <c r="E173" s="419"/>
      <c r="F173" s="27" t="s">
        <v>70</v>
      </c>
      <c r="G173" s="22" t="s">
        <v>4862</v>
      </c>
      <c r="H173" s="58"/>
      <c r="I173" s="28"/>
      <c r="J173" s="28"/>
      <c r="K173" s="29"/>
      <c r="BB173" s="14"/>
      <c r="BC173" s="15"/>
      <c r="BD173" s="21"/>
      <c r="BE173" s="12" t="s">
        <v>90</v>
      </c>
      <c r="BF173" s="43"/>
      <c r="BG173" s="12"/>
    </row>
    <row r="174" spans="1:59" s="3" customFormat="1" ht="21.6" x14ac:dyDescent="0.3">
      <c r="A174" s="25"/>
      <c r="B174" s="26" t="s">
        <v>607</v>
      </c>
      <c r="C174" s="419" t="s">
        <v>608</v>
      </c>
      <c r="D174" s="419"/>
      <c r="E174" s="419"/>
      <c r="F174" s="27" t="s">
        <v>609</v>
      </c>
      <c r="G174" s="22" t="s">
        <v>4863</v>
      </c>
      <c r="H174" s="58"/>
      <c r="I174" s="28"/>
      <c r="J174" s="28"/>
      <c r="K174" s="29"/>
      <c r="BB174" s="14"/>
      <c r="BC174" s="15"/>
      <c r="BD174" s="21"/>
      <c r="BE174" s="12" t="s">
        <v>608</v>
      </c>
      <c r="BF174" s="43"/>
      <c r="BG174" s="12"/>
    </row>
    <row r="175" spans="1:59" s="3" customFormat="1" ht="20.399999999999999" x14ac:dyDescent="0.3">
      <c r="A175" s="16" t="s">
        <v>2226</v>
      </c>
      <c r="B175" s="17" t="s">
        <v>4770</v>
      </c>
      <c r="C175" s="405" t="s">
        <v>4771</v>
      </c>
      <c r="D175" s="405"/>
      <c r="E175" s="405"/>
      <c r="F175" s="16" t="s">
        <v>115</v>
      </c>
      <c r="G175" s="24">
        <v>76.5</v>
      </c>
      <c r="H175" s="57"/>
      <c r="I175" s="19">
        <f>9491.89-K175</f>
        <v>0</v>
      </c>
      <c r="J175" s="19"/>
      <c r="K175" s="19">
        <v>9491.89</v>
      </c>
      <c r="BB175" s="14"/>
      <c r="BC175" s="15"/>
      <c r="BD175" s="21" t="s">
        <v>4771</v>
      </c>
      <c r="BE175" s="12"/>
      <c r="BF175" s="43"/>
      <c r="BG175" s="12"/>
    </row>
    <row r="176" spans="1:59" s="3" customFormat="1" ht="15" customHeight="1" x14ac:dyDescent="0.3">
      <c r="A176" s="454" t="s">
        <v>4864</v>
      </c>
      <c r="B176" s="455"/>
      <c r="C176" s="455"/>
      <c r="D176" s="455"/>
      <c r="E176" s="455"/>
      <c r="F176" s="455"/>
      <c r="G176" s="455"/>
      <c r="H176" s="296"/>
      <c r="I176" s="296"/>
      <c r="J176" s="296"/>
      <c r="K176" s="297"/>
      <c r="BB176" s="14"/>
      <c r="BC176" s="15" t="s">
        <v>4864</v>
      </c>
      <c r="BD176" s="21"/>
      <c r="BE176" s="12"/>
      <c r="BF176" s="43"/>
      <c r="BG176" s="12"/>
    </row>
    <row r="177" spans="1:59" s="3" customFormat="1" ht="31.8" x14ac:dyDescent="0.3">
      <c r="A177" s="16" t="s">
        <v>2229</v>
      </c>
      <c r="B177" s="17" t="s">
        <v>4865</v>
      </c>
      <c r="C177" s="405" t="s">
        <v>4866</v>
      </c>
      <c r="D177" s="405"/>
      <c r="E177" s="405"/>
      <c r="F177" s="16" t="s">
        <v>4867</v>
      </c>
      <c r="G177" s="23">
        <v>3</v>
      </c>
      <c r="H177" s="57">
        <f>I177/G177</f>
        <v>4033.023333333334</v>
      </c>
      <c r="I177" s="19">
        <f>12119.78-K177</f>
        <v>12099.070000000002</v>
      </c>
      <c r="J177" s="19">
        <f>K177/G177</f>
        <v>6.9033333333333333</v>
      </c>
      <c r="K177" s="19">
        <v>20.71</v>
      </c>
      <c r="BB177" s="14"/>
      <c r="BC177" s="15"/>
      <c r="BD177" s="21" t="s">
        <v>4866</v>
      </c>
      <c r="BE177" s="12"/>
      <c r="BF177" s="43"/>
      <c r="BG177" s="12"/>
    </row>
    <row r="178" spans="1:59" s="3" customFormat="1" ht="21.6" x14ac:dyDescent="0.3">
      <c r="A178" s="25"/>
      <c r="B178" s="26" t="s">
        <v>607</v>
      </c>
      <c r="C178" s="419" t="s">
        <v>608</v>
      </c>
      <c r="D178" s="419"/>
      <c r="E178" s="419"/>
      <c r="F178" s="27" t="s">
        <v>609</v>
      </c>
      <c r="G178" s="22" t="s">
        <v>4868</v>
      </c>
      <c r="H178" s="58"/>
      <c r="I178" s="28"/>
      <c r="J178" s="28"/>
      <c r="K178" s="29"/>
      <c r="BB178" s="14"/>
      <c r="BC178" s="15"/>
      <c r="BD178" s="21"/>
      <c r="BE178" s="12" t="s">
        <v>608</v>
      </c>
      <c r="BF178" s="43"/>
      <c r="BG178" s="12"/>
    </row>
    <row r="179" spans="1:59" s="3" customFormat="1" ht="15" customHeight="1" x14ac:dyDescent="0.3">
      <c r="A179" s="454" t="s">
        <v>4869</v>
      </c>
      <c r="B179" s="455"/>
      <c r="C179" s="455"/>
      <c r="D179" s="455"/>
      <c r="E179" s="455"/>
      <c r="F179" s="455"/>
      <c r="G179" s="455"/>
      <c r="H179" s="296"/>
      <c r="I179" s="296"/>
      <c r="J179" s="296"/>
      <c r="K179" s="297"/>
      <c r="BB179" s="14"/>
      <c r="BC179" s="15" t="s">
        <v>4869</v>
      </c>
      <c r="BD179" s="21"/>
      <c r="BE179" s="12"/>
      <c r="BF179" s="43"/>
      <c r="BG179" s="12"/>
    </row>
    <row r="180" spans="1:59" s="3" customFormat="1" ht="31.8" x14ac:dyDescent="0.3">
      <c r="A180" s="16" t="s">
        <v>2230</v>
      </c>
      <c r="B180" s="17" t="s">
        <v>4870</v>
      </c>
      <c r="C180" s="405" t="s">
        <v>4871</v>
      </c>
      <c r="D180" s="405"/>
      <c r="E180" s="405"/>
      <c r="F180" s="16" t="s">
        <v>4867</v>
      </c>
      <c r="G180" s="23">
        <v>2</v>
      </c>
      <c r="H180" s="57">
        <f>I180/G180</f>
        <v>4908.9449999999997</v>
      </c>
      <c r="I180" s="19">
        <f>9834.71-K180</f>
        <v>9817.89</v>
      </c>
      <c r="J180" s="19">
        <f>K180/G180</f>
        <v>8.41</v>
      </c>
      <c r="K180" s="19">
        <v>16.82</v>
      </c>
      <c r="BB180" s="14"/>
      <c r="BC180" s="15"/>
      <c r="BD180" s="21" t="s">
        <v>4871</v>
      </c>
      <c r="BE180" s="12"/>
      <c r="BF180" s="43"/>
      <c r="BG180" s="12"/>
    </row>
    <row r="181" spans="1:59" s="3" customFormat="1" ht="21.6" x14ac:dyDescent="0.3">
      <c r="A181" s="25"/>
      <c r="B181" s="26" t="s">
        <v>607</v>
      </c>
      <c r="C181" s="419" t="s">
        <v>608</v>
      </c>
      <c r="D181" s="419"/>
      <c r="E181" s="419"/>
      <c r="F181" s="27" t="s">
        <v>609</v>
      </c>
      <c r="G181" s="22" t="s">
        <v>1404</v>
      </c>
      <c r="H181" s="58"/>
      <c r="I181" s="28"/>
      <c r="J181" s="28"/>
      <c r="K181" s="29"/>
      <c r="BB181" s="14"/>
      <c r="BC181" s="15"/>
      <c r="BD181" s="21"/>
      <c r="BE181" s="12" t="s">
        <v>608</v>
      </c>
      <c r="BF181" s="43"/>
      <c r="BG181" s="12"/>
    </row>
    <row r="182" spans="1:59" s="3" customFormat="1" ht="15" customHeight="1" x14ac:dyDescent="0.3">
      <c r="A182" s="454" t="s">
        <v>4872</v>
      </c>
      <c r="B182" s="455"/>
      <c r="C182" s="455"/>
      <c r="D182" s="455"/>
      <c r="E182" s="455"/>
      <c r="F182" s="455"/>
      <c r="G182" s="455"/>
      <c r="H182" s="296"/>
      <c r="I182" s="296"/>
      <c r="J182" s="296"/>
      <c r="K182" s="297"/>
      <c r="BB182" s="14"/>
      <c r="BC182" s="15" t="s">
        <v>4872</v>
      </c>
      <c r="BD182" s="21"/>
      <c r="BE182" s="12"/>
      <c r="BF182" s="43"/>
      <c r="BG182" s="12"/>
    </row>
    <row r="183" spans="1:59" s="3" customFormat="1" ht="31.8" x14ac:dyDescent="0.3">
      <c r="A183" s="16" t="s">
        <v>2232</v>
      </c>
      <c r="B183" s="17" t="s">
        <v>4873</v>
      </c>
      <c r="C183" s="405" t="s">
        <v>4874</v>
      </c>
      <c r="D183" s="405"/>
      <c r="E183" s="405"/>
      <c r="F183" s="16" t="s">
        <v>4731</v>
      </c>
      <c r="G183" s="23">
        <v>3</v>
      </c>
      <c r="H183" s="57">
        <f>I183/G183</f>
        <v>1537.1499999999999</v>
      </c>
      <c r="I183" s="19">
        <f>4618.62-K183</f>
        <v>4611.45</v>
      </c>
      <c r="J183" s="19">
        <f>K183/G183</f>
        <v>2.39</v>
      </c>
      <c r="K183" s="19">
        <v>7.17</v>
      </c>
      <c r="BB183" s="14"/>
      <c r="BC183" s="15"/>
      <c r="BD183" s="21" t="s">
        <v>4874</v>
      </c>
      <c r="BE183" s="12"/>
      <c r="BF183" s="43"/>
      <c r="BG183" s="12"/>
    </row>
    <row r="184" spans="1:59" s="3" customFormat="1" ht="21.6" x14ac:dyDescent="0.3">
      <c r="A184" s="25"/>
      <c r="B184" s="26" t="s">
        <v>607</v>
      </c>
      <c r="C184" s="419" t="s">
        <v>608</v>
      </c>
      <c r="D184" s="419"/>
      <c r="E184" s="419"/>
      <c r="F184" s="27" t="s">
        <v>609</v>
      </c>
      <c r="G184" s="22" t="s">
        <v>4875</v>
      </c>
      <c r="H184" s="58"/>
      <c r="I184" s="28"/>
      <c r="J184" s="28"/>
      <c r="K184" s="29"/>
      <c r="BB184" s="14"/>
      <c r="BC184" s="15"/>
      <c r="BD184" s="21"/>
      <c r="BE184" s="12" t="s">
        <v>608</v>
      </c>
      <c r="BF184" s="43"/>
      <c r="BG184" s="12"/>
    </row>
    <row r="185" spans="1:59" s="3" customFormat="1" ht="15" customHeight="1" x14ac:dyDescent="0.3">
      <c r="A185" s="454" t="s">
        <v>4876</v>
      </c>
      <c r="B185" s="455"/>
      <c r="C185" s="455"/>
      <c r="D185" s="455"/>
      <c r="E185" s="455"/>
      <c r="F185" s="455"/>
      <c r="G185" s="455"/>
      <c r="H185" s="296"/>
      <c r="I185" s="296"/>
      <c r="J185" s="296"/>
      <c r="K185" s="297"/>
      <c r="BB185" s="14"/>
      <c r="BC185" s="15" t="s">
        <v>4876</v>
      </c>
      <c r="BD185" s="21"/>
      <c r="BE185" s="12"/>
      <c r="BF185" s="43"/>
      <c r="BG185" s="12"/>
    </row>
    <row r="186" spans="1:59" s="3" customFormat="1" ht="31.8" x14ac:dyDescent="0.3">
      <c r="A186" s="16" t="s">
        <v>2872</v>
      </c>
      <c r="B186" s="17" t="s">
        <v>4877</v>
      </c>
      <c r="C186" s="405" t="s">
        <v>4878</v>
      </c>
      <c r="D186" s="405"/>
      <c r="E186" s="405"/>
      <c r="F186" s="16" t="s">
        <v>4731</v>
      </c>
      <c r="G186" s="23">
        <v>2</v>
      </c>
      <c r="H186" s="57">
        <f>I186/G186</f>
        <v>2760.7449999999999</v>
      </c>
      <c r="I186" s="19">
        <f>5529.99-K186</f>
        <v>5521.49</v>
      </c>
      <c r="J186" s="19">
        <f>K186/G186</f>
        <v>4.25</v>
      </c>
      <c r="K186" s="19">
        <v>8.5</v>
      </c>
      <c r="BB186" s="14"/>
      <c r="BC186" s="15"/>
      <c r="BD186" s="21" t="s">
        <v>4878</v>
      </c>
      <c r="BE186" s="12"/>
      <c r="BF186" s="43"/>
      <c r="BG186" s="12"/>
    </row>
    <row r="187" spans="1:59" s="3" customFormat="1" ht="21.6" x14ac:dyDescent="0.3">
      <c r="A187" s="25"/>
      <c r="B187" s="26" t="s">
        <v>607</v>
      </c>
      <c r="C187" s="419" t="s">
        <v>608</v>
      </c>
      <c r="D187" s="419"/>
      <c r="E187" s="419"/>
      <c r="F187" s="27" t="s">
        <v>609</v>
      </c>
      <c r="G187" s="22" t="s">
        <v>4879</v>
      </c>
      <c r="H187" s="58"/>
      <c r="I187" s="28"/>
      <c r="J187" s="28"/>
      <c r="K187" s="29"/>
      <c r="BB187" s="14"/>
      <c r="BC187" s="15"/>
      <c r="BD187" s="21"/>
      <c r="BE187" s="12" t="s">
        <v>608</v>
      </c>
      <c r="BF187" s="43"/>
      <c r="BG187" s="12"/>
    </row>
    <row r="188" spans="1:59" s="3" customFormat="1" ht="15" customHeight="1" x14ac:dyDescent="0.3">
      <c r="A188" s="454" t="s">
        <v>4880</v>
      </c>
      <c r="B188" s="455"/>
      <c r="C188" s="455"/>
      <c r="D188" s="455"/>
      <c r="E188" s="455"/>
      <c r="F188" s="455"/>
      <c r="G188" s="455"/>
      <c r="H188" s="296"/>
      <c r="I188" s="296"/>
      <c r="J188" s="296"/>
      <c r="K188" s="297"/>
      <c r="BB188" s="14"/>
      <c r="BC188" s="15" t="s">
        <v>4880</v>
      </c>
      <c r="BD188" s="21"/>
      <c r="BE188" s="12"/>
      <c r="BF188" s="43"/>
      <c r="BG188" s="12"/>
    </row>
    <row r="189" spans="1:59" s="3" customFormat="1" ht="31.8" x14ac:dyDescent="0.3">
      <c r="A189" s="16" t="s">
        <v>2880</v>
      </c>
      <c r="B189" s="17" t="s">
        <v>4873</v>
      </c>
      <c r="C189" s="405" t="s">
        <v>4874</v>
      </c>
      <c r="D189" s="405"/>
      <c r="E189" s="405"/>
      <c r="F189" s="16" t="s">
        <v>4731</v>
      </c>
      <c r="G189" s="23">
        <v>6</v>
      </c>
      <c r="H189" s="57">
        <f>I189/G189</f>
        <v>1537.1449999999998</v>
      </c>
      <c r="I189" s="19">
        <f>9237.21-K189</f>
        <v>9222.869999999999</v>
      </c>
      <c r="J189" s="19">
        <f>K189/G189</f>
        <v>2.39</v>
      </c>
      <c r="K189" s="19">
        <v>14.34</v>
      </c>
      <c r="BB189" s="14"/>
      <c r="BC189" s="15"/>
      <c r="BD189" s="21" t="s">
        <v>4874</v>
      </c>
      <c r="BE189" s="12"/>
      <c r="BF189" s="43"/>
      <c r="BG189" s="12"/>
    </row>
    <row r="190" spans="1:59" s="3" customFormat="1" ht="21.6" x14ac:dyDescent="0.3">
      <c r="A190" s="25"/>
      <c r="B190" s="26" t="s">
        <v>607</v>
      </c>
      <c r="C190" s="419" t="s">
        <v>608</v>
      </c>
      <c r="D190" s="419"/>
      <c r="E190" s="419"/>
      <c r="F190" s="27" t="s">
        <v>609</v>
      </c>
      <c r="G190" s="22" t="s">
        <v>4881</v>
      </c>
      <c r="H190" s="58"/>
      <c r="I190" s="28"/>
      <c r="J190" s="28"/>
      <c r="K190" s="29"/>
      <c r="BB190" s="14"/>
      <c r="BC190" s="15"/>
      <c r="BD190" s="21"/>
      <c r="BE190" s="12" t="s">
        <v>608</v>
      </c>
      <c r="BF190" s="43"/>
      <c r="BG190" s="12"/>
    </row>
    <row r="191" spans="1:59" s="3" customFormat="1" ht="31.8" x14ac:dyDescent="0.3">
      <c r="A191" s="16" t="s">
        <v>2895</v>
      </c>
      <c r="B191" s="17" t="s">
        <v>4873</v>
      </c>
      <c r="C191" s="405" t="s">
        <v>4874</v>
      </c>
      <c r="D191" s="405"/>
      <c r="E191" s="405"/>
      <c r="F191" s="16" t="s">
        <v>4731</v>
      </c>
      <c r="G191" s="23">
        <v>6</v>
      </c>
      <c r="H191" s="57">
        <f>I191/G191</f>
        <v>1537.1449999999998</v>
      </c>
      <c r="I191" s="19">
        <f>9237.21-K191</f>
        <v>9222.869999999999</v>
      </c>
      <c r="J191" s="19">
        <f>K191/G191</f>
        <v>2.39</v>
      </c>
      <c r="K191" s="19">
        <v>14.34</v>
      </c>
      <c r="BB191" s="14"/>
      <c r="BC191" s="15"/>
      <c r="BD191" s="21" t="s">
        <v>4874</v>
      </c>
      <c r="BE191" s="12"/>
      <c r="BF191" s="43"/>
      <c r="BG191" s="12"/>
    </row>
    <row r="192" spans="1:59" s="3" customFormat="1" ht="21.6" x14ac:dyDescent="0.3">
      <c r="A192" s="25"/>
      <c r="B192" s="26" t="s">
        <v>607</v>
      </c>
      <c r="C192" s="419" t="s">
        <v>608</v>
      </c>
      <c r="D192" s="419"/>
      <c r="E192" s="419"/>
      <c r="F192" s="27" t="s">
        <v>609</v>
      </c>
      <c r="G192" s="22" t="s">
        <v>4881</v>
      </c>
      <c r="H192" s="58"/>
      <c r="I192" s="28"/>
      <c r="J192" s="28"/>
      <c r="K192" s="29"/>
      <c r="BB192" s="14"/>
      <c r="BC192" s="15"/>
      <c r="BD192" s="21"/>
      <c r="BE192" s="12" t="s">
        <v>608</v>
      </c>
      <c r="BF192" s="43"/>
      <c r="BG192" s="12"/>
    </row>
    <row r="193" spans="1:59" s="3" customFormat="1" ht="15" customHeight="1" x14ac:dyDescent="0.3">
      <c r="A193" s="454" t="s">
        <v>4882</v>
      </c>
      <c r="B193" s="455"/>
      <c r="C193" s="455"/>
      <c r="D193" s="455"/>
      <c r="E193" s="455"/>
      <c r="F193" s="455"/>
      <c r="G193" s="455"/>
      <c r="H193" s="296"/>
      <c r="I193" s="296"/>
      <c r="J193" s="296"/>
      <c r="K193" s="297"/>
      <c r="BB193" s="14"/>
      <c r="BC193" s="15" t="s">
        <v>4882</v>
      </c>
      <c r="BD193" s="21"/>
      <c r="BE193" s="12"/>
      <c r="BF193" s="43"/>
      <c r="BG193" s="12"/>
    </row>
    <row r="194" spans="1:59" s="3" customFormat="1" ht="31.8" x14ac:dyDescent="0.3">
      <c r="A194" s="16" t="s">
        <v>2899</v>
      </c>
      <c r="B194" s="17" t="s">
        <v>4877</v>
      </c>
      <c r="C194" s="405" t="s">
        <v>4878</v>
      </c>
      <c r="D194" s="405"/>
      <c r="E194" s="405"/>
      <c r="F194" s="16" t="s">
        <v>4731</v>
      </c>
      <c r="G194" s="23">
        <v>4</v>
      </c>
      <c r="H194" s="57">
        <f>I194/G194</f>
        <v>2760.75</v>
      </c>
      <c r="I194" s="19">
        <f>11059.99-K194</f>
        <v>11043</v>
      </c>
      <c r="J194" s="19">
        <f>K194/G194</f>
        <v>4.2474999999999996</v>
      </c>
      <c r="K194" s="19">
        <v>16.989999999999998</v>
      </c>
      <c r="BB194" s="14"/>
      <c r="BC194" s="15"/>
      <c r="BD194" s="21" t="s">
        <v>4878</v>
      </c>
      <c r="BE194" s="12"/>
      <c r="BF194" s="43"/>
      <c r="BG194" s="12"/>
    </row>
    <row r="195" spans="1:59" s="3" customFormat="1" ht="21.6" x14ac:dyDescent="0.3">
      <c r="A195" s="25"/>
      <c r="B195" s="26" t="s">
        <v>607</v>
      </c>
      <c r="C195" s="419" t="s">
        <v>608</v>
      </c>
      <c r="D195" s="419"/>
      <c r="E195" s="419"/>
      <c r="F195" s="27" t="s">
        <v>609</v>
      </c>
      <c r="G195" s="22" t="s">
        <v>4883</v>
      </c>
      <c r="H195" s="58"/>
      <c r="I195" s="28"/>
      <c r="J195" s="28"/>
      <c r="K195" s="29"/>
      <c r="BB195" s="14"/>
      <c r="BC195" s="15"/>
      <c r="BD195" s="21"/>
      <c r="BE195" s="12" t="s">
        <v>608</v>
      </c>
      <c r="BF195" s="43"/>
      <c r="BG195" s="12"/>
    </row>
    <row r="196" spans="1:59" s="3" customFormat="1" ht="31.8" x14ac:dyDescent="0.3">
      <c r="A196" s="16" t="s">
        <v>2916</v>
      </c>
      <c r="B196" s="17" t="s">
        <v>4877</v>
      </c>
      <c r="C196" s="405" t="s">
        <v>4878</v>
      </c>
      <c r="D196" s="405"/>
      <c r="E196" s="405"/>
      <c r="F196" s="16" t="s">
        <v>4731</v>
      </c>
      <c r="G196" s="23">
        <v>4</v>
      </c>
      <c r="H196" s="57">
        <f>I196/G196</f>
        <v>2760.75</v>
      </c>
      <c r="I196" s="19">
        <f>11059.99-K196</f>
        <v>11043</v>
      </c>
      <c r="J196" s="19">
        <f>K196/G196</f>
        <v>4.2474999999999996</v>
      </c>
      <c r="K196" s="19">
        <v>16.989999999999998</v>
      </c>
      <c r="BB196" s="14"/>
      <c r="BC196" s="15"/>
      <c r="BD196" s="21" t="s">
        <v>4878</v>
      </c>
      <c r="BE196" s="12"/>
      <c r="BF196" s="43"/>
      <c r="BG196" s="12"/>
    </row>
    <row r="197" spans="1:59" s="3" customFormat="1" ht="21.6" x14ac:dyDescent="0.3">
      <c r="A197" s="25"/>
      <c r="B197" s="26" t="s">
        <v>607</v>
      </c>
      <c r="C197" s="419" t="s">
        <v>608</v>
      </c>
      <c r="D197" s="419"/>
      <c r="E197" s="419"/>
      <c r="F197" s="27" t="s">
        <v>609</v>
      </c>
      <c r="G197" s="22" t="s">
        <v>4883</v>
      </c>
      <c r="H197" s="58"/>
      <c r="I197" s="28"/>
      <c r="J197" s="28"/>
      <c r="K197" s="29"/>
      <c r="BB197" s="14"/>
      <c r="BC197" s="15"/>
      <c r="BD197" s="21"/>
      <c r="BE197" s="12" t="s">
        <v>608</v>
      </c>
      <c r="BF197" s="43"/>
      <c r="BG197" s="12"/>
    </row>
    <row r="198" spans="1:59" s="3" customFormat="1" ht="15" customHeight="1" x14ac:dyDescent="0.3">
      <c r="A198" s="454" t="s">
        <v>4884</v>
      </c>
      <c r="B198" s="455"/>
      <c r="C198" s="455"/>
      <c r="D198" s="455"/>
      <c r="E198" s="455"/>
      <c r="F198" s="455"/>
      <c r="G198" s="455"/>
      <c r="H198" s="296"/>
      <c r="I198" s="296"/>
      <c r="J198" s="296"/>
      <c r="K198" s="297"/>
      <c r="BB198" s="14"/>
      <c r="BC198" s="15" t="s">
        <v>4884</v>
      </c>
      <c r="BD198" s="21"/>
      <c r="BE198" s="12"/>
      <c r="BF198" s="43"/>
      <c r="BG198" s="12"/>
    </row>
    <row r="199" spans="1:59" s="3" customFormat="1" ht="31.8" x14ac:dyDescent="0.3">
      <c r="A199" s="262" t="s">
        <v>2921</v>
      </c>
      <c r="B199" s="263" t="s">
        <v>4885</v>
      </c>
      <c r="C199" s="456" t="s">
        <v>4886</v>
      </c>
      <c r="D199" s="456"/>
      <c r="E199" s="456"/>
      <c r="F199" s="262" t="s">
        <v>38</v>
      </c>
      <c r="G199" s="264">
        <v>2</v>
      </c>
      <c r="H199" s="298"/>
      <c r="I199" s="265">
        <v>417.91</v>
      </c>
      <c r="J199" s="265"/>
      <c r="K199" s="265">
        <v>0</v>
      </c>
      <c r="BB199" s="14"/>
      <c r="BC199" s="15"/>
      <c r="BD199" s="21" t="s">
        <v>4886</v>
      </c>
      <c r="BE199" s="12"/>
      <c r="BF199" s="43"/>
      <c r="BG199" s="12"/>
    </row>
    <row r="200" spans="1:59" s="3" customFormat="1" ht="31.8" x14ac:dyDescent="0.3">
      <c r="A200" s="16" t="s">
        <v>2930</v>
      </c>
      <c r="B200" s="17" t="s">
        <v>4887</v>
      </c>
      <c r="C200" s="405" t="s">
        <v>4888</v>
      </c>
      <c r="D200" s="405"/>
      <c r="E200" s="405"/>
      <c r="F200" s="16" t="s">
        <v>1460</v>
      </c>
      <c r="G200" s="23">
        <v>2</v>
      </c>
      <c r="H200" s="57"/>
      <c r="I200" s="19">
        <f>1682.92-K200</f>
        <v>0</v>
      </c>
      <c r="J200" s="19"/>
      <c r="K200" s="19">
        <v>1682.92</v>
      </c>
      <c r="BB200" s="14"/>
      <c r="BC200" s="15"/>
      <c r="BD200" s="21" t="s">
        <v>4888</v>
      </c>
      <c r="BE200" s="12"/>
      <c r="BF200" s="43"/>
      <c r="BG200" s="12"/>
    </row>
    <row r="201" spans="1:59" s="3" customFormat="1" ht="15" customHeight="1" x14ac:dyDescent="0.3">
      <c r="A201" s="454" t="s">
        <v>4889</v>
      </c>
      <c r="B201" s="455"/>
      <c r="C201" s="455"/>
      <c r="D201" s="455"/>
      <c r="E201" s="455"/>
      <c r="F201" s="455"/>
      <c r="G201" s="455"/>
      <c r="H201" s="296"/>
      <c r="I201" s="296"/>
      <c r="J201" s="296"/>
      <c r="K201" s="297"/>
      <c r="BB201" s="14"/>
      <c r="BC201" s="15" t="s">
        <v>4889</v>
      </c>
      <c r="BD201" s="21"/>
      <c r="BE201" s="12"/>
      <c r="BF201" s="43"/>
      <c r="BG201" s="12"/>
    </row>
    <row r="202" spans="1:59" s="3" customFormat="1" ht="31.8" x14ac:dyDescent="0.3">
      <c r="A202" s="16" t="s">
        <v>2939</v>
      </c>
      <c r="B202" s="17" t="s">
        <v>4890</v>
      </c>
      <c r="C202" s="405" t="s">
        <v>4891</v>
      </c>
      <c r="D202" s="405"/>
      <c r="E202" s="405"/>
      <c r="F202" s="16" t="s">
        <v>38</v>
      </c>
      <c r="G202" s="23">
        <v>4</v>
      </c>
      <c r="H202" s="57">
        <f>I202/G202</f>
        <v>5023.7825000000003</v>
      </c>
      <c r="I202" s="19">
        <f>20279.56-K202</f>
        <v>20095.13</v>
      </c>
      <c r="J202" s="19">
        <f>K202/G202</f>
        <v>46.107500000000002</v>
      </c>
      <c r="K202" s="19">
        <v>184.43</v>
      </c>
      <c r="BB202" s="14"/>
      <c r="BC202" s="15"/>
      <c r="BD202" s="21" t="s">
        <v>4891</v>
      </c>
      <c r="BE202" s="12"/>
      <c r="BF202" s="43"/>
      <c r="BG202" s="12"/>
    </row>
    <row r="203" spans="1:59" s="3" customFormat="1" ht="21.6" x14ac:dyDescent="0.3">
      <c r="A203" s="25"/>
      <c r="B203" s="26" t="s">
        <v>4537</v>
      </c>
      <c r="C203" s="419" t="s">
        <v>4538</v>
      </c>
      <c r="D203" s="419"/>
      <c r="E203" s="419"/>
      <c r="F203" s="27" t="s">
        <v>75</v>
      </c>
      <c r="G203" s="22" t="s">
        <v>4892</v>
      </c>
      <c r="H203" s="58"/>
      <c r="I203" s="28"/>
      <c r="J203" s="28"/>
      <c r="K203" s="29"/>
      <c r="BB203" s="14"/>
      <c r="BC203" s="15"/>
      <c r="BD203" s="21"/>
      <c r="BE203" s="12" t="s">
        <v>4538</v>
      </c>
      <c r="BF203" s="43"/>
      <c r="BG203" s="12"/>
    </row>
    <row r="204" spans="1:59" s="3" customFormat="1" ht="21.6" x14ac:dyDescent="0.3">
      <c r="A204" s="25"/>
      <c r="B204" s="26" t="s">
        <v>607</v>
      </c>
      <c r="C204" s="419" t="s">
        <v>608</v>
      </c>
      <c r="D204" s="419"/>
      <c r="E204" s="419"/>
      <c r="F204" s="27" t="s">
        <v>609</v>
      </c>
      <c r="G204" s="22" t="s">
        <v>4893</v>
      </c>
      <c r="H204" s="58"/>
      <c r="I204" s="28"/>
      <c r="J204" s="28"/>
      <c r="K204" s="29"/>
      <c r="BB204" s="14"/>
      <c r="BC204" s="15"/>
      <c r="BD204" s="21"/>
      <c r="BE204" s="12" t="s">
        <v>608</v>
      </c>
      <c r="BF204" s="43"/>
      <c r="BG204" s="12"/>
    </row>
    <row r="205" spans="1:59" s="3" customFormat="1" ht="31.8" x14ac:dyDescent="0.3">
      <c r="A205" s="16" t="s">
        <v>4894</v>
      </c>
      <c r="B205" s="17" t="s">
        <v>4895</v>
      </c>
      <c r="C205" s="405" t="s">
        <v>4896</v>
      </c>
      <c r="D205" s="405"/>
      <c r="E205" s="405"/>
      <c r="F205" s="16" t="s">
        <v>1460</v>
      </c>
      <c r="G205" s="23">
        <v>4</v>
      </c>
      <c r="H205" s="57"/>
      <c r="I205" s="19">
        <f>9645.29-K205</f>
        <v>0</v>
      </c>
      <c r="J205" s="19"/>
      <c r="K205" s="19">
        <v>9645.2900000000009</v>
      </c>
      <c r="BB205" s="14"/>
      <c r="BC205" s="15"/>
      <c r="BD205" s="21" t="s">
        <v>4896</v>
      </c>
      <c r="BE205" s="12"/>
      <c r="BF205" s="43"/>
      <c r="BG205" s="12"/>
    </row>
    <row r="206" spans="1:59" s="3" customFormat="1" ht="31.8" x14ac:dyDescent="0.3">
      <c r="A206" s="16" t="s">
        <v>2953</v>
      </c>
      <c r="B206" s="17" t="s">
        <v>4897</v>
      </c>
      <c r="C206" s="405" t="s">
        <v>4898</v>
      </c>
      <c r="D206" s="405"/>
      <c r="E206" s="405"/>
      <c r="F206" s="16" t="s">
        <v>38</v>
      </c>
      <c r="G206" s="23">
        <v>3</v>
      </c>
      <c r="H206" s="57">
        <f>I206/G206</f>
        <v>1716.8133333333333</v>
      </c>
      <c r="I206" s="19">
        <f>10286.64-K206</f>
        <v>5150.4399999999996</v>
      </c>
      <c r="J206" s="19">
        <f>K206/G206</f>
        <v>1712.0666666666666</v>
      </c>
      <c r="K206" s="19">
        <v>5136.2</v>
      </c>
      <c r="BB206" s="14"/>
      <c r="BC206" s="15"/>
      <c r="BD206" s="21" t="s">
        <v>4898</v>
      </c>
      <c r="BE206" s="12"/>
      <c r="BF206" s="43"/>
      <c r="BG206" s="12"/>
    </row>
    <row r="207" spans="1:59" s="3" customFormat="1" ht="21.6" x14ac:dyDescent="0.3">
      <c r="A207" s="25"/>
      <c r="B207" s="26" t="s">
        <v>4537</v>
      </c>
      <c r="C207" s="419" t="s">
        <v>4538</v>
      </c>
      <c r="D207" s="419"/>
      <c r="E207" s="419"/>
      <c r="F207" s="27" t="s">
        <v>75</v>
      </c>
      <c r="G207" s="22" t="s">
        <v>1246</v>
      </c>
      <c r="H207" s="58"/>
      <c r="I207" s="28"/>
      <c r="J207" s="28"/>
      <c r="K207" s="29"/>
      <c r="BB207" s="14"/>
      <c r="BC207" s="15"/>
      <c r="BD207" s="21"/>
      <c r="BE207" s="12" t="s">
        <v>4538</v>
      </c>
      <c r="BF207" s="43"/>
      <c r="BG207" s="12"/>
    </row>
    <row r="208" spans="1:59" s="3" customFormat="1" ht="21.6" x14ac:dyDescent="0.3">
      <c r="A208" s="25"/>
      <c r="B208" s="26" t="s">
        <v>607</v>
      </c>
      <c r="C208" s="419" t="s">
        <v>608</v>
      </c>
      <c r="D208" s="419"/>
      <c r="E208" s="419"/>
      <c r="F208" s="27" t="s">
        <v>609</v>
      </c>
      <c r="G208" s="22" t="s">
        <v>4899</v>
      </c>
      <c r="H208" s="58"/>
      <c r="I208" s="28"/>
      <c r="J208" s="28"/>
      <c r="K208" s="29"/>
      <c r="BB208" s="14"/>
      <c r="BC208" s="15"/>
      <c r="BD208" s="21"/>
      <c r="BE208" s="12" t="s">
        <v>608</v>
      </c>
      <c r="BF208" s="43"/>
      <c r="BG208" s="12"/>
    </row>
    <row r="209" spans="1:59" s="3" customFormat="1" ht="31.8" x14ac:dyDescent="0.3">
      <c r="A209" s="16" t="s">
        <v>4900</v>
      </c>
      <c r="B209" s="17" t="s">
        <v>4901</v>
      </c>
      <c r="C209" s="405" t="s">
        <v>4902</v>
      </c>
      <c r="D209" s="405"/>
      <c r="E209" s="405"/>
      <c r="F209" s="16" t="s">
        <v>1460</v>
      </c>
      <c r="G209" s="23">
        <v>3</v>
      </c>
      <c r="H209" s="57"/>
      <c r="I209" s="19">
        <f>5136.2-K209</f>
        <v>0</v>
      </c>
      <c r="J209" s="19"/>
      <c r="K209" s="19">
        <v>5136.2</v>
      </c>
      <c r="BB209" s="14"/>
      <c r="BC209" s="15"/>
      <c r="BD209" s="21" t="s">
        <v>4902</v>
      </c>
      <c r="BE209" s="12"/>
      <c r="BF209" s="43"/>
      <c r="BG209" s="12"/>
    </row>
    <row r="210" spans="1:59" s="3" customFormat="1" ht="15" customHeight="1" x14ac:dyDescent="0.3">
      <c r="A210" s="454" t="s">
        <v>4903</v>
      </c>
      <c r="B210" s="455"/>
      <c r="C210" s="455"/>
      <c r="D210" s="455"/>
      <c r="E210" s="455"/>
      <c r="F210" s="455"/>
      <c r="G210" s="455"/>
      <c r="H210" s="296"/>
      <c r="I210" s="296"/>
      <c r="J210" s="296"/>
      <c r="K210" s="297"/>
      <c r="BB210" s="14"/>
      <c r="BC210" s="15" t="s">
        <v>4903</v>
      </c>
      <c r="BD210" s="21"/>
      <c r="BE210" s="12"/>
      <c r="BF210" s="43"/>
      <c r="BG210" s="12"/>
    </row>
    <row r="211" spans="1:59" s="3" customFormat="1" ht="21.6" x14ac:dyDescent="0.3">
      <c r="A211" s="16" t="s">
        <v>2978</v>
      </c>
      <c r="B211" s="17" t="s">
        <v>4904</v>
      </c>
      <c r="C211" s="405" t="s">
        <v>4905</v>
      </c>
      <c r="D211" s="405"/>
      <c r="E211" s="405"/>
      <c r="F211" s="16" t="s">
        <v>38</v>
      </c>
      <c r="G211" s="23">
        <v>3</v>
      </c>
      <c r="H211" s="57">
        <f>I211/G211</f>
        <v>543.46</v>
      </c>
      <c r="I211" s="19">
        <f>2246.34-K211</f>
        <v>1630.38</v>
      </c>
      <c r="J211" s="19">
        <f>K211/G211</f>
        <v>205.32000000000002</v>
      </c>
      <c r="K211" s="19">
        <v>615.96</v>
      </c>
      <c r="BB211" s="14"/>
      <c r="BC211" s="15"/>
      <c r="BD211" s="21" t="s">
        <v>4905</v>
      </c>
      <c r="BE211" s="12"/>
      <c r="BF211" s="43"/>
      <c r="BG211" s="12"/>
    </row>
    <row r="212" spans="1:59" s="3" customFormat="1" ht="20.399999999999999" x14ac:dyDescent="0.3">
      <c r="A212" s="25"/>
      <c r="B212" s="26" t="s">
        <v>277</v>
      </c>
      <c r="C212" s="419" t="s">
        <v>278</v>
      </c>
      <c r="D212" s="419"/>
      <c r="E212" s="419"/>
      <c r="F212" s="27" t="s">
        <v>70</v>
      </c>
      <c r="G212" s="22" t="s">
        <v>4906</v>
      </c>
      <c r="H212" s="58"/>
      <c r="I212" s="28"/>
      <c r="J212" s="28"/>
      <c r="K212" s="29"/>
      <c r="BB212" s="14"/>
      <c r="BC212" s="15"/>
      <c r="BD212" s="21"/>
      <c r="BE212" s="12" t="s">
        <v>278</v>
      </c>
      <c r="BF212" s="43"/>
      <c r="BG212" s="12"/>
    </row>
    <row r="213" spans="1:59" s="3" customFormat="1" ht="21.6" x14ac:dyDescent="0.3">
      <c r="A213" s="25"/>
      <c r="B213" s="26" t="s">
        <v>1392</v>
      </c>
      <c r="C213" s="419" t="s">
        <v>1393</v>
      </c>
      <c r="D213" s="419"/>
      <c r="E213" s="419"/>
      <c r="F213" s="27" t="s">
        <v>75</v>
      </c>
      <c r="G213" s="22" t="s">
        <v>1144</v>
      </c>
      <c r="H213" s="58"/>
      <c r="I213" s="28"/>
      <c r="J213" s="28"/>
      <c r="K213" s="29"/>
      <c r="BB213" s="14"/>
      <c r="BC213" s="15"/>
      <c r="BD213" s="21"/>
      <c r="BE213" s="12" t="s">
        <v>1393</v>
      </c>
      <c r="BF213" s="43"/>
      <c r="BG213" s="12"/>
    </row>
    <row r="214" spans="1:59" s="3" customFormat="1" ht="20.399999999999999" x14ac:dyDescent="0.3">
      <c r="A214" s="25"/>
      <c r="B214" s="26" t="s">
        <v>1395</v>
      </c>
      <c r="C214" s="419" t="s">
        <v>1396</v>
      </c>
      <c r="D214" s="419"/>
      <c r="E214" s="419"/>
      <c r="F214" s="27" t="s">
        <v>142</v>
      </c>
      <c r="G214" s="22" t="s">
        <v>4607</v>
      </c>
      <c r="H214" s="58"/>
      <c r="I214" s="28"/>
      <c r="J214" s="28"/>
      <c r="K214" s="29"/>
      <c r="BB214" s="14"/>
      <c r="BC214" s="15"/>
      <c r="BD214" s="21"/>
      <c r="BE214" s="12" t="s">
        <v>1396</v>
      </c>
      <c r="BF214" s="43"/>
      <c r="BG214" s="12"/>
    </row>
    <row r="215" spans="1:59" s="3" customFormat="1" ht="21.6" x14ac:dyDescent="0.3">
      <c r="A215" s="25"/>
      <c r="B215" s="26" t="s">
        <v>1397</v>
      </c>
      <c r="C215" s="419" t="s">
        <v>1398</v>
      </c>
      <c r="D215" s="419"/>
      <c r="E215" s="419"/>
      <c r="F215" s="27" t="s">
        <v>70</v>
      </c>
      <c r="G215" s="22" t="s">
        <v>1224</v>
      </c>
      <c r="H215" s="58"/>
      <c r="I215" s="28"/>
      <c r="J215" s="28"/>
      <c r="K215" s="29"/>
      <c r="BB215" s="14"/>
      <c r="BC215" s="15"/>
      <c r="BD215" s="21"/>
      <c r="BE215" s="12" t="s">
        <v>1398</v>
      </c>
      <c r="BF215" s="43"/>
      <c r="BG215" s="12"/>
    </row>
    <row r="216" spans="1:59" s="3" customFormat="1" ht="21.6" x14ac:dyDescent="0.3">
      <c r="A216" s="25"/>
      <c r="B216" s="26" t="s">
        <v>1402</v>
      </c>
      <c r="C216" s="419" t="s">
        <v>1403</v>
      </c>
      <c r="D216" s="419"/>
      <c r="E216" s="419"/>
      <c r="F216" s="27" t="s">
        <v>115</v>
      </c>
      <c r="G216" s="22" t="s">
        <v>4907</v>
      </c>
      <c r="H216" s="58"/>
      <c r="I216" s="28"/>
      <c r="J216" s="28"/>
      <c r="K216" s="29"/>
      <c r="BB216" s="14"/>
      <c r="BC216" s="15"/>
      <c r="BD216" s="21"/>
      <c r="BE216" s="12" t="s">
        <v>1403</v>
      </c>
      <c r="BF216" s="43"/>
      <c r="BG216" s="12"/>
    </row>
    <row r="217" spans="1:59" s="3" customFormat="1" ht="20.399999999999999" x14ac:dyDescent="0.3">
      <c r="A217" s="25"/>
      <c r="B217" s="26" t="s">
        <v>415</v>
      </c>
      <c r="C217" s="419" t="s">
        <v>416</v>
      </c>
      <c r="D217" s="419"/>
      <c r="E217" s="419"/>
      <c r="F217" s="27" t="s">
        <v>70</v>
      </c>
      <c r="G217" s="22" t="s">
        <v>4908</v>
      </c>
      <c r="H217" s="58"/>
      <c r="I217" s="28"/>
      <c r="J217" s="28"/>
      <c r="K217" s="29"/>
      <c r="BB217" s="14"/>
      <c r="BC217" s="15"/>
      <c r="BD217" s="21"/>
      <c r="BE217" s="12" t="s">
        <v>416</v>
      </c>
      <c r="BF217" s="43"/>
      <c r="BG217" s="12"/>
    </row>
    <row r="218" spans="1:59" s="3" customFormat="1" ht="20.399999999999999" x14ac:dyDescent="0.3">
      <c r="A218" s="25"/>
      <c r="B218" s="26" t="s">
        <v>1406</v>
      </c>
      <c r="C218" s="419" t="s">
        <v>1407</v>
      </c>
      <c r="D218" s="419"/>
      <c r="E218" s="419"/>
      <c r="F218" s="27" t="s">
        <v>70</v>
      </c>
      <c r="G218" s="22" t="s">
        <v>4908</v>
      </c>
      <c r="H218" s="58"/>
      <c r="I218" s="28"/>
      <c r="J218" s="28"/>
      <c r="K218" s="29"/>
      <c r="BB218" s="14"/>
      <c r="BC218" s="15"/>
      <c r="BD218" s="21"/>
      <c r="BE218" s="12" t="s">
        <v>1407</v>
      </c>
      <c r="BF218" s="43"/>
      <c r="BG218" s="12"/>
    </row>
    <row r="219" spans="1:59" s="3" customFormat="1" ht="20.399999999999999" x14ac:dyDescent="0.3">
      <c r="A219" s="25"/>
      <c r="B219" s="26" t="s">
        <v>370</v>
      </c>
      <c r="C219" s="419" t="s">
        <v>371</v>
      </c>
      <c r="D219" s="419"/>
      <c r="E219" s="419"/>
      <c r="F219" s="27" t="s">
        <v>75</v>
      </c>
      <c r="G219" s="22" t="s">
        <v>4607</v>
      </c>
      <c r="H219" s="58"/>
      <c r="I219" s="28"/>
      <c r="J219" s="28"/>
      <c r="K219" s="29"/>
      <c r="BB219" s="14"/>
      <c r="BC219" s="15"/>
      <c r="BD219" s="21"/>
      <c r="BE219" s="12" t="s">
        <v>371</v>
      </c>
      <c r="BF219" s="43"/>
      <c r="BG219" s="12"/>
    </row>
    <row r="220" spans="1:59" s="3" customFormat="1" ht="20.399999999999999" x14ac:dyDescent="0.3">
      <c r="A220" s="25"/>
      <c r="B220" s="26" t="s">
        <v>353</v>
      </c>
      <c r="C220" s="419" t="s">
        <v>354</v>
      </c>
      <c r="D220" s="419"/>
      <c r="E220" s="419"/>
      <c r="F220" s="27" t="s">
        <v>75</v>
      </c>
      <c r="G220" s="22" t="s">
        <v>1144</v>
      </c>
      <c r="H220" s="58"/>
      <c r="I220" s="28"/>
      <c r="J220" s="28"/>
      <c r="K220" s="29"/>
      <c r="BB220" s="14"/>
      <c r="BC220" s="15"/>
      <c r="BD220" s="21"/>
      <c r="BE220" s="12" t="s">
        <v>354</v>
      </c>
      <c r="BF220" s="43"/>
      <c r="BG220" s="12"/>
    </row>
    <row r="221" spans="1:59" s="3" customFormat="1" ht="21.6" x14ac:dyDescent="0.3">
      <c r="A221" s="25"/>
      <c r="B221" s="26" t="s">
        <v>607</v>
      </c>
      <c r="C221" s="419" t="s">
        <v>608</v>
      </c>
      <c r="D221" s="419"/>
      <c r="E221" s="419"/>
      <c r="F221" s="27" t="s">
        <v>609</v>
      </c>
      <c r="G221" s="22" t="s">
        <v>1141</v>
      </c>
      <c r="H221" s="58"/>
      <c r="I221" s="28"/>
      <c r="J221" s="28"/>
      <c r="K221" s="29"/>
      <c r="BB221" s="14"/>
      <c r="BC221" s="15"/>
      <c r="BD221" s="21"/>
      <c r="BE221" s="12" t="s">
        <v>608</v>
      </c>
      <c r="BF221" s="43"/>
      <c r="BG221" s="12"/>
    </row>
    <row r="222" spans="1:59" s="3" customFormat="1" ht="21.6" x14ac:dyDescent="0.3">
      <c r="A222" s="16" t="s">
        <v>3002</v>
      </c>
      <c r="B222" s="17" t="s">
        <v>4909</v>
      </c>
      <c r="C222" s="405" t="s">
        <v>4903</v>
      </c>
      <c r="D222" s="405"/>
      <c r="E222" s="405"/>
      <c r="F222" s="16" t="s">
        <v>1460</v>
      </c>
      <c r="G222" s="23">
        <v>3</v>
      </c>
      <c r="H222" s="57"/>
      <c r="I222" s="19">
        <f>1741.15-K222</f>
        <v>0</v>
      </c>
      <c r="J222" s="19"/>
      <c r="K222" s="19">
        <v>1741.15</v>
      </c>
      <c r="BB222" s="14"/>
      <c r="BC222" s="15"/>
      <c r="BD222" s="21" t="s">
        <v>4903</v>
      </c>
      <c r="BE222" s="12"/>
      <c r="BF222" s="43"/>
      <c r="BG222" s="12"/>
    </row>
    <row r="223" spans="1:59" s="3" customFormat="1" ht="15" customHeight="1" x14ac:dyDescent="0.3">
      <c r="A223" s="454" t="s">
        <v>4910</v>
      </c>
      <c r="B223" s="455"/>
      <c r="C223" s="455"/>
      <c r="D223" s="455"/>
      <c r="E223" s="455"/>
      <c r="F223" s="455"/>
      <c r="G223" s="455"/>
      <c r="H223" s="296"/>
      <c r="I223" s="296"/>
      <c r="J223" s="296"/>
      <c r="K223" s="297"/>
      <c r="BB223" s="14"/>
      <c r="BC223" s="15" t="s">
        <v>4910</v>
      </c>
      <c r="BD223" s="21"/>
      <c r="BE223" s="12"/>
      <c r="BF223" s="43"/>
      <c r="BG223" s="12"/>
    </row>
    <row r="224" spans="1:59" s="3" customFormat="1" ht="42" x14ac:dyDescent="0.3">
      <c r="A224" s="16" t="s">
        <v>3008</v>
      </c>
      <c r="B224" s="17" t="s">
        <v>4520</v>
      </c>
      <c r="C224" s="405" t="s">
        <v>4521</v>
      </c>
      <c r="D224" s="405"/>
      <c r="E224" s="405"/>
      <c r="F224" s="16" t="s">
        <v>38</v>
      </c>
      <c r="G224" s="23">
        <v>1</v>
      </c>
      <c r="H224" s="57">
        <f>I224/G224</f>
        <v>2602.8600000000006</v>
      </c>
      <c r="I224" s="19">
        <f>4168.43-K224</f>
        <v>2602.8600000000006</v>
      </c>
      <c r="J224" s="19">
        <f>K224/G224</f>
        <v>1565.57</v>
      </c>
      <c r="K224" s="19">
        <v>1565.57</v>
      </c>
      <c r="BB224" s="14"/>
      <c r="BC224" s="15"/>
      <c r="BD224" s="21" t="s">
        <v>4521</v>
      </c>
      <c r="BE224" s="12"/>
      <c r="BF224" s="43"/>
      <c r="BG224" s="12"/>
    </row>
    <row r="225" spans="1:59" s="3" customFormat="1" ht="20.399999999999999" x14ac:dyDescent="0.3">
      <c r="A225" s="25"/>
      <c r="B225" s="26" t="s">
        <v>1693</v>
      </c>
      <c r="C225" s="419" t="s">
        <v>1694</v>
      </c>
      <c r="D225" s="419"/>
      <c r="E225" s="419"/>
      <c r="F225" s="27" t="s">
        <v>75</v>
      </c>
      <c r="G225" s="22" t="s">
        <v>4522</v>
      </c>
      <c r="H225" s="58"/>
      <c r="I225" s="28"/>
      <c r="J225" s="28"/>
      <c r="K225" s="29"/>
      <c r="BB225" s="14"/>
      <c r="BC225" s="15"/>
      <c r="BD225" s="21"/>
      <c r="BE225" s="12" t="s">
        <v>1694</v>
      </c>
      <c r="BF225" s="43"/>
      <c r="BG225" s="12"/>
    </row>
    <row r="226" spans="1:59" s="3" customFormat="1" ht="20.399999999999999" x14ac:dyDescent="0.3">
      <c r="A226" s="25"/>
      <c r="B226" s="26" t="s">
        <v>391</v>
      </c>
      <c r="C226" s="419" t="s">
        <v>392</v>
      </c>
      <c r="D226" s="419"/>
      <c r="E226" s="419"/>
      <c r="F226" s="27" t="s">
        <v>75</v>
      </c>
      <c r="G226" s="22" t="s">
        <v>4523</v>
      </c>
      <c r="H226" s="58"/>
      <c r="I226" s="28"/>
      <c r="J226" s="28"/>
      <c r="K226" s="29"/>
      <c r="BB226" s="14"/>
      <c r="BC226" s="15"/>
      <c r="BD226" s="21"/>
      <c r="BE226" s="12" t="s">
        <v>392</v>
      </c>
      <c r="BF226" s="43"/>
      <c r="BG226" s="12"/>
    </row>
    <row r="227" spans="1:59" s="3" customFormat="1" ht="21.6" x14ac:dyDescent="0.3">
      <c r="A227" s="25"/>
      <c r="B227" s="26" t="s">
        <v>1931</v>
      </c>
      <c r="C227" s="419" t="s">
        <v>1932</v>
      </c>
      <c r="D227" s="419"/>
      <c r="E227" s="419"/>
      <c r="F227" s="27" t="s">
        <v>70</v>
      </c>
      <c r="G227" s="22" t="s">
        <v>4524</v>
      </c>
      <c r="H227" s="58"/>
      <c r="I227" s="28"/>
      <c r="J227" s="28"/>
      <c r="K227" s="29"/>
      <c r="BB227" s="14"/>
      <c r="BC227" s="15"/>
      <c r="BD227" s="21"/>
      <c r="BE227" s="12" t="s">
        <v>1932</v>
      </c>
      <c r="BF227" s="43"/>
      <c r="BG227" s="12"/>
    </row>
    <row r="228" spans="1:59" s="3" customFormat="1" ht="20.399999999999999" x14ac:dyDescent="0.3">
      <c r="A228" s="25"/>
      <c r="B228" s="26" t="s">
        <v>605</v>
      </c>
      <c r="C228" s="419" t="s">
        <v>606</v>
      </c>
      <c r="D228" s="419"/>
      <c r="E228" s="419"/>
      <c r="F228" s="27" t="s">
        <v>75</v>
      </c>
      <c r="G228" s="22" t="s">
        <v>1159</v>
      </c>
      <c r="H228" s="58"/>
      <c r="I228" s="28"/>
      <c r="J228" s="28"/>
      <c r="K228" s="29"/>
      <c r="BB228" s="14"/>
      <c r="BC228" s="15"/>
      <c r="BD228" s="21"/>
      <c r="BE228" s="12" t="s">
        <v>606</v>
      </c>
      <c r="BF228" s="43"/>
      <c r="BG228" s="12"/>
    </row>
    <row r="229" spans="1:59" s="3" customFormat="1" ht="21.6" x14ac:dyDescent="0.3">
      <c r="A229" s="25"/>
      <c r="B229" s="26" t="s">
        <v>607</v>
      </c>
      <c r="C229" s="419" t="s">
        <v>608</v>
      </c>
      <c r="D229" s="419"/>
      <c r="E229" s="419"/>
      <c r="F229" s="27" t="s">
        <v>609</v>
      </c>
      <c r="G229" s="22" t="s">
        <v>3937</v>
      </c>
      <c r="H229" s="58"/>
      <c r="I229" s="28"/>
      <c r="J229" s="28"/>
      <c r="K229" s="29"/>
      <c r="BB229" s="14"/>
      <c r="BC229" s="15"/>
      <c r="BD229" s="21"/>
      <c r="BE229" s="12" t="s">
        <v>608</v>
      </c>
      <c r="BF229" s="43"/>
      <c r="BG229" s="12"/>
    </row>
    <row r="230" spans="1:59" s="3" customFormat="1" ht="93" x14ac:dyDescent="0.3">
      <c r="A230" s="16" t="s">
        <v>4911</v>
      </c>
      <c r="B230" s="17" t="s">
        <v>4912</v>
      </c>
      <c r="C230" s="405" t="s">
        <v>4913</v>
      </c>
      <c r="D230" s="405"/>
      <c r="E230" s="405"/>
      <c r="F230" s="16" t="s">
        <v>1460</v>
      </c>
      <c r="G230" s="23">
        <v>1</v>
      </c>
      <c r="H230" s="57"/>
      <c r="I230" s="19">
        <f>147320.19-K230</f>
        <v>0</v>
      </c>
      <c r="J230" s="19"/>
      <c r="K230" s="19">
        <v>147320.19</v>
      </c>
      <c r="BB230" s="14"/>
      <c r="BC230" s="15"/>
      <c r="BD230" s="21" t="s">
        <v>4913</v>
      </c>
      <c r="BE230" s="12"/>
      <c r="BF230" s="43"/>
      <c r="BG230" s="12"/>
    </row>
    <row r="231" spans="1:59" s="3" customFormat="1" ht="20.399999999999999" x14ac:dyDescent="0.3">
      <c r="A231" s="16" t="s">
        <v>3015</v>
      </c>
      <c r="B231" s="17" t="s">
        <v>4914</v>
      </c>
      <c r="C231" s="405" t="s">
        <v>4915</v>
      </c>
      <c r="D231" s="405"/>
      <c r="E231" s="405"/>
      <c r="F231" s="16" t="s">
        <v>1460</v>
      </c>
      <c r="G231" s="23">
        <v>1</v>
      </c>
      <c r="H231" s="57"/>
      <c r="I231" s="19">
        <f>6425.99-K231</f>
        <v>0</v>
      </c>
      <c r="J231" s="19"/>
      <c r="K231" s="19">
        <v>6425.99</v>
      </c>
      <c r="BB231" s="14"/>
      <c r="BC231" s="15"/>
      <c r="BD231" s="21" t="s">
        <v>4915</v>
      </c>
      <c r="BE231" s="12"/>
      <c r="BF231" s="43"/>
      <c r="BG231" s="12"/>
    </row>
    <row r="232" spans="1:59" s="3" customFormat="1" ht="15" customHeight="1" x14ac:dyDescent="0.3">
      <c r="A232" s="454" t="s">
        <v>4916</v>
      </c>
      <c r="B232" s="455"/>
      <c r="C232" s="455"/>
      <c r="D232" s="455"/>
      <c r="E232" s="455"/>
      <c r="F232" s="455"/>
      <c r="G232" s="455"/>
      <c r="H232" s="296"/>
      <c r="I232" s="296"/>
      <c r="J232" s="296"/>
      <c r="K232" s="297"/>
      <c r="BB232" s="14"/>
      <c r="BC232" s="15" t="s">
        <v>4916</v>
      </c>
      <c r="BD232" s="21"/>
      <c r="BE232" s="12"/>
      <c r="BF232" s="43"/>
      <c r="BG232" s="12"/>
    </row>
    <row r="233" spans="1:59" s="3" customFormat="1" ht="21.6" x14ac:dyDescent="0.3">
      <c r="A233" s="16" t="s">
        <v>3016</v>
      </c>
      <c r="B233" s="17" t="s">
        <v>4547</v>
      </c>
      <c r="C233" s="405" t="s">
        <v>4548</v>
      </c>
      <c r="D233" s="405"/>
      <c r="E233" s="405"/>
      <c r="F233" s="16" t="s">
        <v>38</v>
      </c>
      <c r="G233" s="23">
        <v>1</v>
      </c>
      <c r="H233" s="57">
        <f>I233/G233</f>
        <v>912.85</v>
      </c>
      <c r="I233" s="19">
        <f>914.44-K233</f>
        <v>912.85</v>
      </c>
      <c r="J233" s="19">
        <f>K233/G233</f>
        <v>1.59</v>
      </c>
      <c r="K233" s="19">
        <v>1.59</v>
      </c>
      <c r="BB233" s="14"/>
      <c r="BC233" s="15"/>
      <c r="BD233" s="21" t="s">
        <v>4548</v>
      </c>
      <c r="BE233" s="12"/>
      <c r="BF233" s="43"/>
      <c r="BG233" s="12"/>
    </row>
    <row r="234" spans="1:59" s="3" customFormat="1" ht="21.6" x14ac:dyDescent="0.3">
      <c r="A234" s="25"/>
      <c r="B234" s="26" t="s">
        <v>607</v>
      </c>
      <c r="C234" s="419" t="s">
        <v>608</v>
      </c>
      <c r="D234" s="419"/>
      <c r="E234" s="419"/>
      <c r="F234" s="27" t="s">
        <v>609</v>
      </c>
      <c r="G234" s="22" t="s">
        <v>1549</v>
      </c>
      <c r="H234" s="58"/>
      <c r="I234" s="28"/>
      <c r="J234" s="28"/>
      <c r="K234" s="29"/>
      <c r="BB234" s="14"/>
      <c r="BC234" s="15"/>
      <c r="BD234" s="21"/>
      <c r="BE234" s="12" t="s">
        <v>608</v>
      </c>
      <c r="BF234" s="43"/>
      <c r="BG234" s="12"/>
    </row>
    <row r="235" spans="1:59" s="3" customFormat="1" ht="31.8" x14ac:dyDescent="0.3">
      <c r="A235" s="16" t="s">
        <v>4917</v>
      </c>
      <c r="B235" s="17" t="s">
        <v>4918</v>
      </c>
      <c r="C235" s="405" t="s">
        <v>4919</v>
      </c>
      <c r="D235" s="405"/>
      <c r="E235" s="405"/>
      <c r="F235" s="16" t="s">
        <v>1460</v>
      </c>
      <c r="G235" s="23">
        <v>1</v>
      </c>
      <c r="H235" s="57"/>
      <c r="I235" s="19">
        <f>59943.5-K235</f>
        <v>0</v>
      </c>
      <c r="J235" s="19"/>
      <c r="K235" s="19">
        <v>59943.5</v>
      </c>
      <c r="BB235" s="14"/>
      <c r="BC235" s="15"/>
      <c r="BD235" s="21" t="s">
        <v>4919</v>
      </c>
      <c r="BE235" s="12"/>
      <c r="BF235" s="43"/>
      <c r="BG235" s="12"/>
    </row>
    <row r="236" spans="1:59" s="3" customFormat="1" ht="15" customHeight="1" x14ac:dyDescent="0.3">
      <c r="A236" s="454" t="s">
        <v>4920</v>
      </c>
      <c r="B236" s="455"/>
      <c r="C236" s="455"/>
      <c r="D236" s="455"/>
      <c r="E236" s="455"/>
      <c r="F236" s="455"/>
      <c r="G236" s="455"/>
      <c r="H236" s="296"/>
      <c r="I236" s="296"/>
      <c r="J236" s="296"/>
      <c r="K236" s="297"/>
      <c r="BB236" s="14"/>
      <c r="BC236" s="15" t="s">
        <v>4920</v>
      </c>
      <c r="BD236" s="21"/>
      <c r="BE236" s="12"/>
      <c r="BF236" s="43"/>
      <c r="BG236" s="12"/>
    </row>
    <row r="237" spans="1:59" s="3" customFormat="1" ht="14.4" x14ac:dyDescent="0.3">
      <c r="A237" s="16" t="s">
        <v>3022</v>
      </c>
      <c r="B237" s="17" t="s">
        <v>4632</v>
      </c>
      <c r="C237" s="405" t="s">
        <v>4633</v>
      </c>
      <c r="D237" s="405"/>
      <c r="E237" s="405"/>
      <c r="F237" s="16" t="s">
        <v>38</v>
      </c>
      <c r="G237" s="23">
        <v>1</v>
      </c>
      <c r="H237" s="57">
        <f>I237/G237</f>
        <v>1082.25</v>
      </c>
      <c r="I237" s="19">
        <f>1085.61-K237</f>
        <v>1082.25</v>
      </c>
      <c r="J237" s="19">
        <f>K237/G237</f>
        <v>3.36</v>
      </c>
      <c r="K237" s="19">
        <v>3.36</v>
      </c>
      <c r="BB237" s="14"/>
      <c r="BC237" s="15"/>
      <c r="BD237" s="21" t="s">
        <v>4633</v>
      </c>
      <c r="BE237" s="12"/>
      <c r="BF237" s="43"/>
      <c r="BG237" s="12"/>
    </row>
    <row r="238" spans="1:59" s="3" customFormat="1" ht="20.399999999999999" x14ac:dyDescent="0.3">
      <c r="A238" s="25"/>
      <c r="B238" s="26" t="s">
        <v>391</v>
      </c>
      <c r="C238" s="419" t="s">
        <v>392</v>
      </c>
      <c r="D238" s="419"/>
      <c r="E238" s="419"/>
      <c r="F238" s="27" t="s">
        <v>75</v>
      </c>
      <c r="G238" s="22" t="s">
        <v>1173</v>
      </c>
      <c r="H238" s="58"/>
      <c r="I238" s="28"/>
      <c r="J238" s="28"/>
      <c r="K238" s="29"/>
      <c r="BB238" s="14"/>
      <c r="BC238" s="15"/>
      <c r="BD238" s="21"/>
      <c r="BE238" s="12" t="s">
        <v>392</v>
      </c>
      <c r="BF238" s="43"/>
      <c r="BG238" s="12"/>
    </row>
    <row r="239" spans="1:59" s="3" customFormat="1" ht="21.6" x14ac:dyDescent="0.3">
      <c r="A239" s="25"/>
      <c r="B239" s="26" t="s">
        <v>607</v>
      </c>
      <c r="C239" s="419" t="s">
        <v>608</v>
      </c>
      <c r="D239" s="419"/>
      <c r="E239" s="419"/>
      <c r="F239" s="27" t="s">
        <v>609</v>
      </c>
      <c r="G239" s="22" t="s">
        <v>1561</v>
      </c>
      <c r="H239" s="58"/>
      <c r="I239" s="28"/>
      <c r="J239" s="28"/>
      <c r="K239" s="29"/>
      <c r="BB239" s="14"/>
      <c r="BC239" s="15"/>
      <c r="BD239" s="21"/>
      <c r="BE239" s="12" t="s">
        <v>608</v>
      </c>
      <c r="BF239" s="43"/>
      <c r="BG239" s="12"/>
    </row>
    <row r="240" spans="1:59" s="3" customFormat="1" ht="21.6" x14ac:dyDescent="0.3">
      <c r="A240" s="16" t="s">
        <v>4921</v>
      </c>
      <c r="B240" s="17" t="s">
        <v>4922</v>
      </c>
      <c r="C240" s="405" t="s">
        <v>4920</v>
      </c>
      <c r="D240" s="405"/>
      <c r="E240" s="405"/>
      <c r="F240" s="16" t="s">
        <v>1460</v>
      </c>
      <c r="G240" s="23">
        <v>1</v>
      </c>
      <c r="H240" s="57"/>
      <c r="I240" s="19">
        <f>2230.65-K240</f>
        <v>0</v>
      </c>
      <c r="J240" s="19"/>
      <c r="K240" s="19">
        <v>2230.65</v>
      </c>
      <c r="BB240" s="14"/>
      <c r="BC240" s="15"/>
      <c r="BD240" s="21" t="s">
        <v>4920</v>
      </c>
      <c r="BE240" s="12"/>
      <c r="BF240" s="43"/>
      <c r="BG240" s="12"/>
    </row>
    <row r="241" spans="1:59" s="3" customFormat="1" ht="15" customHeight="1" x14ac:dyDescent="0.3">
      <c r="A241" s="454" t="s">
        <v>4923</v>
      </c>
      <c r="B241" s="455"/>
      <c r="C241" s="455"/>
      <c r="D241" s="455"/>
      <c r="E241" s="455"/>
      <c r="F241" s="455"/>
      <c r="G241" s="455"/>
      <c r="H241" s="296"/>
      <c r="I241" s="296"/>
      <c r="J241" s="296"/>
      <c r="K241" s="297"/>
      <c r="BB241" s="14"/>
      <c r="BC241" s="15" t="s">
        <v>4923</v>
      </c>
      <c r="BD241" s="21"/>
      <c r="BE241" s="12"/>
      <c r="BF241" s="43"/>
      <c r="BG241" s="12"/>
    </row>
    <row r="242" spans="1:59" s="3" customFormat="1" ht="31.8" x14ac:dyDescent="0.3">
      <c r="A242" s="16" t="s">
        <v>3050</v>
      </c>
      <c r="B242" s="17" t="s">
        <v>4924</v>
      </c>
      <c r="C242" s="405" t="s">
        <v>4886</v>
      </c>
      <c r="D242" s="405"/>
      <c r="E242" s="405"/>
      <c r="F242" s="16" t="s">
        <v>38</v>
      </c>
      <c r="G242" s="23">
        <v>1</v>
      </c>
      <c r="H242" s="57">
        <f>I242/G242</f>
        <v>208.6</v>
      </c>
      <c r="I242" s="19">
        <f>208.95-K242</f>
        <v>208.6</v>
      </c>
      <c r="J242" s="19">
        <f>K242/G242</f>
        <v>0.35</v>
      </c>
      <c r="K242" s="19">
        <v>0.35</v>
      </c>
      <c r="BB242" s="14"/>
      <c r="BC242" s="15"/>
      <c r="BD242" s="21" t="s">
        <v>4886</v>
      </c>
      <c r="BE242" s="12"/>
      <c r="BF242" s="43"/>
      <c r="BG242" s="12"/>
    </row>
    <row r="243" spans="1:59" s="3" customFormat="1" ht="21.6" x14ac:dyDescent="0.3">
      <c r="A243" s="25"/>
      <c r="B243" s="26" t="s">
        <v>607</v>
      </c>
      <c r="C243" s="419" t="s">
        <v>608</v>
      </c>
      <c r="D243" s="419"/>
      <c r="E243" s="419"/>
      <c r="F243" s="27" t="s">
        <v>609</v>
      </c>
      <c r="G243" s="22" t="s">
        <v>3944</v>
      </c>
      <c r="H243" s="58"/>
      <c r="I243" s="28"/>
      <c r="J243" s="28"/>
      <c r="K243" s="29"/>
      <c r="BB243" s="14"/>
      <c r="BC243" s="15"/>
      <c r="BD243" s="21"/>
      <c r="BE243" s="12" t="s">
        <v>608</v>
      </c>
      <c r="BF243" s="43"/>
      <c r="BG243" s="12"/>
    </row>
    <row r="244" spans="1:59" s="3" customFormat="1" ht="20.399999999999999" x14ac:dyDescent="0.3">
      <c r="A244" s="16" t="s">
        <v>4925</v>
      </c>
      <c r="B244" s="17" t="s">
        <v>4926</v>
      </c>
      <c r="C244" s="405" t="s">
        <v>4927</v>
      </c>
      <c r="D244" s="405"/>
      <c r="E244" s="405"/>
      <c r="F244" s="16" t="s">
        <v>1460</v>
      </c>
      <c r="G244" s="23">
        <v>1</v>
      </c>
      <c r="H244" s="57"/>
      <c r="I244" s="19">
        <f>1891.86-K244</f>
        <v>0</v>
      </c>
      <c r="J244" s="19"/>
      <c r="K244" s="19">
        <v>1891.86</v>
      </c>
      <c r="BB244" s="14"/>
      <c r="BC244" s="15"/>
      <c r="BD244" s="21" t="s">
        <v>4927</v>
      </c>
      <c r="BE244" s="12"/>
      <c r="BF244" s="43"/>
      <c r="BG244" s="12"/>
    </row>
    <row r="245" spans="1:59" s="3" customFormat="1" ht="15" customHeight="1" x14ac:dyDescent="0.3">
      <c r="A245" s="454" t="s">
        <v>4928</v>
      </c>
      <c r="B245" s="455"/>
      <c r="C245" s="455"/>
      <c r="D245" s="455"/>
      <c r="E245" s="455"/>
      <c r="F245" s="455"/>
      <c r="G245" s="455"/>
      <c r="H245" s="296"/>
      <c r="I245" s="296"/>
      <c r="J245" s="296"/>
      <c r="K245" s="297"/>
      <c r="BB245" s="14"/>
      <c r="BC245" s="15" t="s">
        <v>4928</v>
      </c>
      <c r="BD245" s="21"/>
      <c r="BE245" s="12"/>
      <c r="BF245" s="43"/>
      <c r="BG245" s="12"/>
    </row>
    <row r="246" spans="1:59" s="3" customFormat="1" ht="21.6" x14ac:dyDescent="0.3">
      <c r="A246" s="16" t="s">
        <v>3080</v>
      </c>
      <c r="B246" s="17" t="s">
        <v>4929</v>
      </c>
      <c r="C246" s="405" t="s">
        <v>4930</v>
      </c>
      <c r="D246" s="405"/>
      <c r="E246" s="405"/>
      <c r="F246" s="16" t="s">
        <v>67</v>
      </c>
      <c r="G246" s="31">
        <v>0.01</v>
      </c>
      <c r="H246" s="57">
        <f>I246/G246</f>
        <v>11292.000000000002</v>
      </c>
      <c r="I246" s="19">
        <f>148.99-K246</f>
        <v>112.92000000000002</v>
      </c>
      <c r="J246" s="19">
        <f>K246/G246</f>
        <v>3607</v>
      </c>
      <c r="K246" s="19">
        <v>36.07</v>
      </c>
      <c r="BB246" s="14"/>
      <c r="BC246" s="15"/>
      <c r="BD246" s="21" t="s">
        <v>4930</v>
      </c>
      <c r="BE246" s="12"/>
      <c r="BF246" s="43"/>
      <c r="BG246" s="12"/>
    </row>
    <row r="247" spans="1:59" s="3" customFormat="1" ht="20.399999999999999" x14ac:dyDescent="0.3">
      <c r="A247" s="25"/>
      <c r="B247" s="26" t="s">
        <v>1693</v>
      </c>
      <c r="C247" s="419" t="s">
        <v>1694</v>
      </c>
      <c r="D247" s="419"/>
      <c r="E247" s="419"/>
      <c r="F247" s="27" t="s">
        <v>75</v>
      </c>
      <c r="G247" s="22" t="s">
        <v>4931</v>
      </c>
      <c r="H247" s="58"/>
      <c r="I247" s="28"/>
      <c r="J247" s="28"/>
      <c r="K247" s="29"/>
      <c r="BB247" s="14"/>
      <c r="BC247" s="15"/>
      <c r="BD247" s="21"/>
      <c r="BE247" s="12" t="s">
        <v>1694</v>
      </c>
      <c r="BF247" s="43"/>
      <c r="BG247" s="12"/>
    </row>
    <row r="248" spans="1:59" s="3" customFormat="1" ht="20.399999999999999" x14ac:dyDescent="0.3">
      <c r="A248" s="25"/>
      <c r="B248" s="26" t="s">
        <v>391</v>
      </c>
      <c r="C248" s="419" t="s">
        <v>392</v>
      </c>
      <c r="D248" s="419"/>
      <c r="E248" s="419"/>
      <c r="F248" s="27" t="s">
        <v>75</v>
      </c>
      <c r="G248" s="22" t="s">
        <v>4932</v>
      </c>
      <c r="H248" s="58"/>
      <c r="I248" s="28"/>
      <c r="J248" s="28"/>
      <c r="K248" s="29"/>
      <c r="BB248" s="14"/>
      <c r="BC248" s="15"/>
      <c r="BD248" s="21"/>
      <c r="BE248" s="12" t="s">
        <v>392</v>
      </c>
      <c r="BF248" s="43"/>
      <c r="BG248" s="12"/>
    </row>
    <row r="249" spans="1:59" s="3" customFormat="1" ht="20.399999999999999" x14ac:dyDescent="0.3">
      <c r="A249" s="25"/>
      <c r="B249" s="26" t="s">
        <v>1571</v>
      </c>
      <c r="C249" s="419" t="s">
        <v>1572</v>
      </c>
      <c r="D249" s="419"/>
      <c r="E249" s="419"/>
      <c r="F249" s="27" t="s">
        <v>142</v>
      </c>
      <c r="G249" s="22" t="s">
        <v>4933</v>
      </c>
      <c r="H249" s="58"/>
      <c r="I249" s="28"/>
      <c r="J249" s="28"/>
      <c r="K249" s="29"/>
      <c r="BB249" s="14"/>
      <c r="BC249" s="15"/>
      <c r="BD249" s="21"/>
      <c r="BE249" s="12" t="s">
        <v>1572</v>
      </c>
      <c r="BF249" s="43"/>
      <c r="BG249" s="12"/>
    </row>
    <row r="250" spans="1:59" s="3" customFormat="1" ht="20.399999999999999" x14ac:dyDescent="0.3">
      <c r="A250" s="25"/>
      <c r="B250" s="26" t="s">
        <v>4934</v>
      </c>
      <c r="C250" s="419" t="s">
        <v>4935</v>
      </c>
      <c r="D250" s="419"/>
      <c r="E250" s="419"/>
      <c r="F250" s="27" t="s">
        <v>38</v>
      </c>
      <c r="G250" s="22" t="s">
        <v>4936</v>
      </c>
      <c r="H250" s="58"/>
      <c r="I250" s="28"/>
      <c r="J250" s="28"/>
      <c r="K250" s="29"/>
      <c r="BB250" s="14"/>
      <c r="BC250" s="15"/>
      <c r="BD250" s="21"/>
      <c r="BE250" s="12" t="s">
        <v>4935</v>
      </c>
      <c r="BF250" s="43"/>
      <c r="BG250" s="12"/>
    </row>
    <row r="251" spans="1:59" s="3" customFormat="1" ht="20.399999999999999" x14ac:dyDescent="0.3">
      <c r="A251" s="25"/>
      <c r="B251" s="26" t="s">
        <v>4937</v>
      </c>
      <c r="C251" s="419" t="s">
        <v>4938</v>
      </c>
      <c r="D251" s="419"/>
      <c r="E251" s="419"/>
      <c r="F251" s="27" t="s">
        <v>38</v>
      </c>
      <c r="G251" s="22" t="s">
        <v>4939</v>
      </c>
      <c r="H251" s="58"/>
      <c r="I251" s="28"/>
      <c r="J251" s="28"/>
      <c r="K251" s="29"/>
      <c r="BB251" s="14"/>
      <c r="BC251" s="15"/>
      <c r="BD251" s="21"/>
      <c r="BE251" s="12" t="s">
        <v>4938</v>
      </c>
      <c r="BF251" s="43"/>
      <c r="BG251" s="12"/>
    </row>
    <row r="252" spans="1:59" s="3" customFormat="1" ht="21.6" x14ac:dyDescent="0.3">
      <c r="A252" s="25"/>
      <c r="B252" s="26" t="s">
        <v>607</v>
      </c>
      <c r="C252" s="419" t="s">
        <v>608</v>
      </c>
      <c r="D252" s="419"/>
      <c r="E252" s="419"/>
      <c r="F252" s="27" t="s">
        <v>609</v>
      </c>
      <c r="G252" s="22" t="s">
        <v>4940</v>
      </c>
      <c r="H252" s="58"/>
      <c r="I252" s="28"/>
      <c r="J252" s="28"/>
      <c r="K252" s="29"/>
      <c r="BB252" s="14"/>
      <c r="BC252" s="15"/>
      <c r="BD252" s="21"/>
      <c r="BE252" s="12" t="s">
        <v>608</v>
      </c>
      <c r="BF252" s="43"/>
      <c r="BG252" s="12"/>
    </row>
    <row r="253" spans="1:59" s="3" customFormat="1" ht="21.6" x14ac:dyDescent="0.3">
      <c r="A253" s="16" t="s">
        <v>3092</v>
      </c>
      <c r="B253" s="17" t="s">
        <v>4941</v>
      </c>
      <c r="C253" s="405" t="s">
        <v>4942</v>
      </c>
      <c r="D253" s="405"/>
      <c r="E253" s="405"/>
      <c r="F253" s="16" t="s">
        <v>1460</v>
      </c>
      <c r="G253" s="23">
        <v>1</v>
      </c>
      <c r="H253" s="57"/>
      <c r="I253" s="19">
        <f>507.02-K253</f>
        <v>0</v>
      </c>
      <c r="J253" s="19"/>
      <c r="K253" s="19">
        <v>507.02</v>
      </c>
      <c r="BB253" s="14"/>
      <c r="BC253" s="15"/>
      <c r="BD253" s="21" t="s">
        <v>4942</v>
      </c>
      <c r="BE253" s="12"/>
      <c r="BF253" s="43"/>
      <c r="BG253" s="12"/>
    </row>
    <row r="254" spans="1:59" s="3" customFormat="1" ht="15" customHeight="1" x14ac:dyDescent="0.3">
      <c r="A254" s="454" t="s">
        <v>4943</v>
      </c>
      <c r="B254" s="455"/>
      <c r="C254" s="455"/>
      <c r="D254" s="455"/>
      <c r="E254" s="455"/>
      <c r="F254" s="455"/>
      <c r="G254" s="455"/>
      <c r="H254" s="296"/>
      <c r="I254" s="296"/>
      <c r="J254" s="296"/>
      <c r="K254" s="297"/>
      <c r="BB254" s="14"/>
      <c r="BC254" s="15" t="s">
        <v>4943</v>
      </c>
      <c r="BD254" s="21"/>
      <c r="BE254" s="12"/>
      <c r="BF254" s="43"/>
      <c r="BG254" s="12"/>
    </row>
    <row r="255" spans="1:59" s="3" customFormat="1" ht="21.6" x14ac:dyDescent="0.3">
      <c r="A255" s="16" t="s">
        <v>3095</v>
      </c>
      <c r="B255" s="17" t="s">
        <v>4643</v>
      </c>
      <c r="C255" s="405" t="s">
        <v>4644</v>
      </c>
      <c r="D255" s="405"/>
      <c r="E255" s="405"/>
      <c r="F255" s="16" t="s">
        <v>142</v>
      </c>
      <c r="G255" s="31">
        <v>0.01</v>
      </c>
      <c r="H255" s="57">
        <f>I255/G255</f>
        <v>36409.999999999993</v>
      </c>
      <c r="I255" s="19">
        <f>373.52-K255</f>
        <v>364.09999999999997</v>
      </c>
      <c r="J255" s="19">
        <f>K255/G255</f>
        <v>942</v>
      </c>
      <c r="K255" s="19">
        <v>9.42</v>
      </c>
      <c r="BB255" s="14"/>
      <c r="BC255" s="15"/>
      <c r="BD255" s="21" t="s">
        <v>4644</v>
      </c>
      <c r="BE255" s="12"/>
      <c r="BF255" s="43"/>
      <c r="BG255" s="12"/>
    </row>
    <row r="256" spans="1:59" s="3" customFormat="1" ht="31.8" x14ac:dyDescent="0.3">
      <c r="A256" s="25"/>
      <c r="B256" s="26" t="s">
        <v>1703</v>
      </c>
      <c r="C256" s="419" t="s">
        <v>1704</v>
      </c>
      <c r="D256" s="419"/>
      <c r="E256" s="419"/>
      <c r="F256" s="27" t="s">
        <v>75</v>
      </c>
      <c r="G256" s="22" t="s">
        <v>4645</v>
      </c>
      <c r="H256" s="58"/>
      <c r="I256" s="28"/>
      <c r="J256" s="28"/>
      <c r="K256" s="29"/>
      <c r="BB256" s="14"/>
      <c r="BC256" s="15"/>
      <c r="BD256" s="21"/>
      <c r="BE256" s="12" t="s">
        <v>1704</v>
      </c>
      <c r="BF256" s="43"/>
      <c r="BG256" s="12"/>
    </row>
    <row r="257" spans="1:59" s="3" customFormat="1" ht="20.399999999999999" x14ac:dyDescent="0.3">
      <c r="A257" s="25"/>
      <c r="B257" s="26" t="s">
        <v>1571</v>
      </c>
      <c r="C257" s="419" t="s">
        <v>1572</v>
      </c>
      <c r="D257" s="419"/>
      <c r="E257" s="419"/>
      <c r="F257" s="27" t="s">
        <v>142</v>
      </c>
      <c r="G257" s="22" t="s">
        <v>3849</v>
      </c>
      <c r="H257" s="58"/>
      <c r="I257" s="28"/>
      <c r="J257" s="28"/>
      <c r="K257" s="29"/>
      <c r="BB257" s="14"/>
      <c r="BC257" s="15"/>
      <c r="BD257" s="21"/>
      <c r="BE257" s="12" t="s">
        <v>1572</v>
      </c>
      <c r="BF257" s="43"/>
      <c r="BG257" s="12"/>
    </row>
    <row r="258" spans="1:59" s="3" customFormat="1" ht="20.399999999999999" x14ac:dyDescent="0.3">
      <c r="A258" s="25"/>
      <c r="B258" s="26" t="s">
        <v>4134</v>
      </c>
      <c r="C258" s="419" t="s">
        <v>4135</v>
      </c>
      <c r="D258" s="419"/>
      <c r="E258" s="419"/>
      <c r="F258" s="27" t="s">
        <v>70</v>
      </c>
      <c r="G258" s="22" t="s">
        <v>4646</v>
      </c>
      <c r="H258" s="58"/>
      <c r="I258" s="28"/>
      <c r="J258" s="28"/>
      <c r="K258" s="29"/>
      <c r="BB258" s="14"/>
      <c r="BC258" s="15"/>
      <c r="BD258" s="21"/>
      <c r="BE258" s="12" t="s">
        <v>4135</v>
      </c>
      <c r="BF258" s="43"/>
      <c r="BG258" s="12"/>
    </row>
    <row r="259" spans="1:59" s="3" customFormat="1" ht="20.399999999999999" x14ac:dyDescent="0.3">
      <c r="A259" s="25"/>
      <c r="B259" s="26" t="s">
        <v>1964</v>
      </c>
      <c r="C259" s="419" t="s">
        <v>1965</v>
      </c>
      <c r="D259" s="419"/>
      <c r="E259" s="419"/>
      <c r="F259" s="27" t="s">
        <v>70</v>
      </c>
      <c r="G259" s="22" t="s">
        <v>4647</v>
      </c>
      <c r="H259" s="58"/>
      <c r="I259" s="28"/>
      <c r="J259" s="28"/>
      <c r="K259" s="29"/>
      <c r="BB259" s="14"/>
      <c r="BC259" s="15"/>
      <c r="BD259" s="21"/>
      <c r="BE259" s="12" t="s">
        <v>1965</v>
      </c>
      <c r="BF259" s="43"/>
      <c r="BG259" s="12"/>
    </row>
    <row r="260" spans="1:59" s="3" customFormat="1" ht="21.6" x14ac:dyDescent="0.3">
      <c r="A260" s="25"/>
      <c r="B260" s="26" t="s">
        <v>607</v>
      </c>
      <c r="C260" s="419" t="s">
        <v>608</v>
      </c>
      <c r="D260" s="419"/>
      <c r="E260" s="419"/>
      <c r="F260" s="27" t="s">
        <v>609</v>
      </c>
      <c r="G260" s="22" t="s">
        <v>4648</v>
      </c>
      <c r="H260" s="58"/>
      <c r="I260" s="28"/>
      <c r="J260" s="28"/>
      <c r="K260" s="29"/>
      <c r="BB260" s="14"/>
      <c r="BC260" s="15"/>
      <c r="BD260" s="21"/>
      <c r="BE260" s="12" t="s">
        <v>608</v>
      </c>
      <c r="BF260" s="43"/>
      <c r="BG260" s="12"/>
    </row>
    <row r="261" spans="1:59" s="3" customFormat="1" ht="21.6" x14ac:dyDescent="0.3">
      <c r="A261" s="16" t="s">
        <v>3110</v>
      </c>
      <c r="B261" s="17" t="s">
        <v>4944</v>
      </c>
      <c r="C261" s="405" t="s">
        <v>4943</v>
      </c>
      <c r="D261" s="405"/>
      <c r="E261" s="405"/>
      <c r="F261" s="16" t="s">
        <v>1460</v>
      </c>
      <c r="G261" s="23">
        <v>1</v>
      </c>
      <c r="H261" s="57"/>
      <c r="I261" s="19">
        <f>313.64-K261</f>
        <v>0</v>
      </c>
      <c r="J261" s="19"/>
      <c r="K261" s="19">
        <v>313.64</v>
      </c>
      <c r="BB261" s="14"/>
      <c r="BC261" s="15"/>
      <c r="BD261" s="21" t="s">
        <v>4943</v>
      </c>
      <c r="BE261" s="12"/>
      <c r="BF261" s="43"/>
      <c r="BG261" s="12"/>
    </row>
    <row r="262" spans="1:59" s="3" customFormat="1" ht="15" customHeight="1" x14ac:dyDescent="0.3">
      <c r="A262" s="454" t="s">
        <v>4945</v>
      </c>
      <c r="B262" s="455"/>
      <c r="C262" s="455"/>
      <c r="D262" s="455"/>
      <c r="E262" s="455"/>
      <c r="F262" s="455"/>
      <c r="G262" s="455"/>
      <c r="H262" s="296"/>
      <c r="I262" s="296"/>
      <c r="J262" s="296"/>
      <c r="K262" s="297"/>
      <c r="BB262" s="14"/>
      <c r="BC262" s="15" t="s">
        <v>4945</v>
      </c>
      <c r="BD262" s="21"/>
      <c r="BE262" s="12"/>
      <c r="BF262" s="43"/>
      <c r="BG262" s="12"/>
    </row>
    <row r="263" spans="1:59" s="3" customFormat="1" ht="14.4" x14ac:dyDescent="0.3">
      <c r="A263" s="16" t="s">
        <v>3124</v>
      </c>
      <c r="B263" s="17" t="s">
        <v>4946</v>
      </c>
      <c r="C263" s="405" t="s">
        <v>4947</v>
      </c>
      <c r="D263" s="405"/>
      <c r="E263" s="405"/>
      <c r="F263" s="16" t="s">
        <v>38</v>
      </c>
      <c r="G263" s="23">
        <v>3</v>
      </c>
      <c r="H263" s="57">
        <f>I263/G263</f>
        <v>6463.5066666666671</v>
      </c>
      <c r="I263" s="19">
        <f>19986.04-K263</f>
        <v>19390.52</v>
      </c>
      <c r="J263" s="19">
        <f>K263/G263</f>
        <v>198.50666666666666</v>
      </c>
      <c r="K263" s="19">
        <v>595.52</v>
      </c>
      <c r="BB263" s="14"/>
      <c r="BC263" s="15"/>
      <c r="BD263" s="21" t="s">
        <v>4947</v>
      </c>
      <c r="BE263" s="12"/>
      <c r="BF263" s="43"/>
      <c r="BG263" s="12"/>
    </row>
    <row r="264" spans="1:59" s="3" customFormat="1" ht="20.399999999999999" x14ac:dyDescent="0.3">
      <c r="A264" s="25"/>
      <c r="B264" s="26" t="s">
        <v>1964</v>
      </c>
      <c r="C264" s="419" t="s">
        <v>1965</v>
      </c>
      <c r="D264" s="419"/>
      <c r="E264" s="419"/>
      <c r="F264" s="27" t="s">
        <v>70</v>
      </c>
      <c r="G264" s="22" t="s">
        <v>4948</v>
      </c>
      <c r="H264" s="58"/>
      <c r="I264" s="28"/>
      <c r="J264" s="28"/>
      <c r="K264" s="29"/>
      <c r="BB264" s="14"/>
      <c r="BC264" s="15"/>
      <c r="BD264" s="21"/>
      <c r="BE264" s="12" t="s">
        <v>1965</v>
      </c>
      <c r="BF264" s="43"/>
      <c r="BG264" s="12"/>
    </row>
    <row r="265" spans="1:59" s="3" customFormat="1" ht="21.6" x14ac:dyDescent="0.3">
      <c r="A265" s="25"/>
      <c r="B265" s="26" t="s">
        <v>4509</v>
      </c>
      <c r="C265" s="419" t="s">
        <v>4510</v>
      </c>
      <c r="D265" s="419"/>
      <c r="E265" s="419"/>
      <c r="F265" s="27" t="s">
        <v>70</v>
      </c>
      <c r="G265" s="22" t="s">
        <v>4949</v>
      </c>
      <c r="H265" s="58"/>
      <c r="I265" s="28"/>
      <c r="J265" s="28"/>
      <c r="K265" s="29"/>
      <c r="BB265" s="14"/>
      <c r="BC265" s="15"/>
      <c r="BD265" s="21"/>
      <c r="BE265" s="12" t="s">
        <v>4510</v>
      </c>
      <c r="BF265" s="43"/>
      <c r="BG265" s="12"/>
    </row>
    <row r="266" spans="1:59" s="3" customFormat="1" ht="20.399999999999999" x14ac:dyDescent="0.3">
      <c r="A266" s="25"/>
      <c r="B266" s="26" t="s">
        <v>4950</v>
      </c>
      <c r="C266" s="419" t="s">
        <v>4951</v>
      </c>
      <c r="D266" s="419"/>
      <c r="E266" s="419"/>
      <c r="F266" s="27" t="s">
        <v>1049</v>
      </c>
      <c r="G266" s="22" t="s">
        <v>4952</v>
      </c>
      <c r="H266" s="58"/>
      <c r="I266" s="28"/>
      <c r="J266" s="28"/>
      <c r="K266" s="29"/>
      <c r="BB266" s="14"/>
      <c r="BC266" s="15"/>
      <c r="BD266" s="21"/>
      <c r="BE266" s="12" t="s">
        <v>4951</v>
      </c>
      <c r="BF266" s="43"/>
      <c r="BG266" s="12"/>
    </row>
    <row r="267" spans="1:59" s="3" customFormat="1" ht="21.6" x14ac:dyDescent="0.3">
      <c r="A267" s="25"/>
      <c r="B267" s="26" t="s">
        <v>607</v>
      </c>
      <c r="C267" s="419" t="s">
        <v>608</v>
      </c>
      <c r="D267" s="419"/>
      <c r="E267" s="419"/>
      <c r="F267" s="27" t="s">
        <v>609</v>
      </c>
      <c r="G267" s="22" t="s">
        <v>4953</v>
      </c>
      <c r="H267" s="58"/>
      <c r="I267" s="28"/>
      <c r="J267" s="28"/>
      <c r="K267" s="29"/>
      <c r="BB267" s="14"/>
      <c r="BC267" s="15"/>
      <c r="BD267" s="21"/>
      <c r="BE267" s="12" t="s">
        <v>608</v>
      </c>
      <c r="BF267" s="43"/>
      <c r="BG267" s="12"/>
    </row>
    <row r="268" spans="1:59" s="3" customFormat="1" ht="133.80000000000001" x14ac:dyDescent="0.3">
      <c r="A268" s="16" t="s">
        <v>4954</v>
      </c>
      <c r="B268" s="17" t="s">
        <v>4955</v>
      </c>
      <c r="C268" s="405" t="s">
        <v>4956</v>
      </c>
      <c r="D268" s="405"/>
      <c r="E268" s="405"/>
      <c r="F268" s="16" t="s">
        <v>1460</v>
      </c>
      <c r="G268" s="23">
        <v>3</v>
      </c>
      <c r="H268" s="57"/>
      <c r="I268" s="19">
        <f>468921.26-K268</f>
        <v>0</v>
      </c>
      <c r="J268" s="19"/>
      <c r="K268" s="19">
        <v>468921.26</v>
      </c>
      <c r="BB268" s="14"/>
      <c r="BC268" s="15"/>
      <c r="BD268" s="21" t="s">
        <v>4956</v>
      </c>
      <c r="BE268" s="12"/>
      <c r="BF268" s="43"/>
      <c r="BG268" s="12"/>
    </row>
    <row r="269" spans="1:59" s="3" customFormat="1" ht="15" customHeight="1" x14ac:dyDescent="0.3">
      <c r="A269" s="454" t="s">
        <v>4957</v>
      </c>
      <c r="B269" s="455"/>
      <c r="C269" s="455"/>
      <c r="D269" s="455"/>
      <c r="E269" s="455"/>
      <c r="F269" s="455"/>
      <c r="G269" s="455"/>
      <c r="H269" s="296"/>
      <c r="I269" s="296"/>
      <c r="J269" s="296"/>
      <c r="K269" s="297"/>
      <c r="BB269" s="14"/>
      <c r="BC269" s="15" t="s">
        <v>4957</v>
      </c>
      <c r="BD269" s="21"/>
      <c r="BE269" s="12"/>
      <c r="BF269" s="43"/>
      <c r="BG269" s="12"/>
    </row>
    <row r="270" spans="1:59" s="3" customFormat="1" ht="21.6" x14ac:dyDescent="0.3">
      <c r="A270" s="16" t="s">
        <v>3132</v>
      </c>
      <c r="B270" s="17" t="s">
        <v>4605</v>
      </c>
      <c r="C270" s="405" t="s">
        <v>4606</v>
      </c>
      <c r="D270" s="405"/>
      <c r="E270" s="405"/>
      <c r="F270" s="16" t="s">
        <v>38</v>
      </c>
      <c r="G270" s="23">
        <v>1</v>
      </c>
      <c r="H270" s="57">
        <f>I270/G270</f>
        <v>11118.480000000001</v>
      </c>
      <c r="I270" s="19">
        <f>11544.7-K270</f>
        <v>11118.480000000001</v>
      </c>
      <c r="J270" s="19">
        <f>K270/G270</f>
        <v>426.22</v>
      </c>
      <c r="K270" s="19">
        <v>426.22</v>
      </c>
      <c r="BB270" s="14"/>
      <c r="BC270" s="15"/>
      <c r="BD270" s="21" t="s">
        <v>4606</v>
      </c>
      <c r="BE270" s="12"/>
      <c r="BF270" s="43"/>
      <c r="BG270" s="12"/>
    </row>
    <row r="271" spans="1:59" s="3" customFormat="1" ht="20.399999999999999" x14ac:dyDescent="0.3">
      <c r="A271" s="25"/>
      <c r="B271" s="26" t="s">
        <v>3770</v>
      </c>
      <c r="C271" s="419" t="s">
        <v>3771</v>
      </c>
      <c r="D271" s="419"/>
      <c r="E271" s="419"/>
      <c r="F271" s="27" t="s">
        <v>75</v>
      </c>
      <c r="G271" s="22" t="s">
        <v>1473</v>
      </c>
      <c r="H271" s="58"/>
      <c r="I271" s="28"/>
      <c r="J271" s="28"/>
      <c r="K271" s="29"/>
      <c r="BB271" s="14"/>
      <c r="BC271" s="15"/>
      <c r="BD271" s="21"/>
      <c r="BE271" s="12" t="s">
        <v>3771</v>
      </c>
      <c r="BF271" s="43"/>
      <c r="BG271" s="12"/>
    </row>
    <row r="272" spans="1:59" s="3" customFormat="1" ht="31.8" x14ac:dyDescent="0.3">
      <c r="A272" s="25"/>
      <c r="B272" s="26" t="s">
        <v>4454</v>
      </c>
      <c r="C272" s="419" t="s">
        <v>4455</v>
      </c>
      <c r="D272" s="419"/>
      <c r="E272" s="419"/>
      <c r="F272" s="27" t="s">
        <v>75</v>
      </c>
      <c r="G272" s="22" t="s">
        <v>1173</v>
      </c>
      <c r="H272" s="58"/>
      <c r="I272" s="28"/>
      <c r="J272" s="28"/>
      <c r="K272" s="29"/>
      <c r="BB272" s="14"/>
      <c r="BC272" s="15"/>
      <c r="BD272" s="21"/>
      <c r="BE272" s="12" t="s">
        <v>4455</v>
      </c>
      <c r="BF272" s="43"/>
      <c r="BG272" s="12"/>
    </row>
    <row r="273" spans="1:59" s="3" customFormat="1" ht="20.399999999999999" x14ac:dyDescent="0.3">
      <c r="A273" s="25"/>
      <c r="B273" s="26" t="s">
        <v>391</v>
      </c>
      <c r="C273" s="419" t="s">
        <v>392</v>
      </c>
      <c r="D273" s="419"/>
      <c r="E273" s="419"/>
      <c r="F273" s="27" t="s">
        <v>75</v>
      </c>
      <c r="G273" s="22" t="s">
        <v>3930</v>
      </c>
      <c r="H273" s="58"/>
      <c r="I273" s="28"/>
      <c r="J273" s="28"/>
      <c r="K273" s="29"/>
      <c r="BB273" s="14"/>
      <c r="BC273" s="15"/>
      <c r="BD273" s="21"/>
      <c r="BE273" s="12" t="s">
        <v>392</v>
      </c>
      <c r="BF273" s="43"/>
      <c r="BG273" s="12"/>
    </row>
    <row r="274" spans="1:59" s="3" customFormat="1" ht="21.6" x14ac:dyDescent="0.3">
      <c r="A274" s="25"/>
      <c r="B274" s="26" t="s">
        <v>4505</v>
      </c>
      <c r="C274" s="419" t="s">
        <v>4506</v>
      </c>
      <c r="D274" s="419"/>
      <c r="E274" s="419"/>
      <c r="F274" s="27" t="s">
        <v>142</v>
      </c>
      <c r="G274" s="22" t="s">
        <v>1910</v>
      </c>
      <c r="H274" s="58"/>
      <c r="I274" s="28"/>
      <c r="J274" s="28"/>
      <c r="K274" s="29"/>
      <c r="BB274" s="14"/>
      <c r="BC274" s="15"/>
      <c r="BD274" s="21"/>
      <c r="BE274" s="12" t="s">
        <v>4506</v>
      </c>
      <c r="BF274" s="43"/>
      <c r="BG274" s="12"/>
    </row>
    <row r="275" spans="1:59" s="3" customFormat="1" ht="20.399999999999999" x14ac:dyDescent="0.3">
      <c r="A275" s="25"/>
      <c r="B275" s="26" t="s">
        <v>1916</v>
      </c>
      <c r="C275" s="419" t="s">
        <v>1917</v>
      </c>
      <c r="D275" s="419"/>
      <c r="E275" s="419"/>
      <c r="F275" s="27" t="s">
        <v>70</v>
      </c>
      <c r="G275" s="22" t="s">
        <v>4958</v>
      </c>
      <c r="H275" s="58"/>
      <c r="I275" s="28"/>
      <c r="J275" s="28"/>
      <c r="K275" s="29"/>
      <c r="BB275" s="14"/>
      <c r="BC275" s="15"/>
      <c r="BD275" s="21"/>
      <c r="BE275" s="12" t="s">
        <v>1917</v>
      </c>
      <c r="BF275" s="43"/>
      <c r="BG275" s="12"/>
    </row>
    <row r="276" spans="1:59" s="3" customFormat="1" ht="21.6" x14ac:dyDescent="0.3">
      <c r="A276" s="25"/>
      <c r="B276" s="26" t="s">
        <v>4611</v>
      </c>
      <c r="C276" s="419" t="s">
        <v>4612</v>
      </c>
      <c r="D276" s="419"/>
      <c r="E276" s="419"/>
      <c r="F276" s="27" t="s">
        <v>70</v>
      </c>
      <c r="G276" s="22" t="s">
        <v>4959</v>
      </c>
      <c r="H276" s="58"/>
      <c r="I276" s="28"/>
      <c r="J276" s="28"/>
      <c r="K276" s="29"/>
      <c r="BB276" s="14"/>
      <c r="BC276" s="15"/>
      <c r="BD276" s="21"/>
      <c r="BE276" s="12" t="s">
        <v>4612</v>
      </c>
      <c r="BF276" s="43"/>
      <c r="BG276" s="12"/>
    </row>
    <row r="277" spans="1:59" s="3" customFormat="1" ht="21.6" x14ac:dyDescent="0.3">
      <c r="A277" s="25"/>
      <c r="B277" s="26" t="s">
        <v>4509</v>
      </c>
      <c r="C277" s="419" t="s">
        <v>4510</v>
      </c>
      <c r="D277" s="419"/>
      <c r="E277" s="419"/>
      <c r="F277" s="27" t="s">
        <v>70</v>
      </c>
      <c r="G277" s="22" t="s">
        <v>4960</v>
      </c>
      <c r="H277" s="58"/>
      <c r="I277" s="28"/>
      <c r="J277" s="28"/>
      <c r="K277" s="29"/>
      <c r="BB277" s="14"/>
      <c r="BC277" s="15"/>
      <c r="BD277" s="21"/>
      <c r="BE277" s="12" t="s">
        <v>4510</v>
      </c>
      <c r="BF277" s="43"/>
      <c r="BG277" s="12"/>
    </row>
    <row r="278" spans="1:59" s="3" customFormat="1" ht="21.6" x14ac:dyDescent="0.3">
      <c r="A278" s="25"/>
      <c r="B278" s="26" t="s">
        <v>4615</v>
      </c>
      <c r="C278" s="419" t="s">
        <v>4616</v>
      </c>
      <c r="D278" s="419"/>
      <c r="E278" s="419"/>
      <c r="F278" s="27" t="s">
        <v>70</v>
      </c>
      <c r="G278" s="22" t="s">
        <v>1472</v>
      </c>
      <c r="H278" s="58"/>
      <c r="I278" s="28"/>
      <c r="J278" s="28"/>
      <c r="K278" s="29"/>
      <c r="BB278" s="14"/>
      <c r="BC278" s="15"/>
      <c r="BD278" s="21"/>
      <c r="BE278" s="12" t="s">
        <v>4616</v>
      </c>
      <c r="BF278" s="43"/>
      <c r="BG278" s="12"/>
    </row>
    <row r="279" spans="1:59" s="3" customFormat="1" ht="20.399999999999999" x14ac:dyDescent="0.3">
      <c r="A279" s="25"/>
      <c r="B279" s="26" t="s">
        <v>1934</v>
      </c>
      <c r="C279" s="419" t="s">
        <v>1935</v>
      </c>
      <c r="D279" s="419"/>
      <c r="E279" s="419"/>
      <c r="F279" s="27" t="s">
        <v>75</v>
      </c>
      <c r="G279" s="22" t="s">
        <v>1159</v>
      </c>
      <c r="H279" s="58"/>
      <c r="I279" s="28"/>
      <c r="J279" s="28"/>
      <c r="K279" s="29"/>
      <c r="BB279" s="14"/>
      <c r="BC279" s="15"/>
      <c r="BD279" s="21"/>
      <c r="BE279" s="12" t="s">
        <v>1935</v>
      </c>
      <c r="BF279" s="43"/>
      <c r="BG279" s="12"/>
    </row>
    <row r="280" spans="1:59" s="3" customFormat="1" ht="20.399999999999999" x14ac:dyDescent="0.3">
      <c r="A280" s="25"/>
      <c r="B280" s="26" t="s">
        <v>4618</v>
      </c>
      <c r="C280" s="419" t="s">
        <v>4619</v>
      </c>
      <c r="D280" s="419"/>
      <c r="E280" s="419"/>
      <c r="F280" s="27" t="s">
        <v>142</v>
      </c>
      <c r="G280" s="22" t="s">
        <v>1910</v>
      </c>
      <c r="H280" s="58"/>
      <c r="I280" s="28"/>
      <c r="J280" s="28"/>
      <c r="K280" s="29"/>
      <c r="BB280" s="14"/>
      <c r="BC280" s="15"/>
      <c r="BD280" s="21"/>
      <c r="BE280" s="12" t="s">
        <v>4619</v>
      </c>
      <c r="BF280" s="43"/>
      <c r="BG280" s="12"/>
    </row>
    <row r="281" spans="1:59" s="3" customFormat="1" ht="20.399999999999999" x14ac:dyDescent="0.3">
      <c r="A281" s="25"/>
      <c r="B281" s="26" t="s">
        <v>4620</v>
      </c>
      <c r="C281" s="419" t="s">
        <v>4621</v>
      </c>
      <c r="D281" s="419"/>
      <c r="E281" s="419"/>
      <c r="F281" s="27" t="s">
        <v>75</v>
      </c>
      <c r="G281" s="22" t="s">
        <v>1173</v>
      </c>
      <c r="H281" s="58"/>
      <c r="I281" s="28"/>
      <c r="J281" s="28"/>
      <c r="K281" s="29"/>
      <c r="BB281" s="14"/>
      <c r="BC281" s="15"/>
      <c r="BD281" s="21"/>
      <c r="BE281" s="12" t="s">
        <v>4621</v>
      </c>
      <c r="BF281" s="43"/>
      <c r="BG281" s="12"/>
    </row>
    <row r="282" spans="1:59" s="3" customFormat="1" ht="21.6" x14ac:dyDescent="0.3">
      <c r="A282" s="25"/>
      <c r="B282" s="26" t="s">
        <v>4622</v>
      </c>
      <c r="C282" s="419" t="s">
        <v>4623</v>
      </c>
      <c r="D282" s="419"/>
      <c r="E282" s="419"/>
      <c r="F282" s="27" t="s">
        <v>75</v>
      </c>
      <c r="G282" s="22" t="s">
        <v>1496</v>
      </c>
      <c r="H282" s="58"/>
      <c r="I282" s="28"/>
      <c r="J282" s="28"/>
      <c r="K282" s="29"/>
      <c r="BB282" s="14"/>
      <c r="BC282" s="15"/>
      <c r="BD282" s="21"/>
      <c r="BE282" s="12" t="s">
        <v>4623</v>
      </c>
      <c r="BF282" s="43"/>
      <c r="BG282" s="12"/>
    </row>
    <row r="283" spans="1:59" s="3" customFormat="1" ht="21.6" x14ac:dyDescent="0.3">
      <c r="A283" s="25"/>
      <c r="B283" s="26" t="s">
        <v>607</v>
      </c>
      <c r="C283" s="419" t="s">
        <v>608</v>
      </c>
      <c r="D283" s="419"/>
      <c r="E283" s="419"/>
      <c r="F283" s="27" t="s">
        <v>609</v>
      </c>
      <c r="G283" s="22" t="s">
        <v>4961</v>
      </c>
      <c r="H283" s="58"/>
      <c r="I283" s="28"/>
      <c r="J283" s="28"/>
      <c r="K283" s="29"/>
      <c r="BB283" s="14"/>
      <c r="BC283" s="15"/>
      <c r="BD283" s="21"/>
      <c r="BE283" s="12" t="s">
        <v>608</v>
      </c>
      <c r="BF283" s="43"/>
      <c r="BG283" s="12"/>
    </row>
    <row r="284" spans="1:59" s="3" customFormat="1" ht="21.6" x14ac:dyDescent="0.3">
      <c r="A284" s="16" t="s">
        <v>4962</v>
      </c>
      <c r="B284" s="17" t="s">
        <v>4963</v>
      </c>
      <c r="C284" s="405" t="s">
        <v>4957</v>
      </c>
      <c r="D284" s="405"/>
      <c r="E284" s="405"/>
      <c r="F284" s="16" t="s">
        <v>1460</v>
      </c>
      <c r="G284" s="23">
        <v>1</v>
      </c>
      <c r="H284" s="57"/>
      <c r="I284" s="19">
        <f>64399.45-K284</f>
        <v>0</v>
      </c>
      <c r="J284" s="19"/>
      <c r="K284" s="19">
        <v>64399.45</v>
      </c>
      <c r="BB284" s="14"/>
      <c r="BC284" s="15"/>
      <c r="BD284" s="21" t="s">
        <v>4957</v>
      </c>
      <c r="BE284" s="12"/>
      <c r="BF284" s="43"/>
      <c r="BG284" s="12"/>
    </row>
    <row r="285" spans="1:59" s="3" customFormat="1" ht="15" customHeight="1" x14ac:dyDescent="0.3">
      <c r="A285" s="454" t="s">
        <v>4964</v>
      </c>
      <c r="B285" s="455"/>
      <c r="C285" s="455"/>
      <c r="D285" s="455"/>
      <c r="E285" s="455"/>
      <c r="F285" s="455"/>
      <c r="G285" s="455"/>
      <c r="H285" s="296"/>
      <c r="I285" s="296"/>
      <c r="J285" s="296"/>
      <c r="K285" s="297"/>
      <c r="BB285" s="14"/>
      <c r="BC285" s="15" t="s">
        <v>4964</v>
      </c>
      <c r="BD285" s="21"/>
      <c r="BE285" s="12"/>
      <c r="BF285" s="43"/>
      <c r="BG285" s="12"/>
    </row>
    <row r="286" spans="1:59" s="3" customFormat="1" ht="21.6" x14ac:dyDescent="0.3">
      <c r="A286" s="16" t="s">
        <v>3148</v>
      </c>
      <c r="B286" s="17" t="s">
        <v>4605</v>
      </c>
      <c r="C286" s="405" t="s">
        <v>4606</v>
      </c>
      <c r="D286" s="405"/>
      <c r="E286" s="405"/>
      <c r="F286" s="16" t="s">
        <v>38</v>
      </c>
      <c r="G286" s="23">
        <v>1</v>
      </c>
      <c r="H286" s="57">
        <f>I286/G286</f>
        <v>11118.480000000001</v>
      </c>
      <c r="I286" s="19">
        <f>11544.7-K286</f>
        <v>11118.480000000001</v>
      </c>
      <c r="J286" s="19">
        <f>K286/G286</f>
        <v>426.22</v>
      </c>
      <c r="K286" s="19">
        <v>426.22</v>
      </c>
      <c r="BB286" s="14"/>
      <c r="BC286" s="15"/>
      <c r="BD286" s="21" t="s">
        <v>4606</v>
      </c>
      <c r="BE286" s="12"/>
      <c r="BF286" s="43"/>
      <c r="BG286" s="12"/>
    </row>
    <row r="287" spans="1:59" s="3" customFormat="1" ht="20.399999999999999" x14ac:dyDescent="0.3">
      <c r="A287" s="25"/>
      <c r="B287" s="26" t="s">
        <v>3770</v>
      </c>
      <c r="C287" s="419" t="s">
        <v>3771</v>
      </c>
      <c r="D287" s="419"/>
      <c r="E287" s="419"/>
      <c r="F287" s="27" t="s">
        <v>75</v>
      </c>
      <c r="G287" s="22" t="s">
        <v>1473</v>
      </c>
      <c r="H287" s="58"/>
      <c r="I287" s="28"/>
      <c r="J287" s="28"/>
      <c r="K287" s="29"/>
      <c r="BB287" s="14"/>
      <c r="BC287" s="15"/>
      <c r="BD287" s="21"/>
      <c r="BE287" s="12" t="s">
        <v>3771</v>
      </c>
      <c r="BF287" s="43"/>
      <c r="BG287" s="12"/>
    </row>
    <row r="288" spans="1:59" s="3" customFormat="1" ht="31.8" x14ac:dyDescent="0.3">
      <c r="A288" s="25"/>
      <c r="B288" s="26" t="s">
        <v>4454</v>
      </c>
      <c r="C288" s="419" t="s">
        <v>4455</v>
      </c>
      <c r="D288" s="419"/>
      <c r="E288" s="419"/>
      <c r="F288" s="27" t="s">
        <v>75</v>
      </c>
      <c r="G288" s="22" t="s">
        <v>1173</v>
      </c>
      <c r="H288" s="58"/>
      <c r="I288" s="28"/>
      <c r="J288" s="28"/>
      <c r="K288" s="29"/>
      <c r="BB288" s="14"/>
      <c r="BC288" s="15"/>
      <c r="BD288" s="21"/>
      <c r="BE288" s="12" t="s">
        <v>4455</v>
      </c>
      <c r="BF288" s="43"/>
      <c r="BG288" s="12"/>
    </row>
    <row r="289" spans="1:59" s="3" customFormat="1" ht="20.399999999999999" x14ac:dyDescent="0.3">
      <c r="A289" s="25"/>
      <c r="B289" s="26" t="s">
        <v>391</v>
      </c>
      <c r="C289" s="419" t="s">
        <v>392</v>
      </c>
      <c r="D289" s="419"/>
      <c r="E289" s="419"/>
      <c r="F289" s="27" t="s">
        <v>75</v>
      </c>
      <c r="G289" s="22" t="s">
        <v>3930</v>
      </c>
      <c r="H289" s="58"/>
      <c r="I289" s="28"/>
      <c r="J289" s="28"/>
      <c r="K289" s="29"/>
      <c r="BB289" s="14"/>
      <c r="BC289" s="15"/>
      <c r="BD289" s="21"/>
      <c r="BE289" s="12" t="s">
        <v>392</v>
      </c>
      <c r="BF289" s="43"/>
      <c r="BG289" s="12"/>
    </row>
    <row r="290" spans="1:59" s="3" customFormat="1" ht="21.6" x14ac:dyDescent="0.3">
      <c r="A290" s="25"/>
      <c r="B290" s="26" t="s">
        <v>4505</v>
      </c>
      <c r="C290" s="419" t="s">
        <v>4506</v>
      </c>
      <c r="D290" s="419"/>
      <c r="E290" s="419"/>
      <c r="F290" s="27" t="s">
        <v>142</v>
      </c>
      <c r="G290" s="22" t="s">
        <v>1910</v>
      </c>
      <c r="H290" s="58"/>
      <c r="I290" s="28"/>
      <c r="J290" s="28"/>
      <c r="K290" s="29"/>
      <c r="BB290" s="14"/>
      <c r="BC290" s="15"/>
      <c r="BD290" s="21"/>
      <c r="BE290" s="12" t="s">
        <v>4506</v>
      </c>
      <c r="BF290" s="43"/>
      <c r="BG290" s="12"/>
    </row>
    <row r="291" spans="1:59" s="3" customFormat="1" ht="20.399999999999999" x14ac:dyDescent="0.3">
      <c r="A291" s="25"/>
      <c r="B291" s="26" t="s">
        <v>1916</v>
      </c>
      <c r="C291" s="419" t="s">
        <v>1917</v>
      </c>
      <c r="D291" s="419"/>
      <c r="E291" s="419"/>
      <c r="F291" s="27" t="s">
        <v>70</v>
      </c>
      <c r="G291" s="22" t="s">
        <v>4958</v>
      </c>
      <c r="H291" s="58"/>
      <c r="I291" s="28"/>
      <c r="J291" s="28"/>
      <c r="K291" s="29"/>
      <c r="BB291" s="14"/>
      <c r="BC291" s="15"/>
      <c r="BD291" s="21"/>
      <c r="BE291" s="12" t="s">
        <v>1917</v>
      </c>
      <c r="BF291" s="43"/>
      <c r="BG291" s="12"/>
    </row>
    <row r="292" spans="1:59" s="3" customFormat="1" ht="21.6" x14ac:dyDescent="0.3">
      <c r="A292" s="25"/>
      <c r="B292" s="26" t="s">
        <v>4611</v>
      </c>
      <c r="C292" s="419" t="s">
        <v>4612</v>
      </c>
      <c r="D292" s="419"/>
      <c r="E292" s="419"/>
      <c r="F292" s="27" t="s">
        <v>70</v>
      </c>
      <c r="G292" s="22" t="s">
        <v>4959</v>
      </c>
      <c r="H292" s="58"/>
      <c r="I292" s="28"/>
      <c r="J292" s="28"/>
      <c r="K292" s="29"/>
      <c r="BB292" s="14"/>
      <c r="BC292" s="15"/>
      <c r="BD292" s="21"/>
      <c r="BE292" s="12" t="s">
        <v>4612</v>
      </c>
      <c r="BF292" s="43"/>
      <c r="BG292" s="12"/>
    </row>
    <row r="293" spans="1:59" s="3" customFormat="1" ht="21.6" x14ac:dyDescent="0.3">
      <c r="A293" s="25"/>
      <c r="B293" s="26" t="s">
        <v>4509</v>
      </c>
      <c r="C293" s="419" t="s">
        <v>4510</v>
      </c>
      <c r="D293" s="419"/>
      <c r="E293" s="419"/>
      <c r="F293" s="27" t="s">
        <v>70</v>
      </c>
      <c r="G293" s="22" t="s">
        <v>4960</v>
      </c>
      <c r="H293" s="58"/>
      <c r="I293" s="28"/>
      <c r="J293" s="28"/>
      <c r="K293" s="29"/>
      <c r="BB293" s="14"/>
      <c r="BC293" s="15"/>
      <c r="BD293" s="21"/>
      <c r="BE293" s="12" t="s">
        <v>4510</v>
      </c>
      <c r="BF293" s="43"/>
      <c r="BG293" s="12"/>
    </row>
    <row r="294" spans="1:59" s="3" customFormat="1" ht="21.6" x14ac:dyDescent="0.3">
      <c r="A294" s="25"/>
      <c r="B294" s="26" t="s">
        <v>4615</v>
      </c>
      <c r="C294" s="419" t="s">
        <v>4616</v>
      </c>
      <c r="D294" s="419"/>
      <c r="E294" s="419"/>
      <c r="F294" s="27" t="s">
        <v>70</v>
      </c>
      <c r="G294" s="22" t="s">
        <v>1472</v>
      </c>
      <c r="H294" s="58"/>
      <c r="I294" s="28"/>
      <c r="J294" s="28"/>
      <c r="K294" s="29"/>
      <c r="BB294" s="14"/>
      <c r="BC294" s="15"/>
      <c r="BD294" s="21"/>
      <c r="BE294" s="12" t="s">
        <v>4616</v>
      </c>
      <c r="BF294" s="43"/>
      <c r="BG294" s="12"/>
    </row>
    <row r="295" spans="1:59" s="3" customFormat="1" ht="20.399999999999999" x14ac:dyDescent="0.3">
      <c r="A295" s="25"/>
      <c r="B295" s="26" t="s">
        <v>1934</v>
      </c>
      <c r="C295" s="419" t="s">
        <v>1935</v>
      </c>
      <c r="D295" s="419"/>
      <c r="E295" s="419"/>
      <c r="F295" s="27" t="s">
        <v>75</v>
      </c>
      <c r="G295" s="22" t="s">
        <v>1159</v>
      </c>
      <c r="H295" s="58"/>
      <c r="I295" s="28"/>
      <c r="J295" s="28"/>
      <c r="K295" s="29"/>
      <c r="BB295" s="14"/>
      <c r="BC295" s="15"/>
      <c r="BD295" s="21"/>
      <c r="BE295" s="12" t="s">
        <v>1935</v>
      </c>
      <c r="BF295" s="43"/>
      <c r="BG295" s="12"/>
    </row>
    <row r="296" spans="1:59" s="3" customFormat="1" ht="20.399999999999999" x14ac:dyDescent="0.3">
      <c r="A296" s="25"/>
      <c r="B296" s="26" t="s">
        <v>4618</v>
      </c>
      <c r="C296" s="419" t="s">
        <v>4619</v>
      </c>
      <c r="D296" s="419"/>
      <c r="E296" s="419"/>
      <c r="F296" s="27" t="s">
        <v>142</v>
      </c>
      <c r="G296" s="22" t="s">
        <v>1910</v>
      </c>
      <c r="H296" s="58"/>
      <c r="I296" s="28"/>
      <c r="J296" s="28"/>
      <c r="K296" s="29"/>
      <c r="BB296" s="14"/>
      <c r="BC296" s="15"/>
      <c r="BD296" s="21"/>
      <c r="BE296" s="12" t="s">
        <v>4619</v>
      </c>
      <c r="BF296" s="43"/>
      <c r="BG296" s="12"/>
    </row>
    <row r="297" spans="1:59" s="3" customFormat="1" ht="20.399999999999999" x14ac:dyDescent="0.3">
      <c r="A297" s="25"/>
      <c r="B297" s="26" t="s">
        <v>4620</v>
      </c>
      <c r="C297" s="419" t="s">
        <v>4621</v>
      </c>
      <c r="D297" s="419"/>
      <c r="E297" s="419"/>
      <c r="F297" s="27" t="s">
        <v>75</v>
      </c>
      <c r="G297" s="22" t="s">
        <v>1173</v>
      </c>
      <c r="H297" s="58"/>
      <c r="I297" s="28"/>
      <c r="J297" s="28"/>
      <c r="K297" s="29"/>
      <c r="BB297" s="14"/>
      <c r="BC297" s="15"/>
      <c r="BD297" s="21"/>
      <c r="BE297" s="12" t="s">
        <v>4621</v>
      </c>
      <c r="BF297" s="43"/>
      <c r="BG297" s="12"/>
    </row>
    <row r="298" spans="1:59" s="3" customFormat="1" ht="21.6" x14ac:dyDescent="0.3">
      <c r="A298" s="25"/>
      <c r="B298" s="26" t="s">
        <v>4622</v>
      </c>
      <c r="C298" s="419" t="s">
        <v>4623</v>
      </c>
      <c r="D298" s="419"/>
      <c r="E298" s="419"/>
      <c r="F298" s="27" t="s">
        <v>75</v>
      </c>
      <c r="G298" s="22" t="s">
        <v>1496</v>
      </c>
      <c r="H298" s="58"/>
      <c r="I298" s="28"/>
      <c r="J298" s="28"/>
      <c r="K298" s="29"/>
      <c r="BB298" s="14"/>
      <c r="BC298" s="15"/>
      <c r="BD298" s="21"/>
      <c r="BE298" s="12" t="s">
        <v>4623</v>
      </c>
      <c r="BF298" s="43"/>
      <c r="BG298" s="12"/>
    </row>
    <row r="299" spans="1:59" s="3" customFormat="1" ht="21.6" x14ac:dyDescent="0.3">
      <c r="A299" s="25"/>
      <c r="B299" s="26" t="s">
        <v>607</v>
      </c>
      <c r="C299" s="419" t="s">
        <v>608</v>
      </c>
      <c r="D299" s="419"/>
      <c r="E299" s="419"/>
      <c r="F299" s="27" t="s">
        <v>609</v>
      </c>
      <c r="G299" s="22" t="s">
        <v>4961</v>
      </c>
      <c r="H299" s="58"/>
      <c r="I299" s="28"/>
      <c r="J299" s="28"/>
      <c r="K299" s="29"/>
      <c r="BB299" s="14"/>
      <c r="BC299" s="15"/>
      <c r="BD299" s="21"/>
      <c r="BE299" s="12" t="s">
        <v>608</v>
      </c>
      <c r="BF299" s="43"/>
      <c r="BG299" s="12"/>
    </row>
    <row r="300" spans="1:59" s="3" customFormat="1" ht="62.4" x14ac:dyDescent="0.3">
      <c r="A300" s="16" t="s">
        <v>4965</v>
      </c>
      <c r="B300" s="17" t="s">
        <v>4966</v>
      </c>
      <c r="C300" s="405" t="s">
        <v>4967</v>
      </c>
      <c r="D300" s="405"/>
      <c r="E300" s="405"/>
      <c r="F300" s="16" t="s">
        <v>1460</v>
      </c>
      <c r="G300" s="23">
        <v>1</v>
      </c>
      <c r="H300" s="57"/>
      <c r="I300" s="19">
        <f>47279.72-K300</f>
        <v>0</v>
      </c>
      <c r="J300" s="19"/>
      <c r="K300" s="19">
        <v>47279.72</v>
      </c>
      <c r="BB300" s="14"/>
      <c r="BC300" s="15"/>
      <c r="BD300" s="21" t="s">
        <v>4967</v>
      </c>
      <c r="BE300" s="12"/>
      <c r="BF300" s="43"/>
      <c r="BG300" s="12"/>
    </row>
    <row r="301" spans="1:59" s="3" customFormat="1" ht="15" customHeight="1" x14ac:dyDescent="0.3">
      <c r="A301" s="454" t="s">
        <v>4968</v>
      </c>
      <c r="B301" s="455"/>
      <c r="C301" s="455"/>
      <c r="D301" s="455"/>
      <c r="E301" s="455"/>
      <c r="F301" s="455"/>
      <c r="G301" s="455"/>
      <c r="H301" s="296"/>
      <c r="I301" s="296"/>
      <c r="J301" s="296"/>
      <c r="K301" s="297"/>
      <c r="BB301" s="14"/>
      <c r="BC301" s="15" t="s">
        <v>4968</v>
      </c>
      <c r="BD301" s="21"/>
      <c r="BE301" s="12"/>
      <c r="BF301" s="43"/>
      <c r="BG301" s="12"/>
    </row>
    <row r="302" spans="1:59" s="3" customFormat="1" ht="21.6" x14ac:dyDescent="0.3">
      <c r="A302" s="16" t="s">
        <v>3154</v>
      </c>
      <c r="B302" s="17" t="s">
        <v>4547</v>
      </c>
      <c r="C302" s="405" t="s">
        <v>4548</v>
      </c>
      <c r="D302" s="405"/>
      <c r="E302" s="405"/>
      <c r="F302" s="16" t="s">
        <v>38</v>
      </c>
      <c r="G302" s="23">
        <v>1</v>
      </c>
      <c r="H302" s="57">
        <f>I302/G302</f>
        <v>912.85</v>
      </c>
      <c r="I302" s="19">
        <f>914.44-K302</f>
        <v>912.85</v>
      </c>
      <c r="J302" s="19">
        <f>K302/G302</f>
        <v>1.59</v>
      </c>
      <c r="K302" s="19">
        <v>1.59</v>
      </c>
      <c r="BB302" s="14"/>
      <c r="BC302" s="15"/>
      <c r="BD302" s="21" t="s">
        <v>4548</v>
      </c>
      <c r="BE302" s="12"/>
      <c r="BF302" s="43"/>
      <c r="BG302" s="12"/>
    </row>
    <row r="303" spans="1:59" s="3" customFormat="1" ht="21.6" x14ac:dyDescent="0.3">
      <c r="A303" s="25"/>
      <c r="B303" s="26" t="s">
        <v>607</v>
      </c>
      <c r="C303" s="419" t="s">
        <v>608</v>
      </c>
      <c r="D303" s="419"/>
      <c r="E303" s="419"/>
      <c r="F303" s="27" t="s">
        <v>609</v>
      </c>
      <c r="G303" s="22" t="s">
        <v>1549</v>
      </c>
      <c r="H303" s="58"/>
      <c r="I303" s="28"/>
      <c r="J303" s="28"/>
      <c r="K303" s="29"/>
      <c r="BB303" s="14"/>
      <c r="BC303" s="15"/>
      <c r="BD303" s="21"/>
      <c r="BE303" s="12" t="s">
        <v>608</v>
      </c>
      <c r="BF303" s="43"/>
      <c r="BG303" s="12"/>
    </row>
    <row r="304" spans="1:59" s="3" customFormat="1" ht="31.8" x14ac:dyDescent="0.3">
      <c r="A304" s="16" t="s">
        <v>4969</v>
      </c>
      <c r="B304" s="17" t="s">
        <v>4970</v>
      </c>
      <c r="C304" s="405" t="s">
        <v>4971</v>
      </c>
      <c r="D304" s="405"/>
      <c r="E304" s="405"/>
      <c r="F304" s="16" t="s">
        <v>1460</v>
      </c>
      <c r="G304" s="23">
        <v>1</v>
      </c>
      <c r="H304" s="57"/>
      <c r="I304" s="19">
        <f>5694.66-K304</f>
        <v>0</v>
      </c>
      <c r="J304" s="19"/>
      <c r="K304" s="19">
        <v>5694.66</v>
      </c>
      <c r="BB304" s="14"/>
      <c r="BC304" s="15"/>
      <c r="BD304" s="21" t="s">
        <v>4971</v>
      </c>
      <c r="BE304" s="12"/>
      <c r="BF304" s="43"/>
      <c r="BG304" s="12"/>
    </row>
    <row r="305" spans="1:59" s="3" customFormat="1" ht="15" customHeight="1" x14ac:dyDescent="0.3">
      <c r="A305" s="454" t="s">
        <v>4972</v>
      </c>
      <c r="B305" s="455"/>
      <c r="C305" s="455"/>
      <c r="D305" s="455"/>
      <c r="E305" s="455"/>
      <c r="F305" s="455"/>
      <c r="G305" s="455"/>
      <c r="H305" s="296"/>
      <c r="I305" s="296"/>
      <c r="J305" s="296"/>
      <c r="K305" s="297"/>
      <c r="BB305" s="14"/>
      <c r="BC305" s="15" t="s">
        <v>4972</v>
      </c>
      <c r="BD305" s="21"/>
      <c r="BE305" s="12"/>
      <c r="BF305" s="43"/>
      <c r="BG305" s="12"/>
    </row>
    <row r="306" spans="1:59" s="3" customFormat="1" ht="31.8" x14ac:dyDescent="0.3">
      <c r="A306" s="16" t="s">
        <v>3161</v>
      </c>
      <c r="B306" s="17" t="s">
        <v>4890</v>
      </c>
      <c r="C306" s="405" t="s">
        <v>4891</v>
      </c>
      <c r="D306" s="405"/>
      <c r="E306" s="405"/>
      <c r="F306" s="16" t="s">
        <v>38</v>
      </c>
      <c r="G306" s="23">
        <v>1</v>
      </c>
      <c r="H306" s="57">
        <f>I306/G306</f>
        <v>5023.79</v>
      </c>
      <c r="I306" s="19">
        <f>5069.9-K306</f>
        <v>5023.79</v>
      </c>
      <c r="J306" s="19">
        <f>K306/G306</f>
        <v>46.11</v>
      </c>
      <c r="K306" s="19">
        <v>46.11</v>
      </c>
      <c r="BB306" s="14"/>
      <c r="BC306" s="15"/>
      <c r="BD306" s="21" t="s">
        <v>4891</v>
      </c>
      <c r="BE306" s="12"/>
      <c r="BF306" s="43"/>
      <c r="BG306" s="12"/>
    </row>
    <row r="307" spans="1:59" s="3" customFormat="1" ht="21.6" x14ac:dyDescent="0.3">
      <c r="A307" s="25"/>
      <c r="B307" s="26" t="s">
        <v>4537</v>
      </c>
      <c r="C307" s="419" t="s">
        <v>4538</v>
      </c>
      <c r="D307" s="419"/>
      <c r="E307" s="419"/>
      <c r="F307" s="27" t="s">
        <v>75</v>
      </c>
      <c r="G307" s="22" t="s">
        <v>4973</v>
      </c>
      <c r="H307" s="58"/>
      <c r="I307" s="28"/>
      <c r="J307" s="28"/>
      <c r="K307" s="29"/>
      <c r="BB307" s="14"/>
      <c r="BC307" s="15"/>
      <c r="BD307" s="21"/>
      <c r="BE307" s="12" t="s">
        <v>4538</v>
      </c>
      <c r="BF307" s="43"/>
      <c r="BG307" s="12"/>
    </row>
    <row r="308" spans="1:59" s="3" customFormat="1" ht="21.6" x14ac:dyDescent="0.3">
      <c r="A308" s="25"/>
      <c r="B308" s="26" t="s">
        <v>607</v>
      </c>
      <c r="C308" s="419" t="s">
        <v>608</v>
      </c>
      <c r="D308" s="419"/>
      <c r="E308" s="419"/>
      <c r="F308" s="27" t="s">
        <v>609</v>
      </c>
      <c r="G308" s="22" t="s">
        <v>4974</v>
      </c>
      <c r="H308" s="58"/>
      <c r="I308" s="28"/>
      <c r="J308" s="28"/>
      <c r="K308" s="29"/>
      <c r="BB308" s="14"/>
      <c r="BC308" s="15"/>
      <c r="BD308" s="21"/>
      <c r="BE308" s="12" t="s">
        <v>608</v>
      </c>
      <c r="BF308" s="43"/>
      <c r="BG308" s="12"/>
    </row>
    <row r="309" spans="1:59" s="3" customFormat="1" ht="52.2" x14ac:dyDescent="0.3">
      <c r="A309" s="16" t="s">
        <v>4975</v>
      </c>
      <c r="B309" s="17" t="s">
        <v>4976</v>
      </c>
      <c r="C309" s="405" t="s">
        <v>4977</v>
      </c>
      <c r="D309" s="405"/>
      <c r="E309" s="405"/>
      <c r="F309" s="16" t="s">
        <v>1460</v>
      </c>
      <c r="G309" s="23">
        <v>1</v>
      </c>
      <c r="H309" s="57"/>
      <c r="I309" s="19">
        <f>5368.14-K309</f>
        <v>0</v>
      </c>
      <c r="J309" s="19"/>
      <c r="K309" s="19">
        <f>5368.14-M309</f>
        <v>5368.14</v>
      </c>
      <c r="BB309" s="14"/>
      <c r="BC309" s="15"/>
      <c r="BD309" s="21" t="s">
        <v>4977</v>
      </c>
      <c r="BE309" s="12"/>
      <c r="BF309" s="43"/>
      <c r="BG309" s="12"/>
    </row>
    <row r="310" spans="1:59" s="3" customFormat="1" ht="15" customHeight="1" x14ac:dyDescent="0.3">
      <c r="A310" s="454" t="s">
        <v>4978</v>
      </c>
      <c r="B310" s="455"/>
      <c r="C310" s="455"/>
      <c r="D310" s="455"/>
      <c r="E310" s="455"/>
      <c r="F310" s="455"/>
      <c r="G310" s="455"/>
      <c r="H310" s="296"/>
      <c r="I310" s="296"/>
      <c r="J310" s="296"/>
      <c r="K310" s="297"/>
      <c r="BB310" s="14"/>
      <c r="BC310" s="15" t="s">
        <v>4978</v>
      </c>
      <c r="BD310" s="21"/>
      <c r="BE310" s="12"/>
      <c r="BF310" s="43"/>
      <c r="BG310" s="12"/>
    </row>
    <row r="311" spans="1:59" s="3" customFormat="1" ht="20.399999999999999" x14ac:dyDescent="0.3">
      <c r="A311" s="16" t="s">
        <v>3179</v>
      </c>
      <c r="B311" s="17" t="s">
        <v>4979</v>
      </c>
      <c r="C311" s="405" t="s">
        <v>4980</v>
      </c>
      <c r="D311" s="405"/>
      <c r="E311" s="405"/>
      <c r="F311" s="16" t="s">
        <v>4981</v>
      </c>
      <c r="G311" s="31">
        <v>0.16</v>
      </c>
      <c r="H311" s="57">
        <f>I311/G311</f>
        <v>23266.1875</v>
      </c>
      <c r="I311" s="19">
        <f>3729.13-K311</f>
        <v>3722.59</v>
      </c>
      <c r="J311" s="19">
        <f>K311/G311</f>
        <v>40.875</v>
      </c>
      <c r="K311" s="19">
        <v>6.54</v>
      </c>
      <c r="BB311" s="14"/>
      <c r="BC311" s="15"/>
      <c r="BD311" s="21" t="s">
        <v>4980</v>
      </c>
      <c r="BE311" s="12"/>
      <c r="BF311" s="43"/>
      <c r="BG311" s="12"/>
    </row>
    <row r="312" spans="1:59" s="3" customFormat="1" ht="21.6" x14ac:dyDescent="0.3">
      <c r="A312" s="25"/>
      <c r="B312" s="26" t="s">
        <v>607</v>
      </c>
      <c r="C312" s="419" t="s">
        <v>608</v>
      </c>
      <c r="D312" s="419"/>
      <c r="E312" s="419"/>
      <c r="F312" s="27" t="s">
        <v>609</v>
      </c>
      <c r="G312" s="22" t="s">
        <v>4982</v>
      </c>
      <c r="H312" s="58"/>
      <c r="I312" s="28"/>
      <c r="J312" s="28"/>
      <c r="K312" s="29"/>
      <c r="BB312" s="14"/>
      <c r="BC312" s="15"/>
      <c r="BD312" s="21"/>
      <c r="BE312" s="12" t="s">
        <v>608</v>
      </c>
      <c r="BF312" s="43"/>
      <c r="BG312" s="12"/>
    </row>
    <row r="313" spans="1:59" s="3" customFormat="1" ht="42" x14ac:dyDescent="0.3">
      <c r="A313" s="16" t="s">
        <v>3186</v>
      </c>
      <c r="B313" s="17" t="s">
        <v>4983</v>
      </c>
      <c r="C313" s="405" t="s">
        <v>4978</v>
      </c>
      <c r="D313" s="405"/>
      <c r="E313" s="405"/>
      <c r="F313" s="16" t="s">
        <v>1460</v>
      </c>
      <c r="G313" s="23">
        <v>16</v>
      </c>
      <c r="H313" s="57"/>
      <c r="I313" s="19">
        <f>2598.36-K313</f>
        <v>0</v>
      </c>
      <c r="J313" s="19"/>
      <c r="K313" s="19">
        <v>2598.36</v>
      </c>
      <c r="BB313" s="14"/>
      <c r="BC313" s="15"/>
      <c r="BD313" s="21" t="s">
        <v>4978</v>
      </c>
      <c r="BE313" s="12"/>
      <c r="BF313" s="43"/>
      <c r="BG313" s="12"/>
    </row>
    <row r="314" spans="1:59" s="3" customFormat="1" ht="15" customHeight="1" x14ac:dyDescent="0.3">
      <c r="A314" s="454" t="s">
        <v>4984</v>
      </c>
      <c r="B314" s="455"/>
      <c r="C314" s="455"/>
      <c r="D314" s="455"/>
      <c r="E314" s="455"/>
      <c r="F314" s="455"/>
      <c r="G314" s="455"/>
      <c r="H314" s="296"/>
      <c r="I314" s="296"/>
      <c r="J314" s="296"/>
      <c r="K314" s="297"/>
      <c r="BB314" s="14"/>
      <c r="BC314" s="15" t="s">
        <v>4984</v>
      </c>
      <c r="BD314" s="21"/>
      <c r="BE314" s="12"/>
      <c r="BF314" s="43"/>
      <c r="BG314" s="12"/>
    </row>
    <row r="315" spans="1:59" s="3" customFormat="1" ht="21.6" x14ac:dyDescent="0.3">
      <c r="A315" s="16" t="s">
        <v>3190</v>
      </c>
      <c r="B315" s="17" t="s">
        <v>4985</v>
      </c>
      <c r="C315" s="405" t="s">
        <v>4986</v>
      </c>
      <c r="D315" s="405"/>
      <c r="E315" s="405"/>
      <c r="F315" s="16" t="s">
        <v>67</v>
      </c>
      <c r="G315" s="31">
        <v>0.02</v>
      </c>
      <c r="H315" s="57">
        <f>I315/G315</f>
        <v>10359</v>
      </c>
      <c r="I315" s="19">
        <f>209.72-K315</f>
        <v>207.18</v>
      </c>
      <c r="J315" s="19">
        <f>K315/G315</f>
        <v>127</v>
      </c>
      <c r="K315" s="19">
        <v>2.54</v>
      </c>
      <c r="BB315" s="14"/>
      <c r="BC315" s="15"/>
      <c r="BD315" s="21" t="s">
        <v>4986</v>
      </c>
      <c r="BE315" s="12"/>
      <c r="BF315" s="43"/>
      <c r="BG315" s="12"/>
    </row>
    <row r="316" spans="1:59" s="3" customFormat="1" ht="21.6" x14ac:dyDescent="0.3">
      <c r="A316" s="25"/>
      <c r="B316" s="26" t="s">
        <v>1484</v>
      </c>
      <c r="C316" s="419" t="s">
        <v>1485</v>
      </c>
      <c r="D316" s="419"/>
      <c r="E316" s="419"/>
      <c r="F316" s="27" t="s">
        <v>75</v>
      </c>
      <c r="G316" s="22" t="s">
        <v>4987</v>
      </c>
      <c r="H316" s="58"/>
      <c r="I316" s="28"/>
      <c r="J316" s="28"/>
      <c r="K316" s="29"/>
      <c r="BB316" s="14"/>
      <c r="BC316" s="15"/>
      <c r="BD316" s="21"/>
      <c r="BE316" s="12" t="s">
        <v>1485</v>
      </c>
      <c r="BF316" s="43"/>
      <c r="BG316" s="12"/>
    </row>
    <row r="317" spans="1:59" s="3" customFormat="1" ht="20.399999999999999" x14ac:dyDescent="0.3">
      <c r="A317" s="25"/>
      <c r="B317" s="26" t="s">
        <v>4988</v>
      </c>
      <c r="C317" s="419" t="s">
        <v>4989</v>
      </c>
      <c r="D317" s="419"/>
      <c r="E317" s="419"/>
      <c r="F317" s="27" t="s">
        <v>142</v>
      </c>
      <c r="G317" s="22" t="s">
        <v>4990</v>
      </c>
      <c r="H317" s="58"/>
      <c r="I317" s="28"/>
      <c r="J317" s="28"/>
      <c r="K317" s="29"/>
      <c r="BB317" s="14"/>
      <c r="BC317" s="15"/>
      <c r="BD317" s="21"/>
      <c r="BE317" s="12" t="s">
        <v>4989</v>
      </c>
      <c r="BF317" s="43"/>
      <c r="BG317" s="12"/>
    </row>
    <row r="318" spans="1:59" s="3" customFormat="1" ht="21.6" x14ac:dyDescent="0.3">
      <c r="A318" s="25"/>
      <c r="B318" s="26" t="s">
        <v>607</v>
      </c>
      <c r="C318" s="419" t="s">
        <v>608</v>
      </c>
      <c r="D318" s="419"/>
      <c r="E318" s="419"/>
      <c r="F318" s="27" t="s">
        <v>609</v>
      </c>
      <c r="G318" s="22" t="s">
        <v>4991</v>
      </c>
      <c r="H318" s="58"/>
      <c r="I318" s="28"/>
      <c r="J318" s="28"/>
      <c r="K318" s="29"/>
      <c r="BB318" s="14"/>
      <c r="BC318" s="15"/>
      <c r="BD318" s="21"/>
      <c r="BE318" s="12" t="s">
        <v>608</v>
      </c>
      <c r="BF318" s="43"/>
      <c r="BG318" s="12"/>
    </row>
    <row r="319" spans="1:59" s="3" customFormat="1" ht="21.6" x14ac:dyDescent="0.3">
      <c r="A319" s="16" t="s">
        <v>3197</v>
      </c>
      <c r="B319" s="17" t="s">
        <v>4992</v>
      </c>
      <c r="C319" s="405" t="s">
        <v>4993</v>
      </c>
      <c r="D319" s="405"/>
      <c r="E319" s="405"/>
      <c r="F319" s="16" t="s">
        <v>1049</v>
      </c>
      <c r="G319" s="44">
        <v>2.0600000000000002E-3</v>
      </c>
      <c r="H319" s="57">
        <f>I319/G319</f>
        <v>0</v>
      </c>
      <c r="I319" s="19">
        <f>145.69-K319</f>
        <v>0</v>
      </c>
      <c r="J319" s="19">
        <f>K319/G319</f>
        <v>70723.300970873781</v>
      </c>
      <c r="K319" s="19">
        <v>145.69</v>
      </c>
      <c r="BB319" s="14"/>
      <c r="BC319" s="15"/>
      <c r="BD319" s="21" t="s">
        <v>4993</v>
      </c>
      <c r="BE319" s="12"/>
      <c r="BF319" s="43"/>
      <c r="BG319" s="12"/>
    </row>
    <row r="320" spans="1:59" s="3" customFormat="1" ht="15" customHeight="1" x14ac:dyDescent="0.3">
      <c r="A320" s="454" t="s">
        <v>4994</v>
      </c>
      <c r="B320" s="455"/>
      <c r="C320" s="455"/>
      <c r="D320" s="455"/>
      <c r="E320" s="455"/>
      <c r="F320" s="455"/>
      <c r="G320" s="455"/>
      <c r="H320" s="296"/>
      <c r="I320" s="296"/>
      <c r="J320" s="296"/>
      <c r="K320" s="297"/>
      <c r="BB320" s="14"/>
      <c r="BC320" s="15" t="s">
        <v>4994</v>
      </c>
      <c r="BD320" s="21"/>
      <c r="BE320" s="12"/>
      <c r="BF320" s="43"/>
      <c r="BG320" s="12"/>
    </row>
    <row r="321" spans="1:59" s="3" customFormat="1" ht="31.8" x14ac:dyDescent="0.3">
      <c r="A321" s="16" t="s">
        <v>3206</v>
      </c>
      <c r="B321" s="17" t="s">
        <v>4995</v>
      </c>
      <c r="C321" s="405" t="s">
        <v>4996</v>
      </c>
      <c r="D321" s="405"/>
      <c r="E321" s="405"/>
      <c r="F321" s="16" t="s">
        <v>70</v>
      </c>
      <c r="G321" s="44">
        <v>5.0360000000000002E-2</v>
      </c>
      <c r="H321" s="57">
        <f>I321/G321</f>
        <v>59985.107227958695</v>
      </c>
      <c r="I321" s="19">
        <f>3051.44-K321</f>
        <v>3020.85</v>
      </c>
      <c r="J321" s="19">
        <f>K321/G321</f>
        <v>607.4265289912629</v>
      </c>
      <c r="K321" s="19">
        <v>30.59</v>
      </c>
      <c r="BB321" s="14"/>
      <c r="BC321" s="15"/>
      <c r="BD321" s="21" t="s">
        <v>4996</v>
      </c>
      <c r="BE321" s="12"/>
      <c r="BF321" s="43"/>
      <c r="BG321" s="12"/>
    </row>
    <row r="322" spans="1:59" s="3" customFormat="1" ht="20.399999999999999" x14ac:dyDescent="0.3">
      <c r="A322" s="25"/>
      <c r="B322" s="26" t="s">
        <v>1693</v>
      </c>
      <c r="C322" s="419" t="s">
        <v>1694</v>
      </c>
      <c r="D322" s="419"/>
      <c r="E322" s="419"/>
      <c r="F322" s="27" t="s">
        <v>75</v>
      </c>
      <c r="G322" s="22" t="s">
        <v>4997</v>
      </c>
      <c r="H322" s="58"/>
      <c r="I322" s="28"/>
      <c r="J322" s="28"/>
      <c r="K322" s="29"/>
      <c r="BB322" s="14"/>
      <c r="BC322" s="15"/>
      <c r="BD322" s="21"/>
      <c r="BE322" s="12" t="s">
        <v>1694</v>
      </c>
      <c r="BF322" s="43"/>
      <c r="BG322" s="12"/>
    </row>
    <row r="323" spans="1:59" s="3" customFormat="1" ht="20.399999999999999" x14ac:dyDescent="0.3">
      <c r="A323" s="25"/>
      <c r="B323" s="26" t="s">
        <v>391</v>
      </c>
      <c r="C323" s="419" t="s">
        <v>392</v>
      </c>
      <c r="D323" s="419"/>
      <c r="E323" s="419"/>
      <c r="F323" s="27" t="s">
        <v>75</v>
      </c>
      <c r="G323" s="22" t="s">
        <v>4998</v>
      </c>
      <c r="H323" s="58"/>
      <c r="I323" s="28"/>
      <c r="J323" s="28"/>
      <c r="K323" s="29"/>
      <c r="BB323" s="14"/>
      <c r="BC323" s="15"/>
      <c r="BD323" s="21"/>
      <c r="BE323" s="12" t="s">
        <v>392</v>
      </c>
      <c r="BF323" s="43"/>
      <c r="BG323" s="12"/>
    </row>
    <row r="324" spans="1:59" s="3" customFormat="1" ht="21.6" x14ac:dyDescent="0.3">
      <c r="A324" s="25"/>
      <c r="B324" s="26" t="s">
        <v>607</v>
      </c>
      <c r="C324" s="419" t="s">
        <v>608</v>
      </c>
      <c r="D324" s="419"/>
      <c r="E324" s="419"/>
      <c r="F324" s="27" t="s">
        <v>609</v>
      </c>
      <c r="G324" s="22" t="s">
        <v>4999</v>
      </c>
      <c r="H324" s="58"/>
      <c r="I324" s="28"/>
      <c r="J324" s="28"/>
      <c r="K324" s="29"/>
      <c r="BB324" s="14"/>
      <c r="BC324" s="15"/>
      <c r="BD324" s="21"/>
      <c r="BE324" s="12" t="s">
        <v>608</v>
      </c>
      <c r="BF324" s="43"/>
      <c r="BG324" s="12"/>
    </row>
    <row r="325" spans="1:59" s="3" customFormat="1" ht="20.399999999999999" x14ac:dyDescent="0.3">
      <c r="A325" s="16" t="s">
        <v>3213</v>
      </c>
      <c r="B325" s="17" t="s">
        <v>5000</v>
      </c>
      <c r="C325" s="405" t="s">
        <v>5001</v>
      </c>
      <c r="D325" s="405"/>
      <c r="E325" s="405"/>
      <c r="F325" s="16" t="s">
        <v>1460</v>
      </c>
      <c r="G325" s="23">
        <v>12</v>
      </c>
      <c r="H325" s="57"/>
      <c r="I325" s="19">
        <f>64969.97-K325</f>
        <v>0</v>
      </c>
      <c r="J325" s="19"/>
      <c r="K325" s="19">
        <v>64969.97</v>
      </c>
      <c r="BB325" s="14"/>
      <c r="BC325" s="15"/>
      <c r="BD325" s="21" t="s">
        <v>5001</v>
      </c>
      <c r="BE325" s="12"/>
      <c r="BF325" s="43"/>
      <c r="BG325" s="12"/>
    </row>
    <row r="326" spans="1:59" s="3" customFormat="1" ht="42" x14ac:dyDescent="0.3">
      <c r="A326" s="16" t="s">
        <v>3221</v>
      </c>
      <c r="B326" s="17" t="s">
        <v>5002</v>
      </c>
      <c r="C326" s="405" t="s">
        <v>5003</v>
      </c>
      <c r="D326" s="405"/>
      <c r="E326" s="405"/>
      <c r="F326" s="16" t="s">
        <v>1460</v>
      </c>
      <c r="G326" s="23">
        <v>2</v>
      </c>
      <c r="H326" s="57"/>
      <c r="I326" s="19">
        <f>6004.19-K326</f>
        <v>0</v>
      </c>
      <c r="J326" s="19"/>
      <c r="K326" s="19">
        <v>6004.19</v>
      </c>
      <c r="BB326" s="14"/>
      <c r="BC326" s="15"/>
      <c r="BD326" s="21" t="s">
        <v>5003</v>
      </c>
      <c r="BE326" s="12"/>
      <c r="BF326" s="43"/>
      <c r="BG326" s="12"/>
    </row>
    <row r="327" spans="1:59" s="3" customFormat="1" ht="21.6" x14ac:dyDescent="0.3">
      <c r="A327" s="16" t="s">
        <v>3242</v>
      </c>
      <c r="B327" s="17" t="s">
        <v>5004</v>
      </c>
      <c r="C327" s="405" t="s">
        <v>5005</v>
      </c>
      <c r="D327" s="405"/>
      <c r="E327" s="405"/>
      <c r="F327" s="16" t="s">
        <v>115</v>
      </c>
      <c r="G327" s="23">
        <v>4</v>
      </c>
      <c r="H327" s="57"/>
      <c r="I327" s="19">
        <f>2057.45-K327</f>
        <v>0</v>
      </c>
      <c r="J327" s="19"/>
      <c r="K327" s="19">
        <v>2057.4499999999998</v>
      </c>
      <c r="BB327" s="14"/>
      <c r="BC327" s="15"/>
      <c r="BD327" s="21" t="s">
        <v>5005</v>
      </c>
      <c r="BE327" s="12"/>
      <c r="BF327" s="43"/>
      <c r="BG327" s="12"/>
    </row>
    <row r="328" spans="1:59" s="3" customFormat="1" ht="52.2" x14ac:dyDescent="0.3">
      <c r="A328" s="16" t="s">
        <v>3250</v>
      </c>
      <c r="B328" s="17" t="s">
        <v>5006</v>
      </c>
      <c r="C328" s="405" t="s">
        <v>5007</v>
      </c>
      <c r="D328" s="405"/>
      <c r="E328" s="405"/>
      <c r="F328" s="16" t="s">
        <v>1460</v>
      </c>
      <c r="G328" s="23">
        <v>2</v>
      </c>
      <c r="H328" s="57"/>
      <c r="I328" s="19">
        <f>8087.66-K328</f>
        <v>0</v>
      </c>
      <c r="J328" s="19"/>
      <c r="K328" s="19">
        <v>8087.66</v>
      </c>
      <c r="BB328" s="14"/>
      <c r="BC328" s="15"/>
      <c r="BD328" s="21" t="s">
        <v>5007</v>
      </c>
      <c r="BE328" s="12"/>
      <c r="BF328" s="43"/>
      <c r="BG328" s="12"/>
    </row>
    <row r="329" spans="1:59" s="3" customFormat="1" ht="42" x14ac:dyDescent="0.3">
      <c r="A329" s="16" t="s">
        <v>3258</v>
      </c>
      <c r="B329" s="17" t="s">
        <v>5008</v>
      </c>
      <c r="C329" s="405" t="s">
        <v>5009</v>
      </c>
      <c r="D329" s="405"/>
      <c r="E329" s="405"/>
      <c r="F329" s="16" t="s">
        <v>1460</v>
      </c>
      <c r="G329" s="23">
        <v>1</v>
      </c>
      <c r="H329" s="57"/>
      <c r="I329" s="19">
        <f>5013.35-K329</f>
        <v>0</v>
      </c>
      <c r="J329" s="19"/>
      <c r="K329" s="19">
        <v>5013.3500000000004</v>
      </c>
      <c r="BB329" s="14"/>
      <c r="BC329" s="15"/>
      <c r="BD329" s="21" t="s">
        <v>5009</v>
      </c>
      <c r="BE329" s="12"/>
      <c r="BF329" s="43"/>
      <c r="BG329" s="12"/>
    </row>
    <row r="330" spans="1:59" s="3" customFormat="1" ht="20.25" customHeight="1" x14ac:dyDescent="0.3">
      <c r="A330" s="406" t="s">
        <v>57</v>
      </c>
      <c r="B330" s="407"/>
      <c r="C330" s="407"/>
      <c r="D330" s="407"/>
      <c r="E330" s="407"/>
      <c r="F330" s="407"/>
      <c r="G330" s="407"/>
      <c r="H330" s="66"/>
      <c r="I330" s="67">
        <f>SUM(I13:I329)</f>
        <v>906924.66999999993</v>
      </c>
      <c r="J330" s="72"/>
      <c r="K330" s="87">
        <f>SUM(K13:K329)</f>
        <v>1993901.9099999997</v>
      </c>
      <c r="M330" s="56"/>
    </row>
    <row r="331" spans="1:59" s="53" customFormat="1" ht="20.25" customHeight="1" thickBot="1" x14ac:dyDescent="0.35">
      <c r="A331" s="408" t="s">
        <v>5461</v>
      </c>
      <c r="B331" s="409"/>
      <c r="C331" s="409"/>
      <c r="D331" s="409"/>
      <c r="E331" s="409"/>
      <c r="F331" s="409"/>
      <c r="G331" s="409"/>
      <c r="H331" s="88"/>
      <c r="I331" s="410">
        <f>I330+K330</f>
        <v>2900826.5799999996</v>
      </c>
      <c r="J331" s="411"/>
      <c r="K331" s="412"/>
      <c r="M331" s="153"/>
    </row>
  </sheetData>
  <autoFilter ref="A10:BJ331" xr:uid="{00000000-0001-0000-2200-000000000000}">
    <filterColumn colId="2" showButton="0"/>
    <filterColumn colId="3" showButton="0"/>
  </autoFilter>
  <mergeCells count="329">
    <mergeCell ref="A330:G330"/>
    <mergeCell ref="A331:G331"/>
    <mergeCell ref="I331:K331"/>
    <mergeCell ref="A65:G65"/>
    <mergeCell ref="A61:G61"/>
    <mergeCell ref="A58:G58"/>
    <mergeCell ref="A54:G54"/>
    <mergeCell ref="A47:G47"/>
    <mergeCell ref="A38:G38"/>
    <mergeCell ref="A201:G201"/>
    <mergeCell ref="A198:G198"/>
    <mergeCell ref="A193:G193"/>
    <mergeCell ref="A188:G188"/>
    <mergeCell ref="A185:G185"/>
    <mergeCell ref="A182:G182"/>
    <mergeCell ref="A179:G179"/>
    <mergeCell ref="A176:G176"/>
    <mergeCell ref="A168:G168"/>
    <mergeCell ref="A160:G160"/>
    <mergeCell ref="A152:G152"/>
    <mergeCell ref="A144:G144"/>
    <mergeCell ref="A136:G136"/>
    <mergeCell ref="A128:G128"/>
    <mergeCell ref="A124:G124"/>
    <mergeCell ref="C325:E325"/>
    <mergeCell ref="C326:E326"/>
    <mergeCell ref="C327:E327"/>
    <mergeCell ref="C328:E328"/>
    <mergeCell ref="C329:E329"/>
    <mergeCell ref="C321:E321"/>
    <mergeCell ref="C322:E322"/>
    <mergeCell ref="C323:E323"/>
    <mergeCell ref="C324:E324"/>
    <mergeCell ref="A320:G320"/>
    <mergeCell ref="C315:E315"/>
    <mergeCell ref="C316:E316"/>
    <mergeCell ref="C317:E317"/>
    <mergeCell ref="C318:E318"/>
    <mergeCell ref="C319:E319"/>
    <mergeCell ref="C311:E311"/>
    <mergeCell ref="C312:E312"/>
    <mergeCell ref="C313:E313"/>
    <mergeCell ref="A314:G314"/>
    <mergeCell ref="A310:G310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A305:G305"/>
    <mergeCell ref="A301:G301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A285:G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0:E260"/>
    <mergeCell ref="C261:E261"/>
    <mergeCell ref="C263:E263"/>
    <mergeCell ref="C264:E264"/>
    <mergeCell ref="A269:G269"/>
    <mergeCell ref="A262:G262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A254:G254"/>
    <mergeCell ref="C246:E246"/>
    <mergeCell ref="C247:E247"/>
    <mergeCell ref="C248:E248"/>
    <mergeCell ref="C249:E249"/>
    <mergeCell ref="C240:E240"/>
    <mergeCell ref="C242:E242"/>
    <mergeCell ref="C243:E243"/>
    <mergeCell ref="C244:E244"/>
    <mergeCell ref="A245:G245"/>
    <mergeCell ref="A241:G241"/>
    <mergeCell ref="C235:E235"/>
    <mergeCell ref="C237:E237"/>
    <mergeCell ref="C238:E238"/>
    <mergeCell ref="C239:E239"/>
    <mergeCell ref="C230:E230"/>
    <mergeCell ref="C231:E231"/>
    <mergeCell ref="C233:E233"/>
    <mergeCell ref="C234:E234"/>
    <mergeCell ref="A236:G236"/>
    <mergeCell ref="A232:G232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15:E215"/>
    <mergeCell ref="C216:E216"/>
    <mergeCell ref="C217:E217"/>
    <mergeCell ref="C218:E218"/>
    <mergeCell ref="C219:E219"/>
    <mergeCell ref="C211:E211"/>
    <mergeCell ref="C212:E212"/>
    <mergeCell ref="C213:E213"/>
    <mergeCell ref="C214:E214"/>
    <mergeCell ref="A210:G210"/>
    <mergeCell ref="C205:E205"/>
    <mergeCell ref="C206:E206"/>
    <mergeCell ref="C207:E207"/>
    <mergeCell ref="C208:E208"/>
    <mergeCell ref="C209:E209"/>
    <mergeCell ref="C200:E200"/>
    <mergeCell ref="C202:E202"/>
    <mergeCell ref="C203:E203"/>
    <mergeCell ref="C204:E204"/>
    <mergeCell ref="C195:E195"/>
    <mergeCell ref="C196:E196"/>
    <mergeCell ref="C197:E197"/>
    <mergeCell ref="C199:E199"/>
    <mergeCell ref="C190:E190"/>
    <mergeCell ref="C191:E191"/>
    <mergeCell ref="C192:E192"/>
    <mergeCell ref="C194:E194"/>
    <mergeCell ref="C186:E186"/>
    <mergeCell ref="C187:E187"/>
    <mergeCell ref="C189:E189"/>
    <mergeCell ref="C180:E180"/>
    <mergeCell ref="C181:E181"/>
    <mergeCell ref="C183:E183"/>
    <mergeCell ref="C184:E184"/>
    <mergeCell ref="C175:E175"/>
    <mergeCell ref="C177:E177"/>
    <mergeCell ref="C178:E178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9:E169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35:E135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9:E129"/>
    <mergeCell ref="C120:E120"/>
    <mergeCell ref="C122:E122"/>
    <mergeCell ref="C123:E123"/>
    <mergeCell ref="A121:G121"/>
    <mergeCell ref="C115:E115"/>
    <mergeCell ref="C116:E116"/>
    <mergeCell ref="C118:E118"/>
    <mergeCell ref="C119:E119"/>
    <mergeCell ref="C111:E111"/>
    <mergeCell ref="C112:E112"/>
    <mergeCell ref="C113:E113"/>
    <mergeCell ref="C114:E114"/>
    <mergeCell ref="A117:G117"/>
    <mergeCell ref="A110:G110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4:E104"/>
    <mergeCell ref="A103:G103"/>
    <mergeCell ref="C95:E95"/>
    <mergeCell ref="C97:E97"/>
    <mergeCell ref="C98:E98"/>
    <mergeCell ref="C99:E99"/>
    <mergeCell ref="C90:E90"/>
    <mergeCell ref="C91:E91"/>
    <mergeCell ref="C92:E92"/>
    <mergeCell ref="C93:E93"/>
    <mergeCell ref="C94:E94"/>
    <mergeCell ref="A96:G96"/>
    <mergeCell ref="C85:E85"/>
    <mergeCell ref="C86:E86"/>
    <mergeCell ref="C87:E87"/>
    <mergeCell ref="C88:E88"/>
    <mergeCell ref="C80:E80"/>
    <mergeCell ref="C81:E81"/>
    <mergeCell ref="C83:E83"/>
    <mergeCell ref="C84:E84"/>
    <mergeCell ref="A89:G89"/>
    <mergeCell ref="A82:G82"/>
    <mergeCell ref="C75:E75"/>
    <mergeCell ref="C76:E76"/>
    <mergeCell ref="C77:E77"/>
    <mergeCell ref="C79:E79"/>
    <mergeCell ref="C71:E71"/>
    <mergeCell ref="C73:E73"/>
    <mergeCell ref="A78:G78"/>
    <mergeCell ref="A74:G74"/>
    <mergeCell ref="A72:G72"/>
    <mergeCell ref="A70:G70"/>
    <mergeCell ref="C66:E66"/>
    <mergeCell ref="C67:E67"/>
    <mergeCell ref="C68:E68"/>
    <mergeCell ref="C60:E60"/>
    <mergeCell ref="C62:E62"/>
    <mergeCell ref="C63:E63"/>
    <mergeCell ref="C64:E64"/>
    <mergeCell ref="A69:G69"/>
    <mergeCell ref="C55:E55"/>
    <mergeCell ref="C56:E56"/>
    <mergeCell ref="C57:E57"/>
    <mergeCell ref="C59:E59"/>
    <mergeCell ref="C51:E51"/>
    <mergeCell ref="C52:E52"/>
    <mergeCell ref="C53:E53"/>
    <mergeCell ref="C45:E45"/>
    <mergeCell ref="C46:E46"/>
    <mergeCell ref="C48:E48"/>
    <mergeCell ref="C49:E49"/>
    <mergeCell ref="C40:E40"/>
    <mergeCell ref="C41:E41"/>
    <mergeCell ref="C42:E42"/>
    <mergeCell ref="C43:E43"/>
    <mergeCell ref="C44:E44"/>
    <mergeCell ref="C39:E39"/>
    <mergeCell ref="C30:E30"/>
    <mergeCell ref="C31:E31"/>
    <mergeCell ref="C32:E32"/>
    <mergeCell ref="C33:E33"/>
    <mergeCell ref="C34:E34"/>
    <mergeCell ref="C27:E27"/>
    <mergeCell ref="C28:E28"/>
    <mergeCell ref="C50:E50"/>
    <mergeCell ref="C35:E35"/>
    <mergeCell ref="A29:G29"/>
    <mergeCell ref="A25:G25"/>
    <mergeCell ref="A21:G21"/>
    <mergeCell ref="C17:E17"/>
    <mergeCell ref="C18:E18"/>
    <mergeCell ref="C19:E19"/>
    <mergeCell ref="C36:E36"/>
    <mergeCell ref="C37:E37"/>
    <mergeCell ref="C13:E13"/>
    <mergeCell ref="C26:E26"/>
    <mergeCell ref="A16:G16"/>
    <mergeCell ref="A14:G14"/>
    <mergeCell ref="C15:E15"/>
    <mergeCell ref="C20:E20"/>
    <mergeCell ref="C22:E22"/>
    <mergeCell ref="C23:E23"/>
    <mergeCell ref="C24:E24"/>
    <mergeCell ref="A12:G12"/>
    <mergeCell ref="A11:G11"/>
    <mergeCell ref="A2:K2"/>
    <mergeCell ref="A3:K3"/>
    <mergeCell ref="A5:K5"/>
    <mergeCell ref="C9:E9"/>
    <mergeCell ref="C10:E10"/>
    <mergeCell ref="A6:K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  <pageSetUpPr fitToPage="1"/>
  </sheetPr>
  <dimension ref="A1:BI187"/>
  <sheetViews>
    <sheetView workbookViewId="0">
      <selection activeCell="M6" sqref="M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6" style="1" customWidth="1"/>
    <col min="5" max="5" width="16.44140625" style="1" customWidth="1"/>
    <col min="6" max="7" width="10.6640625" style="1" customWidth="1"/>
    <col min="8" max="11" width="18.5546875" style="54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8" width="34.109375" style="2" hidden="1" customWidth="1"/>
    <col min="59" max="61" width="127.5546875" style="2" hidden="1" customWidth="1"/>
    <col min="62" max="16384" width="9.109375" style="1"/>
  </cols>
  <sheetData>
    <row r="1" spans="1:56" s="3" customFormat="1" ht="14.4" x14ac:dyDescent="0.3">
      <c r="A1" s="95" t="s">
        <v>5581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6" s="3" customFormat="1" ht="31.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8.25" customHeight="1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14.4" x14ac:dyDescent="0.3">
      <c r="A5" s="404" t="s">
        <v>4410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4410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14.4" x14ac:dyDescent="0.3">
      <c r="A7" s="4"/>
      <c r="B7" s="8" t="s">
        <v>5</v>
      </c>
      <c r="C7" s="402" t="s">
        <v>4411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5" customHeight="1" x14ac:dyDescent="0.3">
      <c r="A11" s="435" t="s">
        <v>4412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B11" s="14" t="s">
        <v>4412</v>
      </c>
    </row>
    <row r="12" spans="1:56" s="3" customFormat="1" ht="30.75" customHeight="1" x14ac:dyDescent="0.3">
      <c r="A12" s="437" t="s">
        <v>4413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B12" s="14"/>
      <c r="BC12" s="15" t="s">
        <v>4413</v>
      </c>
    </row>
    <row r="13" spans="1:56" s="3" customFormat="1" ht="31.8" x14ac:dyDescent="0.3">
      <c r="A13" s="16" t="s">
        <v>15</v>
      </c>
      <c r="B13" s="17" t="s">
        <v>4414</v>
      </c>
      <c r="C13" s="405" t="s">
        <v>4415</v>
      </c>
      <c r="D13" s="405"/>
      <c r="E13" s="405"/>
      <c r="F13" s="16" t="s">
        <v>125</v>
      </c>
      <c r="G13" s="30">
        <v>5.2200000000000003E-2</v>
      </c>
      <c r="H13" s="57">
        <f>I13/G13</f>
        <v>117456.89655172413</v>
      </c>
      <c r="I13" s="19">
        <f>6131.25-K13</f>
        <v>6131.25</v>
      </c>
      <c r="J13" s="19">
        <f>K13/G13</f>
        <v>0</v>
      </c>
      <c r="K13" s="19">
        <v>0</v>
      </c>
      <c r="BB13" s="14"/>
      <c r="BC13" s="15"/>
      <c r="BD13" s="21" t="s">
        <v>4415</v>
      </c>
    </row>
    <row r="14" spans="1:56" s="3" customFormat="1" ht="21.6" x14ac:dyDescent="0.3">
      <c r="A14" s="16" t="s">
        <v>20</v>
      </c>
      <c r="B14" s="17" t="s">
        <v>123</v>
      </c>
      <c r="C14" s="405" t="s">
        <v>124</v>
      </c>
      <c r="D14" s="405"/>
      <c r="E14" s="405"/>
      <c r="F14" s="16" t="s">
        <v>125</v>
      </c>
      <c r="G14" s="30">
        <v>5.2200000000000003E-2</v>
      </c>
      <c r="H14" s="57">
        <f>I14/G14</f>
        <v>64903.448275862065</v>
      </c>
      <c r="I14" s="19">
        <f>3387.96-K14</f>
        <v>3387.96</v>
      </c>
      <c r="J14" s="19">
        <f>K14/G14</f>
        <v>0</v>
      </c>
      <c r="K14" s="19">
        <v>0</v>
      </c>
      <c r="BB14" s="14"/>
      <c r="BC14" s="15"/>
      <c r="BD14" s="21" t="s">
        <v>124</v>
      </c>
    </row>
    <row r="15" spans="1:56" s="3" customFormat="1" ht="15" customHeight="1" x14ac:dyDescent="0.3">
      <c r="A15" s="437" t="s">
        <v>4416</v>
      </c>
      <c r="B15" s="418"/>
      <c r="C15" s="418"/>
      <c r="D15" s="418"/>
      <c r="E15" s="418"/>
      <c r="F15" s="418"/>
      <c r="G15" s="418"/>
      <c r="H15" s="123"/>
      <c r="I15" s="123"/>
      <c r="J15" s="123"/>
      <c r="K15" s="124"/>
      <c r="BB15" s="14"/>
      <c r="BC15" s="15" t="s">
        <v>4416</v>
      </c>
      <c r="BD15" s="21"/>
    </row>
    <row r="16" spans="1:56" s="3" customFormat="1" ht="21.6" x14ac:dyDescent="0.3">
      <c r="A16" s="16" t="s">
        <v>22</v>
      </c>
      <c r="B16" s="17" t="s">
        <v>4417</v>
      </c>
      <c r="C16" s="405" t="s">
        <v>4418</v>
      </c>
      <c r="D16" s="405"/>
      <c r="E16" s="405"/>
      <c r="F16" s="16" t="s">
        <v>38</v>
      </c>
      <c r="G16" s="23">
        <v>9</v>
      </c>
      <c r="H16" s="57">
        <f>I16/G16</f>
        <v>2978.9755555555553</v>
      </c>
      <c r="I16" s="19">
        <f>26810.78-K16</f>
        <v>26810.78</v>
      </c>
      <c r="J16" s="19">
        <f>K16/G16</f>
        <v>0</v>
      </c>
      <c r="K16" s="19">
        <v>0</v>
      </c>
      <c r="BB16" s="14"/>
      <c r="BC16" s="15"/>
      <c r="BD16" s="21" t="s">
        <v>4418</v>
      </c>
    </row>
    <row r="17" spans="1:58" s="3" customFormat="1" ht="20.399999999999999" x14ac:dyDescent="0.3">
      <c r="A17" s="37" t="s">
        <v>143</v>
      </c>
      <c r="B17" s="38" t="s">
        <v>4419</v>
      </c>
      <c r="C17" s="430" t="s">
        <v>4420</v>
      </c>
      <c r="D17" s="430"/>
      <c r="E17" s="430"/>
      <c r="F17" s="39" t="s">
        <v>38</v>
      </c>
      <c r="G17" s="40" t="s">
        <v>4421</v>
      </c>
      <c r="H17" s="100"/>
      <c r="I17" s="41"/>
      <c r="J17" s="41"/>
      <c r="K17" s="42"/>
      <c r="BB17" s="14"/>
      <c r="BC17" s="15"/>
      <c r="BD17" s="21"/>
      <c r="BE17" s="43" t="s">
        <v>4420</v>
      </c>
    </row>
    <row r="18" spans="1:58" s="3" customFormat="1" ht="21.6" x14ac:dyDescent="0.3">
      <c r="A18" s="37" t="s">
        <v>143</v>
      </c>
      <c r="B18" s="38" t="s">
        <v>4422</v>
      </c>
      <c r="C18" s="430" t="s">
        <v>4423</v>
      </c>
      <c r="D18" s="430"/>
      <c r="E18" s="430"/>
      <c r="F18" s="39" t="s">
        <v>38</v>
      </c>
      <c r="G18" s="40" t="s">
        <v>4421</v>
      </c>
      <c r="H18" s="100"/>
      <c r="I18" s="41"/>
      <c r="J18" s="41"/>
      <c r="K18" s="42"/>
      <c r="BB18" s="14"/>
      <c r="BC18" s="15"/>
      <c r="BD18" s="21"/>
      <c r="BE18" s="43" t="s">
        <v>4423</v>
      </c>
    </row>
    <row r="19" spans="1:58" s="3" customFormat="1" ht="20.399999999999999" x14ac:dyDescent="0.3">
      <c r="A19" s="16" t="s">
        <v>27</v>
      </c>
      <c r="B19" s="17" t="s">
        <v>4424</v>
      </c>
      <c r="C19" s="405" t="s">
        <v>4425</v>
      </c>
      <c r="D19" s="405"/>
      <c r="E19" s="405"/>
      <c r="F19" s="16" t="s">
        <v>1460</v>
      </c>
      <c r="G19" s="23">
        <v>9</v>
      </c>
      <c r="H19" s="57">
        <f>I19/G19</f>
        <v>0</v>
      </c>
      <c r="I19" s="19">
        <v>0</v>
      </c>
      <c r="J19" s="19">
        <f>K19/G19</f>
        <v>65435.75</v>
      </c>
      <c r="K19" s="19">
        <v>588921.75</v>
      </c>
      <c r="BB19" s="14"/>
      <c r="BC19" s="15"/>
      <c r="BD19" s="21" t="s">
        <v>4425</v>
      </c>
      <c r="BE19" s="43"/>
    </row>
    <row r="20" spans="1:58" s="3" customFormat="1" ht="15" customHeight="1" x14ac:dyDescent="0.3">
      <c r="A20" s="437" t="s">
        <v>4426</v>
      </c>
      <c r="B20" s="418"/>
      <c r="C20" s="418"/>
      <c r="D20" s="418"/>
      <c r="E20" s="418"/>
      <c r="F20" s="418"/>
      <c r="G20" s="418"/>
      <c r="H20" s="123"/>
      <c r="I20" s="123"/>
      <c r="J20" s="123"/>
      <c r="K20" s="124"/>
      <c r="BB20" s="14"/>
      <c r="BC20" s="15" t="s">
        <v>4426</v>
      </c>
      <c r="BD20" s="21"/>
      <c r="BE20" s="43"/>
    </row>
    <row r="21" spans="1:58" s="3" customFormat="1" ht="31.8" x14ac:dyDescent="0.3">
      <c r="A21" s="16" t="s">
        <v>35</v>
      </c>
      <c r="B21" s="17" t="s">
        <v>4427</v>
      </c>
      <c r="C21" s="405" t="s">
        <v>4428</v>
      </c>
      <c r="D21" s="405"/>
      <c r="E21" s="405"/>
      <c r="F21" s="16" t="s">
        <v>25</v>
      </c>
      <c r="G21" s="23">
        <v>9</v>
      </c>
      <c r="H21" s="57">
        <f>I21/G21</f>
        <v>16198.872222222222</v>
      </c>
      <c r="I21" s="19">
        <f>151879.09-K21</f>
        <v>145789.85</v>
      </c>
      <c r="J21" s="19">
        <f>K21/G21</f>
        <v>676.58222222222219</v>
      </c>
      <c r="K21" s="19">
        <v>6089.24</v>
      </c>
      <c r="BB21" s="14"/>
      <c r="BC21" s="15"/>
      <c r="BD21" s="21" t="s">
        <v>4428</v>
      </c>
      <c r="BE21" s="43"/>
    </row>
    <row r="22" spans="1:58" s="3" customFormat="1" ht="21.6" x14ac:dyDescent="0.3">
      <c r="A22" s="25"/>
      <c r="B22" s="26" t="s">
        <v>4429</v>
      </c>
      <c r="C22" s="419" t="s">
        <v>4430</v>
      </c>
      <c r="D22" s="419"/>
      <c r="E22" s="419"/>
      <c r="F22" s="27" t="s">
        <v>70</v>
      </c>
      <c r="G22" s="22" t="s">
        <v>4431</v>
      </c>
      <c r="H22" s="58"/>
      <c r="I22" s="28"/>
      <c r="J22" s="28"/>
      <c r="K22" s="29"/>
      <c r="BB22" s="14"/>
      <c r="BC22" s="15"/>
      <c r="BD22" s="21"/>
      <c r="BE22" s="43"/>
      <c r="BF22" s="12" t="s">
        <v>4430</v>
      </c>
    </row>
    <row r="23" spans="1:58" s="3" customFormat="1" ht="21.6" x14ac:dyDescent="0.3">
      <c r="A23" s="25"/>
      <c r="B23" s="26" t="s">
        <v>603</v>
      </c>
      <c r="C23" s="419" t="s">
        <v>604</v>
      </c>
      <c r="D23" s="419"/>
      <c r="E23" s="419"/>
      <c r="F23" s="27" t="s">
        <v>70</v>
      </c>
      <c r="G23" s="22" t="s">
        <v>4432</v>
      </c>
      <c r="H23" s="58"/>
      <c r="I23" s="28"/>
      <c r="J23" s="28"/>
      <c r="K23" s="29"/>
      <c r="BB23" s="14"/>
      <c r="BC23" s="15"/>
      <c r="BD23" s="21"/>
      <c r="BE23" s="43"/>
      <c r="BF23" s="12" t="s">
        <v>604</v>
      </c>
    </row>
    <row r="24" spans="1:58" s="3" customFormat="1" ht="42" x14ac:dyDescent="0.3">
      <c r="A24" s="25"/>
      <c r="B24" s="26" t="s">
        <v>4433</v>
      </c>
      <c r="C24" s="419" t="s">
        <v>4434</v>
      </c>
      <c r="D24" s="419"/>
      <c r="E24" s="419"/>
      <c r="F24" s="27" t="s">
        <v>1049</v>
      </c>
      <c r="G24" s="22" t="s">
        <v>4435</v>
      </c>
      <c r="H24" s="58"/>
      <c r="I24" s="28"/>
      <c r="J24" s="28"/>
      <c r="K24" s="29"/>
      <c r="BB24" s="14"/>
      <c r="BC24" s="15"/>
      <c r="BD24" s="21"/>
      <c r="BE24" s="43"/>
      <c r="BF24" s="12" t="s">
        <v>4434</v>
      </c>
    </row>
    <row r="25" spans="1:58" s="3" customFormat="1" ht="21.6" x14ac:dyDescent="0.3">
      <c r="A25" s="25"/>
      <c r="B25" s="26" t="s">
        <v>4436</v>
      </c>
      <c r="C25" s="419" t="s">
        <v>4437</v>
      </c>
      <c r="D25" s="419"/>
      <c r="E25" s="419"/>
      <c r="F25" s="27" t="s">
        <v>70</v>
      </c>
      <c r="G25" s="22" t="s">
        <v>4438</v>
      </c>
      <c r="H25" s="58"/>
      <c r="I25" s="28"/>
      <c r="J25" s="28"/>
      <c r="K25" s="29"/>
      <c r="BB25" s="14"/>
      <c r="BC25" s="15"/>
      <c r="BD25" s="21"/>
      <c r="BE25" s="43"/>
      <c r="BF25" s="12" t="s">
        <v>4437</v>
      </c>
    </row>
    <row r="26" spans="1:58" s="3" customFormat="1" ht="20.399999999999999" x14ac:dyDescent="0.3">
      <c r="A26" s="25"/>
      <c r="B26" s="26" t="s">
        <v>4439</v>
      </c>
      <c r="C26" s="419" t="s">
        <v>4440</v>
      </c>
      <c r="D26" s="419"/>
      <c r="E26" s="419"/>
      <c r="F26" s="27" t="s">
        <v>142</v>
      </c>
      <c r="G26" s="22" t="s">
        <v>4441</v>
      </c>
      <c r="H26" s="58"/>
      <c r="I26" s="28"/>
      <c r="J26" s="28"/>
      <c r="K26" s="29"/>
      <c r="BB26" s="14"/>
      <c r="BC26" s="15"/>
      <c r="BD26" s="21"/>
      <c r="BE26" s="43"/>
      <c r="BF26" s="12" t="s">
        <v>4440</v>
      </c>
    </row>
    <row r="27" spans="1:58" s="3" customFormat="1" ht="42" x14ac:dyDescent="0.3">
      <c r="A27" s="25"/>
      <c r="B27" s="26" t="s">
        <v>4442</v>
      </c>
      <c r="C27" s="419" t="s">
        <v>4443</v>
      </c>
      <c r="D27" s="419"/>
      <c r="E27" s="419"/>
      <c r="F27" s="27" t="s">
        <v>115</v>
      </c>
      <c r="G27" s="22" t="s">
        <v>4444</v>
      </c>
      <c r="H27" s="58"/>
      <c r="I27" s="28"/>
      <c r="J27" s="28"/>
      <c r="K27" s="29"/>
      <c r="BB27" s="14"/>
      <c r="BC27" s="15"/>
      <c r="BD27" s="21"/>
      <c r="BE27" s="43"/>
      <c r="BF27" s="12" t="s">
        <v>4443</v>
      </c>
    </row>
    <row r="28" spans="1:58" s="3" customFormat="1" ht="42" x14ac:dyDescent="0.3">
      <c r="A28" s="25"/>
      <c r="B28" s="26" t="s">
        <v>4445</v>
      </c>
      <c r="C28" s="419" t="s">
        <v>4446</v>
      </c>
      <c r="D28" s="419"/>
      <c r="E28" s="419"/>
      <c r="F28" s="27" t="s">
        <v>115</v>
      </c>
      <c r="G28" s="22" t="s">
        <v>4447</v>
      </c>
      <c r="H28" s="58"/>
      <c r="I28" s="28"/>
      <c r="J28" s="28"/>
      <c r="K28" s="29"/>
      <c r="BB28" s="14"/>
      <c r="BC28" s="15"/>
      <c r="BD28" s="21"/>
      <c r="BE28" s="43"/>
      <c r="BF28" s="12" t="s">
        <v>4446</v>
      </c>
    </row>
    <row r="29" spans="1:58" s="3" customFormat="1" ht="21.6" x14ac:dyDescent="0.3">
      <c r="A29" s="25"/>
      <c r="B29" s="26" t="s">
        <v>607</v>
      </c>
      <c r="C29" s="419" t="s">
        <v>608</v>
      </c>
      <c r="D29" s="419"/>
      <c r="E29" s="419"/>
      <c r="F29" s="27" t="s">
        <v>609</v>
      </c>
      <c r="G29" s="22" t="s">
        <v>4448</v>
      </c>
      <c r="H29" s="58"/>
      <c r="I29" s="28"/>
      <c r="J29" s="28"/>
      <c r="K29" s="29"/>
      <c r="BB29" s="14"/>
      <c r="BC29" s="15"/>
      <c r="BD29" s="21"/>
      <c r="BE29" s="43"/>
      <c r="BF29" s="12" t="s">
        <v>608</v>
      </c>
    </row>
    <row r="30" spans="1:58" s="3" customFormat="1" ht="31.8" x14ac:dyDescent="0.3">
      <c r="A30" s="16" t="s">
        <v>1940</v>
      </c>
      <c r="B30" s="17" t="s">
        <v>4449</v>
      </c>
      <c r="C30" s="405" t="s">
        <v>4450</v>
      </c>
      <c r="D30" s="405"/>
      <c r="E30" s="405"/>
      <c r="F30" s="16" t="s">
        <v>1460</v>
      </c>
      <c r="G30" s="23">
        <v>9</v>
      </c>
      <c r="H30" s="57"/>
      <c r="I30" s="19">
        <f>1088406.17-K30</f>
        <v>0</v>
      </c>
      <c r="J30" s="19"/>
      <c r="K30" s="19">
        <v>1088406.17</v>
      </c>
      <c r="BB30" s="14"/>
      <c r="BC30" s="15"/>
      <c r="BD30" s="21" t="s">
        <v>4450</v>
      </c>
      <c r="BE30" s="43"/>
      <c r="BF30" s="12"/>
    </row>
    <row r="31" spans="1:58" s="3" customFormat="1" ht="15" customHeight="1" x14ac:dyDescent="0.3">
      <c r="A31" s="437" t="s">
        <v>4451</v>
      </c>
      <c r="B31" s="418"/>
      <c r="C31" s="418"/>
      <c r="D31" s="418"/>
      <c r="E31" s="418"/>
      <c r="F31" s="418"/>
      <c r="G31" s="418"/>
      <c r="H31" s="123"/>
      <c r="I31" s="123"/>
      <c r="J31" s="123"/>
      <c r="K31" s="124"/>
      <c r="BB31" s="14"/>
      <c r="BC31" s="15" t="s">
        <v>4451</v>
      </c>
      <c r="BD31" s="21"/>
      <c r="BE31" s="43"/>
      <c r="BF31" s="12"/>
    </row>
    <row r="32" spans="1:58" s="3" customFormat="1" ht="21.6" x14ac:dyDescent="0.3">
      <c r="A32" s="16" t="s">
        <v>47</v>
      </c>
      <c r="B32" s="17" t="s">
        <v>4452</v>
      </c>
      <c r="C32" s="405" t="s">
        <v>4453</v>
      </c>
      <c r="D32" s="405"/>
      <c r="E32" s="405"/>
      <c r="F32" s="16" t="s">
        <v>38</v>
      </c>
      <c r="G32" s="23">
        <v>18</v>
      </c>
      <c r="H32" s="57">
        <f>I32/G32</f>
        <v>3841.9072222222221</v>
      </c>
      <c r="I32" s="19">
        <f>72093.42-K32</f>
        <v>69154.33</v>
      </c>
      <c r="J32" s="19">
        <f>K32/G32</f>
        <v>163.2827777777778</v>
      </c>
      <c r="K32" s="19">
        <v>2939.09</v>
      </c>
      <c r="BB32" s="14"/>
      <c r="BC32" s="15"/>
      <c r="BD32" s="21" t="s">
        <v>4453</v>
      </c>
      <c r="BE32" s="43"/>
      <c r="BF32" s="12"/>
    </row>
    <row r="33" spans="1:58" s="3" customFormat="1" ht="31.8" x14ac:dyDescent="0.3">
      <c r="A33" s="25"/>
      <c r="B33" s="26" t="s">
        <v>4454</v>
      </c>
      <c r="C33" s="419" t="s">
        <v>4455</v>
      </c>
      <c r="D33" s="419"/>
      <c r="E33" s="419"/>
      <c r="F33" s="27" t="s">
        <v>75</v>
      </c>
      <c r="G33" s="22" t="s">
        <v>4456</v>
      </c>
      <c r="H33" s="58"/>
      <c r="I33" s="28"/>
      <c r="J33" s="28"/>
      <c r="K33" s="29"/>
      <c r="BB33" s="14"/>
      <c r="BC33" s="15"/>
      <c r="BD33" s="21"/>
      <c r="BE33" s="43"/>
      <c r="BF33" s="12" t="s">
        <v>4455</v>
      </c>
    </row>
    <row r="34" spans="1:58" s="3" customFormat="1" ht="20.399999999999999" x14ac:dyDescent="0.3">
      <c r="A34" s="25"/>
      <c r="B34" s="26" t="s">
        <v>4457</v>
      </c>
      <c r="C34" s="419" t="s">
        <v>4458</v>
      </c>
      <c r="D34" s="419"/>
      <c r="E34" s="419"/>
      <c r="F34" s="27" t="s">
        <v>1049</v>
      </c>
      <c r="G34" s="22" t="s">
        <v>4459</v>
      </c>
      <c r="H34" s="58"/>
      <c r="I34" s="28"/>
      <c r="J34" s="28"/>
      <c r="K34" s="29"/>
      <c r="BB34" s="14"/>
      <c r="BC34" s="15"/>
      <c r="BD34" s="21"/>
      <c r="BE34" s="43"/>
      <c r="BF34" s="12" t="s">
        <v>4458</v>
      </c>
    </row>
    <row r="35" spans="1:58" s="3" customFormat="1" ht="20.399999999999999" x14ac:dyDescent="0.3">
      <c r="A35" s="25"/>
      <c r="B35" s="26" t="s">
        <v>4439</v>
      </c>
      <c r="C35" s="419" t="s">
        <v>4440</v>
      </c>
      <c r="D35" s="419"/>
      <c r="E35" s="419"/>
      <c r="F35" s="27" t="s">
        <v>142</v>
      </c>
      <c r="G35" s="22" t="s">
        <v>4460</v>
      </c>
      <c r="H35" s="58"/>
      <c r="I35" s="28"/>
      <c r="J35" s="28"/>
      <c r="K35" s="29"/>
      <c r="BB35" s="14"/>
      <c r="BC35" s="15"/>
      <c r="BD35" s="21"/>
      <c r="BE35" s="43"/>
      <c r="BF35" s="12" t="s">
        <v>4440</v>
      </c>
    </row>
    <row r="36" spans="1:58" s="3" customFormat="1" ht="21.6" x14ac:dyDescent="0.3">
      <c r="A36" s="25"/>
      <c r="B36" s="26" t="s">
        <v>607</v>
      </c>
      <c r="C36" s="419" t="s">
        <v>608</v>
      </c>
      <c r="D36" s="419"/>
      <c r="E36" s="419"/>
      <c r="F36" s="27" t="s">
        <v>609</v>
      </c>
      <c r="G36" s="22" t="s">
        <v>4461</v>
      </c>
      <c r="H36" s="58"/>
      <c r="I36" s="28"/>
      <c r="J36" s="28"/>
      <c r="K36" s="29"/>
      <c r="BB36" s="14"/>
      <c r="BC36" s="15"/>
      <c r="BD36" s="21"/>
      <c r="BE36" s="43"/>
      <c r="BF36" s="12" t="s">
        <v>608</v>
      </c>
    </row>
    <row r="37" spans="1:58" s="3" customFormat="1" ht="21.6" x14ac:dyDescent="0.3">
      <c r="A37" s="16" t="s">
        <v>4462</v>
      </c>
      <c r="B37" s="17" t="s">
        <v>4463</v>
      </c>
      <c r="C37" s="405" t="s">
        <v>4464</v>
      </c>
      <c r="D37" s="405"/>
      <c r="E37" s="405"/>
      <c r="F37" s="16" t="s">
        <v>1460</v>
      </c>
      <c r="G37" s="23">
        <v>18</v>
      </c>
      <c r="H37" s="57"/>
      <c r="I37" s="19">
        <f>167202.98-K37</f>
        <v>0</v>
      </c>
      <c r="J37" s="19"/>
      <c r="K37" s="19">
        <v>167202.98000000001</v>
      </c>
      <c r="BB37" s="14"/>
      <c r="BC37" s="15"/>
      <c r="BD37" s="21" t="s">
        <v>4464</v>
      </c>
      <c r="BE37" s="43"/>
      <c r="BF37" s="12"/>
    </row>
    <row r="38" spans="1:58" s="3" customFormat="1" ht="15" customHeight="1" x14ac:dyDescent="0.3">
      <c r="A38" s="437" t="s">
        <v>4465</v>
      </c>
      <c r="B38" s="418"/>
      <c r="C38" s="418"/>
      <c r="D38" s="418"/>
      <c r="E38" s="418"/>
      <c r="F38" s="418"/>
      <c r="G38" s="418"/>
      <c r="H38" s="123"/>
      <c r="I38" s="123"/>
      <c r="J38" s="123"/>
      <c r="K38" s="124"/>
      <c r="BB38" s="14"/>
      <c r="BC38" s="15" t="s">
        <v>4465</v>
      </c>
      <c r="BD38" s="21"/>
      <c r="BE38" s="43"/>
      <c r="BF38" s="12"/>
    </row>
    <row r="39" spans="1:58" s="3" customFormat="1" ht="42" x14ac:dyDescent="0.3">
      <c r="A39" s="16" t="s">
        <v>55</v>
      </c>
      <c r="B39" s="17" t="s">
        <v>1611</v>
      </c>
      <c r="C39" s="405" t="s">
        <v>1612</v>
      </c>
      <c r="D39" s="405"/>
      <c r="E39" s="405"/>
      <c r="F39" s="16" t="s">
        <v>67</v>
      </c>
      <c r="G39" s="24">
        <v>0.6</v>
      </c>
      <c r="H39" s="57">
        <f>I39/G39</f>
        <v>14776.716666666669</v>
      </c>
      <c r="I39" s="19">
        <f>8955.18-K39</f>
        <v>8866.0300000000007</v>
      </c>
      <c r="J39" s="19">
        <f>K39/G39</f>
        <v>148.58333333333334</v>
      </c>
      <c r="K39" s="19">
        <v>89.15</v>
      </c>
      <c r="BB39" s="14"/>
      <c r="BC39" s="15"/>
      <c r="BD39" s="21" t="s">
        <v>1612</v>
      </c>
      <c r="BE39" s="43"/>
      <c r="BF39" s="12"/>
    </row>
    <row r="40" spans="1:58" s="3" customFormat="1" ht="20.399999999999999" x14ac:dyDescent="0.3">
      <c r="A40" s="25"/>
      <c r="B40" s="26" t="s">
        <v>1613</v>
      </c>
      <c r="C40" s="419" t="s">
        <v>1614</v>
      </c>
      <c r="D40" s="419"/>
      <c r="E40" s="419"/>
      <c r="F40" s="27" t="s">
        <v>142</v>
      </c>
      <c r="G40" s="22" t="s">
        <v>4466</v>
      </c>
      <c r="H40" s="58"/>
      <c r="I40" s="28"/>
      <c r="J40" s="28"/>
      <c r="K40" s="29"/>
      <c r="BB40" s="14"/>
      <c r="BC40" s="15"/>
      <c r="BD40" s="21"/>
      <c r="BE40" s="43"/>
      <c r="BF40" s="12" t="s">
        <v>1614</v>
      </c>
    </row>
    <row r="41" spans="1:58" s="3" customFormat="1" ht="21.6" x14ac:dyDescent="0.3">
      <c r="A41" s="25"/>
      <c r="B41" s="26" t="s">
        <v>607</v>
      </c>
      <c r="C41" s="419" t="s">
        <v>608</v>
      </c>
      <c r="D41" s="419"/>
      <c r="E41" s="419"/>
      <c r="F41" s="27" t="s">
        <v>609</v>
      </c>
      <c r="G41" s="22" t="s">
        <v>4467</v>
      </c>
      <c r="H41" s="58"/>
      <c r="I41" s="28"/>
      <c r="J41" s="28"/>
      <c r="K41" s="29"/>
      <c r="BB41" s="14"/>
      <c r="BC41" s="15"/>
      <c r="BD41" s="21"/>
      <c r="BE41" s="43"/>
      <c r="BF41" s="12" t="s">
        <v>608</v>
      </c>
    </row>
    <row r="42" spans="1:58" s="3" customFormat="1" ht="21.6" x14ac:dyDescent="0.3">
      <c r="A42" s="16" t="s">
        <v>56</v>
      </c>
      <c r="B42" s="17" t="s">
        <v>4468</v>
      </c>
      <c r="C42" s="405" t="s">
        <v>4469</v>
      </c>
      <c r="D42" s="405"/>
      <c r="E42" s="405"/>
      <c r="F42" s="16" t="s">
        <v>115</v>
      </c>
      <c r="G42" s="24">
        <v>61.2</v>
      </c>
      <c r="H42" s="57"/>
      <c r="I42" s="19">
        <f>36494.36-K42</f>
        <v>0</v>
      </c>
      <c r="J42" s="19"/>
      <c r="K42" s="19">
        <v>36494.36</v>
      </c>
      <c r="BB42" s="14"/>
      <c r="BC42" s="15"/>
      <c r="BD42" s="21" t="s">
        <v>4469</v>
      </c>
      <c r="BE42" s="43"/>
      <c r="BF42" s="12"/>
    </row>
    <row r="43" spans="1:58" s="3" customFormat="1" ht="15" customHeight="1" x14ac:dyDescent="0.3">
      <c r="A43" s="437" t="s">
        <v>4470</v>
      </c>
      <c r="B43" s="418"/>
      <c r="C43" s="418"/>
      <c r="D43" s="418"/>
      <c r="E43" s="418"/>
      <c r="F43" s="418"/>
      <c r="G43" s="418"/>
      <c r="H43" s="123"/>
      <c r="I43" s="123"/>
      <c r="J43" s="123"/>
      <c r="K43" s="124"/>
      <c r="BB43" s="14"/>
      <c r="BC43" s="15" t="s">
        <v>4470</v>
      </c>
      <c r="BD43" s="21"/>
      <c r="BE43" s="43"/>
      <c r="BF43" s="12"/>
    </row>
    <row r="44" spans="1:58" s="3" customFormat="1" ht="21.6" x14ac:dyDescent="0.3">
      <c r="A44" s="16" t="s">
        <v>166</v>
      </c>
      <c r="B44" s="17" t="s">
        <v>1945</v>
      </c>
      <c r="C44" s="405" t="s">
        <v>1946</v>
      </c>
      <c r="D44" s="405"/>
      <c r="E44" s="405"/>
      <c r="F44" s="16" t="s">
        <v>67</v>
      </c>
      <c r="G44" s="24">
        <v>0.3</v>
      </c>
      <c r="H44" s="57">
        <f>I44/G44</f>
        <v>10823.333333333334</v>
      </c>
      <c r="I44" s="19">
        <f>3345.31-K44</f>
        <v>3247</v>
      </c>
      <c r="J44" s="19">
        <f>K44/G44</f>
        <v>327.70000000000005</v>
      </c>
      <c r="K44" s="19">
        <v>98.31</v>
      </c>
      <c r="BB44" s="14"/>
      <c r="BC44" s="15"/>
      <c r="BD44" s="21" t="s">
        <v>1946</v>
      </c>
      <c r="BE44" s="43"/>
      <c r="BF44" s="12"/>
    </row>
    <row r="45" spans="1:58" s="3" customFormat="1" ht="20.399999999999999" x14ac:dyDescent="0.3">
      <c r="A45" s="25"/>
      <c r="B45" s="26" t="s">
        <v>599</v>
      </c>
      <c r="C45" s="419" t="s">
        <v>600</v>
      </c>
      <c r="D45" s="419"/>
      <c r="E45" s="419"/>
      <c r="F45" s="27" t="s">
        <v>406</v>
      </c>
      <c r="G45" s="22" t="s">
        <v>3688</v>
      </c>
      <c r="H45" s="58"/>
      <c r="I45" s="28"/>
      <c r="J45" s="28"/>
      <c r="K45" s="29"/>
      <c r="BB45" s="14"/>
      <c r="BC45" s="15"/>
      <c r="BD45" s="21"/>
      <c r="BE45" s="43"/>
      <c r="BF45" s="12" t="s">
        <v>600</v>
      </c>
    </row>
    <row r="46" spans="1:58" s="3" customFormat="1" ht="21.6" x14ac:dyDescent="0.3">
      <c r="A46" s="25"/>
      <c r="B46" s="26" t="s">
        <v>1766</v>
      </c>
      <c r="C46" s="419" t="s">
        <v>1767</v>
      </c>
      <c r="D46" s="419"/>
      <c r="E46" s="419"/>
      <c r="F46" s="27" t="s">
        <v>70</v>
      </c>
      <c r="G46" s="22" t="s">
        <v>4085</v>
      </c>
      <c r="H46" s="58"/>
      <c r="I46" s="28"/>
      <c r="J46" s="28"/>
      <c r="K46" s="29"/>
      <c r="BB46" s="14"/>
      <c r="BC46" s="15"/>
      <c r="BD46" s="21"/>
      <c r="BE46" s="43"/>
      <c r="BF46" s="12" t="s">
        <v>1767</v>
      </c>
    </row>
    <row r="47" spans="1:58" s="3" customFormat="1" ht="20.399999999999999" x14ac:dyDescent="0.3">
      <c r="A47" s="25"/>
      <c r="B47" s="26" t="s">
        <v>89</v>
      </c>
      <c r="C47" s="419" t="s">
        <v>90</v>
      </c>
      <c r="D47" s="419"/>
      <c r="E47" s="419"/>
      <c r="F47" s="27" t="s">
        <v>70</v>
      </c>
      <c r="G47" s="22" t="s">
        <v>3692</v>
      </c>
      <c r="H47" s="58"/>
      <c r="I47" s="28"/>
      <c r="J47" s="28"/>
      <c r="K47" s="29"/>
      <c r="BB47" s="14"/>
      <c r="BC47" s="15"/>
      <c r="BD47" s="21"/>
      <c r="BE47" s="43"/>
      <c r="BF47" s="12" t="s">
        <v>90</v>
      </c>
    </row>
    <row r="48" spans="1:58" s="3" customFormat="1" ht="21.6" x14ac:dyDescent="0.3">
      <c r="A48" s="25"/>
      <c r="B48" s="26" t="s">
        <v>607</v>
      </c>
      <c r="C48" s="419" t="s">
        <v>608</v>
      </c>
      <c r="D48" s="419"/>
      <c r="E48" s="419"/>
      <c r="F48" s="27" t="s">
        <v>609</v>
      </c>
      <c r="G48" s="22" t="s">
        <v>4086</v>
      </c>
      <c r="H48" s="58"/>
      <c r="I48" s="28"/>
      <c r="J48" s="28"/>
      <c r="K48" s="29"/>
      <c r="BB48" s="14"/>
      <c r="BC48" s="15"/>
      <c r="BD48" s="21"/>
      <c r="BE48" s="43"/>
      <c r="BF48" s="12" t="s">
        <v>608</v>
      </c>
    </row>
    <row r="49" spans="1:58" s="3" customFormat="1" ht="21.6" x14ac:dyDescent="0.3">
      <c r="A49" s="16" t="s">
        <v>169</v>
      </c>
      <c r="B49" s="17" t="s">
        <v>4471</v>
      </c>
      <c r="C49" s="405" t="s">
        <v>4472</v>
      </c>
      <c r="D49" s="405"/>
      <c r="E49" s="405"/>
      <c r="F49" s="16" t="s">
        <v>1049</v>
      </c>
      <c r="G49" s="30">
        <v>3.0599999999999999E-2</v>
      </c>
      <c r="H49" s="57">
        <f>I49/G49</f>
        <v>0</v>
      </c>
      <c r="I49" s="19">
        <f>1874.12-K49</f>
        <v>0</v>
      </c>
      <c r="J49" s="19">
        <f>K49/G49</f>
        <v>61245.751633986925</v>
      </c>
      <c r="K49" s="19">
        <v>1874.12</v>
      </c>
      <c r="BB49" s="14"/>
      <c r="BC49" s="15"/>
      <c r="BD49" s="21" t="s">
        <v>4472</v>
      </c>
      <c r="BE49" s="43"/>
      <c r="BF49" s="12"/>
    </row>
    <row r="50" spans="1:58" s="3" customFormat="1" ht="15" customHeight="1" x14ac:dyDescent="0.3">
      <c r="A50" s="437" t="s">
        <v>4473</v>
      </c>
      <c r="B50" s="418"/>
      <c r="C50" s="418"/>
      <c r="D50" s="418"/>
      <c r="E50" s="418"/>
      <c r="F50" s="418"/>
      <c r="G50" s="418"/>
      <c r="H50" s="123"/>
      <c r="I50" s="123"/>
      <c r="J50" s="123"/>
      <c r="K50" s="124"/>
      <c r="BB50" s="14"/>
      <c r="BC50" s="15" t="s">
        <v>4473</v>
      </c>
      <c r="BD50" s="21"/>
      <c r="BE50" s="43"/>
      <c r="BF50" s="12"/>
    </row>
    <row r="51" spans="1:58" s="3" customFormat="1" ht="21.6" x14ac:dyDescent="0.3">
      <c r="A51" s="16" t="s">
        <v>170</v>
      </c>
      <c r="B51" s="17" t="s">
        <v>1945</v>
      </c>
      <c r="C51" s="405" t="s">
        <v>1946</v>
      </c>
      <c r="D51" s="405"/>
      <c r="E51" s="405"/>
      <c r="F51" s="16" t="s">
        <v>67</v>
      </c>
      <c r="G51" s="31">
        <v>0.28000000000000003</v>
      </c>
      <c r="H51" s="57">
        <f>I51/G51</f>
        <v>10823.392857142855</v>
      </c>
      <c r="I51" s="19">
        <f>3122.31-K51</f>
        <v>3030.5499999999997</v>
      </c>
      <c r="J51" s="19">
        <f>K51/G51</f>
        <v>327.71428571428572</v>
      </c>
      <c r="K51" s="19">
        <v>91.76</v>
      </c>
      <c r="BB51" s="14"/>
      <c r="BC51" s="15"/>
      <c r="BD51" s="21" t="s">
        <v>1946</v>
      </c>
      <c r="BE51" s="43"/>
      <c r="BF51" s="12"/>
    </row>
    <row r="52" spans="1:58" s="3" customFormat="1" ht="20.399999999999999" x14ac:dyDescent="0.3">
      <c r="A52" s="25"/>
      <c r="B52" s="26" t="s">
        <v>599</v>
      </c>
      <c r="C52" s="419" t="s">
        <v>600</v>
      </c>
      <c r="D52" s="419"/>
      <c r="E52" s="419"/>
      <c r="F52" s="27" t="s">
        <v>406</v>
      </c>
      <c r="G52" s="22" t="s">
        <v>4474</v>
      </c>
      <c r="H52" s="58"/>
      <c r="I52" s="28"/>
      <c r="J52" s="28"/>
      <c r="K52" s="29"/>
      <c r="BB52" s="14"/>
      <c r="BC52" s="15"/>
      <c r="BD52" s="21"/>
      <c r="BE52" s="43"/>
      <c r="BF52" s="12" t="s">
        <v>600</v>
      </c>
    </row>
    <row r="53" spans="1:58" s="3" customFormat="1" ht="21.6" x14ac:dyDescent="0.3">
      <c r="A53" s="25"/>
      <c r="B53" s="26" t="s">
        <v>1766</v>
      </c>
      <c r="C53" s="419" t="s">
        <v>1767</v>
      </c>
      <c r="D53" s="419"/>
      <c r="E53" s="419"/>
      <c r="F53" s="27" t="s">
        <v>70</v>
      </c>
      <c r="G53" s="22" t="s">
        <v>4475</v>
      </c>
      <c r="H53" s="58"/>
      <c r="I53" s="28"/>
      <c r="J53" s="28"/>
      <c r="K53" s="29"/>
      <c r="BB53" s="14"/>
      <c r="BC53" s="15"/>
      <c r="BD53" s="21"/>
      <c r="BE53" s="43"/>
      <c r="BF53" s="12" t="s">
        <v>1767</v>
      </c>
    </row>
    <row r="54" spans="1:58" s="3" customFormat="1" ht="20.399999999999999" x14ac:dyDescent="0.3">
      <c r="A54" s="25"/>
      <c r="B54" s="26" t="s">
        <v>89</v>
      </c>
      <c r="C54" s="419" t="s">
        <v>90</v>
      </c>
      <c r="D54" s="419"/>
      <c r="E54" s="419"/>
      <c r="F54" s="27" t="s">
        <v>70</v>
      </c>
      <c r="G54" s="22" t="s">
        <v>4476</v>
      </c>
      <c r="H54" s="58"/>
      <c r="I54" s="28"/>
      <c r="J54" s="28"/>
      <c r="K54" s="29"/>
      <c r="BB54" s="14"/>
      <c r="BC54" s="15"/>
      <c r="BD54" s="21"/>
      <c r="BE54" s="43"/>
      <c r="BF54" s="12" t="s">
        <v>90</v>
      </c>
    </row>
    <row r="55" spans="1:58" s="3" customFormat="1" ht="21.6" x14ac:dyDescent="0.3">
      <c r="A55" s="25"/>
      <c r="B55" s="26" t="s">
        <v>607</v>
      </c>
      <c r="C55" s="419" t="s">
        <v>608</v>
      </c>
      <c r="D55" s="419"/>
      <c r="E55" s="419"/>
      <c r="F55" s="27" t="s">
        <v>609</v>
      </c>
      <c r="G55" s="22" t="s">
        <v>4477</v>
      </c>
      <c r="H55" s="58"/>
      <c r="I55" s="28"/>
      <c r="J55" s="28"/>
      <c r="K55" s="29"/>
      <c r="BB55" s="14"/>
      <c r="BC55" s="15"/>
      <c r="BD55" s="21"/>
      <c r="BE55" s="43"/>
      <c r="BF55" s="12" t="s">
        <v>608</v>
      </c>
    </row>
    <row r="56" spans="1:58" s="3" customFormat="1" ht="21.6" x14ac:dyDescent="0.3">
      <c r="A56" s="16" t="s">
        <v>173</v>
      </c>
      <c r="B56" s="17" t="s">
        <v>4478</v>
      </c>
      <c r="C56" s="405" t="s">
        <v>4479</v>
      </c>
      <c r="D56" s="405"/>
      <c r="E56" s="405"/>
      <c r="F56" s="16" t="s">
        <v>115</v>
      </c>
      <c r="G56" s="31">
        <v>28.56</v>
      </c>
      <c r="H56" s="57"/>
      <c r="I56" s="19">
        <f>6440.22-K56</f>
        <v>0</v>
      </c>
      <c r="J56" s="19"/>
      <c r="K56" s="19">
        <v>6440.22</v>
      </c>
      <c r="BB56" s="14"/>
      <c r="BC56" s="15"/>
      <c r="BD56" s="21" t="s">
        <v>4479</v>
      </c>
      <c r="BE56" s="43"/>
      <c r="BF56" s="12"/>
    </row>
    <row r="57" spans="1:58" s="3" customFormat="1" ht="15" customHeight="1" x14ac:dyDescent="0.3">
      <c r="A57" s="437" t="s">
        <v>4480</v>
      </c>
      <c r="B57" s="418"/>
      <c r="C57" s="418"/>
      <c r="D57" s="418"/>
      <c r="E57" s="418"/>
      <c r="F57" s="418"/>
      <c r="G57" s="418"/>
      <c r="H57" s="123"/>
      <c r="I57" s="123"/>
      <c r="J57" s="123"/>
      <c r="K57" s="124"/>
      <c r="BB57" s="14"/>
      <c r="BC57" s="15" t="s">
        <v>4480</v>
      </c>
      <c r="BD57" s="21"/>
      <c r="BE57" s="43"/>
      <c r="BF57" s="12"/>
    </row>
    <row r="58" spans="1:58" s="3" customFormat="1" ht="21.6" x14ac:dyDescent="0.3">
      <c r="A58" s="16" t="s">
        <v>176</v>
      </c>
      <c r="B58" s="17" t="s">
        <v>1945</v>
      </c>
      <c r="C58" s="405" t="s">
        <v>1946</v>
      </c>
      <c r="D58" s="405"/>
      <c r="E58" s="405"/>
      <c r="F58" s="16" t="s">
        <v>67</v>
      </c>
      <c r="G58" s="31">
        <v>0.74</v>
      </c>
      <c r="H58" s="57">
        <f>I58/G58</f>
        <v>10823.351351351352</v>
      </c>
      <c r="I58" s="19">
        <f>8251.79-K58</f>
        <v>8009.2800000000007</v>
      </c>
      <c r="J58" s="19">
        <f>K58/G58</f>
        <v>327.7162162162162</v>
      </c>
      <c r="K58" s="19">
        <v>242.51</v>
      </c>
      <c r="BB58" s="14"/>
      <c r="BC58" s="15"/>
      <c r="BD58" s="21" t="s">
        <v>1946</v>
      </c>
      <c r="BE58" s="43"/>
      <c r="BF58" s="12"/>
    </row>
    <row r="59" spans="1:58" s="3" customFormat="1" ht="20.399999999999999" x14ac:dyDescent="0.3">
      <c r="A59" s="25"/>
      <c r="B59" s="26" t="s">
        <v>599</v>
      </c>
      <c r="C59" s="419" t="s">
        <v>600</v>
      </c>
      <c r="D59" s="419"/>
      <c r="E59" s="419"/>
      <c r="F59" s="27" t="s">
        <v>406</v>
      </c>
      <c r="G59" s="22" t="s">
        <v>4481</v>
      </c>
      <c r="H59" s="58"/>
      <c r="I59" s="28"/>
      <c r="J59" s="28"/>
      <c r="K59" s="29"/>
      <c r="BB59" s="14"/>
      <c r="BC59" s="15"/>
      <c r="BD59" s="21"/>
      <c r="BE59" s="43"/>
      <c r="BF59" s="12" t="s">
        <v>600</v>
      </c>
    </row>
    <row r="60" spans="1:58" s="3" customFormat="1" ht="21.6" x14ac:dyDescent="0.3">
      <c r="A60" s="25"/>
      <c r="B60" s="26" t="s">
        <v>1766</v>
      </c>
      <c r="C60" s="419" t="s">
        <v>1767</v>
      </c>
      <c r="D60" s="419"/>
      <c r="E60" s="419"/>
      <c r="F60" s="27" t="s">
        <v>70</v>
      </c>
      <c r="G60" s="22" t="s">
        <v>4482</v>
      </c>
      <c r="H60" s="58"/>
      <c r="I60" s="28"/>
      <c r="J60" s="28"/>
      <c r="K60" s="29"/>
      <c r="BB60" s="14"/>
      <c r="BC60" s="15"/>
      <c r="BD60" s="21"/>
      <c r="BE60" s="43"/>
      <c r="BF60" s="12" t="s">
        <v>1767</v>
      </c>
    </row>
    <row r="61" spans="1:58" s="3" customFormat="1" ht="20.399999999999999" x14ac:dyDescent="0.3">
      <c r="A61" s="25"/>
      <c r="B61" s="26" t="s">
        <v>89</v>
      </c>
      <c r="C61" s="419" t="s">
        <v>90</v>
      </c>
      <c r="D61" s="419"/>
      <c r="E61" s="419"/>
      <c r="F61" s="27" t="s">
        <v>70</v>
      </c>
      <c r="G61" s="22" t="s">
        <v>4483</v>
      </c>
      <c r="H61" s="58"/>
      <c r="I61" s="28"/>
      <c r="J61" s="28"/>
      <c r="K61" s="29"/>
      <c r="BB61" s="14"/>
      <c r="BC61" s="15"/>
      <c r="BD61" s="21"/>
      <c r="BE61" s="43"/>
      <c r="BF61" s="12" t="s">
        <v>90</v>
      </c>
    </row>
    <row r="62" spans="1:58" s="3" customFormat="1" ht="21.6" x14ac:dyDescent="0.3">
      <c r="A62" s="25"/>
      <c r="B62" s="26" t="s">
        <v>607</v>
      </c>
      <c r="C62" s="419" t="s">
        <v>608</v>
      </c>
      <c r="D62" s="419"/>
      <c r="E62" s="419"/>
      <c r="F62" s="27" t="s">
        <v>609</v>
      </c>
      <c r="G62" s="22" t="s">
        <v>4484</v>
      </c>
      <c r="H62" s="58"/>
      <c r="I62" s="28"/>
      <c r="J62" s="28"/>
      <c r="K62" s="29"/>
      <c r="BB62" s="14"/>
      <c r="BC62" s="15"/>
      <c r="BD62" s="21"/>
      <c r="BE62" s="43"/>
      <c r="BF62" s="12" t="s">
        <v>608</v>
      </c>
    </row>
    <row r="63" spans="1:58" s="3" customFormat="1" ht="42" x14ac:dyDescent="0.3">
      <c r="A63" s="16" t="s">
        <v>177</v>
      </c>
      <c r="B63" s="17" t="s">
        <v>4485</v>
      </c>
      <c r="C63" s="405" t="s">
        <v>4486</v>
      </c>
      <c r="D63" s="405"/>
      <c r="E63" s="405"/>
      <c r="F63" s="16" t="s">
        <v>115</v>
      </c>
      <c r="G63" s="31">
        <v>75.48</v>
      </c>
      <c r="H63" s="57"/>
      <c r="I63" s="19">
        <f>9672.61-K63</f>
        <v>0</v>
      </c>
      <c r="J63" s="19"/>
      <c r="K63" s="19">
        <v>9672.61</v>
      </c>
      <c r="BB63" s="14"/>
      <c r="BC63" s="15"/>
      <c r="BD63" s="21" t="s">
        <v>4486</v>
      </c>
      <c r="BE63" s="43"/>
      <c r="BF63" s="12"/>
    </row>
    <row r="64" spans="1:58" s="3" customFormat="1" ht="15" customHeight="1" x14ac:dyDescent="0.3">
      <c r="A64" s="437" t="s">
        <v>4487</v>
      </c>
      <c r="B64" s="418"/>
      <c r="C64" s="418"/>
      <c r="D64" s="418"/>
      <c r="E64" s="418"/>
      <c r="F64" s="418"/>
      <c r="G64" s="418"/>
      <c r="H64" s="123"/>
      <c r="I64" s="123"/>
      <c r="J64" s="123"/>
      <c r="K64" s="124"/>
      <c r="BB64" s="14"/>
      <c r="BC64" s="15" t="s">
        <v>4487</v>
      </c>
      <c r="BD64" s="21"/>
      <c r="BE64" s="43"/>
      <c r="BF64" s="12"/>
    </row>
    <row r="65" spans="1:58" s="3" customFormat="1" ht="21.6" x14ac:dyDescent="0.3">
      <c r="A65" s="16" t="s">
        <v>180</v>
      </c>
      <c r="B65" s="17" t="s">
        <v>1945</v>
      </c>
      <c r="C65" s="405" t="s">
        <v>1946</v>
      </c>
      <c r="D65" s="405"/>
      <c r="E65" s="405"/>
      <c r="F65" s="16" t="s">
        <v>67</v>
      </c>
      <c r="G65" s="24">
        <v>0.6</v>
      </c>
      <c r="H65" s="57">
        <f>I65/G65</f>
        <v>10823.383333333333</v>
      </c>
      <c r="I65" s="19">
        <f>6690.66-K65</f>
        <v>6494.03</v>
      </c>
      <c r="J65" s="19">
        <f>K65/G65</f>
        <v>327.7166666666667</v>
      </c>
      <c r="K65" s="19">
        <v>196.63</v>
      </c>
      <c r="BB65" s="14"/>
      <c r="BC65" s="15"/>
      <c r="BD65" s="21" t="s">
        <v>1946</v>
      </c>
      <c r="BE65" s="43"/>
      <c r="BF65" s="12"/>
    </row>
    <row r="66" spans="1:58" s="3" customFormat="1" ht="20.399999999999999" x14ac:dyDescent="0.3">
      <c r="A66" s="25"/>
      <c r="B66" s="26" t="s">
        <v>599</v>
      </c>
      <c r="C66" s="419" t="s">
        <v>600</v>
      </c>
      <c r="D66" s="419"/>
      <c r="E66" s="419"/>
      <c r="F66" s="27" t="s">
        <v>406</v>
      </c>
      <c r="G66" s="22" t="s">
        <v>4488</v>
      </c>
      <c r="H66" s="58"/>
      <c r="I66" s="28"/>
      <c r="J66" s="28"/>
      <c r="K66" s="29"/>
      <c r="BB66" s="14"/>
      <c r="BC66" s="15"/>
      <c r="BD66" s="21"/>
      <c r="BE66" s="43"/>
      <c r="BF66" s="12" t="s">
        <v>600</v>
      </c>
    </row>
    <row r="67" spans="1:58" s="3" customFormat="1" ht="21.6" x14ac:dyDescent="0.3">
      <c r="A67" s="25"/>
      <c r="B67" s="26" t="s">
        <v>1766</v>
      </c>
      <c r="C67" s="419" t="s">
        <v>1767</v>
      </c>
      <c r="D67" s="419"/>
      <c r="E67" s="419"/>
      <c r="F67" s="27" t="s">
        <v>70</v>
      </c>
      <c r="G67" s="22" t="s">
        <v>4489</v>
      </c>
      <c r="H67" s="58"/>
      <c r="I67" s="28"/>
      <c r="J67" s="28"/>
      <c r="K67" s="29"/>
      <c r="BB67" s="14"/>
      <c r="BC67" s="15"/>
      <c r="BD67" s="21"/>
      <c r="BE67" s="43"/>
      <c r="BF67" s="12" t="s">
        <v>1767</v>
      </c>
    </row>
    <row r="68" spans="1:58" s="3" customFormat="1" ht="20.399999999999999" x14ac:dyDescent="0.3">
      <c r="A68" s="25"/>
      <c r="B68" s="26" t="s">
        <v>89</v>
      </c>
      <c r="C68" s="419" t="s">
        <v>90</v>
      </c>
      <c r="D68" s="419"/>
      <c r="E68" s="419"/>
      <c r="F68" s="27" t="s">
        <v>70</v>
      </c>
      <c r="G68" s="22" t="s">
        <v>4490</v>
      </c>
      <c r="H68" s="58"/>
      <c r="I68" s="28"/>
      <c r="J68" s="28"/>
      <c r="K68" s="29"/>
      <c r="BB68" s="14"/>
      <c r="BC68" s="15"/>
      <c r="BD68" s="21"/>
      <c r="BE68" s="43"/>
      <c r="BF68" s="12" t="s">
        <v>90</v>
      </c>
    </row>
    <row r="69" spans="1:58" s="3" customFormat="1" ht="21.6" x14ac:dyDescent="0.3">
      <c r="A69" s="25"/>
      <c r="B69" s="26" t="s">
        <v>607</v>
      </c>
      <c r="C69" s="419" t="s">
        <v>608</v>
      </c>
      <c r="D69" s="419"/>
      <c r="E69" s="419"/>
      <c r="F69" s="27" t="s">
        <v>609</v>
      </c>
      <c r="G69" s="22" t="s">
        <v>4491</v>
      </c>
      <c r="H69" s="58"/>
      <c r="I69" s="28"/>
      <c r="J69" s="28"/>
      <c r="K69" s="29"/>
      <c r="BB69" s="14"/>
      <c r="BC69" s="15"/>
      <c r="BD69" s="21"/>
      <c r="BE69" s="43"/>
      <c r="BF69" s="12" t="s">
        <v>608</v>
      </c>
    </row>
    <row r="70" spans="1:58" s="3" customFormat="1" ht="42" x14ac:dyDescent="0.3">
      <c r="A70" s="16" t="s">
        <v>182</v>
      </c>
      <c r="B70" s="17" t="s">
        <v>4485</v>
      </c>
      <c r="C70" s="405" t="s">
        <v>4486</v>
      </c>
      <c r="D70" s="405"/>
      <c r="E70" s="405"/>
      <c r="F70" s="16" t="s">
        <v>115</v>
      </c>
      <c r="G70" s="24">
        <v>61.2</v>
      </c>
      <c r="H70" s="57"/>
      <c r="I70" s="19">
        <f>7842.66-K70</f>
        <v>0</v>
      </c>
      <c r="J70" s="19"/>
      <c r="K70" s="19">
        <v>7842.66</v>
      </c>
      <c r="BB70" s="14"/>
      <c r="BC70" s="15"/>
      <c r="BD70" s="21" t="s">
        <v>4486</v>
      </c>
      <c r="BE70" s="43"/>
      <c r="BF70" s="12"/>
    </row>
    <row r="71" spans="1:58" s="3" customFormat="1" ht="15" customHeight="1" x14ac:dyDescent="0.3">
      <c r="A71" s="437" t="s">
        <v>4492</v>
      </c>
      <c r="B71" s="418"/>
      <c r="C71" s="418"/>
      <c r="D71" s="418"/>
      <c r="E71" s="418"/>
      <c r="F71" s="418"/>
      <c r="G71" s="418"/>
      <c r="H71" s="123"/>
      <c r="I71" s="123"/>
      <c r="J71" s="123"/>
      <c r="K71" s="124"/>
      <c r="BB71" s="14"/>
      <c r="BC71" s="15" t="s">
        <v>4492</v>
      </c>
      <c r="BD71" s="21"/>
      <c r="BE71" s="43"/>
      <c r="BF71" s="12"/>
    </row>
    <row r="72" spans="1:58" s="3" customFormat="1" ht="42" x14ac:dyDescent="0.3">
      <c r="A72" s="16" t="s">
        <v>186</v>
      </c>
      <c r="B72" s="17" t="s">
        <v>3893</v>
      </c>
      <c r="C72" s="405" t="s">
        <v>3894</v>
      </c>
      <c r="D72" s="405"/>
      <c r="E72" s="405"/>
      <c r="F72" s="16" t="s">
        <v>67</v>
      </c>
      <c r="G72" s="31">
        <v>0.24</v>
      </c>
      <c r="H72" s="57">
        <f>I72/G72</f>
        <v>10174.5</v>
      </c>
      <c r="I72" s="19">
        <f>2501.63-K72</f>
        <v>2441.88</v>
      </c>
      <c r="J72" s="19">
        <f>K72/G72</f>
        <v>248.95833333333334</v>
      </c>
      <c r="K72" s="19">
        <v>59.75</v>
      </c>
      <c r="BB72" s="14"/>
      <c r="BC72" s="15"/>
      <c r="BD72" s="21" t="s">
        <v>3894</v>
      </c>
      <c r="BE72" s="43"/>
      <c r="BF72" s="12"/>
    </row>
    <row r="73" spans="1:58" s="3" customFormat="1" ht="20.399999999999999" x14ac:dyDescent="0.3">
      <c r="A73" s="25"/>
      <c r="B73" s="26" t="s">
        <v>599</v>
      </c>
      <c r="C73" s="419" t="s">
        <v>600</v>
      </c>
      <c r="D73" s="419"/>
      <c r="E73" s="419"/>
      <c r="F73" s="27" t="s">
        <v>406</v>
      </c>
      <c r="G73" s="22" t="s">
        <v>4493</v>
      </c>
      <c r="H73" s="58"/>
      <c r="I73" s="28"/>
      <c r="J73" s="28"/>
      <c r="K73" s="29"/>
      <c r="BB73" s="14"/>
      <c r="BC73" s="15"/>
      <c r="BD73" s="21"/>
      <c r="BE73" s="43"/>
      <c r="BF73" s="12" t="s">
        <v>600</v>
      </c>
    </row>
    <row r="74" spans="1:58" s="3" customFormat="1" ht="20.399999999999999" x14ac:dyDescent="0.3">
      <c r="A74" s="25"/>
      <c r="B74" s="26" t="s">
        <v>1964</v>
      </c>
      <c r="C74" s="419" t="s">
        <v>1965</v>
      </c>
      <c r="D74" s="419"/>
      <c r="E74" s="419"/>
      <c r="F74" s="27" t="s">
        <v>70</v>
      </c>
      <c r="G74" s="22" t="s">
        <v>4494</v>
      </c>
      <c r="H74" s="58"/>
      <c r="I74" s="28"/>
      <c r="J74" s="28"/>
      <c r="K74" s="29"/>
      <c r="BB74" s="14"/>
      <c r="BC74" s="15"/>
      <c r="BD74" s="21"/>
      <c r="BE74" s="43"/>
      <c r="BF74" s="12" t="s">
        <v>1965</v>
      </c>
    </row>
    <row r="75" spans="1:58" s="3" customFormat="1" ht="21.6" x14ac:dyDescent="0.3">
      <c r="A75" s="25"/>
      <c r="B75" s="26" t="s">
        <v>1766</v>
      </c>
      <c r="C75" s="419" t="s">
        <v>1767</v>
      </c>
      <c r="D75" s="419"/>
      <c r="E75" s="419"/>
      <c r="F75" s="27" t="s">
        <v>70</v>
      </c>
      <c r="G75" s="22" t="s">
        <v>4495</v>
      </c>
      <c r="H75" s="58"/>
      <c r="I75" s="28"/>
      <c r="J75" s="28"/>
      <c r="K75" s="29"/>
      <c r="BB75" s="14"/>
      <c r="BC75" s="15"/>
      <c r="BD75" s="21"/>
      <c r="BE75" s="43"/>
      <c r="BF75" s="12" t="s">
        <v>1767</v>
      </c>
    </row>
    <row r="76" spans="1:58" s="3" customFormat="1" ht="20.399999999999999" x14ac:dyDescent="0.3">
      <c r="A76" s="25"/>
      <c r="B76" s="26" t="s">
        <v>89</v>
      </c>
      <c r="C76" s="419" t="s">
        <v>90</v>
      </c>
      <c r="D76" s="419"/>
      <c r="E76" s="419"/>
      <c r="F76" s="27" t="s">
        <v>70</v>
      </c>
      <c r="G76" s="22" t="s">
        <v>4496</v>
      </c>
      <c r="H76" s="58"/>
      <c r="I76" s="28"/>
      <c r="J76" s="28"/>
      <c r="K76" s="29"/>
      <c r="BB76" s="14"/>
      <c r="BC76" s="15"/>
      <c r="BD76" s="21"/>
      <c r="BE76" s="43"/>
      <c r="BF76" s="12" t="s">
        <v>90</v>
      </c>
    </row>
    <row r="77" spans="1:58" s="3" customFormat="1" ht="21.6" x14ac:dyDescent="0.3">
      <c r="A77" s="25"/>
      <c r="B77" s="26" t="s">
        <v>607</v>
      </c>
      <c r="C77" s="419" t="s">
        <v>608</v>
      </c>
      <c r="D77" s="419"/>
      <c r="E77" s="419"/>
      <c r="F77" s="27" t="s">
        <v>609</v>
      </c>
      <c r="G77" s="22" t="s">
        <v>4497</v>
      </c>
      <c r="H77" s="58"/>
      <c r="I77" s="28"/>
      <c r="J77" s="28"/>
      <c r="K77" s="29"/>
      <c r="BB77" s="14"/>
      <c r="BC77" s="15"/>
      <c r="BD77" s="21"/>
      <c r="BE77" s="43"/>
      <c r="BF77" s="12" t="s">
        <v>608</v>
      </c>
    </row>
    <row r="78" spans="1:58" s="3" customFormat="1" ht="72.599999999999994" x14ac:dyDescent="0.3">
      <c r="A78" s="16" t="s">
        <v>192</v>
      </c>
      <c r="B78" s="17" t="s">
        <v>4498</v>
      </c>
      <c r="C78" s="405" t="s">
        <v>4499</v>
      </c>
      <c r="D78" s="405"/>
      <c r="E78" s="405"/>
      <c r="F78" s="16" t="s">
        <v>115</v>
      </c>
      <c r="G78" s="31">
        <v>16.32</v>
      </c>
      <c r="H78" s="57"/>
      <c r="I78" s="19">
        <f>722.16-K78</f>
        <v>0</v>
      </c>
      <c r="J78" s="19"/>
      <c r="K78" s="19">
        <v>722.16</v>
      </c>
      <c r="BB78" s="14"/>
      <c r="BC78" s="15"/>
      <c r="BD78" s="21" t="s">
        <v>4499</v>
      </c>
      <c r="BE78" s="43"/>
      <c r="BF78" s="12"/>
    </row>
    <row r="79" spans="1:58" s="3" customFormat="1" ht="15" customHeight="1" x14ac:dyDescent="0.3">
      <c r="A79" s="437" t="s">
        <v>4500</v>
      </c>
      <c r="B79" s="418"/>
      <c r="C79" s="418"/>
      <c r="D79" s="418"/>
      <c r="E79" s="418"/>
      <c r="F79" s="418"/>
      <c r="G79" s="418"/>
      <c r="H79" s="123"/>
      <c r="I79" s="123"/>
      <c r="J79" s="123"/>
      <c r="K79" s="124"/>
      <c r="BB79" s="14"/>
      <c r="BC79" s="15" t="s">
        <v>4500</v>
      </c>
      <c r="BD79" s="21"/>
      <c r="BE79" s="43"/>
      <c r="BF79" s="12"/>
    </row>
    <row r="80" spans="1:58" s="3" customFormat="1" ht="21.6" x14ac:dyDescent="0.3">
      <c r="A80" s="16" t="s">
        <v>196</v>
      </c>
      <c r="B80" s="17" t="s">
        <v>4501</v>
      </c>
      <c r="C80" s="405" t="s">
        <v>4502</v>
      </c>
      <c r="D80" s="405"/>
      <c r="E80" s="405"/>
      <c r="F80" s="16" t="s">
        <v>38</v>
      </c>
      <c r="G80" s="23">
        <v>1</v>
      </c>
      <c r="H80" s="57">
        <f>I80/G80</f>
        <v>698.35</v>
      </c>
      <c r="I80" s="19">
        <f>792.51-K80</f>
        <v>698.35</v>
      </c>
      <c r="J80" s="19">
        <f>K80/G80</f>
        <v>94.16</v>
      </c>
      <c r="K80" s="19">
        <v>94.16</v>
      </c>
      <c r="BB80" s="14"/>
      <c r="BC80" s="15"/>
      <c r="BD80" s="21" t="s">
        <v>4502</v>
      </c>
      <c r="BE80" s="43"/>
      <c r="BF80" s="12"/>
    </row>
    <row r="81" spans="1:58" s="3" customFormat="1" ht="20.399999999999999" x14ac:dyDescent="0.3">
      <c r="A81" s="25"/>
      <c r="B81" s="26" t="s">
        <v>3770</v>
      </c>
      <c r="C81" s="419" t="s">
        <v>3771</v>
      </c>
      <c r="D81" s="419"/>
      <c r="E81" s="419"/>
      <c r="F81" s="27" t="s">
        <v>75</v>
      </c>
      <c r="G81" s="22" t="s">
        <v>1473</v>
      </c>
      <c r="H81" s="58"/>
      <c r="I81" s="28"/>
      <c r="J81" s="28"/>
      <c r="K81" s="29"/>
      <c r="BB81" s="14"/>
      <c r="BC81" s="15"/>
      <c r="BD81" s="21"/>
      <c r="BE81" s="43"/>
      <c r="BF81" s="12" t="s">
        <v>3771</v>
      </c>
    </row>
    <row r="82" spans="1:58" s="3" customFormat="1" ht="20.399999999999999" x14ac:dyDescent="0.3">
      <c r="A82" s="25"/>
      <c r="B82" s="26" t="s">
        <v>4503</v>
      </c>
      <c r="C82" s="419" t="s">
        <v>4504</v>
      </c>
      <c r="D82" s="419"/>
      <c r="E82" s="419"/>
      <c r="F82" s="27" t="s">
        <v>75</v>
      </c>
      <c r="G82" s="22" t="s">
        <v>1473</v>
      </c>
      <c r="H82" s="58"/>
      <c r="I82" s="28"/>
      <c r="J82" s="28"/>
      <c r="K82" s="29"/>
      <c r="BB82" s="14"/>
      <c r="BC82" s="15"/>
      <c r="BD82" s="21"/>
      <c r="BE82" s="43"/>
      <c r="BF82" s="12" t="s">
        <v>4504</v>
      </c>
    </row>
    <row r="83" spans="1:58" s="3" customFormat="1" ht="21.6" x14ac:dyDescent="0.3">
      <c r="A83" s="25"/>
      <c r="B83" s="26" t="s">
        <v>4505</v>
      </c>
      <c r="C83" s="419" t="s">
        <v>4506</v>
      </c>
      <c r="D83" s="419"/>
      <c r="E83" s="419"/>
      <c r="F83" s="27" t="s">
        <v>142</v>
      </c>
      <c r="G83" s="22" t="s">
        <v>1173</v>
      </c>
      <c r="H83" s="58"/>
      <c r="I83" s="28"/>
      <c r="J83" s="28"/>
      <c r="K83" s="29"/>
      <c r="BB83" s="14"/>
      <c r="BC83" s="15"/>
      <c r="BD83" s="21"/>
      <c r="BE83" s="43"/>
      <c r="BF83" s="12" t="s">
        <v>4506</v>
      </c>
    </row>
    <row r="84" spans="1:58" s="3" customFormat="1" ht="52.2" x14ac:dyDescent="0.3">
      <c r="A84" s="25"/>
      <c r="B84" s="26" t="s">
        <v>4507</v>
      </c>
      <c r="C84" s="419" t="s">
        <v>4508</v>
      </c>
      <c r="D84" s="419"/>
      <c r="E84" s="419"/>
      <c r="F84" s="27" t="s">
        <v>1261</v>
      </c>
      <c r="G84" s="22" t="s">
        <v>1561</v>
      </c>
      <c r="H84" s="58"/>
      <c r="I84" s="28"/>
      <c r="J84" s="28"/>
      <c r="K84" s="29"/>
      <c r="BB84" s="14"/>
      <c r="BC84" s="15"/>
      <c r="BD84" s="21"/>
      <c r="BE84" s="43"/>
      <c r="BF84" s="12" t="s">
        <v>4508</v>
      </c>
    </row>
    <row r="85" spans="1:58" s="3" customFormat="1" ht="21.6" x14ac:dyDescent="0.3">
      <c r="A85" s="25"/>
      <c r="B85" s="26" t="s">
        <v>4509</v>
      </c>
      <c r="C85" s="419" t="s">
        <v>4510</v>
      </c>
      <c r="D85" s="419"/>
      <c r="E85" s="419"/>
      <c r="F85" s="27" t="s">
        <v>70</v>
      </c>
      <c r="G85" s="22" t="s">
        <v>1471</v>
      </c>
      <c r="H85" s="58"/>
      <c r="I85" s="28"/>
      <c r="J85" s="28"/>
      <c r="K85" s="29"/>
      <c r="BB85" s="14"/>
      <c r="BC85" s="15"/>
      <c r="BD85" s="21"/>
      <c r="BE85" s="43"/>
      <c r="BF85" s="12" t="s">
        <v>4510</v>
      </c>
    </row>
    <row r="86" spans="1:58" s="3" customFormat="1" ht="21.6" x14ac:dyDescent="0.3">
      <c r="A86" s="25"/>
      <c r="B86" s="26" t="s">
        <v>4511</v>
      </c>
      <c r="C86" s="419" t="s">
        <v>4512</v>
      </c>
      <c r="D86" s="419"/>
      <c r="E86" s="419"/>
      <c r="F86" s="27" t="s">
        <v>46</v>
      </c>
      <c r="G86" s="22" t="s">
        <v>1927</v>
      </c>
      <c r="H86" s="58"/>
      <c r="I86" s="28"/>
      <c r="J86" s="28"/>
      <c r="K86" s="29"/>
      <c r="BB86" s="14"/>
      <c r="BC86" s="15"/>
      <c r="BD86" s="21"/>
      <c r="BE86" s="43"/>
      <c r="BF86" s="12" t="s">
        <v>4512</v>
      </c>
    </row>
    <row r="87" spans="1:58" s="3" customFormat="1" ht="20.399999999999999" x14ac:dyDescent="0.3">
      <c r="A87" s="25"/>
      <c r="B87" s="26" t="s">
        <v>4513</v>
      </c>
      <c r="C87" s="419" t="s">
        <v>4514</v>
      </c>
      <c r="D87" s="419"/>
      <c r="E87" s="419"/>
      <c r="F87" s="27" t="s">
        <v>142</v>
      </c>
      <c r="G87" s="22" t="s">
        <v>1473</v>
      </c>
      <c r="H87" s="58"/>
      <c r="I87" s="28"/>
      <c r="J87" s="28"/>
      <c r="K87" s="29"/>
      <c r="BB87" s="14"/>
      <c r="BC87" s="15"/>
      <c r="BD87" s="21"/>
      <c r="BE87" s="43"/>
      <c r="BF87" s="12" t="s">
        <v>4514</v>
      </c>
    </row>
    <row r="88" spans="1:58" s="3" customFormat="1" ht="21.6" x14ac:dyDescent="0.3">
      <c r="A88" s="25"/>
      <c r="B88" s="26" t="s">
        <v>607</v>
      </c>
      <c r="C88" s="419" t="s">
        <v>608</v>
      </c>
      <c r="D88" s="419"/>
      <c r="E88" s="419"/>
      <c r="F88" s="27" t="s">
        <v>609</v>
      </c>
      <c r="G88" s="22" t="s">
        <v>4515</v>
      </c>
      <c r="H88" s="58"/>
      <c r="I88" s="28"/>
      <c r="J88" s="28"/>
      <c r="K88" s="29"/>
      <c r="BB88" s="14"/>
      <c r="BC88" s="15"/>
      <c r="BD88" s="21"/>
      <c r="BE88" s="43"/>
      <c r="BF88" s="12" t="s">
        <v>608</v>
      </c>
    </row>
    <row r="89" spans="1:58" s="3" customFormat="1" ht="20.399999999999999" x14ac:dyDescent="0.3">
      <c r="A89" s="16" t="s">
        <v>4516</v>
      </c>
      <c r="B89" s="17" t="s">
        <v>4517</v>
      </c>
      <c r="C89" s="405" t="s">
        <v>4518</v>
      </c>
      <c r="D89" s="405"/>
      <c r="E89" s="405"/>
      <c r="F89" s="16" t="s">
        <v>1460</v>
      </c>
      <c r="G89" s="23">
        <v>1</v>
      </c>
      <c r="H89" s="57"/>
      <c r="I89" s="19">
        <f>123211.02-K89</f>
        <v>0</v>
      </c>
      <c r="J89" s="19"/>
      <c r="K89" s="19">
        <v>123211.02</v>
      </c>
      <c r="BB89" s="14"/>
      <c r="BC89" s="15"/>
      <c r="BD89" s="21" t="s">
        <v>4518</v>
      </c>
      <c r="BE89" s="43"/>
      <c r="BF89" s="12"/>
    </row>
    <row r="90" spans="1:58" s="3" customFormat="1" ht="15" customHeight="1" x14ac:dyDescent="0.3">
      <c r="A90" s="437" t="s">
        <v>4519</v>
      </c>
      <c r="B90" s="418"/>
      <c r="C90" s="418"/>
      <c r="D90" s="418"/>
      <c r="E90" s="418"/>
      <c r="F90" s="418"/>
      <c r="G90" s="418"/>
      <c r="H90" s="123"/>
      <c r="I90" s="123"/>
      <c r="J90" s="123"/>
      <c r="K90" s="124"/>
      <c r="BB90" s="14"/>
      <c r="BC90" s="15" t="s">
        <v>4519</v>
      </c>
      <c r="BD90" s="21"/>
      <c r="BE90" s="43"/>
      <c r="BF90" s="12"/>
    </row>
    <row r="91" spans="1:58" s="3" customFormat="1" ht="42" x14ac:dyDescent="0.3">
      <c r="A91" s="16" t="s">
        <v>201</v>
      </c>
      <c r="B91" s="17" t="s">
        <v>4520</v>
      </c>
      <c r="C91" s="405" t="s">
        <v>4521</v>
      </c>
      <c r="D91" s="405"/>
      <c r="E91" s="405"/>
      <c r="F91" s="16" t="s">
        <v>38</v>
      </c>
      <c r="G91" s="23">
        <v>1</v>
      </c>
      <c r="H91" s="57">
        <f>I91/G91</f>
        <v>2602.8600000000006</v>
      </c>
      <c r="I91" s="19">
        <f>4168.43-K91</f>
        <v>2602.8600000000006</v>
      </c>
      <c r="J91" s="19">
        <f>K91/G91</f>
        <v>1565.57</v>
      </c>
      <c r="K91" s="19">
        <v>1565.57</v>
      </c>
      <c r="BB91" s="14"/>
      <c r="BC91" s="15"/>
      <c r="BD91" s="21" t="s">
        <v>4521</v>
      </c>
      <c r="BE91" s="43"/>
      <c r="BF91" s="12"/>
    </row>
    <row r="92" spans="1:58" s="3" customFormat="1" ht="20.399999999999999" x14ac:dyDescent="0.3">
      <c r="A92" s="25"/>
      <c r="B92" s="26" t="s">
        <v>1693</v>
      </c>
      <c r="C92" s="419" t="s">
        <v>1694</v>
      </c>
      <c r="D92" s="419"/>
      <c r="E92" s="419"/>
      <c r="F92" s="27" t="s">
        <v>75</v>
      </c>
      <c r="G92" s="22" t="s">
        <v>4522</v>
      </c>
      <c r="H92" s="58"/>
      <c r="I92" s="28"/>
      <c r="J92" s="28"/>
      <c r="K92" s="29"/>
      <c r="BB92" s="14"/>
      <c r="BC92" s="15"/>
      <c r="BD92" s="21"/>
      <c r="BE92" s="43"/>
      <c r="BF92" s="12" t="s">
        <v>1694</v>
      </c>
    </row>
    <row r="93" spans="1:58" s="3" customFormat="1" ht="20.399999999999999" x14ac:dyDescent="0.3">
      <c r="A93" s="25"/>
      <c r="B93" s="26" t="s">
        <v>391</v>
      </c>
      <c r="C93" s="419" t="s">
        <v>392</v>
      </c>
      <c r="D93" s="419"/>
      <c r="E93" s="419"/>
      <c r="F93" s="27" t="s">
        <v>75</v>
      </c>
      <c r="G93" s="22" t="s">
        <v>4523</v>
      </c>
      <c r="H93" s="58"/>
      <c r="I93" s="28"/>
      <c r="J93" s="28"/>
      <c r="K93" s="29"/>
      <c r="BB93" s="14"/>
      <c r="BC93" s="15"/>
      <c r="BD93" s="21"/>
      <c r="BE93" s="43"/>
      <c r="BF93" s="12" t="s">
        <v>392</v>
      </c>
    </row>
    <row r="94" spans="1:58" s="3" customFormat="1" ht="21.6" x14ac:dyDescent="0.3">
      <c r="A94" s="25"/>
      <c r="B94" s="26" t="s">
        <v>1931</v>
      </c>
      <c r="C94" s="419" t="s">
        <v>1932</v>
      </c>
      <c r="D94" s="419"/>
      <c r="E94" s="419"/>
      <c r="F94" s="27" t="s">
        <v>70</v>
      </c>
      <c r="G94" s="22" t="s">
        <v>4524</v>
      </c>
      <c r="H94" s="58"/>
      <c r="I94" s="28"/>
      <c r="J94" s="28"/>
      <c r="K94" s="29"/>
      <c r="BB94" s="14"/>
      <c r="BC94" s="15"/>
      <c r="BD94" s="21"/>
      <c r="BE94" s="43"/>
      <c r="BF94" s="12" t="s">
        <v>1932</v>
      </c>
    </row>
    <row r="95" spans="1:58" s="3" customFormat="1" ht="20.399999999999999" x14ac:dyDescent="0.3">
      <c r="A95" s="25"/>
      <c r="B95" s="26" t="s">
        <v>605</v>
      </c>
      <c r="C95" s="419" t="s">
        <v>606</v>
      </c>
      <c r="D95" s="419"/>
      <c r="E95" s="419"/>
      <c r="F95" s="27" t="s">
        <v>75</v>
      </c>
      <c r="G95" s="22" t="s">
        <v>1159</v>
      </c>
      <c r="H95" s="58"/>
      <c r="I95" s="28"/>
      <c r="J95" s="28"/>
      <c r="K95" s="29"/>
      <c r="BB95" s="14"/>
      <c r="BC95" s="15"/>
      <c r="BD95" s="21"/>
      <c r="BE95" s="43"/>
      <c r="BF95" s="12" t="s">
        <v>606</v>
      </c>
    </row>
    <row r="96" spans="1:58" s="3" customFormat="1" ht="21.6" x14ac:dyDescent="0.3">
      <c r="A96" s="25"/>
      <c r="B96" s="26" t="s">
        <v>607</v>
      </c>
      <c r="C96" s="419" t="s">
        <v>608</v>
      </c>
      <c r="D96" s="419"/>
      <c r="E96" s="419"/>
      <c r="F96" s="27" t="s">
        <v>609</v>
      </c>
      <c r="G96" s="22" t="s">
        <v>3937</v>
      </c>
      <c r="H96" s="58"/>
      <c r="I96" s="28"/>
      <c r="J96" s="28"/>
      <c r="K96" s="29"/>
      <c r="BB96" s="14"/>
      <c r="BC96" s="15"/>
      <c r="BD96" s="21"/>
      <c r="BE96" s="43"/>
      <c r="BF96" s="12" t="s">
        <v>608</v>
      </c>
    </row>
    <row r="97" spans="1:58" s="3" customFormat="1" ht="21.6" x14ac:dyDescent="0.3">
      <c r="A97" s="16" t="s">
        <v>1891</v>
      </c>
      <c r="B97" s="17" t="s">
        <v>4525</v>
      </c>
      <c r="C97" s="405" t="s">
        <v>4526</v>
      </c>
      <c r="D97" s="405"/>
      <c r="E97" s="405"/>
      <c r="F97" s="16" t="s">
        <v>1460</v>
      </c>
      <c r="G97" s="23">
        <v>1</v>
      </c>
      <c r="H97" s="57"/>
      <c r="I97" s="19">
        <f>31029.01-K97</f>
        <v>0</v>
      </c>
      <c r="J97" s="19"/>
      <c r="K97" s="19">
        <v>31029.01</v>
      </c>
      <c r="BB97" s="14"/>
      <c r="BC97" s="15"/>
      <c r="BD97" s="21" t="s">
        <v>4526</v>
      </c>
      <c r="BE97" s="43"/>
      <c r="BF97" s="12"/>
    </row>
    <row r="98" spans="1:58" s="3" customFormat="1" ht="15" customHeight="1" x14ac:dyDescent="0.3">
      <c r="A98" s="437" t="s">
        <v>4527</v>
      </c>
      <c r="B98" s="418"/>
      <c r="C98" s="418"/>
      <c r="D98" s="418"/>
      <c r="E98" s="418"/>
      <c r="F98" s="418"/>
      <c r="G98" s="418"/>
      <c r="H98" s="123"/>
      <c r="I98" s="123"/>
      <c r="J98" s="123"/>
      <c r="K98" s="124"/>
      <c r="BB98" s="14"/>
      <c r="BC98" s="15" t="s">
        <v>4527</v>
      </c>
      <c r="BD98" s="21"/>
      <c r="BE98" s="43"/>
      <c r="BF98" s="12"/>
    </row>
    <row r="99" spans="1:58" s="3" customFormat="1" ht="21.6" x14ac:dyDescent="0.3">
      <c r="A99" s="16" t="s">
        <v>222</v>
      </c>
      <c r="B99" s="17" t="s">
        <v>4528</v>
      </c>
      <c r="C99" s="405" t="s">
        <v>4529</v>
      </c>
      <c r="D99" s="405"/>
      <c r="E99" s="405"/>
      <c r="F99" s="16" t="s">
        <v>38</v>
      </c>
      <c r="G99" s="23">
        <v>1</v>
      </c>
      <c r="H99" s="57">
        <f>I99/G99</f>
        <v>1949.57</v>
      </c>
      <c r="I99" s="19">
        <f>1952.76-K99</f>
        <v>1949.57</v>
      </c>
      <c r="J99" s="19">
        <f>K99/G99</f>
        <v>3.19</v>
      </c>
      <c r="K99" s="19">
        <v>3.19</v>
      </c>
      <c r="BB99" s="14"/>
      <c r="BC99" s="15"/>
      <c r="BD99" s="21" t="s">
        <v>4529</v>
      </c>
      <c r="BE99" s="43"/>
      <c r="BF99" s="12"/>
    </row>
    <row r="100" spans="1:58" s="3" customFormat="1" ht="21.6" x14ac:dyDescent="0.3">
      <c r="A100" s="25"/>
      <c r="B100" s="26" t="s">
        <v>607</v>
      </c>
      <c r="C100" s="419" t="s">
        <v>608</v>
      </c>
      <c r="D100" s="419"/>
      <c r="E100" s="419"/>
      <c r="F100" s="27" t="s">
        <v>609</v>
      </c>
      <c r="G100" s="22" t="s">
        <v>4530</v>
      </c>
      <c r="H100" s="58"/>
      <c r="I100" s="28"/>
      <c r="J100" s="28"/>
      <c r="K100" s="29"/>
      <c r="BB100" s="14"/>
      <c r="BC100" s="15"/>
      <c r="BD100" s="21"/>
      <c r="BE100" s="43"/>
      <c r="BF100" s="12" t="s">
        <v>608</v>
      </c>
    </row>
    <row r="101" spans="1:58" s="3" customFormat="1" ht="21.6" x14ac:dyDescent="0.3">
      <c r="A101" s="16" t="s">
        <v>4531</v>
      </c>
      <c r="B101" s="17" t="s">
        <v>4532</v>
      </c>
      <c r="C101" s="405" t="s">
        <v>4533</v>
      </c>
      <c r="D101" s="405"/>
      <c r="E101" s="405"/>
      <c r="F101" s="16" t="s">
        <v>1460</v>
      </c>
      <c r="G101" s="23">
        <v>1</v>
      </c>
      <c r="H101" s="57"/>
      <c r="I101" s="19">
        <f>6779.49-K101</f>
        <v>0</v>
      </c>
      <c r="J101" s="19"/>
      <c r="K101" s="19">
        <v>6779.49</v>
      </c>
      <c r="BB101" s="14"/>
      <c r="BC101" s="15"/>
      <c r="BD101" s="21" t="s">
        <v>4533</v>
      </c>
      <c r="BE101" s="43"/>
      <c r="BF101" s="12"/>
    </row>
    <row r="102" spans="1:58" s="3" customFormat="1" ht="15" customHeight="1" x14ac:dyDescent="0.3">
      <c r="A102" s="437" t="s">
        <v>4534</v>
      </c>
      <c r="B102" s="418"/>
      <c r="C102" s="418"/>
      <c r="D102" s="418"/>
      <c r="E102" s="418"/>
      <c r="F102" s="418"/>
      <c r="G102" s="418"/>
      <c r="H102" s="123"/>
      <c r="I102" s="123"/>
      <c r="J102" s="123"/>
      <c r="K102" s="124"/>
      <c r="BB102" s="14"/>
      <c r="BC102" s="15" t="s">
        <v>4534</v>
      </c>
      <c r="BD102" s="21"/>
      <c r="BE102" s="43"/>
      <c r="BF102" s="12"/>
    </row>
    <row r="103" spans="1:58" s="3" customFormat="1" ht="31.8" x14ac:dyDescent="0.3">
      <c r="A103" s="16" t="s">
        <v>227</v>
      </c>
      <c r="B103" s="17" t="s">
        <v>4535</v>
      </c>
      <c r="C103" s="405" t="s">
        <v>4536</v>
      </c>
      <c r="D103" s="405"/>
      <c r="E103" s="405"/>
      <c r="F103" s="16" t="s">
        <v>38</v>
      </c>
      <c r="G103" s="23">
        <v>3</v>
      </c>
      <c r="H103" s="57">
        <f>I103/G103</f>
        <v>2493.8966666666665</v>
      </c>
      <c r="I103" s="19">
        <f>7525.5-K103</f>
        <v>7481.69</v>
      </c>
      <c r="J103" s="19">
        <f>K103/G103</f>
        <v>14.603333333333333</v>
      </c>
      <c r="K103" s="19">
        <v>43.81</v>
      </c>
      <c r="BB103" s="14"/>
      <c r="BC103" s="15"/>
      <c r="BD103" s="21" t="s">
        <v>4536</v>
      </c>
      <c r="BE103" s="43"/>
      <c r="BF103" s="12"/>
    </row>
    <row r="104" spans="1:58" s="3" customFormat="1" ht="21.6" x14ac:dyDescent="0.3">
      <c r="A104" s="25"/>
      <c r="B104" s="26" t="s">
        <v>4537</v>
      </c>
      <c r="C104" s="419" t="s">
        <v>4538</v>
      </c>
      <c r="D104" s="419"/>
      <c r="E104" s="419"/>
      <c r="F104" s="27" t="s">
        <v>75</v>
      </c>
      <c r="G104" s="22" t="s">
        <v>4539</v>
      </c>
      <c r="H104" s="58"/>
      <c r="I104" s="28"/>
      <c r="J104" s="28"/>
      <c r="K104" s="29"/>
      <c r="BB104" s="14"/>
      <c r="BC104" s="15"/>
      <c r="BD104" s="21"/>
      <c r="BE104" s="43"/>
      <c r="BF104" s="12" t="s">
        <v>4538</v>
      </c>
    </row>
    <row r="105" spans="1:58" s="3" customFormat="1" ht="21.6" x14ac:dyDescent="0.3">
      <c r="A105" s="25"/>
      <c r="B105" s="26" t="s">
        <v>607</v>
      </c>
      <c r="C105" s="419" t="s">
        <v>608</v>
      </c>
      <c r="D105" s="419"/>
      <c r="E105" s="419"/>
      <c r="F105" s="27" t="s">
        <v>609</v>
      </c>
      <c r="G105" s="22" t="s">
        <v>4540</v>
      </c>
      <c r="H105" s="58"/>
      <c r="I105" s="28"/>
      <c r="J105" s="28"/>
      <c r="K105" s="29"/>
      <c r="BB105" s="14"/>
      <c r="BC105" s="15"/>
      <c r="BD105" s="21"/>
      <c r="BE105" s="43"/>
      <c r="BF105" s="12" t="s">
        <v>608</v>
      </c>
    </row>
    <row r="106" spans="1:58" s="3" customFormat="1" ht="20.399999999999999" x14ac:dyDescent="0.3">
      <c r="A106" s="16" t="s">
        <v>4541</v>
      </c>
      <c r="B106" s="17" t="s">
        <v>4542</v>
      </c>
      <c r="C106" s="405" t="s">
        <v>4543</v>
      </c>
      <c r="D106" s="405"/>
      <c r="E106" s="405"/>
      <c r="F106" s="16" t="s">
        <v>1460</v>
      </c>
      <c r="G106" s="23">
        <v>1</v>
      </c>
      <c r="H106" s="57"/>
      <c r="I106" s="19">
        <f>15281.19-K106</f>
        <v>0</v>
      </c>
      <c r="J106" s="19"/>
      <c r="K106" s="19">
        <v>15281.19</v>
      </c>
      <c r="BB106" s="14"/>
      <c r="BC106" s="15"/>
      <c r="BD106" s="21" t="s">
        <v>4543</v>
      </c>
      <c r="BE106" s="43"/>
      <c r="BF106" s="12"/>
    </row>
    <row r="107" spans="1:58" s="3" customFormat="1" ht="21.6" x14ac:dyDescent="0.3">
      <c r="A107" s="16" t="s">
        <v>233</v>
      </c>
      <c r="B107" s="17" t="s">
        <v>4544</v>
      </c>
      <c r="C107" s="405" t="s">
        <v>4545</v>
      </c>
      <c r="D107" s="405"/>
      <c r="E107" s="405"/>
      <c r="F107" s="16" t="s">
        <v>1460</v>
      </c>
      <c r="G107" s="23">
        <v>2</v>
      </c>
      <c r="H107" s="57"/>
      <c r="I107" s="19">
        <f>186.74-K107</f>
        <v>0</v>
      </c>
      <c r="J107" s="19"/>
      <c r="K107" s="19">
        <v>186.74</v>
      </c>
      <c r="BB107" s="14"/>
      <c r="BC107" s="15"/>
      <c r="BD107" s="21" t="s">
        <v>4545</v>
      </c>
      <c r="BE107" s="43"/>
      <c r="BF107" s="12"/>
    </row>
    <row r="108" spans="1:58" s="3" customFormat="1" ht="15" customHeight="1" x14ac:dyDescent="0.3">
      <c r="A108" s="437" t="s">
        <v>4546</v>
      </c>
      <c r="B108" s="418"/>
      <c r="C108" s="418"/>
      <c r="D108" s="418"/>
      <c r="E108" s="418"/>
      <c r="F108" s="418"/>
      <c r="G108" s="418"/>
      <c r="H108" s="123"/>
      <c r="I108" s="123"/>
      <c r="J108" s="123"/>
      <c r="K108" s="124"/>
      <c r="BB108" s="14"/>
      <c r="BC108" s="15" t="s">
        <v>4546</v>
      </c>
      <c r="BD108" s="21"/>
      <c r="BE108" s="43"/>
      <c r="BF108" s="12"/>
    </row>
    <row r="109" spans="1:58" s="3" customFormat="1" ht="21.6" x14ac:dyDescent="0.3">
      <c r="A109" s="16" t="s">
        <v>235</v>
      </c>
      <c r="B109" s="17" t="s">
        <v>4547</v>
      </c>
      <c r="C109" s="405" t="s">
        <v>4548</v>
      </c>
      <c r="D109" s="405"/>
      <c r="E109" s="405"/>
      <c r="F109" s="16" t="s">
        <v>38</v>
      </c>
      <c r="G109" s="23">
        <v>19</v>
      </c>
      <c r="H109" s="57">
        <f>I109/G109</f>
        <v>912.84894736842114</v>
      </c>
      <c r="I109" s="19">
        <f>17374.4-K109</f>
        <v>17344.13</v>
      </c>
      <c r="J109" s="19">
        <f>K109/G109</f>
        <v>1.5931578947368421</v>
      </c>
      <c r="K109" s="19">
        <v>30.27</v>
      </c>
      <c r="BB109" s="14"/>
      <c r="BC109" s="15"/>
      <c r="BD109" s="21" t="s">
        <v>4548</v>
      </c>
      <c r="BE109" s="43"/>
      <c r="BF109" s="12"/>
    </row>
    <row r="110" spans="1:58" s="3" customFormat="1" ht="21.6" x14ac:dyDescent="0.3">
      <c r="A110" s="25"/>
      <c r="B110" s="26" t="s">
        <v>607</v>
      </c>
      <c r="C110" s="419" t="s">
        <v>608</v>
      </c>
      <c r="D110" s="419"/>
      <c r="E110" s="419"/>
      <c r="F110" s="27" t="s">
        <v>609</v>
      </c>
      <c r="G110" s="22" t="s">
        <v>4549</v>
      </c>
      <c r="H110" s="58"/>
      <c r="I110" s="28"/>
      <c r="J110" s="28"/>
      <c r="K110" s="29"/>
      <c r="BB110" s="14"/>
      <c r="BC110" s="15"/>
      <c r="BD110" s="21"/>
      <c r="BE110" s="43"/>
      <c r="BF110" s="12" t="s">
        <v>608</v>
      </c>
    </row>
    <row r="111" spans="1:58" s="3" customFormat="1" ht="42" x14ac:dyDescent="0.3">
      <c r="A111" s="16" t="s">
        <v>1589</v>
      </c>
      <c r="B111" s="17" t="s">
        <v>4550</v>
      </c>
      <c r="C111" s="405" t="s">
        <v>4551</v>
      </c>
      <c r="D111" s="405"/>
      <c r="E111" s="405"/>
      <c r="F111" s="16" t="s">
        <v>1460</v>
      </c>
      <c r="G111" s="23">
        <v>1</v>
      </c>
      <c r="H111" s="57"/>
      <c r="I111" s="19">
        <v>0</v>
      </c>
      <c r="J111" s="19"/>
      <c r="K111" s="19">
        <v>653499.03</v>
      </c>
      <c r="BB111" s="14"/>
      <c r="BC111" s="15"/>
      <c r="BD111" s="21" t="s">
        <v>4551</v>
      </c>
      <c r="BE111" s="43"/>
      <c r="BF111" s="12"/>
    </row>
    <row r="112" spans="1:58" s="3" customFormat="1" ht="20.399999999999999" x14ac:dyDescent="0.3">
      <c r="A112" s="16" t="s">
        <v>4552</v>
      </c>
      <c r="B112" s="17" t="s">
        <v>4553</v>
      </c>
      <c r="C112" s="405" t="s">
        <v>4554</v>
      </c>
      <c r="D112" s="405"/>
      <c r="E112" s="405"/>
      <c r="F112" s="16" t="s">
        <v>1460</v>
      </c>
      <c r="G112" s="23">
        <v>3</v>
      </c>
      <c r="H112" s="57"/>
      <c r="I112" s="19">
        <v>0</v>
      </c>
      <c r="J112" s="19"/>
      <c r="K112" s="19">
        <v>38253.57</v>
      </c>
      <c r="BB112" s="14"/>
      <c r="BC112" s="15"/>
      <c r="BD112" s="21" t="s">
        <v>4554</v>
      </c>
      <c r="BE112" s="43"/>
      <c r="BF112" s="12"/>
    </row>
    <row r="113" spans="1:58" s="3" customFormat="1" ht="20.399999999999999" x14ac:dyDescent="0.3">
      <c r="A113" s="16" t="s">
        <v>4555</v>
      </c>
      <c r="B113" s="17" t="s">
        <v>4556</v>
      </c>
      <c r="C113" s="405" t="s">
        <v>4557</v>
      </c>
      <c r="D113" s="405"/>
      <c r="E113" s="405"/>
      <c r="F113" s="16" t="s">
        <v>1460</v>
      </c>
      <c r="G113" s="23">
        <v>2</v>
      </c>
      <c r="H113" s="57"/>
      <c r="I113" s="19">
        <v>0</v>
      </c>
      <c r="J113" s="19"/>
      <c r="K113" s="19">
        <v>37140.39</v>
      </c>
      <c r="BB113" s="14"/>
      <c r="BC113" s="15"/>
      <c r="BD113" s="21" t="s">
        <v>4557</v>
      </c>
      <c r="BE113" s="43"/>
      <c r="BF113" s="12"/>
    </row>
    <row r="114" spans="1:58" s="3" customFormat="1" ht="20.399999999999999" x14ac:dyDescent="0.3">
      <c r="A114" s="16" t="s">
        <v>4558</v>
      </c>
      <c r="B114" s="17" t="s">
        <v>4559</v>
      </c>
      <c r="C114" s="405" t="s">
        <v>4560</v>
      </c>
      <c r="D114" s="405"/>
      <c r="E114" s="405"/>
      <c r="F114" s="16" t="s">
        <v>1460</v>
      </c>
      <c r="G114" s="23">
        <v>1</v>
      </c>
      <c r="H114" s="57"/>
      <c r="I114" s="19">
        <v>0</v>
      </c>
      <c r="J114" s="19"/>
      <c r="K114" s="19">
        <v>9867.01</v>
      </c>
      <c r="BB114" s="14"/>
      <c r="BC114" s="15"/>
      <c r="BD114" s="21" t="s">
        <v>4560</v>
      </c>
      <c r="BE114" s="43"/>
      <c r="BF114" s="12"/>
    </row>
    <row r="115" spans="1:58" s="3" customFormat="1" ht="20.399999999999999" x14ac:dyDescent="0.3">
      <c r="A115" s="16" t="s">
        <v>4561</v>
      </c>
      <c r="B115" s="17" t="s">
        <v>4562</v>
      </c>
      <c r="C115" s="405" t="s">
        <v>4563</v>
      </c>
      <c r="D115" s="405"/>
      <c r="E115" s="405"/>
      <c r="F115" s="16" t="s">
        <v>1460</v>
      </c>
      <c r="G115" s="23">
        <v>1</v>
      </c>
      <c r="H115" s="57"/>
      <c r="I115" s="19">
        <v>0</v>
      </c>
      <c r="J115" s="19"/>
      <c r="K115" s="19">
        <v>9867.01</v>
      </c>
      <c r="BB115" s="14"/>
      <c r="BC115" s="15"/>
      <c r="BD115" s="21" t="s">
        <v>4563</v>
      </c>
      <c r="BE115" s="43"/>
      <c r="BF115" s="12"/>
    </row>
    <row r="116" spans="1:58" s="3" customFormat="1" ht="20.399999999999999" x14ac:dyDescent="0.3">
      <c r="A116" s="16" t="s">
        <v>4564</v>
      </c>
      <c r="B116" s="17" t="s">
        <v>4565</v>
      </c>
      <c r="C116" s="405" t="s">
        <v>4566</v>
      </c>
      <c r="D116" s="405"/>
      <c r="E116" s="405"/>
      <c r="F116" s="16" t="s">
        <v>1460</v>
      </c>
      <c r="G116" s="23">
        <v>2</v>
      </c>
      <c r="H116" s="57"/>
      <c r="I116" s="19">
        <v>0</v>
      </c>
      <c r="J116" s="19"/>
      <c r="K116" s="19">
        <v>148764.04999999999</v>
      </c>
      <c r="BB116" s="14"/>
      <c r="BC116" s="15"/>
      <c r="BD116" s="21" t="s">
        <v>4566</v>
      </c>
      <c r="BE116" s="43"/>
      <c r="BF116" s="12"/>
    </row>
    <row r="117" spans="1:58" s="3" customFormat="1" ht="20.399999999999999" x14ac:dyDescent="0.3">
      <c r="A117" s="16" t="s">
        <v>533</v>
      </c>
      <c r="B117" s="17" t="s">
        <v>4567</v>
      </c>
      <c r="C117" s="405" t="s">
        <v>4568</v>
      </c>
      <c r="D117" s="405"/>
      <c r="E117" s="405"/>
      <c r="F117" s="16" t="s">
        <v>1460</v>
      </c>
      <c r="G117" s="23">
        <v>1</v>
      </c>
      <c r="H117" s="57"/>
      <c r="I117" s="19">
        <v>0</v>
      </c>
      <c r="J117" s="19"/>
      <c r="K117" s="19">
        <v>2301.5300000000002</v>
      </c>
      <c r="BB117" s="14"/>
      <c r="BC117" s="15"/>
      <c r="BD117" s="21" t="s">
        <v>4568</v>
      </c>
      <c r="BE117" s="43"/>
      <c r="BF117" s="12"/>
    </row>
    <row r="118" spans="1:58" s="3" customFormat="1" ht="20.399999999999999" x14ac:dyDescent="0.3">
      <c r="A118" s="16" t="s">
        <v>4569</v>
      </c>
      <c r="B118" s="17" t="s">
        <v>4570</v>
      </c>
      <c r="C118" s="405" t="s">
        <v>4571</v>
      </c>
      <c r="D118" s="405"/>
      <c r="E118" s="405"/>
      <c r="F118" s="16" t="s">
        <v>1460</v>
      </c>
      <c r="G118" s="23">
        <v>1</v>
      </c>
      <c r="H118" s="57"/>
      <c r="I118" s="19">
        <v>0</v>
      </c>
      <c r="J118" s="19"/>
      <c r="K118" s="19">
        <v>116380.01</v>
      </c>
      <c r="BB118" s="14"/>
      <c r="BC118" s="15"/>
      <c r="BD118" s="21" t="s">
        <v>4571</v>
      </c>
      <c r="BE118" s="43"/>
      <c r="BF118" s="12"/>
    </row>
    <row r="119" spans="1:58" s="3" customFormat="1" ht="20.399999999999999" x14ac:dyDescent="0.3">
      <c r="A119" s="16" t="s">
        <v>4572</v>
      </c>
      <c r="B119" s="17" t="s">
        <v>4573</v>
      </c>
      <c r="C119" s="405" t="s">
        <v>4574</v>
      </c>
      <c r="D119" s="405"/>
      <c r="E119" s="405"/>
      <c r="F119" s="16" t="s">
        <v>1460</v>
      </c>
      <c r="G119" s="23">
        <v>4</v>
      </c>
      <c r="H119" s="57"/>
      <c r="I119" s="19">
        <v>0</v>
      </c>
      <c r="J119" s="19"/>
      <c r="K119" s="19">
        <v>325459.19</v>
      </c>
      <c r="BB119" s="14"/>
      <c r="BC119" s="15"/>
      <c r="BD119" s="21" t="s">
        <v>4574</v>
      </c>
      <c r="BE119" s="43"/>
      <c r="BF119" s="12"/>
    </row>
    <row r="120" spans="1:58" s="3" customFormat="1" ht="20.399999999999999" x14ac:dyDescent="0.3">
      <c r="A120" s="16" t="s">
        <v>4575</v>
      </c>
      <c r="B120" s="17" t="s">
        <v>4576</v>
      </c>
      <c r="C120" s="405" t="s">
        <v>4577</v>
      </c>
      <c r="D120" s="405"/>
      <c r="E120" s="405"/>
      <c r="F120" s="16" t="s">
        <v>1460</v>
      </c>
      <c r="G120" s="23">
        <v>1</v>
      </c>
      <c r="H120" s="57"/>
      <c r="I120" s="19">
        <v>0</v>
      </c>
      <c r="J120" s="19"/>
      <c r="K120" s="19">
        <v>154330</v>
      </c>
      <c r="BB120" s="14"/>
      <c r="BC120" s="15"/>
      <c r="BD120" s="21" t="s">
        <v>4577</v>
      </c>
      <c r="BE120" s="43"/>
      <c r="BF120" s="12"/>
    </row>
    <row r="121" spans="1:58" s="3" customFormat="1" ht="20.399999999999999" x14ac:dyDescent="0.3">
      <c r="A121" s="16" t="s">
        <v>4578</v>
      </c>
      <c r="B121" s="17" t="s">
        <v>4579</v>
      </c>
      <c r="C121" s="405" t="s">
        <v>4580</v>
      </c>
      <c r="D121" s="405"/>
      <c r="E121" s="405"/>
      <c r="F121" s="16" t="s">
        <v>1460</v>
      </c>
      <c r="G121" s="23">
        <v>1</v>
      </c>
      <c r="H121" s="57"/>
      <c r="I121" s="19">
        <v>0</v>
      </c>
      <c r="J121" s="19"/>
      <c r="K121" s="19">
        <v>11359.72</v>
      </c>
      <c r="BB121" s="14"/>
      <c r="BC121" s="15"/>
      <c r="BD121" s="21" t="s">
        <v>4580</v>
      </c>
      <c r="BE121" s="43"/>
      <c r="BF121" s="12"/>
    </row>
    <row r="122" spans="1:58" s="3" customFormat="1" ht="20.399999999999999" x14ac:dyDescent="0.3">
      <c r="A122" s="16" t="s">
        <v>4581</v>
      </c>
      <c r="B122" s="17" t="s">
        <v>4582</v>
      </c>
      <c r="C122" s="405" t="s">
        <v>4583</v>
      </c>
      <c r="D122" s="405"/>
      <c r="E122" s="405"/>
      <c r="F122" s="16" t="s">
        <v>1460</v>
      </c>
      <c r="G122" s="23">
        <v>1</v>
      </c>
      <c r="H122" s="57"/>
      <c r="I122" s="19">
        <v>0</v>
      </c>
      <c r="J122" s="19"/>
      <c r="K122" s="19">
        <v>234784.03</v>
      </c>
      <c r="BB122" s="14"/>
      <c r="BC122" s="15"/>
      <c r="BD122" s="21" t="s">
        <v>4583</v>
      </c>
      <c r="BE122" s="43"/>
      <c r="BF122" s="12"/>
    </row>
    <row r="123" spans="1:58" s="3" customFormat="1" ht="20.399999999999999" x14ac:dyDescent="0.3">
      <c r="A123" s="16" t="s">
        <v>584</v>
      </c>
      <c r="B123" s="17" t="s">
        <v>4584</v>
      </c>
      <c r="C123" s="405" t="s">
        <v>4585</v>
      </c>
      <c r="D123" s="405"/>
      <c r="E123" s="405"/>
      <c r="F123" s="16" t="s">
        <v>1460</v>
      </c>
      <c r="G123" s="23">
        <v>1</v>
      </c>
      <c r="H123" s="57"/>
      <c r="I123" s="19">
        <v>0</v>
      </c>
      <c r="J123" s="19"/>
      <c r="K123" s="19">
        <v>2741.29</v>
      </c>
      <c r="BB123" s="14"/>
      <c r="BC123" s="15"/>
      <c r="BD123" s="21" t="s">
        <v>4585</v>
      </c>
      <c r="BE123" s="43"/>
      <c r="BF123" s="12"/>
    </row>
    <row r="124" spans="1:58" s="3" customFormat="1" ht="20.399999999999999" x14ac:dyDescent="0.3">
      <c r="A124" s="16" t="s">
        <v>585</v>
      </c>
      <c r="B124" s="17" t="s">
        <v>4586</v>
      </c>
      <c r="C124" s="405" t="s">
        <v>4587</v>
      </c>
      <c r="D124" s="405"/>
      <c r="E124" s="405"/>
      <c r="F124" s="16" t="s">
        <v>1460</v>
      </c>
      <c r="G124" s="23">
        <v>1</v>
      </c>
      <c r="H124" s="57"/>
      <c r="I124" s="19">
        <v>0</v>
      </c>
      <c r="J124" s="19"/>
      <c r="K124" s="19">
        <v>4946.97</v>
      </c>
      <c r="BB124" s="14"/>
      <c r="BC124" s="15"/>
      <c r="BD124" s="21" t="s">
        <v>4587</v>
      </c>
      <c r="BE124" s="43"/>
      <c r="BF124" s="12"/>
    </row>
    <row r="125" spans="1:58" s="3" customFormat="1" ht="20.399999999999999" x14ac:dyDescent="0.3">
      <c r="A125" s="16" t="s">
        <v>2137</v>
      </c>
      <c r="B125" s="17" t="s">
        <v>4588</v>
      </c>
      <c r="C125" s="405" t="s">
        <v>4589</v>
      </c>
      <c r="D125" s="405"/>
      <c r="E125" s="405"/>
      <c r="F125" s="16" t="s">
        <v>1460</v>
      </c>
      <c r="G125" s="23">
        <v>2</v>
      </c>
      <c r="H125" s="57"/>
      <c r="I125" s="19">
        <v>0</v>
      </c>
      <c r="J125" s="19"/>
      <c r="K125" s="19">
        <v>43329.599999999999</v>
      </c>
      <c r="BB125" s="14"/>
      <c r="BC125" s="15"/>
      <c r="BD125" s="21" t="s">
        <v>4589</v>
      </c>
      <c r="BE125" s="43"/>
      <c r="BF125" s="12"/>
    </row>
    <row r="126" spans="1:58" s="3" customFormat="1" ht="21.6" x14ac:dyDescent="0.3">
      <c r="A126" s="16" t="s">
        <v>2138</v>
      </c>
      <c r="B126" s="17" t="s">
        <v>4590</v>
      </c>
      <c r="C126" s="405" t="s">
        <v>4591</v>
      </c>
      <c r="D126" s="405"/>
      <c r="E126" s="405"/>
      <c r="F126" s="16" t="s">
        <v>1460</v>
      </c>
      <c r="G126" s="23">
        <v>1</v>
      </c>
      <c r="H126" s="57"/>
      <c r="I126" s="19">
        <v>0</v>
      </c>
      <c r="J126" s="19"/>
      <c r="K126" s="19">
        <v>10624.96</v>
      </c>
      <c r="BB126" s="14"/>
      <c r="BC126" s="15"/>
      <c r="BD126" s="21" t="s">
        <v>4591</v>
      </c>
      <c r="BE126" s="43"/>
      <c r="BF126" s="12"/>
    </row>
    <row r="127" spans="1:58" s="3" customFormat="1" ht="20.399999999999999" x14ac:dyDescent="0.3">
      <c r="A127" s="16" t="s">
        <v>2139</v>
      </c>
      <c r="B127" s="17" t="s">
        <v>4592</v>
      </c>
      <c r="C127" s="405" t="s">
        <v>4593</v>
      </c>
      <c r="D127" s="405"/>
      <c r="E127" s="405"/>
      <c r="F127" s="16" t="s">
        <v>1460</v>
      </c>
      <c r="G127" s="23">
        <v>1</v>
      </c>
      <c r="H127" s="57"/>
      <c r="I127" s="19">
        <v>0</v>
      </c>
      <c r="J127" s="19"/>
      <c r="K127" s="19">
        <v>2090.9899999999998</v>
      </c>
      <c r="BB127" s="14"/>
      <c r="BC127" s="15"/>
      <c r="BD127" s="21" t="s">
        <v>4593</v>
      </c>
      <c r="BE127" s="43"/>
      <c r="BF127" s="12"/>
    </row>
    <row r="128" spans="1:58" s="3" customFormat="1" ht="21.6" x14ac:dyDescent="0.3">
      <c r="A128" s="16" t="s">
        <v>2144</v>
      </c>
      <c r="B128" s="17" t="s">
        <v>4594</v>
      </c>
      <c r="C128" s="405" t="s">
        <v>4595</v>
      </c>
      <c r="D128" s="405"/>
      <c r="E128" s="405"/>
      <c r="F128" s="16" t="s">
        <v>1460</v>
      </c>
      <c r="G128" s="23">
        <v>1</v>
      </c>
      <c r="H128" s="57"/>
      <c r="I128" s="19">
        <v>0</v>
      </c>
      <c r="J128" s="19"/>
      <c r="K128" s="19">
        <v>3824.97</v>
      </c>
      <c r="BB128" s="14"/>
      <c r="BC128" s="15"/>
      <c r="BD128" s="21" t="s">
        <v>4595</v>
      </c>
      <c r="BE128" s="43"/>
      <c r="BF128" s="12"/>
    </row>
    <row r="129" spans="1:58" s="3" customFormat="1" ht="15" customHeight="1" x14ac:dyDescent="0.3">
      <c r="A129" s="437" t="s">
        <v>4596</v>
      </c>
      <c r="B129" s="418"/>
      <c r="C129" s="418"/>
      <c r="D129" s="418"/>
      <c r="E129" s="418"/>
      <c r="F129" s="418"/>
      <c r="G129" s="418"/>
      <c r="H129" s="123"/>
      <c r="I129" s="123"/>
      <c r="J129" s="123"/>
      <c r="K129" s="124"/>
      <c r="BB129" s="14"/>
      <c r="BC129" s="15" t="s">
        <v>4596</v>
      </c>
      <c r="BD129" s="21"/>
      <c r="BE129" s="43"/>
      <c r="BF129" s="12"/>
    </row>
    <row r="130" spans="1:58" s="3" customFormat="1" ht="21.6" x14ac:dyDescent="0.3">
      <c r="A130" s="16" t="s">
        <v>2169</v>
      </c>
      <c r="B130" s="17" t="s">
        <v>4501</v>
      </c>
      <c r="C130" s="405" t="s">
        <v>4502</v>
      </c>
      <c r="D130" s="405"/>
      <c r="E130" s="405"/>
      <c r="F130" s="16" t="s">
        <v>38</v>
      </c>
      <c r="G130" s="23">
        <v>1</v>
      </c>
      <c r="H130" s="57">
        <f>I130/G130</f>
        <v>698.35</v>
      </c>
      <c r="I130" s="19">
        <f>792.51-K130</f>
        <v>698.35</v>
      </c>
      <c r="J130" s="19">
        <f>K130/G130</f>
        <v>94.16</v>
      </c>
      <c r="K130" s="19">
        <v>94.16</v>
      </c>
      <c r="BB130" s="14"/>
      <c r="BC130" s="15"/>
      <c r="BD130" s="21" t="s">
        <v>4502</v>
      </c>
      <c r="BE130" s="43"/>
      <c r="BF130" s="12"/>
    </row>
    <row r="131" spans="1:58" s="3" customFormat="1" ht="20.399999999999999" x14ac:dyDescent="0.3">
      <c r="A131" s="25"/>
      <c r="B131" s="26" t="s">
        <v>3770</v>
      </c>
      <c r="C131" s="419" t="s">
        <v>3771</v>
      </c>
      <c r="D131" s="419"/>
      <c r="E131" s="419"/>
      <c r="F131" s="27" t="s">
        <v>75</v>
      </c>
      <c r="G131" s="22" t="s">
        <v>1473</v>
      </c>
      <c r="H131" s="58"/>
      <c r="I131" s="28"/>
      <c r="J131" s="28"/>
      <c r="K131" s="29"/>
      <c r="BB131" s="14"/>
      <c r="BC131" s="15"/>
      <c r="BD131" s="21"/>
      <c r="BE131" s="43"/>
      <c r="BF131" s="12" t="s">
        <v>3771</v>
      </c>
    </row>
    <row r="132" spans="1:58" s="3" customFormat="1" ht="20.399999999999999" x14ac:dyDescent="0.3">
      <c r="A132" s="25"/>
      <c r="B132" s="26" t="s">
        <v>4503</v>
      </c>
      <c r="C132" s="419" t="s">
        <v>4504</v>
      </c>
      <c r="D132" s="419"/>
      <c r="E132" s="419"/>
      <c r="F132" s="27" t="s">
        <v>75</v>
      </c>
      <c r="G132" s="22" t="s">
        <v>1473</v>
      </c>
      <c r="H132" s="58"/>
      <c r="I132" s="28"/>
      <c r="J132" s="28"/>
      <c r="K132" s="29"/>
      <c r="BB132" s="14"/>
      <c r="BC132" s="15"/>
      <c r="BD132" s="21"/>
      <c r="BE132" s="43"/>
      <c r="BF132" s="12" t="s">
        <v>4504</v>
      </c>
    </row>
    <row r="133" spans="1:58" s="3" customFormat="1" ht="21.6" x14ac:dyDescent="0.3">
      <c r="A133" s="25"/>
      <c r="B133" s="26" t="s">
        <v>4505</v>
      </c>
      <c r="C133" s="419" t="s">
        <v>4506</v>
      </c>
      <c r="D133" s="419"/>
      <c r="E133" s="419"/>
      <c r="F133" s="27" t="s">
        <v>142</v>
      </c>
      <c r="G133" s="22" t="s">
        <v>1173</v>
      </c>
      <c r="H133" s="58"/>
      <c r="I133" s="28"/>
      <c r="J133" s="28"/>
      <c r="K133" s="29"/>
      <c r="BB133" s="14"/>
      <c r="BC133" s="15"/>
      <c r="BD133" s="21"/>
      <c r="BE133" s="43"/>
      <c r="BF133" s="12" t="s">
        <v>4506</v>
      </c>
    </row>
    <row r="134" spans="1:58" s="3" customFormat="1" ht="52.2" x14ac:dyDescent="0.3">
      <c r="A134" s="25"/>
      <c r="B134" s="26" t="s">
        <v>4507</v>
      </c>
      <c r="C134" s="419" t="s">
        <v>4508</v>
      </c>
      <c r="D134" s="419"/>
      <c r="E134" s="419"/>
      <c r="F134" s="27" t="s">
        <v>1261</v>
      </c>
      <c r="G134" s="22" t="s">
        <v>1561</v>
      </c>
      <c r="H134" s="58"/>
      <c r="I134" s="28"/>
      <c r="J134" s="28"/>
      <c r="K134" s="29"/>
      <c r="BB134" s="14"/>
      <c r="BC134" s="15"/>
      <c r="BD134" s="21"/>
      <c r="BE134" s="43"/>
      <c r="BF134" s="12" t="s">
        <v>4508</v>
      </c>
    </row>
    <row r="135" spans="1:58" s="3" customFormat="1" ht="21.6" x14ac:dyDescent="0.3">
      <c r="A135" s="25"/>
      <c r="B135" s="26" t="s">
        <v>4509</v>
      </c>
      <c r="C135" s="419" t="s">
        <v>4510</v>
      </c>
      <c r="D135" s="419"/>
      <c r="E135" s="419"/>
      <c r="F135" s="27" t="s">
        <v>70</v>
      </c>
      <c r="G135" s="22" t="s">
        <v>1471</v>
      </c>
      <c r="H135" s="58"/>
      <c r="I135" s="28"/>
      <c r="J135" s="28"/>
      <c r="K135" s="29"/>
      <c r="BB135" s="14"/>
      <c r="BC135" s="15"/>
      <c r="BD135" s="21"/>
      <c r="BE135" s="43"/>
      <c r="BF135" s="12" t="s">
        <v>4510</v>
      </c>
    </row>
    <row r="136" spans="1:58" s="3" customFormat="1" ht="21.6" x14ac:dyDescent="0.3">
      <c r="A136" s="25"/>
      <c r="B136" s="26" t="s">
        <v>4511</v>
      </c>
      <c r="C136" s="419" t="s">
        <v>4512</v>
      </c>
      <c r="D136" s="419"/>
      <c r="E136" s="419"/>
      <c r="F136" s="27" t="s">
        <v>46</v>
      </c>
      <c r="G136" s="22" t="s">
        <v>1927</v>
      </c>
      <c r="H136" s="58"/>
      <c r="I136" s="28"/>
      <c r="J136" s="28"/>
      <c r="K136" s="29"/>
      <c r="BB136" s="14"/>
      <c r="BC136" s="15"/>
      <c r="BD136" s="21"/>
      <c r="BE136" s="43"/>
      <c r="BF136" s="12" t="s">
        <v>4512</v>
      </c>
    </row>
    <row r="137" spans="1:58" s="3" customFormat="1" ht="20.399999999999999" x14ac:dyDescent="0.3">
      <c r="A137" s="25"/>
      <c r="B137" s="26" t="s">
        <v>4513</v>
      </c>
      <c r="C137" s="419" t="s">
        <v>4514</v>
      </c>
      <c r="D137" s="419"/>
      <c r="E137" s="419"/>
      <c r="F137" s="27" t="s">
        <v>142</v>
      </c>
      <c r="G137" s="22" t="s">
        <v>1473</v>
      </c>
      <c r="H137" s="58"/>
      <c r="I137" s="28"/>
      <c r="J137" s="28"/>
      <c r="K137" s="29"/>
      <c r="BB137" s="14"/>
      <c r="BC137" s="15"/>
      <c r="BD137" s="21"/>
      <c r="BE137" s="43"/>
      <c r="BF137" s="12" t="s">
        <v>4514</v>
      </c>
    </row>
    <row r="138" spans="1:58" s="3" customFormat="1" ht="21.6" x14ac:dyDescent="0.3">
      <c r="A138" s="25"/>
      <c r="B138" s="26" t="s">
        <v>607</v>
      </c>
      <c r="C138" s="419" t="s">
        <v>608</v>
      </c>
      <c r="D138" s="419"/>
      <c r="E138" s="419"/>
      <c r="F138" s="27" t="s">
        <v>609</v>
      </c>
      <c r="G138" s="22" t="s">
        <v>4515</v>
      </c>
      <c r="H138" s="58"/>
      <c r="I138" s="28"/>
      <c r="J138" s="28"/>
      <c r="K138" s="29"/>
      <c r="BB138" s="14"/>
      <c r="BC138" s="15"/>
      <c r="BD138" s="21"/>
      <c r="BE138" s="43"/>
      <c r="BF138" s="12" t="s">
        <v>608</v>
      </c>
    </row>
    <row r="139" spans="1:58" s="3" customFormat="1" ht="20.399999999999999" x14ac:dyDescent="0.3">
      <c r="A139" s="16" t="s">
        <v>4597</v>
      </c>
      <c r="B139" s="17" t="s">
        <v>4598</v>
      </c>
      <c r="C139" s="405" t="s">
        <v>4599</v>
      </c>
      <c r="D139" s="405"/>
      <c r="E139" s="405"/>
      <c r="F139" s="16" t="s">
        <v>1460</v>
      </c>
      <c r="G139" s="23">
        <v>1</v>
      </c>
      <c r="H139" s="57"/>
      <c r="I139" s="19">
        <v>0</v>
      </c>
      <c r="J139" s="19"/>
      <c r="K139" s="19">
        <v>190761.98</v>
      </c>
      <c r="BB139" s="14"/>
      <c r="BC139" s="15"/>
      <c r="BD139" s="21" t="s">
        <v>4599</v>
      </c>
      <c r="BE139" s="43"/>
      <c r="BF139" s="12"/>
    </row>
    <row r="140" spans="1:58" s="3" customFormat="1" ht="15" customHeight="1" x14ac:dyDescent="0.3">
      <c r="A140" s="437" t="s">
        <v>4600</v>
      </c>
      <c r="B140" s="418"/>
      <c r="C140" s="418"/>
      <c r="D140" s="418"/>
      <c r="E140" s="418"/>
      <c r="F140" s="418"/>
      <c r="G140" s="418"/>
      <c r="H140" s="123"/>
      <c r="I140" s="123"/>
      <c r="J140" s="123"/>
      <c r="K140" s="124"/>
      <c r="BB140" s="14"/>
      <c r="BC140" s="15" t="s">
        <v>4600</v>
      </c>
      <c r="BD140" s="21"/>
      <c r="BE140" s="43"/>
      <c r="BF140" s="12"/>
    </row>
    <row r="141" spans="1:58" s="3" customFormat="1" ht="42" x14ac:dyDescent="0.3">
      <c r="A141" s="16" t="s">
        <v>2180</v>
      </c>
      <c r="B141" s="17" t="s">
        <v>4520</v>
      </c>
      <c r="C141" s="405" t="s">
        <v>4521</v>
      </c>
      <c r="D141" s="405"/>
      <c r="E141" s="405"/>
      <c r="F141" s="16" t="s">
        <v>38</v>
      </c>
      <c r="G141" s="23">
        <v>1</v>
      </c>
      <c r="H141" s="57">
        <f>I141/G141</f>
        <v>2602.8600000000006</v>
      </c>
      <c r="I141" s="19">
        <f>4168.43-K141</f>
        <v>2602.8600000000006</v>
      </c>
      <c r="J141" s="19">
        <f>K141/G141</f>
        <v>1565.57</v>
      </c>
      <c r="K141" s="19">
        <v>1565.57</v>
      </c>
      <c r="BB141" s="14"/>
      <c r="BC141" s="15"/>
      <c r="BD141" s="21" t="s">
        <v>4521</v>
      </c>
      <c r="BE141" s="43"/>
      <c r="BF141" s="12"/>
    </row>
    <row r="142" spans="1:58" s="3" customFormat="1" ht="20.399999999999999" x14ac:dyDescent="0.3">
      <c r="A142" s="25"/>
      <c r="B142" s="26" t="s">
        <v>1693</v>
      </c>
      <c r="C142" s="419" t="s">
        <v>1694</v>
      </c>
      <c r="D142" s="419"/>
      <c r="E142" s="419"/>
      <c r="F142" s="27" t="s">
        <v>75</v>
      </c>
      <c r="G142" s="22" t="s">
        <v>4522</v>
      </c>
      <c r="H142" s="58"/>
      <c r="I142" s="28"/>
      <c r="J142" s="28"/>
      <c r="K142" s="29"/>
      <c r="BB142" s="14"/>
      <c r="BC142" s="15"/>
      <c r="BD142" s="21"/>
      <c r="BE142" s="43"/>
      <c r="BF142" s="12" t="s">
        <v>1694</v>
      </c>
    </row>
    <row r="143" spans="1:58" s="3" customFormat="1" ht="20.399999999999999" x14ac:dyDescent="0.3">
      <c r="A143" s="25"/>
      <c r="B143" s="26" t="s">
        <v>391</v>
      </c>
      <c r="C143" s="419" t="s">
        <v>392</v>
      </c>
      <c r="D143" s="419"/>
      <c r="E143" s="419"/>
      <c r="F143" s="27" t="s">
        <v>75</v>
      </c>
      <c r="G143" s="22" t="s">
        <v>4523</v>
      </c>
      <c r="H143" s="58"/>
      <c r="I143" s="28"/>
      <c r="J143" s="28"/>
      <c r="K143" s="29"/>
      <c r="BB143" s="14"/>
      <c r="BC143" s="15"/>
      <c r="BD143" s="21"/>
      <c r="BE143" s="43"/>
      <c r="BF143" s="12" t="s">
        <v>392</v>
      </c>
    </row>
    <row r="144" spans="1:58" s="3" customFormat="1" ht="21.6" x14ac:dyDescent="0.3">
      <c r="A144" s="25"/>
      <c r="B144" s="26" t="s">
        <v>1931</v>
      </c>
      <c r="C144" s="419" t="s">
        <v>1932</v>
      </c>
      <c r="D144" s="419"/>
      <c r="E144" s="419"/>
      <c r="F144" s="27" t="s">
        <v>70</v>
      </c>
      <c r="G144" s="22" t="s">
        <v>4524</v>
      </c>
      <c r="H144" s="58"/>
      <c r="I144" s="28"/>
      <c r="J144" s="28"/>
      <c r="K144" s="29"/>
      <c r="BB144" s="14"/>
      <c r="BC144" s="15"/>
      <c r="BD144" s="21"/>
      <c r="BE144" s="43"/>
      <c r="BF144" s="12" t="s">
        <v>1932</v>
      </c>
    </row>
    <row r="145" spans="1:58" s="3" customFormat="1" ht="20.399999999999999" x14ac:dyDescent="0.3">
      <c r="A145" s="25"/>
      <c r="B145" s="26" t="s">
        <v>605</v>
      </c>
      <c r="C145" s="419" t="s">
        <v>606</v>
      </c>
      <c r="D145" s="419"/>
      <c r="E145" s="419"/>
      <c r="F145" s="27" t="s">
        <v>75</v>
      </c>
      <c r="G145" s="22" t="s">
        <v>1159</v>
      </c>
      <c r="H145" s="58"/>
      <c r="I145" s="28"/>
      <c r="J145" s="28"/>
      <c r="K145" s="29"/>
      <c r="BB145" s="14"/>
      <c r="BC145" s="15"/>
      <c r="BD145" s="21"/>
      <c r="BE145" s="43"/>
      <c r="BF145" s="12" t="s">
        <v>606</v>
      </c>
    </row>
    <row r="146" spans="1:58" s="3" customFormat="1" ht="21.6" x14ac:dyDescent="0.3">
      <c r="A146" s="25"/>
      <c r="B146" s="26" t="s">
        <v>607</v>
      </c>
      <c r="C146" s="419" t="s">
        <v>608</v>
      </c>
      <c r="D146" s="419"/>
      <c r="E146" s="419"/>
      <c r="F146" s="27" t="s">
        <v>609</v>
      </c>
      <c r="G146" s="22" t="s">
        <v>3937</v>
      </c>
      <c r="H146" s="58"/>
      <c r="I146" s="28"/>
      <c r="J146" s="28"/>
      <c r="K146" s="29"/>
      <c r="BB146" s="14"/>
      <c r="BC146" s="15"/>
      <c r="BD146" s="21"/>
      <c r="BE146" s="43"/>
      <c r="BF146" s="12" t="s">
        <v>608</v>
      </c>
    </row>
    <row r="147" spans="1:58" s="3" customFormat="1" ht="20.399999999999999" x14ac:dyDescent="0.3">
      <c r="A147" s="16" t="s">
        <v>4601</v>
      </c>
      <c r="B147" s="17" t="s">
        <v>4602</v>
      </c>
      <c r="C147" s="405" t="s">
        <v>4603</v>
      </c>
      <c r="D147" s="405"/>
      <c r="E147" s="405"/>
      <c r="F147" s="16" t="s">
        <v>1460</v>
      </c>
      <c r="G147" s="23">
        <v>1</v>
      </c>
      <c r="H147" s="57"/>
      <c r="I147" s="19">
        <v>0</v>
      </c>
      <c r="J147" s="19"/>
      <c r="K147" s="19">
        <v>65122.19</v>
      </c>
      <c r="BB147" s="14"/>
      <c r="BC147" s="15"/>
      <c r="BD147" s="21" t="s">
        <v>4603</v>
      </c>
      <c r="BE147" s="43"/>
      <c r="BF147" s="12"/>
    </row>
    <row r="148" spans="1:58" s="3" customFormat="1" ht="15" customHeight="1" x14ac:dyDescent="0.3">
      <c r="A148" s="437" t="s">
        <v>4604</v>
      </c>
      <c r="B148" s="418"/>
      <c r="C148" s="418"/>
      <c r="D148" s="418"/>
      <c r="E148" s="418"/>
      <c r="F148" s="418"/>
      <c r="G148" s="418"/>
      <c r="H148" s="123"/>
      <c r="I148" s="123"/>
      <c r="J148" s="123"/>
      <c r="K148" s="124"/>
      <c r="BB148" s="14"/>
      <c r="BC148" s="15" t="s">
        <v>4604</v>
      </c>
      <c r="BD148" s="21"/>
      <c r="BE148" s="43"/>
      <c r="BF148" s="12"/>
    </row>
    <row r="149" spans="1:58" s="3" customFormat="1" ht="21.6" x14ac:dyDescent="0.3">
      <c r="A149" s="16" t="s">
        <v>2210</v>
      </c>
      <c r="B149" s="17" t="s">
        <v>4605</v>
      </c>
      <c r="C149" s="405" t="s">
        <v>4606</v>
      </c>
      <c r="D149" s="405"/>
      <c r="E149" s="405"/>
      <c r="F149" s="16" t="s">
        <v>38</v>
      </c>
      <c r="G149" s="23">
        <v>3</v>
      </c>
      <c r="H149" s="57">
        <f>I149/G149</f>
        <v>11118.47</v>
      </c>
      <c r="I149" s="19">
        <f>34634.06-K149</f>
        <v>33355.409999999996</v>
      </c>
      <c r="J149" s="19">
        <f>K149/G149</f>
        <v>426.2166666666667</v>
      </c>
      <c r="K149" s="19">
        <v>1278.6500000000001</v>
      </c>
      <c r="BB149" s="14"/>
      <c r="BC149" s="15"/>
      <c r="BD149" s="21" t="s">
        <v>4606</v>
      </c>
      <c r="BE149" s="43"/>
      <c r="BF149" s="12"/>
    </row>
    <row r="150" spans="1:58" s="3" customFormat="1" ht="20.399999999999999" x14ac:dyDescent="0.3">
      <c r="A150" s="25"/>
      <c r="B150" s="26" t="s">
        <v>3770</v>
      </c>
      <c r="C150" s="419" t="s">
        <v>3771</v>
      </c>
      <c r="D150" s="419"/>
      <c r="E150" s="419"/>
      <c r="F150" s="27" t="s">
        <v>75</v>
      </c>
      <c r="G150" s="22" t="s">
        <v>1144</v>
      </c>
      <c r="H150" s="58"/>
      <c r="I150" s="28"/>
      <c r="J150" s="28"/>
      <c r="K150" s="29"/>
      <c r="BB150" s="14"/>
      <c r="BC150" s="15"/>
      <c r="BD150" s="21"/>
      <c r="BE150" s="43"/>
      <c r="BF150" s="12" t="s">
        <v>3771</v>
      </c>
    </row>
    <row r="151" spans="1:58" s="3" customFormat="1" ht="31.8" x14ac:dyDescent="0.3">
      <c r="A151" s="25"/>
      <c r="B151" s="26" t="s">
        <v>4454</v>
      </c>
      <c r="C151" s="419" t="s">
        <v>4455</v>
      </c>
      <c r="D151" s="419"/>
      <c r="E151" s="419"/>
      <c r="F151" s="27" t="s">
        <v>75</v>
      </c>
      <c r="G151" s="22" t="s">
        <v>4607</v>
      </c>
      <c r="H151" s="58"/>
      <c r="I151" s="28"/>
      <c r="J151" s="28"/>
      <c r="K151" s="29"/>
      <c r="BB151" s="14"/>
      <c r="BC151" s="15"/>
      <c r="BD151" s="21"/>
      <c r="BE151" s="43"/>
      <c r="BF151" s="12" t="s">
        <v>4455</v>
      </c>
    </row>
    <row r="152" spans="1:58" s="3" customFormat="1" ht="20.399999999999999" x14ac:dyDescent="0.3">
      <c r="A152" s="25"/>
      <c r="B152" s="26" t="s">
        <v>391</v>
      </c>
      <c r="C152" s="419" t="s">
        <v>392</v>
      </c>
      <c r="D152" s="419"/>
      <c r="E152" s="419"/>
      <c r="F152" s="27" t="s">
        <v>75</v>
      </c>
      <c r="G152" s="22" t="s">
        <v>4608</v>
      </c>
      <c r="H152" s="58"/>
      <c r="I152" s="28"/>
      <c r="J152" s="28"/>
      <c r="K152" s="29"/>
      <c r="BB152" s="14"/>
      <c r="BC152" s="15"/>
      <c r="BD152" s="21"/>
      <c r="BE152" s="43"/>
      <c r="BF152" s="12" t="s">
        <v>392</v>
      </c>
    </row>
    <row r="153" spans="1:58" s="3" customFormat="1" ht="21.6" x14ac:dyDescent="0.3">
      <c r="A153" s="25"/>
      <c r="B153" s="26" t="s">
        <v>4505</v>
      </c>
      <c r="C153" s="419" t="s">
        <v>4506</v>
      </c>
      <c r="D153" s="419"/>
      <c r="E153" s="419"/>
      <c r="F153" s="27" t="s">
        <v>142</v>
      </c>
      <c r="G153" s="22" t="s">
        <v>4609</v>
      </c>
      <c r="H153" s="58"/>
      <c r="I153" s="28"/>
      <c r="J153" s="28"/>
      <c r="K153" s="29"/>
      <c r="BB153" s="14"/>
      <c r="BC153" s="15"/>
      <c r="BD153" s="21"/>
      <c r="BE153" s="43"/>
      <c r="BF153" s="12" t="s">
        <v>4506</v>
      </c>
    </row>
    <row r="154" spans="1:58" s="3" customFormat="1" ht="20.399999999999999" x14ac:dyDescent="0.3">
      <c r="A154" s="25"/>
      <c r="B154" s="26" t="s">
        <v>1916</v>
      </c>
      <c r="C154" s="419" t="s">
        <v>1917</v>
      </c>
      <c r="D154" s="419"/>
      <c r="E154" s="419"/>
      <c r="F154" s="27" t="s">
        <v>70</v>
      </c>
      <c r="G154" s="22" t="s">
        <v>4610</v>
      </c>
      <c r="H154" s="58"/>
      <c r="I154" s="28"/>
      <c r="J154" s="28"/>
      <c r="K154" s="29"/>
      <c r="BB154" s="14"/>
      <c r="BC154" s="15"/>
      <c r="BD154" s="21"/>
      <c r="BE154" s="43"/>
      <c r="BF154" s="12" t="s">
        <v>1917</v>
      </c>
    </row>
    <row r="155" spans="1:58" s="3" customFormat="1" ht="21.6" x14ac:dyDescent="0.3">
      <c r="A155" s="25"/>
      <c r="B155" s="26" t="s">
        <v>4611</v>
      </c>
      <c r="C155" s="419" t="s">
        <v>4612</v>
      </c>
      <c r="D155" s="419"/>
      <c r="E155" s="419"/>
      <c r="F155" s="27" t="s">
        <v>70</v>
      </c>
      <c r="G155" s="22" t="s">
        <v>4613</v>
      </c>
      <c r="H155" s="58"/>
      <c r="I155" s="28"/>
      <c r="J155" s="28"/>
      <c r="K155" s="29"/>
      <c r="BB155" s="14"/>
      <c r="BC155" s="15"/>
      <c r="BD155" s="21"/>
      <c r="BE155" s="43"/>
      <c r="BF155" s="12" t="s">
        <v>4612</v>
      </c>
    </row>
    <row r="156" spans="1:58" s="3" customFormat="1" ht="21.6" x14ac:dyDescent="0.3">
      <c r="A156" s="25"/>
      <c r="B156" s="26" t="s">
        <v>4509</v>
      </c>
      <c r="C156" s="419" t="s">
        <v>4510</v>
      </c>
      <c r="D156" s="419"/>
      <c r="E156" s="419"/>
      <c r="F156" s="27" t="s">
        <v>70</v>
      </c>
      <c r="G156" s="22" t="s">
        <v>4614</v>
      </c>
      <c r="H156" s="58"/>
      <c r="I156" s="28"/>
      <c r="J156" s="28"/>
      <c r="K156" s="29"/>
      <c r="BB156" s="14"/>
      <c r="BC156" s="15"/>
      <c r="BD156" s="21"/>
      <c r="BE156" s="43"/>
      <c r="BF156" s="12" t="s">
        <v>4510</v>
      </c>
    </row>
    <row r="157" spans="1:58" s="3" customFormat="1" ht="21.6" x14ac:dyDescent="0.3">
      <c r="A157" s="25"/>
      <c r="B157" s="26" t="s">
        <v>4615</v>
      </c>
      <c r="C157" s="419" t="s">
        <v>4616</v>
      </c>
      <c r="D157" s="419"/>
      <c r="E157" s="419"/>
      <c r="F157" s="27" t="s">
        <v>70</v>
      </c>
      <c r="G157" s="22" t="s">
        <v>4617</v>
      </c>
      <c r="H157" s="58"/>
      <c r="I157" s="28"/>
      <c r="J157" s="28"/>
      <c r="K157" s="29"/>
      <c r="BB157" s="14"/>
      <c r="BC157" s="15"/>
      <c r="BD157" s="21"/>
      <c r="BE157" s="43"/>
      <c r="BF157" s="12" t="s">
        <v>4616</v>
      </c>
    </row>
    <row r="158" spans="1:58" s="3" customFormat="1" ht="20.399999999999999" x14ac:dyDescent="0.3">
      <c r="A158" s="25"/>
      <c r="B158" s="26" t="s">
        <v>1934</v>
      </c>
      <c r="C158" s="419" t="s">
        <v>1935</v>
      </c>
      <c r="D158" s="419"/>
      <c r="E158" s="419"/>
      <c r="F158" s="27" t="s">
        <v>75</v>
      </c>
      <c r="G158" s="22" t="s">
        <v>4539</v>
      </c>
      <c r="H158" s="58"/>
      <c r="I158" s="28"/>
      <c r="J158" s="28"/>
      <c r="K158" s="29"/>
      <c r="BB158" s="14"/>
      <c r="BC158" s="15"/>
      <c r="BD158" s="21"/>
      <c r="BE158" s="43"/>
      <c r="BF158" s="12" t="s">
        <v>1935</v>
      </c>
    </row>
    <row r="159" spans="1:58" s="3" customFormat="1" ht="20.399999999999999" x14ac:dyDescent="0.3">
      <c r="A159" s="25"/>
      <c r="B159" s="26" t="s">
        <v>4618</v>
      </c>
      <c r="C159" s="419" t="s">
        <v>4619</v>
      </c>
      <c r="D159" s="419"/>
      <c r="E159" s="419"/>
      <c r="F159" s="27" t="s">
        <v>142</v>
      </c>
      <c r="G159" s="22" t="s">
        <v>4609</v>
      </c>
      <c r="H159" s="58"/>
      <c r="I159" s="28"/>
      <c r="J159" s="28"/>
      <c r="K159" s="29"/>
      <c r="BB159" s="14"/>
      <c r="BC159" s="15"/>
      <c r="BD159" s="21"/>
      <c r="BE159" s="43"/>
      <c r="BF159" s="12" t="s">
        <v>4619</v>
      </c>
    </row>
    <row r="160" spans="1:58" s="3" customFormat="1" ht="20.399999999999999" x14ac:dyDescent="0.3">
      <c r="A160" s="25"/>
      <c r="B160" s="26" t="s">
        <v>4620</v>
      </c>
      <c r="C160" s="419" t="s">
        <v>4621</v>
      </c>
      <c r="D160" s="419"/>
      <c r="E160" s="419"/>
      <c r="F160" s="27" t="s">
        <v>75</v>
      </c>
      <c r="G160" s="22" t="s">
        <v>4607</v>
      </c>
      <c r="H160" s="58"/>
      <c r="I160" s="28"/>
      <c r="J160" s="28"/>
      <c r="K160" s="29"/>
      <c r="BB160" s="14"/>
      <c r="BC160" s="15"/>
      <c r="BD160" s="21"/>
      <c r="BE160" s="43"/>
      <c r="BF160" s="12" t="s">
        <v>4621</v>
      </c>
    </row>
    <row r="161" spans="1:58" s="3" customFormat="1" ht="21.6" x14ac:dyDescent="0.3">
      <c r="A161" s="25"/>
      <c r="B161" s="26" t="s">
        <v>4622</v>
      </c>
      <c r="C161" s="419" t="s">
        <v>4623</v>
      </c>
      <c r="D161" s="419"/>
      <c r="E161" s="419"/>
      <c r="F161" s="27" t="s">
        <v>75</v>
      </c>
      <c r="G161" s="22" t="s">
        <v>1251</v>
      </c>
      <c r="H161" s="58"/>
      <c r="I161" s="28"/>
      <c r="J161" s="28"/>
      <c r="K161" s="29"/>
      <c r="BB161" s="14"/>
      <c r="BC161" s="15"/>
      <c r="BD161" s="21"/>
      <c r="BE161" s="43"/>
      <c r="BF161" s="12" t="s">
        <v>4623</v>
      </c>
    </row>
    <row r="162" spans="1:58" s="3" customFormat="1" ht="21.6" x14ac:dyDescent="0.3">
      <c r="A162" s="25"/>
      <c r="B162" s="26" t="s">
        <v>607</v>
      </c>
      <c r="C162" s="419" t="s">
        <v>608</v>
      </c>
      <c r="D162" s="419"/>
      <c r="E162" s="419"/>
      <c r="F162" s="27" t="s">
        <v>609</v>
      </c>
      <c r="G162" s="22" t="s">
        <v>4624</v>
      </c>
      <c r="H162" s="58"/>
      <c r="I162" s="28"/>
      <c r="J162" s="28"/>
      <c r="K162" s="29"/>
      <c r="BB162" s="14"/>
      <c r="BC162" s="15"/>
      <c r="BD162" s="21"/>
      <c r="BE162" s="43"/>
      <c r="BF162" s="12" t="s">
        <v>608</v>
      </c>
    </row>
    <row r="163" spans="1:58" s="3" customFormat="1" ht="20.399999999999999" x14ac:dyDescent="0.3">
      <c r="A163" s="16" t="s">
        <v>4625</v>
      </c>
      <c r="B163" s="17" t="s">
        <v>4626</v>
      </c>
      <c r="C163" s="405" t="s">
        <v>4627</v>
      </c>
      <c r="D163" s="405"/>
      <c r="E163" s="405"/>
      <c r="F163" s="16" t="s">
        <v>1460</v>
      </c>
      <c r="G163" s="23">
        <v>1</v>
      </c>
      <c r="H163" s="57"/>
      <c r="I163" s="19">
        <v>0</v>
      </c>
      <c r="J163" s="19"/>
      <c r="K163" s="19">
        <v>567371.21</v>
      </c>
      <c r="BB163" s="14"/>
      <c r="BC163" s="15"/>
      <c r="BD163" s="21" t="s">
        <v>4627</v>
      </c>
      <c r="BE163" s="43"/>
      <c r="BF163" s="12"/>
    </row>
    <row r="164" spans="1:58" s="3" customFormat="1" ht="20.399999999999999" x14ac:dyDescent="0.3">
      <c r="A164" s="16" t="s">
        <v>4628</v>
      </c>
      <c r="B164" s="17" t="s">
        <v>4629</v>
      </c>
      <c r="C164" s="405" t="s">
        <v>4630</v>
      </c>
      <c r="D164" s="405"/>
      <c r="E164" s="405"/>
      <c r="F164" s="16" t="s">
        <v>1460</v>
      </c>
      <c r="G164" s="23">
        <v>2</v>
      </c>
      <c r="H164" s="57"/>
      <c r="I164" s="19">
        <v>0</v>
      </c>
      <c r="J164" s="19"/>
      <c r="K164" s="19">
        <v>52016.76</v>
      </c>
      <c r="BB164" s="14"/>
      <c r="BC164" s="15"/>
      <c r="BD164" s="21" t="s">
        <v>4630</v>
      </c>
      <c r="BE164" s="43"/>
      <c r="BF164" s="12"/>
    </row>
    <row r="165" spans="1:58" s="3" customFormat="1" ht="15" customHeight="1" x14ac:dyDescent="0.3">
      <c r="A165" s="437" t="s">
        <v>4631</v>
      </c>
      <c r="B165" s="418"/>
      <c r="C165" s="418"/>
      <c r="D165" s="418"/>
      <c r="E165" s="418"/>
      <c r="F165" s="418"/>
      <c r="G165" s="418"/>
      <c r="H165" s="123"/>
      <c r="I165" s="123"/>
      <c r="J165" s="123"/>
      <c r="K165" s="124"/>
      <c r="BB165" s="14"/>
      <c r="BC165" s="15" t="s">
        <v>4631</v>
      </c>
      <c r="BD165" s="21"/>
      <c r="BE165" s="43"/>
      <c r="BF165" s="12"/>
    </row>
    <row r="166" spans="1:58" s="3" customFormat="1" ht="14.4" x14ac:dyDescent="0.3">
      <c r="A166" s="16" t="s">
        <v>2226</v>
      </c>
      <c r="B166" s="17" t="s">
        <v>4632</v>
      </c>
      <c r="C166" s="405" t="s">
        <v>4633</v>
      </c>
      <c r="D166" s="405"/>
      <c r="E166" s="405"/>
      <c r="F166" s="16" t="s">
        <v>38</v>
      </c>
      <c r="G166" s="23">
        <v>4</v>
      </c>
      <c r="H166" s="57">
        <f>I166/G166</f>
        <v>1082.26</v>
      </c>
      <c r="I166" s="19">
        <f>4342.49-K166</f>
        <v>4329.04</v>
      </c>
      <c r="J166" s="19">
        <f>K166/G166</f>
        <v>3.3624999999999998</v>
      </c>
      <c r="K166" s="19">
        <v>13.45</v>
      </c>
      <c r="BB166" s="14"/>
      <c r="BC166" s="15"/>
      <c r="BD166" s="21" t="s">
        <v>4633</v>
      </c>
      <c r="BE166" s="43"/>
      <c r="BF166" s="12"/>
    </row>
    <row r="167" spans="1:58" s="3" customFormat="1" ht="20.399999999999999" x14ac:dyDescent="0.3">
      <c r="A167" s="25"/>
      <c r="B167" s="26" t="s">
        <v>391</v>
      </c>
      <c r="C167" s="419" t="s">
        <v>392</v>
      </c>
      <c r="D167" s="419"/>
      <c r="E167" s="419"/>
      <c r="F167" s="27" t="s">
        <v>75</v>
      </c>
      <c r="G167" s="22" t="s">
        <v>4634</v>
      </c>
      <c r="H167" s="58"/>
      <c r="I167" s="28"/>
      <c r="J167" s="28"/>
      <c r="K167" s="29"/>
      <c r="BB167" s="14"/>
      <c r="BC167" s="15"/>
      <c r="BD167" s="21"/>
      <c r="BE167" s="43"/>
      <c r="BF167" s="12" t="s">
        <v>392</v>
      </c>
    </row>
    <row r="168" spans="1:58" s="3" customFormat="1" ht="21.6" x14ac:dyDescent="0.3">
      <c r="A168" s="25"/>
      <c r="B168" s="26" t="s">
        <v>607</v>
      </c>
      <c r="C168" s="419" t="s">
        <v>608</v>
      </c>
      <c r="D168" s="419"/>
      <c r="E168" s="419"/>
      <c r="F168" s="27" t="s">
        <v>609</v>
      </c>
      <c r="G168" s="22" t="s">
        <v>3009</v>
      </c>
      <c r="H168" s="58"/>
      <c r="I168" s="28"/>
      <c r="J168" s="28"/>
      <c r="K168" s="29"/>
      <c r="BB168" s="14"/>
      <c r="BC168" s="15"/>
      <c r="BD168" s="21"/>
      <c r="BE168" s="43"/>
      <c r="BF168" s="12" t="s">
        <v>608</v>
      </c>
    </row>
    <row r="169" spans="1:58" s="3" customFormat="1" ht="21.6" x14ac:dyDescent="0.3">
      <c r="A169" s="16" t="s">
        <v>4635</v>
      </c>
      <c r="B169" s="17" t="s">
        <v>4636</v>
      </c>
      <c r="C169" s="405" t="s">
        <v>4637</v>
      </c>
      <c r="D169" s="405"/>
      <c r="E169" s="405"/>
      <c r="F169" s="16" t="s">
        <v>1460</v>
      </c>
      <c r="G169" s="23">
        <v>4</v>
      </c>
      <c r="H169" s="57"/>
      <c r="I169" s="19">
        <v>0</v>
      </c>
      <c r="J169" s="19"/>
      <c r="K169" s="19">
        <v>81739.34</v>
      </c>
      <c r="BB169" s="14"/>
      <c r="BC169" s="15"/>
      <c r="BD169" s="21" t="s">
        <v>4637</v>
      </c>
      <c r="BE169" s="43"/>
      <c r="BF169" s="12"/>
    </row>
    <row r="170" spans="1:58" s="3" customFormat="1" ht="15" customHeight="1" x14ac:dyDescent="0.3">
      <c r="A170" s="437" t="s">
        <v>4638</v>
      </c>
      <c r="B170" s="418"/>
      <c r="C170" s="418"/>
      <c r="D170" s="418"/>
      <c r="E170" s="418"/>
      <c r="F170" s="418"/>
      <c r="G170" s="418"/>
      <c r="H170" s="123"/>
      <c r="I170" s="123"/>
      <c r="J170" s="123"/>
      <c r="K170" s="124"/>
      <c r="BB170" s="14"/>
      <c r="BC170" s="15" t="s">
        <v>4638</v>
      </c>
      <c r="BD170" s="21"/>
      <c r="BE170" s="43"/>
      <c r="BF170" s="12"/>
    </row>
    <row r="171" spans="1:58" s="3" customFormat="1" ht="31.8" x14ac:dyDescent="0.3">
      <c r="A171" s="16" t="s">
        <v>2230</v>
      </c>
      <c r="B171" s="17" t="s">
        <v>1691</v>
      </c>
      <c r="C171" s="405" t="s">
        <v>1692</v>
      </c>
      <c r="D171" s="405"/>
      <c r="E171" s="405"/>
      <c r="F171" s="16" t="s">
        <v>38</v>
      </c>
      <c r="G171" s="23">
        <v>1</v>
      </c>
      <c r="H171" s="57">
        <f>I171/G171</f>
        <v>2837.52</v>
      </c>
      <c r="I171" s="19">
        <f>2863.54-K171</f>
        <v>2837.52</v>
      </c>
      <c r="J171" s="19">
        <f>K171/G171</f>
        <v>26.02</v>
      </c>
      <c r="K171" s="19">
        <v>26.02</v>
      </c>
      <c r="BB171" s="14"/>
      <c r="BC171" s="15"/>
      <c r="BD171" s="21" t="s">
        <v>1692</v>
      </c>
      <c r="BE171" s="43"/>
      <c r="BF171" s="12"/>
    </row>
    <row r="172" spans="1:58" s="3" customFormat="1" ht="20.399999999999999" x14ac:dyDescent="0.3">
      <c r="A172" s="25"/>
      <c r="B172" s="26" t="s">
        <v>1693</v>
      </c>
      <c r="C172" s="419" t="s">
        <v>1694</v>
      </c>
      <c r="D172" s="419"/>
      <c r="E172" s="419"/>
      <c r="F172" s="27" t="s">
        <v>75</v>
      </c>
      <c r="G172" s="22" t="s">
        <v>1910</v>
      </c>
      <c r="H172" s="58"/>
      <c r="I172" s="28"/>
      <c r="J172" s="28"/>
      <c r="K172" s="29"/>
      <c r="BB172" s="14"/>
      <c r="BC172" s="15"/>
      <c r="BD172" s="21"/>
      <c r="BE172" s="43"/>
      <c r="BF172" s="12" t="s">
        <v>1694</v>
      </c>
    </row>
    <row r="173" spans="1:58" s="3" customFormat="1" ht="20.399999999999999" x14ac:dyDescent="0.3">
      <c r="A173" s="25"/>
      <c r="B173" s="26" t="s">
        <v>391</v>
      </c>
      <c r="C173" s="419" t="s">
        <v>392</v>
      </c>
      <c r="D173" s="419"/>
      <c r="E173" s="419"/>
      <c r="F173" s="27" t="s">
        <v>75</v>
      </c>
      <c r="G173" s="22" t="s">
        <v>1910</v>
      </c>
      <c r="H173" s="58"/>
      <c r="I173" s="28"/>
      <c r="J173" s="28"/>
      <c r="K173" s="29"/>
      <c r="BB173" s="14"/>
      <c r="BC173" s="15"/>
      <c r="BD173" s="21"/>
      <c r="BE173" s="43"/>
      <c r="BF173" s="12" t="s">
        <v>392</v>
      </c>
    </row>
    <row r="174" spans="1:58" s="3" customFormat="1" ht="20.399999999999999" x14ac:dyDescent="0.3">
      <c r="A174" s="25"/>
      <c r="B174" s="26" t="s">
        <v>605</v>
      </c>
      <c r="C174" s="419" t="s">
        <v>606</v>
      </c>
      <c r="D174" s="419"/>
      <c r="E174" s="419"/>
      <c r="F174" s="27" t="s">
        <v>75</v>
      </c>
      <c r="G174" s="22" t="s">
        <v>1173</v>
      </c>
      <c r="H174" s="58"/>
      <c r="I174" s="28"/>
      <c r="J174" s="28"/>
      <c r="K174" s="29"/>
      <c r="BB174" s="14"/>
      <c r="BC174" s="15"/>
      <c r="BD174" s="21"/>
      <c r="BE174" s="43"/>
      <c r="BF174" s="12" t="s">
        <v>606</v>
      </c>
    </row>
    <row r="175" spans="1:58" s="3" customFormat="1" ht="21.6" x14ac:dyDescent="0.3">
      <c r="A175" s="25"/>
      <c r="B175" s="26" t="s">
        <v>607</v>
      </c>
      <c r="C175" s="419" t="s">
        <v>608</v>
      </c>
      <c r="D175" s="419"/>
      <c r="E175" s="419"/>
      <c r="F175" s="27" t="s">
        <v>609</v>
      </c>
      <c r="G175" s="22" t="s">
        <v>3937</v>
      </c>
      <c r="H175" s="58"/>
      <c r="I175" s="28"/>
      <c r="J175" s="28"/>
      <c r="K175" s="29"/>
      <c r="BB175" s="14"/>
      <c r="BC175" s="15"/>
      <c r="BD175" s="21"/>
      <c r="BE175" s="43"/>
      <c r="BF175" s="12" t="s">
        <v>608</v>
      </c>
    </row>
    <row r="176" spans="1:58" s="3" customFormat="1" ht="21.6" x14ac:dyDescent="0.3">
      <c r="A176" s="16" t="s">
        <v>4639</v>
      </c>
      <c r="B176" s="17" t="s">
        <v>4640</v>
      </c>
      <c r="C176" s="405" t="s">
        <v>4641</v>
      </c>
      <c r="D176" s="405"/>
      <c r="E176" s="405"/>
      <c r="F176" s="16" t="s">
        <v>1460</v>
      </c>
      <c r="G176" s="23">
        <v>1</v>
      </c>
      <c r="H176" s="57"/>
      <c r="I176" s="19">
        <v>0</v>
      </c>
      <c r="J176" s="19"/>
      <c r="K176" s="19">
        <v>69170.19</v>
      </c>
      <c r="BB176" s="14"/>
      <c r="BC176" s="15"/>
      <c r="BD176" s="21" t="s">
        <v>4641</v>
      </c>
      <c r="BE176" s="43"/>
      <c r="BF176" s="12"/>
    </row>
    <row r="177" spans="1:58" s="3" customFormat="1" ht="15" customHeight="1" x14ac:dyDescent="0.3">
      <c r="A177" s="437" t="s">
        <v>4642</v>
      </c>
      <c r="B177" s="418"/>
      <c r="C177" s="418"/>
      <c r="D177" s="418"/>
      <c r="E177" s="418"/>
      <c r="F177" s="418"/>
      <c r="G177" s="418"/>
      <c r="H177" s="123"/>
      <c r="I177" s="123"/>
      <c r="J177" s="123"/>
      <c r="K177" s="124"/>
      <c r="BB177" s="14"/>
      <c r="BC177" s="15" t="s">
        <v>4642</v>
      </c>
      <c r="BD177" s="21"/>
      <c r="BE177" s="43"/>
      <c r="BF177" s="12"/>
    </row>
    <row r="178" spans="1:58" s="3" customFormat="1" ht="21.6" x14ac:dyDescent="0.3">
      <c r="A178" s="16" t="s">
        <v>2872</v>
      </c>
      <c r="B178" s="17" t="s">
        <v>4643</v>
      </c>
      <c r="C178" s="405" t="s">
        <v>4644</v>
      </c>
      <c r="D178" s="405"/>
      <c r="E178" s="405"/>
      <c r="F178" s="16" t="s">
        <v>142</v>
      </c>
      <c r="G178" s="31">
        <v>0.01</v>
      </c>
      <c r="H178" s="57">
        <v>0</v>
      </c>
      <c r="I178" s="19">
        <f>373.52-K178</f>
        <v>364.09999999999997</v>
      </c>
      <c r="J178" s="19">
        <f>K178/G178</f>
        <v>942</v>
      </c>
      <c r="K178" s="19">
        <v>9.42</v>
      </c>
      <c r="BB178" s="14"/>
      <c r="BC178" s="15"/>
      <c r="BD178" s="21" t="s">
        <v>4644</v>
      </c>
      <c r="BE178" s="43"/>
      <c r="BF178" s="12"/>
    </row>
    <row r="179" spans="1:58" s="3" customFormat="1" ht="31.8" x14ac:dyDescent="0.3">
      <c r="A179" s="25"/>
      <c r="B179" s="26" t="s">
        <v>1703</v>
      </c>
      <c r="C179" s="419" t="s">
        <v>1704</v>
      </c>
      <c r="D179" s="419"/>
      <c r="E179" s="419"/>
      <c r="F179" s="27" t="s">
        <v>75</v>
      </c>
      <c r="G179" s="22" t="s">
        <v>4645</v>
      </c>
      <c r="H179" s="58"/>
      <c r="I179" s="28"/>
      <c r="J179" s="28"/>
      <c r="K179" s="29"/>
      <c r="BB179" s="14"/>
      <c r="BC179" s="15"/>
      <c r="BD179" s="21"/>
      <c r="BE179" s="43"/>
      <c r="BF179" s="12" t="s">
        <v>1704</v>
      </c>
    </row>
    <row r="180" spans="1:58" s="3" customFormat="1" ht="20.399999999999999" x14ac:dyDescent="0.3">
      <c r="A180" s="25"/>
      <c r="B180" s="26" t="s">
        <v>1571</v>
      </c>
      <c r="C180" s="419" t="s">
        <v>1572</v>
      </c>
      <c r="D180" s="419"/>
      <c r="E180" s="419"/>
      <c r="F180" s="27" t="s">
        <v>142</v>
      </c>
      <c r="G180" s="22" t="s">
        <v>3849</v>
      </c>
      <c r="H180" s="58"/>
      <c r="I180" s="28"/>
      <c r="J180" s="28"/>
      <c r="K180" s="29"/>
      <c r="BB180" s="14"/>
      <c r="BC180" s="15"/>
      <c r="BD180" s="21"/>
      <c r="BE180" s="43"/>
      <c r="BF180" s="12" t="s">
        <v>1572</v>
      </c>
    </row>
    <row r="181" spans="1:58" s="3" customFormat="1" ht="20.399999999999999" x14ac:dyDescent="0.3">
      <c r="A181" s="25"/>
      <c r="B181" s="26" t="s">
        <v>4134</v>
      </c>
      <c r="C181" s="419" t="s">
        <v>4135</v>
      </c>
      <c r="D181" s="419"/>
      <c r="E181" s="419"/>
      <c r="F181" s="27" t="s">
        <v>70</v>
      </c>
      <c r="G181" s="22" t="s">
        <v>4646</v>
      </c>
      <c r="H181" s="58"/>
      <c r="I181" s="28"/>
      <c r="J181" s="28"/>
      <c r="K181" s="29"/>
      <c r="BB181" s="14"/>
      <c r="BC181" s="15"/>
      <c r="BD181" s="21"/>
      <c r="BE181" s="43"/>
      <c r="BF181" s="12" t="s">
        <v>4135</v>
      </c>
    </row>
    <row r="182" spans="1:58" s="3" customFormat="1" ht="20.399999999999999" x14ac:dyDescent="0.3">
      <c r="A182" s="25"/>
      <c r="B182" s="26" t="s">
        <v>1964</v>
      </c>
      <c r="C182" s="419" t="s">
        <v>1965</v>
      </c>
      <c r="D182" s="419"/>
      <c r="E182" s="419"/>
      <c r="F182" s="27" t="s">
        <v>70</v>
      </c>
      <c r="G182" s="22" t="s">
        <v>4647</v>
      </c>
      <c r="H182" s="58"/>
      <c r="I182" s="28"/>
      <c r="J182" s="28"/>
      <c r="K182" s="29"/>
      <c r="BB182" s="14"/>
      <c r="BC182" s="15"/>
      <c r="BD182" s="21"/>
      <c r="BE182" s="43"/>
      <c r="BF182" s="12" t="s">
        <v>1965</v>
      </c>
    </row>
    <row r="183" spans="1:58" s="3" customFormat="1" ht="21.6" x14ac:dyDescent="0.3">
      <c r="A183" s="25"/>
      <c r="B183" s="26" t="s">
        <v>607</v>
      </c>
      <c r="C183" s="419" t="s">
        <v>608</v>
      </c>
      <c r="D183" s="419"/>
      <c r="E183" s="419"/>
      <c r="F183" s="27" t="s">
        <v>609</v>
      </c>
      <c r="G183" s="22" t="s">
        <v>4648</v>
      </c>
      <c r="H183" s="58"/>
      <c r="I183" s="28"/>
      <c r="J183" s="28"/>
      <c r="K183" s="29"/>
      <c r="BB183" s="14"/>
      <c r="BC183" s="15"/>
      <c r="BD183" s="21"/>
      <c r="BE183" s="43"/>
      <c r="BF183" s="12" t="s">
        <v>608</v>
      </c>
    </row>
    <row r="184" spans="1:58" s="3" customFormat="1" ht="21.6" x14ac:dyDescent="0.3">
      <c r="A184" s="16" t="s">
        <v>2880</v>
      </c>
      <c r="B184" s="17" t="s">
        <v>4649</v>
      </c>
      <c r="C184" s="405" t="s">
        <v>4650</v>
      </c>
      <c r="D184" s="405"/>
      <c r="E184" s="405"/>
      <c r="F184" s="16" t="s">
        <v>1460</v>
      </c>
      <c r="G184" s="23">
        <v>1</v>
      </c>
      <c r="H184" s="57"/>
      <c r="I184" s="19">
        <v>0</v>
      </c>
      <c r="J184" s="19"/>
      <c r="K184" s="19">
        <v>364.27</v>
      </c>
      <c r="BB184" s="14"/>
      <c r="BC184" s="15"/>
      <c r="BD184" s="21" t="s">
        <v>4650</v>
      </c>
      <c r="BE184" s="43"/>
      <c r="BF184" s="12"/>
    </row>
    <row r="185" spans="1:58" s="3" customFormat="1" ht="20.399999999999999" x14ac:dyDescent="0.3">
      <c r="A185" s="16" t="s">
        <v>2895</v>
      </c>
      <c r="B185" s="17" t="s">
        <v>4651</v>
      </c>
      <c r="C185" s="405" t="s">
        <v>4652</v>
      </c>
      <c r="D185" s="405"/>
      <c r="E185" s="405"/>
      <c r="F185" s="16" t="s">
        <v>1460</v>
      </c>
      <c r="G185" s="23">
        <v>4</v>
      </c>
      <c r="H185" s="57"/>
      <c r="I185" s="19">
        <v>0</v>
      </c>
      <c r="J185" s="19"/>
      <c r="K185" s="19">
        <v>67.260000000000005</v>
      </c>
      <c r="BB185" s="14"/>
      <c r="BC185" s="15"/>
      <c r="BD185" s="21" t="s">
        <v>4652</v>
      </c>
      <c r="BE185" s="43"/>
      <c r="BF185" s="12"/>
    </row>
    <row r="186" spans="1:58" s="3" customFormat="1" ht="20.25" customHeight="1" x14ac:dyDescent="0.3">
      <c r="A186" s="406" t="s">
        <v>57</v>
      </c>
      <c r="B186" s="407"/>
      <c r="C186" s="407"/>
      <c r="D186" s="407"/>
      <c r="E186" s="407"/>
      <c r="F186" s="407"/>
      <c r="G186" s="407"/>
      <c r="H186" s="66"/>
      <c r="I186" s="67">
        <f>SUM(I13:I185)</f>
        <v>357626.81999999989</v>
      </c>
      <c r="J186" s="72"/>
      <c r="K186" s="87">
        <f>SUM(K13:K185)</f>
        <v>4934772.709999999</v>
      </c>
      <c r="M186" s="56"/>
    </row>
    <row r="187" spans="1:58" s="53" customFormat="1" ht="20.25" customHeight="1" thickBot="1" x14ac:dyDescent="0.35">
      <c r="A187" s="408" t="s">
        <v>5461</v>
      </c>
      <c r="B187" s="409"/>
      <c r="C187" s="409"/>
      <c r="D187" s="409"/>
      <c r="E187" s="409"/>
      <c r="F187" s="409"/>
      <c r="G187" s="409"/>
      <c r="H187" s="88"/>
      <c r="I187" s="410">
        <f>I186+K186</f>
        <v>5292399.5299999993</v>
      </c>
      <c r="J187" s="411"/>
      <c r="K187" s="412"/>
      <c r="M187" s="153"/>
    </row>
  </sheetData>
  <mergeCells count="185">
    <mergeCell ref="A186:G186"/>
    <mergeCell ref="A187:G187"/>
    <mergeCell ref="I187:K187"/>
    <mergeCell ref="A11:G11"/>
    <mergeCell ref="A177:G177"/>
    <mergeCell ref="A170:G170"/>
    <mergeCell ref="A165:G165"/>
    <mergeCell ref="A148:G148"/>
    <mergeCell ref="A140:G140"/>
    <mergeCell ref="A129:G129"/>
    <mergeCell ref="A108:G108"/>
    <mergeCell ref="A102:G102"/>
    <mergeCell ref="A98:G98"/>
    <mergeCell ref="A90:G90"/>
    <mergeCell ref="A79:G79"/>
    <mergeCell ref="A71:G71"/>
    <mergeCell ref="A64:G64"/>
    <mergeCell ref="A57:G57"/>
    <mergeCell ref="A50:G50"/>
    <mergeCell ref="A43:G43"/>
    <mergeCell ref="A38:G38"/>
    <mergeCell ref="A31:G31"/>
    <mergeCell ref="A20:G20"/>
    <mergeCell ref="A15:G15"/>
    <mergeCell ref="C185:E185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C171:E171"/>
    <mergeCell ref="C172:E172"/>
    <mergeCell ref="C173:E173"/>
    <mergeCell ref="C174:E174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9:E149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9:E109"/>
    <mergeCell ref="C100:E100"/>
    <mergeCell ref="C101:E101"/>
    <mergeCell ref="C103:E103"/>
    <mergeCell ref="C104:E104"/>
    <mergeCell ref="C95:E95"/>
    <mergeCell ref="C96:E96"/>
    <mergeCell ref="C97:E97"/>
    <mergeCell ref="C99:E99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55:E55"/>
    <mergeCell ref="C56:E56"/>
    <mergeCell ref="C58:E58"/>
    <mergeCell ref="C59:E59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4:E44"/>
    <mergeCell ref="C35:E35"/>
    <mergeCell ref="C36:E36"/>
    <mergeCell ref="C37:E37"/>
    <mergeCell ref="C39:E39"/>
    <mergeCell ref="C30:E30"/>
    <mergeCell ref="C32:E32"/>
    <mergeCell ref="C33:E33"/>
    <mergeCell ref="C34:E34"/>
    <mergeCell ref="C25:E25"/>
    <mergeCell ref="C26:E26"/>
    <mergeCell ref="C27:E27"/>
    <mergeCell ref="C28:E28"/>
    <mergeCell ref="C29:E29"/>
    <mergeCell ref="C21:E21"/>
    <mergeCell ref="C22:E22"/>
    <mergeCell ref="C23:E23"/>
    <mergeCell ref="C24:E24"/>
    <mergeCell ref="C16:E16"/>
    <mergeCell ref="C17:E17"/>
    <mergeCell ref="C18:E18"/>
    <mergeCell ref="C19:E19"/>
    <mergeCell ref="A2:K2"/>
    <mergeCell ref="A3:K3"/>
    <mergeCell ref="A5:K5"/>
    <mergeCell ref="C9:E9"/>
    <mergeCell ref="C10:E10"/>
    <mergeCell ref="C13:E13"/>
    <mergeCell ref="C14:E14"/>
    <mergeCell ref="A6:K6"/>
    <mergeCell ref="C7:G7"/>
    <mergeCell ref="A12:G12"/>
  </mergeCells>
  <printOptions horizontalCentered="1"/>
  <pageMargins left="0.39370077848434498" right="0.39370077848434498" top="0.35433071851730302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  <pageSetUpPr fitToPage="1"/>
  </sheetPr>
  <dimension ref="A1:BK291"/>
  <sheetViews>
    <sheetView workbookViewId="0">
      <selection activeCell="C43" sqref="C43:E43"/>
    </sheetView>
  </sheetViews>
  <sheetFormatPr defaultColWidth="9.109375" defaultRowHeight="11.25" customHeight="1" x14ac:dyDescent="0.2"/>
  <cols>
    <col min="1" max="1" width="9" style="1" customWidth="1"/>
    <col min="2" max="2" width="27.5546875" style="1" customWidth="1"/>
    <col min="3" max="3" width="10.44140625" style="1" customWidth="1"/>
    <col min="4" max="4" width="15.44140625" style="1" customWidth="1"/>
    <col min="5" max="5" width="21.109375" style="1" customWidth="1"/>
    <col min="6" max="7" width="10.6640625" style="1" customWidth="1"/>
    <col min="8" max="11" width="18.109375" style="54" customWidth="1"/>
    <col min="12" max="12" width="10.6640625" style="1" customWidth="1"/>
    <col min="13" max="13" width="13.5546875" style="1" customWidth="1"/>
    <col min="14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5585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38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3612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3612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4.4" x14ac:dyDescent="0.3">
      <c r="A7" s="4"/>
      <c r="B7" s="8" t="s">
        <v>5</v>
      </c>
      <c r="C7" s="402" t="s">
        <v>3613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7" s="3" customFormat="1" ht="15" customHeight="1" x14ac:dyDescent="0.3">
      <c r="A12" s="435" t="s">
        <v>1594</v>
      </c>
      <c r="B12" s="436"/>
      <c r="C12" s="436"/>
      <c r="D12" s="436"/>
      <c r="E12" s="436"/>
      <c r="F12" s="436"/>
      <c r="G12" s="436"/>
      <c r="H12" s="103"/>
      <c r="I12" s="103"/>
      <c r="J12" s="103"/>
      <c r="K12" s="104"/>
      <c r="BC12" s="14" t="s">
        <v>1594</v>
      </c>
    </row>
    <row r="13" spans="1:57" s="3" customFormat="1" ht="21.75" customHeight="1" x14ac:dyDescent="0.3">
      <c r="A13" s="437" t="s">
        <v>1595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C13" s="14"/>
      <c r="BD13" s="15" t="s">
        <v>1595</v>
      </c>
    </row>
    <row r="14" spans="1:57" s="3" customFormat="1" ht="31.8" x14ac:dyDescent="0.3">
      <c r="A14" s="16" t="s">
        <v>15</v>
      </c>
      <c r="B14" s="17" t="s">
        <v>592</v>
      </c>
      <c r="C14" s="405" t="s">
        <v>593</v>
      </c>
      <c r="D14" s="405"/>
      <c r="E14" s="405"/>
      <c r="F14" s="16" t="s">
        <v>43</v>
      </c>
      <c r="G14" s="44">
        <v>0.49517</v>
      </c>
      <c r="H14" s="57">
        <f>I14/G14</f>
        <v>37096.290162974336</v>
      </c>
      <c r="I14" s="19">
        <v>18368.97</v>
      </c>
      <c r="J14" s="19">
        <f>K14/G14</f>
        <v>0</v>
      </c>
      <c r="K14" s="19">
        <v>0</v>
      </c>
      <c r="BC14" s="14"/>
      <c r="BD14" s="15"/>
      <c r="BE14" s="21" t="s">
        <v>593</v>
      </c>
    </row>
    <row r="15" spans="1:57" s="3" customFormat="1" ht="15" customHeight="1" x14ac:dyDescent="0.3">
      <c r="A15" s="437" t="s">
        <v>1596</v>
      </c>
      <c r="B15" s="418"/>
      <c r="C15" s="418"/>
      <c r="D15" s="418"/>
      <c r="E15" s="418"/>
      <c r="F15" s="418"/>
      <c r="G15" s="418"/>
      <c r="H15" s="123"/>
      <c r="I15" s="123"/>
      <c r="J15" s="123"/>
      <c r="K15" s="124"/>
      <c r="BC15" s="14"/>
      <c r="BD15" s="15" t="s">
        <v>1596</v>
      </c>
      <c r="BE15" s="21"/>
    </row>
    <row r="16" spans="1:57" s="3" customFormat="1" ht="42" x14ac:dyDescent="0.3">
      <c r="A16" s="16" t="s">
        <v>20</v>
      </c>
      <c r="B16" s="17" t="s">
        <v>3336</v>
      </c>
      <c r="C16" s="405" t="s">
        <v>3337</v>
      </c>
      <c r="D16" s="405"/>
      <c r="E16" s="405"/>
      <c r="F16" s="16" t="s">
        <v>43</v>
      </c>
      <c r="G16" s="44">
        <v>0.34142</v>
      </c>
      <c r="H16" s="57">
        <f>I16/G16</f>
        <v>5961.8651514263956</v>
      </c>
      <c r="I16" s="19">
        <v>2035.5</v>
      </c>
      <c r="J16" s="19">
        <f>K16/G16</f>
        <v>0</v>
      </c>
      <c r="K16" s="19">
        <v>0</v>
      </c>
      <c r="BC16" s="14"/>
      <c r="BD16" s="15"/>
      <c r="BE16" s="21" t="s">
        <v>3337</v>
      </c>
    </row>
    <row r="17" spans="1:60" s="3" customFormat="1" ht="28.5" customHeight="1" x14ac:dyDescent="0.3">
      <c r="A17" s="437" t="s">
        <v>1597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24"/>
      <c r="BC17" s="14"/>
      <c r="BD17" s="15" t="s">
        <v>1597</v>
      </c>
      <c r="BE17" s="21"/>
    </row>
    <row r="18" spans="1:60" s="3" customFormat="1" ht="52.2" x14ac:dyDescent="0.3">
      <c r="A18" s="16" t="s">
        <v>22</v>
      </c>
      <c r="B18" s="17" t="s">
        <v>3431</v>
      </c>
      <c r="C18" s="405" t="s">
        <v>3432</v>
      </c>
      <c r="D18" s="405"/>
      <c r="E18" s="405"/>
      <c r="F18" s="16" t="s">
        <v>43</v>
      </c>
      <c r="G18" s="44">
        <v>0.15375</v>
      </c>
      <c r="H18" s="57">
        <f>I18/G18</f>
        <v>55092.747967479678</v>
      </c>
      <c r="I18" s="19">
        <v>8470.51</v>
      </c>
      <c r="J18" s="19">
        <f>K18/G18</f>
        <v>0</v>
      </c>
      <c r="K18" s="19">
        <v>0</v>
      </c>
      <c r="BC18" s="14"/>
      <c r="BD18" s="15"/>
      <c r="BE18" s="21" t="s">
        <v>3432</v>
      </c>
    </row>
    <row r="19" spans="1:60" s="3" customFormat="1" ht="42" x14ac:dyDescent="0.3">
      <c r="A19" s="16" t="s">
        <v>27</v>
      </c>
      <c r="B19" s="17" t="s">
        <v>48</v>
      </c>
      <c r="C19" s="405" t="s">
        <v>49</v>
      </c>
      <c r="D19" s="405"/>
      <c r="E19" s="405"/>
      <c r="F19" s="16" t="s">
        <v>50</v>
      </c>
      <c r="G19" s="24">
        <v>307.5</v>
      </c>
      <c r="H19" s="57">
        <f>I19/G19</f>
        <v>598.37580487804883</v>
      </c>
      <c r="I19" s="19">
        <v>184000.56</v>
      </c>
      <c r="J19" s="19">
        <f>K19/G19</f>
        <v>0</v>
      </c>
      <c r="K19" s="19">
        <v>0</v>
      </c>
      <c r="BC19" s="14"/>
      <c r="BD19" s="15"/>
      <c r="BE19" s="21" t="s">
        <v>49</v>
      </c>
    </row>
    <row r="20" spans="1:60" s="3" customFormat="1" ht="15" customHeight="1" x14ac:dyDescent="0.3">
      <c r="A20" s="437" t="s">
        <v>1600</v>
      </c>
      <c r="B20" s="418"/>
      <c r="C20" s="418"/>
      <c r="D20" s="418"/>
      <c r="E20" s="418"/>
      <c r="F20" s="418"/>
      <c r="G20" s="418"/>
      <c r="H20" s="123"/>
      <c r="I20" s="123"/>
      <c r="J20" s="123"/>
      <c r="K20" s="124"/>
      <c r="BC20" s="14"/>
      <c r="BD20" s="15" t="s">
        <v>1600</v>
      </c>
      <c r="BE20" s="21"/>
    </row>
    <row r="21" spans="1:60" s="3" customFormat="1" ht="21.6" x14ac:dyDescent="0.3">
      <c r="A21" s="16" t="s">
        <v>35</v>
      </c>
      <c r="B21" s="17" t="s">
        <v>1601</v>
      </c>
      <c r="C21" s="405" t="s">
        <v>1602</v>
      </c>
      <c r="D21" s="405"/>
      <c r="E21" s="405"/>
      <c r="F21" s="16" t="s">
        <v>102</v>
      </c>
      <c r="G21" s="18">
        <v>15.375</v>
      </c>
      <c r="H21" s="57">
        <f>I21/G21</f>
        <v>11010.070243902439</v>
      </c>
      <c r="I21" s="19">
        <v>169279.83</v>
      </c>
      <c r="J21" s="19">
        <f>K21/G21</f>
        <v>5840.0266666666666</v>
      </c>
      <c r="K21" s="19">
        <v>89790.41</v>
      </c>
      <c r="BC21" s="14"/>
      <c r="BD21" s="15"/>
      <c r="BE21" s="21" t="s">
        <v>1602</v>
      </c>
    </row>
    <row r="22" spans="1:60" s="3" customFormat="1" ht="20.399999999999999" x14ac:dyDescent="0.3">
      <c r="A22" s="37" t="s">
        <v>143</v>
      </c>
      <c r="B22" s="38" t="s">
        <v>767</v>
      </c>
      <c r="C22" s="430" t="s">
        <v>768</v>
      </c>
      <c r="D22" s="430"/>
      <c r="E22" s="430"/>
      <c r="F22" s="39" t="s">
        <v>46</v>
      </c>
      <c r="G22" s="40" t="s">
        <v>3614</v>
      </c>
      <c r="H22" s="100"/>
      <c r="I22" s="41"/>
      <c r="J22" s="41"/>
      <c r="K22" s="42"/>
      <c r="BC22" s="14"/>
      <c r="BD22" s="15"/>
      <c r="BE22" s="21"/>
      <c r="BF22" s="43" t="s">
        <v>768</v>
      </c>
    </row>
    <row r="23" spans="1:60" s="3" customFormat="1" ht="21.6" x14ac:dyDescent="0.3">
      <c r="A23" s="25" t="s">
        <v>129</v>
      </c>
      <c r="B23" s="26" t="s">
        <v>205</v>
      </c>
      <c r="C23" s="419" t="s">
        <v>82</v>
      </c>
      <c r="D23" s="419"/>
      <c r="E23" s="419"/>
      <c r="F23" s="27" t="s">
        <v>46</v>
      </c>
      <c r="G23" s="22" t="s">
        <v>3614</v>
      </c>
      <c r="H23" s="57"/>
      <c r="I23" s="28"/>
      <c r="J23" s="19"/>
      <c r="K23" s="29"/>
      <c r="BC23" s="14"/>
      <c r="BD23" s="15"/>
      <c r="BE23" s="21"/>
      <c r="BF23" s="43"/>
      <c r="BG23" s="12" t="s">
        <v>82</v>
      </c>
    </row>
    <row r="24" spans="1:60" s="3" customFormat="1" ht="15" customHeight="1" x14ac:dyDescent="0.3">
      <c r="A24" s="437" t="s">
        <v>3340</v>
      </c>
      <c r="B24" s="418"/>
      <c r="C24" s="418"/>
      <c r="D24" s="418"/>
      <c r="E24" s="418"/>
      <c r="F24" s="418"/>
      <c r="G24" s="418"/>
      <c r="H24" s="123"/>
      <c r="I24" s="123"/>
      <c r="J24" s="123"/>
      <c r="K24" s="124"/>
      <c r="BC24" s="14"/>
      <c r="BD24" s="15" t="s">
        <v>3340</v>
      </c>
      <c r="BE24" s="21"/>
      <c r="BF24" s="43"/>
      <c r="BG24" s="12"/>
    </row>
    <row r="25" spans="1:60" s="3" customFormat="1" ht="31.8" x14ac:dyDescent="0.3">
      <c r="A25" s="16" t="s">
        <v>40</v>
      </c>
      <c r="B25" s="17" t="s">
        <v>3341</v>
      </c>
      <c r="C25" s="405" t="s">
        <v>3342</v>
      </c>
      <c r="D25" s="405"/>
      <c r="E25" s="405"/>
      <c r="F25" s="16" t="s">
        <v>67</v>
      </c>
      <c r="G25" s="31">
        <v>5.0599999999999996</v>
      </c>
      <c r="H25" s="57">
        <f>I25/G25</f>
        <v>5335.634387351779</v>
      </c>
      <c r="I25" s="19">
        <v>26998.309999999998</v>
      </c>
      <c r="J25" s="19">
        <f>K25/G25</f>
        <v>8.7608695652173925</v>
      </c>
      <c r="K25" s="19">
        <v>44.33</v>
      </c>
      <c r="BC25" s="14"/>
      <c r="BD25" s="15"/>
      <c r="BE25" s="21" t="s">
        <v>3342</v>
      </c>
      <c r="BF25" s="43"/>
      <c r="BG25" s="12"/>
    </row>
    <row r="26" spans="1:60" s="3" customFormat="1" ht="21.6" x14ac:dyDescent="0.3">
      <c r="A26" s="25"/>
      <c r="B26" s="26" t="s">
        <v>607</v>
      </c>
      <c r="C26" s="419" t="s">
        <v>608</v>
      </c>
      <c r="D26" s="419"/>
      <c r="E26" s="419"/>
      <c r="F26" s="27" t="s">
        <v>609</v>
      </c>
      <c r="G26" s="22" t="s">
        <v>3615</v>
      </c>
      <c r="H26" s="58"/>
      <c r="I26" s="28"/>
      <c r="J26" s="28"/>
      <c r="K26" s="29"/>
      <c r="BC26" s="14"/>
      <c r="BD26" s="15"/>
      <c r="BE26" s="21"/>
      <c r="BF26" s="43"/>
      <c r="BG26" s="12"/>
      <c r="BH26" s="12" t="s">
        <v>608</v>
      </c>
    </row>
    <row r="27" spans="1:60" s="3" customFormat="1" ht="21.6" x14ac:dyDescent="0.3">
      <c r="A27" s="16" t="s">
        <v>47</v>
      </c>
      <c r="B27" s="17" t="s">
        <v>3344</v>
      </c>
      <c r="C27" s="405" t="s">
        <v>3345</v>
      </c>
      <c r="D27" s="405"/>
      <c r="E27" s="405"/>
      <c r="F27" s="16" t="s">
        <v>115</v>
      </c>
      <c r="G27" s="31">
        <v>516.12</v>
      </c>
      <c r="H27" s="57">
        <f>I27/G27</f>
        <v>0</v>
      </c>
      <c r="I27" s="19">
        <v>0</v>
      </c>
      <c r="J27" s="19">
        <f>K27/G27</f>
        <v>221.51550027125475</v>
      </c>
      <c r="K27" s="19">
        <v>114328.58</v>
      </c>
      <c r="BC27" s="14"/>
      <c r="BD27" s="15"/>
      <c r="BE27" s="21" t="s">
        <v>3345</v>
      </c>
      <c r="BF27" s="43"/>
      <c r="BG27" s="12"/>
      <c r="BH27" s="12"/>
    </row>
    <row r="28" spans="1:60" s="3" customFormat="1" ht="15" customHeight="1" x14ac:dyDescent="0.3">
      <c r="A28" s="437" t="s">
        <v>1610</v>
      </c>
      <c r="B28" s="418"/>
      <c r="C28" s="418"/>
      <c r="D28" s="418"/>
      <c r="E28" s="418"/>
      <c r="F28" s="418"/>
      <c r="G28" s="418"/>
      <c r="H28" s="123"/>
      <c r="I28" s="123"/>
      <c r="J28" s="123"/>
      <c r="K28" s="124"/>
      <c r="BC28" s="14"/>
      <c r="BD28" s="15" t="s">
        <v>1610</v>
      </c>
      <c r="BE28" s="21"/>
      <c r="BF28" s="43"/>
      <c r="BG28" s="12"/>
      <c r="BH28" s="12"/>
    </row>
    <row r="29" spans="1:60" s="3" customFormat="1" ht="42" x14ac:dyDescent="0.3">
      <c r="A29" s="16" t="s">
        <v>52</v>
      </c>
      <c r="B29" s="17" t="s">
        <v>1611</v>
      </c>
      <c r="C29" s="405" t="s">
        <v>1612</v>
      </c>
      <c r="D29" s="405"/>
      <c r="E29" s="405"/>
      <c r="F29" s="16" t="s">
        <v>67</v>
      </c>
      <c r="G29" s="24">
        <v>0.9</v>
      </c>
      <c r="H29" s="57">
        <f>I29/G29</f>
        <v>14776.722222222223</v>
      </c>
      <c r="I29" s="19">
        <v>13299.050000000001</v>
      </c>
      <c r="J29" s="19">
        <f>K29/G29</f>
        <v>148.58888888888887</v>
      </c>
      <c r="K29" s="19">
        <v>133.72999999999999</v>
      </c>
      <c r="BC29" s="14"/>
      <c r="BD29" s="15"/>
      <c r="BE29" s="21" t="s">
        <v>1612</v>
      </c>
      <c r="BF29" s="43"/>
      <c r="BG29" s="12"/>
      <c r="BH29" s="12"/>
    </row>
    <row r="30" spans="1:60" s="3" customFormat="1" ht="20.399999999999999" x14ac:dyDescent="0.3">
      <c r="A30" s="25"/>
      <c r="B30" s="26" t="s">
        <v>1613</v>
      </c>
      <c r="C30" s="419" t="s">
        <v>1614</v>
      </c>
      <c r="D30" s="419"/>
      <c r="E30" s="419"/>
      <c r="F30" s="27" t="s">
        <v>142</v>
      </c>
      <c r="G30" s="22" t="s">
        <v>3616</v>
      </c>
      <c r="H30" s="58"/>
      <c r="I30" s="28"/>
      <c r="J30" s="28"/>
      <c r="K30" s="29"/>
      <c r="BC30" s="14"/>
      <c r="BD30" s="15"/>
      <c r="BE30" s="21"/>
      <c r="BF30" s="43"/>
      <c r="BG30" s="12"/>
      <c r="BH30" s="12" t="s">
        <v>1614</v>
      </c>
    </row>
    <row r="31" spans="1:60" s="3" customFormat="1" ht="21.6" x14ac:dyDescent="0.3">
      <c r="A31" s="25"/>
      <c r="B31" s="26" t="s">
        <v>607</v>
      </c>
      <c r="C31" s="419" t="s">
        <v>608</v>
      </c>
      <c r="D31" s="419"/>
      <c r="E31" s="419"/>
      <c r="F31" s="27" t="s">
        <v>609</v>
      </c>
      <c r="G31" s="22" t="s">
        <v>3617</v>
      </c>
      <c r="H31" s="58"/>
      <c r="I31" s="28"/>
      <c r="J31" s="28"/>
      <c r="K31" s="29"/>
      <c r="BC31" s="14"/>
      <c r="BD31" s="15"/>
      <c r="BE31" s="21"/>
      <c r="BF31" s="43"/>
      <c r="BG31" s="12"/>
      <c r="BH31" s="12" t="s">
        <v>608</v>
      </c>
    </row>
    <row r="32" spans="1:60" s="3" customFormat="1" ht="21.6" x14ac:dyDescent="0.3">
      <c r="A32" s="16" t="s">
        <v>55</v>
      </c>
      <c r="B32" s="17" t="s">
        <v>1608</v>
      </c>
      <c r="C32" s="405" t="s">
        <v>1609</v>
      </c>
      <c r="D32" s="405"/>
      <c r="E32" s="405"/>
      <c r="F32" s="16" t="s">
        <v>115</v>
      </c>
      <c r="G32" s="24">
        <v>91.8</v>
      </c>
      <c r="H32" s="57">
        <f>I32/G32</f>
        <v>0</v>
      </c>
      <c r="I32" s="19">
        <v>0</v>
      </c>
      <c r="J32" s="19">
        <f>K32/G32</f>
        <v>103.63355119825708</v>
      </c>
      <c r="K32" s="19">
        <v>9513.56</v>
      </c>
      <c r="BC32" s="14"/>
      <c r="BD32" s="15"/>
      <c r="BE32" s="21" t="s">
        <v>1609</v>
      </c>
      <c r="BF32" s="43"/>
      <c r="BG32" s="12"/>
      <c r="BH32" s="12"/>
    </row>
    <row r="33" spans="1:60" s="3" customFormat="1" ht="15" customHeight="1" x14ac:dyDescent="0.3">
      <c r="A33" s="437" t="s">
        <v>3346</v>
      </c>
      <c r="B33" s="418"/>
      <c r="C33" s="418"/>
      <c r="D33" s="418"/>
      <c r="E33" s="418"/>
      <c r="F33" s="418"/>
      <c r="G33" s="418"/>
      <c r="H33" s="123"/>
      <c r="I33" s="123"/>
      <c r="J33" s="123"/>
      <c r="K33" s="124"/>
      <c r="BC33" s="14"/>
      <c r="BD33" s="15" t="s">
        <v>3346</v>
      </c>
      <c r="BE33" s="21"/>
      <c r="BF33" s="43"/>
      <c r="BG33" s="12"/>
      <c r="BH33" s="12"/>
    </row>
    <row r="34" spans="1:60" s="3" customFormat="1" ht="21.6" x14ac:dyDescent="0.3">
      <c r="A34" s="16" t="s">
        <v>56</v>
      </c>
      <c r="B34" s="17" t="s">
        <v>597</v>
      </c>
      <c r="C34" s="405" t="s">
        <v>598</v>
      </c>
      <c r="D34" s="405"/>
      <c r="E34" s="405"/>
      <c r="F34" s="16" t="s">
        <v>67</v>
      </c>
      <c r="G34" s="31">
        <v>0.18</v>
      </c>
      <c r="H34" s="57">
        <f>I34/G34</f>
        <v>12315.111111111113</v>
      </c>
      <c r="I34" s="19">
        <v>2216.7200000000003</v>
      </c>
      <c r="J34" s="19">
        <f>K34/G34</f>
        <v>645.77777777777783</v>
      </c>
      <c r="K34" s="19">
        <v>116.24</v>
      </c>
      <c r="BC34" s="14"/>
      <c r="BD34" s="15"/>
      <c r="BE34" s="21" t="s">
        <v>598</v>
      </c>
      <c r="BF34" s="43"/>
      <c r="BG34" s="12"/>
      <c r="BH34" s="12"/>
    </row>
    <row r="35" spans="1:60" s="3" customFormat="1" ht="20.399999999999999" x14ac:dyDescent="0.3">
      <c r="A35" s="25"/>
      <c r="B35" s="26" t="s">
        <v>599</v>
      </c>
      <c r="C35" s="419" t="s">
        <v>600</v>
      </c>
      <c r="D35" s="419"/>
      <c r="E35" s="419"/>
      <c r="F35" s="27" t="s">
        <v>406</v>
      </c>
      <c r="G35" s="22" t="s">
        <v>3618</v>
      </c>
      <c r="H35" s="58"/>
      <c r="I35" s="28"/>
      <c r="J35" s="28"/>
      <c r="K35" s="29"/>
      <c r="BC35" s="14"/>
      <c r="BD35" s="15"/>
      <c r="BE35" s="21"/>
      <c r="BF35" s="43"/>
      <c r="BG35" s="12"/>
      <c r="BH35" s="12" t="s">
        <v>600</v>
      </c>
    </row>
    <row r="36" spans="1:60" s="3" customFormat="1" ht="21.6" x14ac:dyDescent="0.3">
      <c r="A36" s="25"/>
      <c r="B36" s="26" t="s">
        <v>601</v>
      </c>
      <c r="C36" s="419" t="s">
        <v>602</v>
      </c>
      <c r="D36" s="419"/>
      <c r="E36" s="419"/>
      <c r="F36" s="27" t="s">
        <v>70</v>
      </c>
      <c r="G36" s="22" t="s">
        <v>3619</v>
      </c>
      <c r="H36" s="58"/>
      <c r="I36" s="28"/>
      <c r="J36" s="28"/>
      <c r="K36" s="29"/>
      <c r="BC36" s="14"/>
      <c r="BD36" s="15"/>
      <c r="BE36" s="21"/>
      <c r="BF36" s="43"/>
      <c r="BG36" s="12"/>
      <c r="BH36" s="12" t="s">
        <v>602</v>
      </c>
    </row>
    <row r="37" spans="1:60" s="3" customFormat="1" ht="21.6" x14ac:dyDescent="0.3">
      <c r="A37" s="25"/>
      <c r="B37" s="26" t="s">
        <v>603</v>
      </c>
      <c r="C37" s="419" t="s">
        <v>604</v>
      </c>
      <c r="D37" s="419"/>
      <c r="E37" s="419"/>
      <c r="F37" s="27" t="s">
        <v>70</v>
      </c>
      <c r="G37" s="22" t="s">
        <v>3620</v>
      </c>
      <c r="H37" s="58"/>
      <c r="I37" s="28"/>
      <c r="J37" s="28"/>
      <c r="K37" s="29"/>
      <c r="BC37" s="14"/>
      <c r="BD37" s="15"/>
      <c r="BE37" s="21"/>
      <c r="BF37" s="43"/>
      <c r="BG37" s="12"/>
      <c r="BH37" s="12" t="s">
        <v>604</v>
      </c>
    </row>
    <row r="38" spans="1:60" s="3" customFormat="1" ht="20.399999999999999" x14ac:dyDescent="0.3">
      <c r="A38" s="25"/>
      <c r="B38" s="26" t="s">
        <v>605</v>
      </c>
      <c r="C38" s="419" t="s">
        <v>606</v>
      </c>
      <c r="D38" s="419"/>
      <c r="E38" s="419"/>
      <c r="F38" s="27" t="s">
        <v>75</v>
      </c>
      <c r="G38" s="22" t="s">
        <v>3621</v>
      </c>
      <c r="H38" s="58"/>
      <c r="I38" s="28"/>
      <c r="J38" s="28"/>
      <c r="K38" s="29"/>
      <c r="BC38" s="14"/>
      <c r="BD38" s="15"/>
      <c r="BE38" s="21"/>
      <c r="BF38" s="43"/>
      <c r="BG38" s="12"/>
      <c r="BH38" s="12" t="s">
        <v>606</v>
      </c>
    </row>
    <row r="39" spans="1:60" s="3" customFormat="1" ht="20.399999999999999" x14ac:dyDescent="0.3">
      <c r="A39" s="25"/>
      <c r="B39" s="26" t="s">
        <v>89</v>
      </c>
      <c r="C39" s="419" t="s">
        <v>90</v>
      </c>
      <c r="D39" s="419"/>
      <c r="E39" s="419"/>
      <c r="F39" s="27" t="s">
        <v>70</v>
      </c>
      <c r="G39" s="22" t="s">
        <v>3622</v>
      </c>
      <c r="H39" s="58"/>
      <c r="I39" s="28"/>
      <c r="J39" s="28"/>
      <c r="K39" s="29"/>
      <c r="BC39" s="14"/>
      <c r="BD39" s="15"/>
      <c r="BE39" s="21"/>
      <c r="BF39" s="43"/>
      <c r="BG39" s="12"/>
      <c r="BH39" s="12" t="s">
        <v>90</v>
      </c>
    </row>
    <row r="40" spans="1:60" s="3" customFormat="1" ht="21.6" x14ac:dyDescent="0.3">
      <c r="A40" s="25"/>
      <c r="B40" s="26" t="s">
        <v>607</v>
      </c>
      <c r="C40" s="419" t="s">
        <v>608</v>
      </c>
      <c r="D40" s="419"/>
      <c r="E40" s="419"/>
      <c r="F40" s="27" t="s">
        <v>609</v>
      </c>
      <c r="G40" s="22" t="s">
        <v>3623</v>
      </c>
      <c r="H40" s="58"/>
      <c r="I40" s="28"/>
      <c r="J40" s="28"/>
      <c r="K40" s="29"/>
      <c r="BC40" s="14"/>
      <c r="BD40" s="15"/>
      <c r="BE40" s="21"/>
      <c r="BF40" s="43"/>
      <c r="BG40" s="12"/>
      <c r="BH40" s="12" t="s">
        <v>608</v>
      </c>
    </row>
    <row r="41" spans="1:60" s="3" customFormat="1" ht="21.6" x14ac:dyDescent="0.3">
      <c r="A41" s="16" t="s">
        <v>166</v>
      </c>
      <c r="B41" s="17" t="s">
        <v>1945</v>
      </c>
      <c r="C41" s="405" t="s">
        <v>1946</v>
      </c>
      <c r="D41" s="405"/>
      <c r="E41" s="405"/>
      <c r="F41" s="16" t="s">
        <v>67</v>
      </c>
      <c r="G41" s="31">
        <v>1.1599999999999999</v>
      </c>
      <c r="H41" s="57">
        <f>I41/G41</f>
        <v>10823.353448275862</v>
      </c>
      <c r="I41" s="19">
        <v>12555.09</v>
      </c>
      <c r="J41" s="19">
        <f>K41/G41</f>
        <v>327.7155172413793</v>
      </c>
      <c r="K41" s="19">
        <v>380.15</v>
      </c>
      <c r="BC41" s="14"/>
      <c r="BD41" s="15"/>
      <c r="BE41" s="21" t="s">
        <v>1946</v>
      </c>
      <c r="BF41" s="43"/>
      <c r="BG41" s="12"/>
      <c r="BH41" s="12"/>
    </row>
    <row r="42" spans="1:60" s="3" customFormat="1" ht="20.399999999999999" x14ac:dyDescent="0.3">
      <c r="A42" s="25"/>
      <c r="B42" s="26" t="s">
        <v>599</v>
      </c>
      <c r="C42" s="419" t="s">
        <v>600</v>
      </c>
      <c r="D42" s="419"/>
      <c r="E42" s="419"/>
      <c r="F42" s="27" t="s">
        <v>406</v>
      </c>
      <c r="G42" s="22" t="s">
        <v>3624</v>
      </c>
      <c r="H42" s="58"/>
      <c r="I42" s="28"/>
      <c r="J42" s="28"/>
      <c r="K42" s="29"/>
      <c r="BC42" s="14"/>
      <c r="BD42" s="15"/>
      <c r="BE42" s="21"/>
      <c r="BF42" s="43"/>
      <c r="BG42" s="12"/>
      <c r="BH42" s="12" t="s">
        <v>600</v>
      </c>
    </row>
    <row r="43" spans="1:60" s="3" customFormat="1" ht="21.6" x14ac:dyDescent="0.3">
      <c r="A43" s="25"/>
      <c r="B43" s="26" t="s">
        <v>1766</v>
      </c>
      <c r="C43" s="419" t="s">
        <v>1767</v>
      </c>
      <c r="D43" s="419"/>
      <c r="E43" s="419"/>
      <c r="F43" s="27" t="s">
        <v>70</v>
      </c>
      <c r="G43" s="22" t="s">
        <v>3625</v>
      </c>
      <c r="H43" s="58"/>
      <c r="I43" s="28"/>
      <c r="J43" s="28"/>
      <c r="K43" s="29"/>
      <c r="BC43" s="14"/>
      <c r="BD43" s="15"/>
      <c r="BE43" s="21"/>
      <c r="BF43" s="43"/>
      <c r="BG43" s="12"/>
      <c r="BH43" s="12" t="s">
        <v>1767</v>
      </c>
    </row>
    <row r="44" spans="1:60" s="3" customFormat="1" ht="20.399999999999999" x14ac:dyDescent="0.3">
      <c r="A44" s="25"/>
      <c r="B44" s="26" t="s">
        <v>89</v>
      </c>
      <c r="C44" s="419" t="s">
        <v>90</v>
      </c>
      <c r="D44" s="419"/>
      <c r="E44" s="419"/>
      <c r="F44" s="27" t="s">
        <v>70</v>
      </c>
      <c r="G44" s="22" t="s">
        <v>3626</v>
      </c>
      <c r="H44" s="58"/>
      <c r="I44" s="28"/>
      <c r="J44" s="28"/>
      <c r="K44" s="29"/>
      <c r="BC44" s="14"/>
      <c r="BD44" s="15"/>
      <c r="BE44" s="21"/>
      <c r="BF44" s="43"/>
      <c r="BG44" s="12"/>
      <c r="BH44" s="12" t="s">
        <v>90</v>
      </c>
    </row>
    <row r="45" spans="1:60" s="3" customFormat="1" ht="21.6" x14ac:dyDescent="0.3">
      <c r="A45" s="25"/>
      <c r="B45" s="26" t="s">
        <v>607</v>
      </c>
      <c r="C45" s="419" t="s">
        <v>608</v>
      </c>
      <c r="D45" s="419"/>
      <c r="E45" s="419"/>
      <c r="F45" s="27" t="s">
        <v>609</v>
      </c>
      <c r="G45" s="22" t="s">
        <v>3627</v>
      </c>
      <c r="H45" s="58"/>
      <c r="I45" s="28"/>
      <c r="J45" s="28"/>
      <c r="K45" s="29"/>
      <c r="BC45" s="14"/>
      <c r="BD45" s="15"/>
      <c r="BE45" s="21"/>
      <c r="BF45" s="43"/>
      <c r="BG45" s="12"/>
      <c r="BH45" s="12" t="s">
        <v>608</v>
      </c>
    </row>
    <row r="46" spans="1:60" s="3" customFormat="1" ht="42" x14ac:dyDescent="0.3">
      <c r="A46" s="16" t="s">
        <v>169</v>
      </c>
      <c r="B46" s="17" t="s">
        <v>3353</v>
      </c>
      <c r="C46" s="405" t="s">
        <v>3354</v>
      </c>
      <c r="D46" s="405"/>
      <c r="E46" s="405"/>
      <c r="F46" s="16" t="s">
        <v>115</v>
      </c>
      <c r="G46" s="31">
        <v>144.84</v>
      </c>
      <c r="H46" s="57">
        <f>I46/G46</f>
        <v>0</v>
      </c>
      <c r="I46" s="19">
        <v>0</v>
      </c>
      <c r="J46" s="19">
        <f>K46/G46</f>
        <v>387.63000552333608</v>
      </c>
      <c r="K46" s="19">
        <v>56144.33</v>
      </c>
      <c r="BC46" s="14"/>
      <c r="BD46" s="15"/>
      <c r="BE46" s="21" t="s">
        <v>3354</v>
      </c>
      <c r="BF46" s="43"/>
      <c r="BG46" s="12"/>
      <c r="BH46" s="12"/>
    </row>
    <row r="47" spans="1:60" s="3" customFormat="1" ht="15" customHeight="1" x14ac:dyDescent="0.3">
      <c r="A47" s="437" t="s">
        <v>3628</v>
      </c>
      <c r="B47" s="418"/>
      <c r="C47" s="418"/>
      <c r="D47" s="418"/>
      <c r="E47" s="418"/>
      <c r="F47" s="418"/>
      <c r="G47" s="418"/>
      <c r="H47" s="123"/>
      <c r="I47" s="123"/>
      <c r="J47" s="123"/>
      <c r="K47" s="124"/>
      <c r="BC47" s="14"/>
      <c r="BD47" s="15" t="s">
        <v>3628</v>
      </c>
      <c r="BE47" s="21"/>
      <c r="BF47" s="43"/>
      <c r="BG47" s="12"/>
      <c r="BH47" s="12"/>
    </row>
    <row r="48" spans="1:60" s="3" customFormat="1" ht="21.6" x14ac:dyDescent="0.3">
      <c r="A48" s="16" t="s">
        <v>170</v>
      </c>
      <c r="B48" s="17" t="s">
        <v>1618</v>
      </c>
      <c r="C48" s="405" t="s">
        <v>1619</v>
      </c>
      <c r="D48" s="405"/>
      <c r="E48" s="405"/>
      <c r="F48" s="16" t="s">
        <v>67</v>
      </c>
      <c r="G48" s="31">
        <v>0.92</v>
      </c>
      <c r="H48" s="57">
        <f>I48/G48</f>
        <v>12883.141304347826</v>
      </c>
      <c r="I48" s="19">
        <v>11852.49</v>
      </c>
      <c r="J48" s="19">
        <f>K48/G48</f>
        <v>645.78260869565213</v>
      </c>
      <c r="K48" s="19">
        <v>594.12</v>
      </c>
      <c r="BC48" s="14"/>
      <c r="BD48" s="15"/>
      <c r="BE48" s="21" t="s">
        <v>1619</v>
      </c>
      <c r="BF48" s="43"/>
      <c r="BG48" s="12"/>
      <c r="BH48" s="12"/>
    </row>
    <row r="49" spans="1:60" s="3" customFormat="1" ht="20.399999999999999" x14ac:dyDescent="0.3">
      <c r="A49" s="25"/>
      <c r="B49" s="26" t="s">
        <v>599</v>
      </c>
      <c r="C49" s="419" t="s">
        <v>600</v>
      </c>
      <c r="D49" s="419"/>
      <c r="E49" s="419"/>
      <c r="F49" s="27" t="s">
        <v>406</v>
      </c>
      <c r="G49" s="22" t="s">
        <v>3629</v>
      </c>
      <c r="H49" s="58"/>
      <c r="I49" s="28"/>
      <c r="J49" s="28"/>
      <c r="K49" s="29"/>
      <c r="BC49" s="14"/>
      <c r="BD49" s="15"/>
      <c r="BE49" s="21"/>
      <c r="BF49" s="43"/>
      <c r="BG49" s="12"/>
      <c r="BH49" s="12" t="s">
        <v>600</v>
      </c>
    </row>
    <row r="50" spans="1:60" s="3" customFormat="1" ht="21.6" x14ac:dyDescent="0.3">
      <c r="A50" s="25"/>
      <c r="B50" s="26" t="s">
        <v>601</v>
      </c>
      <c r="C50" s="419" t="s">
        <v>602</v>
      </c>
      <c r="D50" s="419"/>
      <c r="E50" s="419"/>
      <c r="F50" s="27" t="s">
        <v>70</v>
      </c>
      <c r="G50" s="22" t="s">
        <v>3630</v>
      </c>
      <c r="H50" s="58"/>
      <c r="I50" s="28"/>
      <c r="J50" s="28"/>
      <c r="K50" s="29"/>
      <c r="BC50" s="14"/>
      <c r="BD50" s="15"/>
      <c r="BE50" s="21"/>
      <c r="BF50" s="43"/>
      <c r="BG50" s="12"/>
      <c r="BH50" s="12" t="s">
        <v>602</v>
      </c>
    </row>
    <row r="51" spans="1:60" s="3" customFormat="1" ht="21.6" x14ac:dyDescent="0.3">
      <c r="A51" s="25"/>
      <c r="B51" s="26" t="s">
        <v>603</v>
      </c>
      <c r="C51" s="419" t="s">
        <v>604</v>
      </c>
      <c r="D51" s="419"/>
      <c r="E51" s="419"/>
      <c r="F51" s="27" t="s">
        <v>70</v>
      </c>
      <c r="G51" s="22" t="s">
        <v>3631</v>
      </c>
      <c r="H51" s="58"/>
      <c r="I51" s="28"/>
      <c r="J51" s="28"/>
      <c r="K51" s="29"/>
      <c r="BC51" s="14"/>
      <c r="BD51" s="15"/>
      <c r="BE51" s="21"/>
      <c r="BF51" s="43"/>
      <c r="BG51" s="12"/>
      <c r="BH51" s="12" t="s">
        <v>604</v>
      </c>
    </row>
    <row r="52" spans="1:60" s="3" customFormat="1" ht="20.399999999999999" x14ac:dyDescent="0.3">
      <c r="A52" s="25"/>
      <c r="B52" s="26" t="s">
        <v>605</v>
      </c>
      <c r="C52" s="419" t="s">
        <v>606</v>
      </c>
      <c r="D52" s="419"/>
      <c r="E52" s="419"/>
      <c r="F52" s="27" t="s">
        <v>75</v>
      </c>
      <c r="G52" s="22" t="s">
        <v>3632</v>
      </c>
      <c r="H52" s="58"/>
      <c r="I52" s="28"/>
      <c r="J52" s="28"/>
      <c r="K52" s="29"/>
      <c r="BC52" s="14"/>
      <c r="BD52" s="15"/>
      <c r="BE52" s="21"/>
      <c r="BF52" s="43"/>
      <c r="BG52" s="12"/>
      <c r="BH52" s="12" t="s">
        <v>606</v>
      </c>
    </row>
    <row r="53" spans="1:60" s="3" customFormat="1" ht="20.399999999999999" x14ac:dyDescent="0.3">
      <c r="A53" s="25"/>
      <c r="B53" s="26" t="s">
        <v>89</v>
      </c>
      <c r="C53" s="419" t="s">
        <v>90</v>
      </c>
      <c r="D53" s="419"/>
      <c r="E53" s="419"/>
      <c r="F53" s="27" t="s">
        <v>70</v>
      </c>
      <c r="G53" s="22" t="s">
        <v>3633</v>
      </c>
      <c r="H53" s="58"/>
      <c r="I53" s="28"/>
      <c r="J53" s="28"/>
      <c r="K53" s="29"/>
      <c r="BC53" s="14"/>
      <c r="BD53" s="15"/>
      <c r="BE53" s="21"/>
      <c r="BF53" s="43"/>
      <c r="BG53" s="12"/>
      <c r="BH53" s="12" t="s">
        <v>90</v>
      </c>
    </row>
    <row r="54" spans="1:60" s="3" customFormat="1" ht="21.6" x14ac:dyDescent="0.3">
      <c r="A54" s="25"/>
      <c r="B54" s="26" t="s">
        <v>607</v>
      </c>
      <c r="C54" s="419" t="s">
        <v>608</v>
      </c>
      <c r="D54" s="419"/>
      <c r="E54" s="419"/>
      <c r="F54" s="27" t="s">
        <v>609</v>
      </c>
      <c r="G54" s="22" t="s">
        <v>3634</v>
      </c>
      <c r="H54" s="58"/>
      <c r="I54" s="28"/>
      <c r="J54" s="28"/>
      <c r="K54" s="29"/>
      <c r="BC54" s="14"/>
      <c r="BD54" s="15"/>
      <c r="BE54" s="21"/>
      <c r="BF54" s="43"/>
      <c r="BG54" s="12"/>
      <c r="BH54" s="12" t="s">
        <v>608</v>
      </c>
    </row>
    <row r="55" spans="1:60" s="3" customFormat="1" ht="42" x14ac:dyDescent="0.3">
      <c r="A55" s="16" t="s">
        <v>173</v>
      </c>
      <c r="B55" s="17" t="s">
        <v>3367</v>
      </c>
      <c r="C55" s="405" t="s">
        <v>3368</v>
      </c>
      <c r="D55" s="405"/>
      <c r="E55" s="405"/>
      <c r="F55" s="16" t="s">
        <v>115</v>
      </c>
      <c r="G55" s="31">
        <v>99.96</v>
      </c>
      <c r="H55" s="57">
        <f>I55/G55</f>
        <v>0</v>
      </c>
      <c r="I55" s="19">
        <v>0</v>
      </c>
      <c r="J55" s="19">
        <f>K55/G55</f>
        <v>984.29701880752305</v>
      </c>
      <c r="K55" s="19">
        <v>98390.33</v>
      </c>
      <c r="BC55" s="14"/>
      <c r="BD55" s="15"/>
      <c r="BE55" s="21" t="s">
        <v>3368</v>
      </c>
      <c r="BF55" s="43"/>
      <c r="BG55" s="12"/>
      <c r="BH55" s="12"/>
    </row>
    <row r="56" spans="1:60" s="3" customFormat="1" ht="15" customHeight="1" x14ac:dyDescent="0.3">
      <c r="A56" s="437" t="s">
        <v>3635</v>
      </c>
      <c r="B56" s="418"/>
      <c r="C56" s="418"/>
      <c r="D56" s="418"/>
      <c r="E56" s="418"/>
      <c r="F56" s="418"/>
      <c r="G56" s="418"/>
      <c r="H56" s="123"/>
      <c r="I56" s="123"/>
      <c r="J56" s="123"/>
      <c r="K56" s="124"/>
      <c r="BC56" s="14"/>
      <c r="BD56" s="15" t="s">
        <v>3635</v>
      </c>
      <c r="BE56" s="21"/>
      <c r="BF56" s="43"/>
      <c r="BG56" s="12"/>
      <c r="BH56" s="12"/>
    </row>
    <row r="57" spans="1:60" s="3" customFormat="1" ht="21.6" x14ac:dyDescent="0.3">
      <c r="A57" s="16" t="s">
        <v>176</v>
      </c>
      <c r="B57" s="17" t="s">
        <v>3636</v>
      </c>
      <c r="C57" s="405" t="s">
        <v>3637</v>
      </c>
      <c r="D57" s="405"/>
      <c r="E57" s="405"/>
      <c r="F57" s="16" t="s">
        <v>67</v>
      </c>
      <c r="G57" s="31">
        <v>2.4900000000000002</v>
      </c>
      <c r="H57" s="57">
        <f>I57/G57</f>
        <v>15269.429718875503</v>
      </c>
      <c r="I57" s="19">
        <v>38020.880000000005</v>
      </c>
      <c r="J57" s="19">
        <f>K57/G57</f>
        <v>646.49397590361434</v>
      </c>
      <c r="K57" s="19">
        <v>1609.77</v>
      </c>
      <c r="BC57" s="14"/>
      <c r="BD57" s="15"/>
      <c r="BE57" s="21" t="s">
        <v>3637</v>
      </c>
      <c r="BF57" s="43"/>
      <c r="BG57" s="12"/>
      <c r="BH57" s="12"/>
    </row>
    <row r="58" spans="1:60" s="3" customFormat="1" ht="20.399999999999999" x14ac:dyDescent="0.3">
      <c r="A58" s="25"/>
      <c r="B58" s="26" t="s">
        <v>599</v>
      </c>
      <c r="C58" s="419" t="s">
        <v>600</v>
      </c>
      <c r="D58" s="419"/>
      <c r="E58" s="419"/>
      <c r="F58" s="27" t="s">
        <v>406</v>
      </c>
      <c r="G58" s="22" t="s">
        <v>3638</v>
      </c>
      <c r="H58" s="58"/>
      <c r="I58" s="28"/>
      <c r="J58" s="28"/>
      <c r="K58" s="29"/>
      <c r="BC58" s="14"/>
      <c r="BD58" s="15"/>
      <c r="BE58" s="21"/>
      <c r="BF58" s="43"/>
      <c r="BG58" s="12"/>
      <c r="BH58" s="12" t="s">
        <v>600</v>
      </c>
    </row>
    <row r="59" spans="1:60" s="3" customFormat="1" ht="21.6" x14ac:dyDescent="0.3">
      <c r="A59" s="25"/>
      <c r="B59" s="26" t="s">
        <v>601</v>
      </c>
      <c r="C59" s="419" t="s">
        <v>602</v>
      </c>
      <c r="D59" s="419"/>
      <c r="E59" s="419"/>
      <c r="F59" s="27" t="s">
        <v>70</v>
      </c>
      <c r="G59" s="22" t="s">
        <v>3639</v>
      </c>
      <c r="H59" s="58"/>
      <c r="I59" s="28"/>
      <c r="J59" s="28"/>
      <c r="K59" s="29"/>
      <c r="BC59" s="14"/>
      <c r="BD59" s="15"/>
      <c r="BE59" s="21"/>
      <c r="BF59" s="43"/>
      <c r="BG59" s="12"/>
      <c r="BH59" s="12" t="s">
        <v>602</v>
      </c>
    </row>
    <row r="60" spans="1:60" s="3" customFormat="1" ht="21.6" x14ac:dyDescent="0.3">
      <c r="A60" s="25"/>
      <c r="B60" s="26" t="s">
        <v>603</v>
      </c>
      <c r="C60" s="419" t="s">
        <v>604</v>
      </c>
      <c r="D60" s="419"/>
      <c r="E60" s="419"/>
      <c r="F60" s="27" t="s">
        <v>70</v>
      </c>
      <c r="G60" s="22" t="s">
        <v>3640</v>
      </c>
      <c r="H60" s="58"/>
      <c r="I60" s="28"/>
      <c r="J60" s="28"/>
      <c r="K60" s="29"/>
      <c r="BC60" s="14"/>
      <c r="BD60" s="15"/>
      <c r="BE60" s="21"/>
      <c r="BF60" s="43"/>
      <c r="BG60" s="12"/>
      <c r="BH60" s="12" t="s">
        <v>604</v>
      </c>
    </row>
    <row r="61" spans="1:60" s="3" customFormat="1" ht="20.399999999999999" x14ac:dyDescent="0.3">
      <c r="A61" s="25"/>
      <c r="B61" s="26" t="s">
        <v>605</v>
      </c>
      <c r="C61" s="419" t="s">
        <v>606</v>
      </c>
      <c r="D61" s="419"/>
      <c r="E61" s="419"/>
      <c r="F61" s="27" t="s">
        <v>75</v>
      </c>
      <c r="G61" s="22" t="s">
        <v>3641</v>
      </c>
      <c r="H61" s="58"/>
      <c r="I61" s="28"/>
      <c r="J61" s="28"/>
      <c r="K61" s="29"/>
      <c r="BC61" s="14"/>
      <c r="BD61" s="15"/>
      <c r="BE61" s="21"/>
      <c r="BF61" s="43"/>
      <c r="BG61" s="12"/>
      <c r="BH61" s="12" t="s">
        <v>606</v>
      </c>
    </row>
    <row r="62" spans="1:60" s="3" customFormat="1" ht="20.399999999999999" x14ac:dyDescent="0.3">
      <c r="A62" s="25"/>
      <c r="B62" s="26" t="s">
        <v>89</v>
      </c>
      <c r="C62" s="419" t="s">
        <v>90</v>
      </c>
      <c r="D62" s="419"/>
      <c r="E62" s="419"/>
      <c r="F62" s="27" t="s">
        <v>70</v>
      </c>
      <c r="G62" s="22" t="s">
        <v>3642</v>
      </c>
      <c r="H62" s="58"/>
      <c r="I62" s="28"/>
      <c r="J62" s="28"/>
      <c r="K62" s="29"/>
      <c r="BC62" s="14"/>
      <c r="BD62" s="15"/>
      <c r="BE62" s="21"/>
      <c r="BF62" s="43"/>
      <c r="BG62" s="12"/>
      <c r="BH62" s="12" t="s">
        <v>90</v>
      </c>
    </row>
    <row r="63" spans="1:60" s="3" customFormat="1" ht="21.6" x14ac:dyDescent="0.3">
      <c r="A63" s="25"/>
      <c r="B63" s="26" t="s">
        <v>607</v>
      </c>
      <c r="C63" s="419" t="s">
        <v>608</v>
      </c>
      <c r="D63" s="419"/>
      <c r="E63" s="419"/>
      <c r="F63" s="27" t="s">
        <v>609</v>
      </c>
      <c r="G63" s="22" t="s">
        <v>3643</v>
      </c>
      <c r="H63" s="58"/>
      <c r="I63" s="28"/>
      <c r="J63" s="28"/>
      <c r="K63" s="29"/>
      <c r="BC63" s="14"/>
      <c r="BD63" s="15"/>
      <c r="BE63" s="21"/>
      <c r="BF63" s="43"/>
      <c r="BG63" s="12"/>
      <c r="BH63" s="12" t="s">
        <v>608</v>
      </c>
    </row>
    <row r="64" spans="1:60" s="3" customFormat="1" ht="21.6" x14ac:dyDescent="0.3">
      <c r="A64" s="16" t="s">
        <v>177</v>
      </c>
      <c r="B64" s="17" t="s">
        <v>3370</v>
      </c>
      <c r="C64" s="405" t="s">
        <v>3371</v>
      </c>
      <c r="D64" s="405"/>
      <c r="E64" s="405"/>
      <c r="F64" s="16" t="s">
        <v>67</v>
      </c>
      <c r="G64" s="31">
        <v>0.54</v>
      </c>
      <c r="H64" s="57">
        <f>I64/G64</f>
        <v>19529.925925925927</v>
      </c>
      <c r="I64" s="19">
        <v>10546.160000000002</v>
      </c>
      <c r="J64" s="19">
        <f>K64/G64</f>
        <v>342.05555555555554</v>
      </c>
      <c r="K64" s="19">
        <v>184.71</v>
      </c>
      <c r="BC64" s="14"/>
      <c r="BD64" s="15"/>
      <c r="BE64" s="21" t="s">
        <v>3371</v>
      </c>
      <c r="BF64" s="43"/>
      <c r="BG64" s="12"/>
      <c r="BH64" s="12"/>
    </row>
    <row r="65" spans="1:60" s="3" customFormat="1" ht="20.399999999999999" x14ac:dyDescent="0.3">
      <c r="A65" s="25"/>
      <c r="B65" s="26" t="s">
        <v>599</v>
      </c>
      <c r="C65" s="419" t="s">
        <v>600</v>
      </c>
      <c r="D65" s="419"/>
      <c r="E65" s="419"/>
      <c r="F65" s="27" t="s">
        <v>406</v>
      </c>
      <c r="G65" s="22" t="s">
        <v>3644</v>
      </c>
      <c r="H65" s="58"/>
      <c r="I65" s="28"/>
      <c r="J65" s="28"/>
      <c r="K65" s="29"/>
      <c r="BC65" s="14"/>
      <c r="BD65" s="15"/>
      <c r="BE65" s="21"/>
      <c r="BF65" s="43"/>
      <c r="BG65" s="12"/>
      <c r="BH65" s="12" t="s">
        <v>600</v>
      </c>
    </row>
    <row r="66" spans="1:60" s="3" customFormat="1" ht="21.6" x14ac:dyDescent="0.3">
      <c r="A66" s="25"/>
      <c r="B66" s="26" t="s">
        <v>1766</v>
      </c>
      <c r="C66" s="419" t="s">
        <v>1767</v>
      </c>
      <c r="D66" s="419"/>
      <c r="E66" s="419"/>
      <c r="F66" s="27" t="s">
        <v>70</v>
      </c>
      <c r="G66" s="22" t="s">
        <v>3645</v>
      </c>
      <c r="H66" s="58"/>
      <c r="I66" s="28"/>
      <c r="J66" s="28"/>
      <c r="K66" s="29"/>
      <c r="BC66" s="14"/>
      <c r="BD66" s="15"/>
      <c r="BE66" s="21"/>
      <c r="BF66" s="43"/>
      <c r="BG66" s="12"/>
      <c r="BH66" s="12" t="s">
        <v>1767</v>
      </c>
    </row>
    <row r="67" spans="1:60" s="3" customFormat="1" ht="20.399999999999999" x14ac:dyDescent="0.3">
      <c r="A67" s="25"/>
      <c r="B67" s="26" t="s">
        <v>89</v>
      </c>
      <c r="C67" s="419" t="s">
        <v>90</v>
      </c>
      <c r="D67" s="419"/>
      <c r="E67" s="419"/>
      <c r="F67" s="27" t="s">
        <v>70</v>
      </c>
      <c r="G67" s="22" t="s">
        <v>3646</v>
      </c>
      <c r="H67" s="58"/>
      <c r="I67" s="28"/>
      <c r="J67" s="28"/>
      <c r="K67" s="29"/>
      <c r="BC67" s="14"/>
      <c r="BD67" s="15"/>
      <c r="BE67" s="21"/>
      <c r="BF67" s="43"/>
      <c r="BG67" s="12"/>
      <c r="BH67" s="12" t="s">
        <v>90</v>
      </c>
    </row>
    <row r="68" spans="1:60" s="3" customFormat="1" ht="21.6" x14ac:dyDescent="0.3">
      <c r="A68" s="25"/>
      <c r="B68" s="26" t="s">
        <v>607</v>
      </c>
      <c r="C68" s="419" t="s">
        <v>608</v>
      </c>
      <c r="D68" s="419"/>
      <c r="E68" s="419"/>
      <c r="F68" s="27" t="s">
        <v>609</v>
      </c>
      <c r="G68" s="22" t="s">
        <v>3647</v>
      </c>
      <c r="H68" s="58"/>
      <c r="I68" s="28"/>
      <c r="J68" s="28"/>
      <c r="K68" s="29"/>
      <c r="BC68" s="14"/>
      <c r="BD68" s="15"/>
      <c r="BE68" s="21"/>
      <c r="BF68" s="43"/>
      <c r="BG68" s="12"/>
      <c r="BH68" s="12" t="s">
        <v>608</v>
      </c>
    </row>
    <row r="69" spans="1:60" s="3" customFormat="1" ht="42" x14ac:dyDescent="0.3">
      <c r="A69" s="16" t="s">
        <v>180</v>
      </c>
      <c r="B69" s="17" t="s">
        <v>3376</v>
      </c>
      <c r="C69" s="405" t="s">
        <v>3377</v>
      </c>
      <c r="D69" s="405"/>
      <c r="E69" s="405"/>
      <c r="F69" s="16" t="s">
        <v>115</v>
      </c>
      <c r="G69" s="31">
        <v>327.42</v>
      </c>
      <c r="H69" s="57">
        <f>I69/G69</f>
        <v>0</v>
      </c>
      <c r="I69" s="19">
        <v>0</v>
      </c>
      <c r="J69" s="19">
        <f>K69/G69</f>
        <v>1331.1284894019914</v>
      </c>
      <c r="K69" s="19">
        <v>435838.09</v>
      </c>
      <c r="BC69" s="14"/>
      <c r="BD69" s="15"/>
      <c r="BE69" s="21" t="s">
        <v>3377</v>
      </c>
      <c r="BF69" s="43"/>
      <c r="BG69" s="12"/>
      <c r="BH69" s="12"/>
    </row>
    <row r="70" spans="1:60" s="3" customFormat="1" ht="15" customHeight="1" x14ac:dyDescent="0.3">
      <c r="A70" s="437" t="s">
        <v>3648</v>
      </c>
      <c r="B70" s="418"/>
      <c r="C70" s="418"/>
      <c r="D70" s="418"/>
      <c r="E70" s="418"/>
      <c r="F70" s="418"/>
      <c r="G70" s="418"/>
      <c r="H70" s="123"/>
      <c r="I70" s="123"/>
      <c r="J70" s="123"/>
      <c r="K70" s="124"/>
      <c r="BC70" s="14"/>
      <c r="BD70" s="15" t="s">
        <v>3648</v>
      </c>
      <c r="BE70" s="21"/>
      <c r="BF70" s="43"/>
      <c r="BG70" s="12"/>
      <c r="BH70" s="12"/>
    </row>
    <row r="71" spans="1:60" s="3" customFormat="1" ht="21.6" x14ac:dyDescent="0.3">
      <c r="A71" s="16" t="s">
        <v>182</v>
      </c>
      <c r="B71" s="17" t="s">
        <v>3636</v>
      </c>
      <c r="C71" s="405" t="s">
        <v>3637</v>
      </c>
      <c r="D71" s="405"/>
      <c r="E71" s="405"/>
      <c r="F71" s="16" t="s">
        <v>67</v>
      </c>
      <c r="G71" s="31">
        <v>9.0299999999999994</v>
      </c>
      <c r="H71" s="57">
        <f>I71/G71</f>
        <v>15269.428571428572</v>
      </c>
      <c r="I71" s="19">
        <v>137882.94</v>
      </c>
      <c r="J71" s="19">
        <f>K71/G71</f>
        <v>646.49280177187154</v>
      </c>
      <c r="K71" s="19">
        <v>5837.83</v>
      </c>
      <c r="BC71" s="14"/>
      <c r="BD71" s="15"/>
      <c r="BE71" s="21" t="s">
        <v>3637</v>
      </c>
      <c r="BF71" s="43"/>
      <c r="BG71" s="12"/>
      <c r="BH71" s="12"/>
    </row>
    <row r="72" spans="1:60" s="3" customFormat="1" ht="20.399999999999999" x14ac:dyDescent="0.3">
      <c r="A72" s="25"/>
      <c r="B72" s="26" t="s">
        <v>599</v>
      </c>
      <c r="C72" s="419" t="s">
        <v>600</v>
      </c>
      <c r="D72" s="419"/>
      <c r="E72" s="419"/>
      <c r="F72" s="27" t="s">
        <v>406</v>
      </c>
      <c r="G72" s="22" t="s">
        <v>3649</v>
      </c>
      <c r="H72" s="58"/>
      <c r="I72" s="28"/>
      <c r="J72" s="28"/>
      <c r="K72" s="29"/>
      <c r="BC72" s="14"/>
      <c r="BD72" s="15"/>
      <c r="BE72" s="21"/>
      <c r="BF72" s="43"/>
      <c r="BG72" s="12"/>
      <c r="BH72" s="12" t="s">
        <v>600</v>
      </c>
    </row>
    <row r="73" spans="1:60" s="3" customFormat="1" ht="21.6" x14ac:dyDescent="0.3">
      <c r="A73" s="25"/>
      <c r="B73" s="26" t="s">
        <v>601</v>
      </c>
      <c r="C73" s="419" t="s">
        <v>602</v>
      </c>
      <c r="D73" s="419"/>
      <c r="E73" s="419"/>
      <c r="F73" s="27" t="s">
        <v>70</v>
      </c>
      <c r="G73" s="22" t="s">
        <v>3650</v>
      </c>
      <c r="H73" s="58"/>
      <c r="I73" s="28"/>
      <c r="J73" s="28"/>
      <c r="K73" s="29"/>
      <c r="BC73" s="14"/>
      <c r="BD73" s="15"/>
      <c r="BE73" s="21"/>
      <c r="BF73" s="43"/>
      <c r="BG73" s="12"/>
      <c r="BH73" s="12" t="s">
        <v>602</v>
      </c>
    </row>
    <row r="74" spans="1:60" s="3" customFormat="1" ht="21.6" x14ac:dyDescent="0.3">
      <c r="A74" s="25"/>
      <c r="B74" s="26" t="s">
        <v>603</v>
      </c>
      <c r="C74" s="419" t="s">
        <v>604</v>
      </c>
      <c r="D74" s="419"/>
      <c r="E74" s="419"/>
      <c r="F74" s="27" t="s">
        <v>70</v>
      </c>
      <c r="G74" s="22" t="s">
        <v>3651</v>
      </c>
      <c r="H74" s="58"/>
      <c r="I74" s="28"/>
      <c r="J74" s="28"/>
      <c r="K74" s="29"/>
      <c r="BC74" s="14"/>
      <c r="BD74" s="15"/>
      <c r="BE74" s="21"/>
      <c r="BF74" s="43"/>
      <c r="BG74" s="12"/>
      <c r="BH74" s="12" t="s">
        <v>604</v>
      </c>
    </row>
    <row r="75" spans="1:60" s="3" customFormat="1" ht="20.399999999999999" x14ac:dyDescent="0.3">
      <c r="A75" s="25"/>
      <c r="B75" s="26" t="s">
        <v>605</v>
      </c>
      <c r="C75" s="419" t="s">
        <v>606</v>
      </c>
      <c r="D75" s="419"/>
      <c r="E75" s="419"/>
      <c r="F75" s="27" t="s">
        <v>75</v>
      </c>
      <c r="G75" s="22" t="s">
        <v>3652</v>
      </c>
      <c r="H75" s="58"/>
      <c r="I75" s="28"/>
      <c r="J75" s="28"/>
      <c r="K75" s="29"/>
      <c r="BC75" s="14"/>
      <c r="BD75" s="15"/>
      <c r="BE75" s="21"/>
      <c r="BF75" s="43"/>
      <c r="BG75" s="12"/>
      <c r="BH75" s="12" t="s">
        <v>606</v>
      </c>
    </row>
    <row r="76" spans="1:60" s="3" customFormat="1" ht="20.399999999999999" x14ac:dyDescent="0.3">
      <c r="A76" s="25"/>
      <c r="B76" s="26" t="s">
        <v>89</v>
      </c>
      <c r="C76" s="419" t="s">
        <v>90</v>
      </c>
      <c r="D76" s="419"/>
      <c r="E76" s="419"/>
      <c r="F76" s="27" t="s">
        <v>70</v>
      </c>
      <c r="G76" s="22" t="s">
        <v>3653</v>
      </c>
      <c r="H76" s="58"/>
      <c r="I76" s="28"/>
      <c r="J76" s="28"/>
      <c r="K76" s="29"/>
      <c r="BC76" s="14"/>
      <c r="BD76" s="15"/>
      <c r="BE76" s="21"/>
      <c r="BF76" s="43"/>
      <c r="BG76" s="12"/>
      <c r="BH76" s="12" t="s">
        <v>90</v>
      </c>
    </row>
    <row r="77" spans="1:60" s="3" customFormat="1" ht="21.6" x14ac:dyDescent="0.3">
      <c r="A77" s="25"/>
      <c r="B77" s="26" t="s">
        <v>607</v>
      </c>
      <c r="C77" s="419" t="s">
        <v>608</v>
      </c>
      <c r="D77" s="419"/>
      <c r="E77" s="419"/>
      <c r="F77" s="27" t="s">
        <v>609</v>
      </c>
      <c r="G77" s="22" t="s">
        <v>3654</v>
      </c>
      <c r="H77" s="58"/>
      <c r="I77" s="28"/>
      <c r="J77" s="28"/>
      <c r="K77" s="29"/>
      <c r="BC77" s="14"/>
      <c r="BD77" s="15"/>
      <c r="BE77" s="21"/>
      <c r="BF77" s="43"/>
      <c r="BG77" s="12"/>
      <c r="BH77" s="12" t="s">
        <v>608</v>
      </c>
    </row>
    <row r="78" spans="1:60" s="3" customFormat="1" ht="21.6" x14ac:dyDescent="0.3">
      <c r="A78" s="16" t="s">
        <v>186</v>
      </c>
      <c r="B78" s="17" t="s">
        <v>3370</v>
      </c>
      <c r="C78" s="405" t="s">
        <v>3371</v>
      </c>
      <c r="D78" s="405"/>
      <c r="E78" s="405"/>
      <c r="F78" s="16" t="s">
        <v>67</v>
      </c>
      <c r="G78" s="31">
        <v>1.38</v>
      </c>
      <c r="H78" s="57">
        <f>I78/G78</f>
        <v>19529.920289855076</v>
      </c>
      <c r="I78" s="19">
        <v>26951.29</v>
      </c>
      <c r="J78" s="19">
        <f>K78/G78</f>
        <v>342.05072463768118</v>
      </c>
      <c r="K78" s="19">
        <v>472.03</v>
      </c>
      <c r="BC78" s="14"/>
      <c r="BD78" s="15"/>
      <c r="BE78" s="21" t="s">
        <v>3371</v>
      </c>
      <c r="BF78" s="43"/>
      <c r="BG78" s="12"/>
      <c r="BH78" s="12"/>
    </row>
    <row r="79" spans="1:60" s="3" customFormat="1" ht="20.399999999999999" x14ac:dyDescent="0.3">
      <c r="A79" s="25"/>
      <c r="B79" s="26" t="s">
        <v>599</v>
      </c>
      <c r="C79" s="419" t="s">
        <v>600</v>
      </c>
      <c r="D79" s="419"/>
      <c r="E79" s="419"/>
      <c r="F79" s="27" t="s">
        <v>406</v>
      </c>
      <c r="G79" s="22" t="s">
        <v>3655</v>
      </c>
      <c r="H79" s="58"/>
      <c r="I79" s="28"/>
      <c r="J79" s="28"/>
      <c r="K79" s="29"/>
      <c r="BC79" s="14"/>
      <c r="BD79" s="15"/>
      <c r="BE79" s="21"/>
      <c r="BF79" s="43"/>
      <c r="BG79" s="12"/>
      <c r="BH79" s="12" t="s">
        <v>600</v>
      </c>
    </row>
    <row r="80" spans="1:60" s="3" customFormat="1" ht="21.6" x14ac:dyDescent="0.3">
      <c r="A80" s="25"/>
      <c r="B80" s="26" t="s">
        <v>1766</v>
      </c>
      <c r="C80" s="419" t="s">
        <v>1767</v>
      </c>
      <c r="D80" s="419"/>
      <c r="E80" s="419"/>
      <c r="F80" s="27" t="s">
        <v>70</v>
      </c>
      <c r="G80" s="22" t="s">
        <v>3656</v>
      </c>
      <c r="H80" s="58"/>
      <c r="I80" s="28"/>
      <c r="J80" s="28"/>
      <c r="K80" s="29"/>
      <c r="BC80" s="14"/>
      <c r="BD80" s="15"/>
      <c r="BE80" s="21"/>
      <c r="BF80" s="43"/>
      <c r="BG80" s="12"/>
      <c r="BH80" s="12" t="s">
        <v>1767</v>
      </c>
    </row>
    <row r="81" spans="1:60" s="3" customFormat="1" ht="20.399999999999999" x14ac:dyDescent="0.3">
      <c r="A81" s="25"/>
      <c r="B81" s="26" t="s">
        <v>89</v>
      </c>
      <c r="C81" s="419" t="s">
        <v>90</v>
      </c>
      <c r="D81" s="419"/>
      <c r="E81" s="419"/>
      <c r="F81" s="27" t="s">
        <v>70</v>
      </c>
      <c r="G81" s="22" t="s">
        <v>3657</v>
      </c>
      <c r="H81" s="58"/>
      <c r="I81" s="28"/>
      <c r="J81" s="28"/>
      <c r="K81" s="29"/>
      <c r="BC81" s="14"/>
      <c r="BD81" s="15"/>
      <c r="BE81" s="21"/>
      <c r="BF81" s="43"/>
      <c r="BG81" s="12"/>
      <c r="BH81" s="12" t="s">
        <v>90</v>
      </c>
    </row>
    <row r="82" spans="1:60" s="3" customFormat="1" ht="21.6" x14ac:dyDescent="0.3">
      <c r="A82" s="25"/>
      <c r="B82" s="26" t="s">
        <v>607</v>
      </c>
      <c r="C82" s="419" t="s">
        <v>608</v>
      </c>
      <c r="D82" s="419"/>
      <c r="E82" s="419"/>
      <c r="F82" s="27" t="s">
        <v>609</v>
      </c>
      <c r="G82" s="22" t="s">
        <v>3658</v>
      </c>
      <c r="H82" s="58"/>
      <c r="I82" s="28"/>
      <c r="J82" s="28"/>
      <c r="K82" s="29"/>
      <c r="BC82" s="14"/>
      <c r="BD82" s="15"/>
      <c r="BE82" s="21"/>
      <c r="BF82" s="43"/>
      <c r="BG82" s="12"/>
      <c r="BH82" s="12" t="s">
        <v>608</v>
      </c>
    </row>
    <row r="83" spans="1:60" s="3" customFormat="1" ht="42" x14ac:dyDescent="0.3">
      <c r="A83" s="16" t="s">
        <v>192</v>
      </c>
      <c r="B83" s="17" t="s">
        <v>3659</v>
      </c>
      <c r="C83" s="405" t="s">
        <v>3660</v>
      </c>
      <c r="D83" s="405"/>
      <c r="E83" s="405"/>
      <c r="F83" s="16" t="s">
        <v>115</v>
      </c>
      <c r="G83" s="31">
        <v>1125.06</v>
      </c>
      <c r="H83" s="57">
        <f>I83/G83</f>
        <v>0</v>
      </c>
      <c r="I83" s="19">
        <v>0</v>
      </c>
      <c r="J83" s="19">
        <f>K83/G83</f>
        <v>1813.0110038575719</v>
      </c>
      <c r="K83" s="19">
        <v>2039746.16</v>
      </c>
      <c r="BC83" s="14"/>
      <c r="BD83" s="15"/>
      <c r="BE83" s="21" t="s">
        <v>3660</v>
      </c>
      <c r="BF83" s="43"/>
      <c r="BG83" s="12"/>
      <c r="BH83" s="12"/>
    </row>
    <row r="84" spans="1:60" s="3" customFormat="1" ht="15" customHeight="1" x14ac:dyDescent="0.3">
      <c r="A84" s="437" t="s">
        <v>3661</v>
      </c>
      <c r="B84" s="418"/>
      <c r="C84" s="418"/>
      <c r="D84" s="418"/>
      <c r="E84" s="418"/>
      <c r="F84" s="418"/>
      <c r="G84" s="418"/>
      <c r="H84" s="123"/>
      <c r="I84" s="123"/>
      <c r="J84" s="123"/>
      <c r="K84" s="124"/>
      <c r="BC84" s="14"/>
      <c r="BD84" s="15" t="s">
        <v>3661</v>
      </c>
      <c r="BE84" s="21"/>
      <c r="BF84" s="43"/>
      <c r="BG84" s="12"/>
      <c r="BH84" s="12"/>
    </row>
    <row r="85" spans="1:60" s="3" customFormat="1" ht="21.6" x14ac:dyDescent="0.3">
      <c r="A85" s="16" t="s">
        <v>196</v>
      </c>
      <c r="B85" s="17" t="s">
        <v>3662</v>
      </c>
      <c r="C85" s="405" t="s">
        <v>3663</v>
      </c>
      <c r="D85" s="405"/>
      <c r="E85" s="405"/>
      <c r="F85" s="16" t="s">
        <v>67</v>
      </c>
      <c r="G85" s="31">
        <v>4.2300000000000004</v>
      </c>
      <c r="H85" s="57">
        <f>I85/G85</f>
        <v>23140.184397163121</v>
      </c>
      <c r="I85" s="19">
        <v>97882.98000000001</v>
      </c>
      <c r="J85" s="19">
        <f>K85/G85</f>
        <v>656.58156028368796</v>
      </c>
      <c r="K85" s="19">
        <v>2777.34</v>
      </c>
      <c r="BC85" s="14"/>
      <c r="BD85" s="15"/>
      <c r="BE85" s="21" t="s">
        <v>3663</v>
      </c>
      <c r="BF85" s="43"/>
      <c r="BG85" s="12"/>
      <c r="BH85" s="12"/>
    </row>
    <row r="86" spans="1:60" s="3" customFormat="1" ht="20.399999999999999" x14ac:dyDescent="0.3">
      <c r="A86" s="25"/>
      <c r="B86" s="26" t="s">
        <v>599</v>
      </c>
      <c r="C86" s="419" t="s">
        <v>600</v>
      </c>
      <c r="D86" s="419"/>
      <c r="E86" s="419"/>
      <c r="F86" s="27" t="s">
        <v>406</v>
      </c>
      <c r="G86" s="22" t="s">
        <v>3664</v>
      </c>
      <c r="H86" s="58"/>
      <c r="I86" s="28"/>
      <c r="J86" s="28"/>
      <c r="K86" s="29"/>
      <c r="BC86" s="14"/>
      <c r="BD86" s="15"/>
      <c r="BE86" s="21"/>
      <c r="BF86" s="43"/>
      <c r="BG86" s="12"/>
      <c r="BH86" s="12" t="s">
        <v>600</v>
      </c>
    </row>
    <row r="87" spans="1:60" s="3" customFormat="1" ht="21.6" x14ac:dyDescent="0.3">
      <c r="A87" s="25"/>
      <c r="B87" s="26" t="s">
        <v>601</v>
      </c>
      <c r="C87" s="419" t="s">
        <v>602</v>
      </c>
      <c r="D87" s="419"/>
      <c r="E87" s="419"/>
      <c r="F87" s="27" t="s">
        <v>70</v>
      </c>
      <c r="G87" s="22" t="s">
        <v>3665</v>
      </c>
      <c r="H87" s="58"/>
      <c r="I87" s="28"/>
      <c r="J87" s="28"/>
      <c r="K87" s="29"/>
      <c r="BC87" s="14"/>
      <c r="BD87" s="15"/>
      <c r="BE87" s="21"/>
      <c r="BF87" s="43"/>
      <c r="BG87" s="12"/>
      <c r="BH87" s="12" t="s">
        <v>602</v>
      </c>
    </row>
    <row r="88" spans="1:60" s="3" customFormat="1" ht="21.6" x14ac:dyDescent="0.3">
      <c r="A88" s="25"/>
      <c r="B88" s="26" t="s">
        <v>603</v>
      </c>
      <c r="C88" s="419" t="s">
        <v>604</v>
      </c>
      <c r="D88" s="419"/>
      <c r="E88" s="419"/>
      <c r="F88" s="27" t="s">
        <v>70</v>
      </c>
      <c r="G88" s="22" t="s">
        <v>3666</v>
      </c>
      <c r="H88" s="58"/>
      <c r="I88" s="28"/>
      <c r="J88" s="28"/>
      <c r="K88" s="29"/>
      <c r="BC88" s="14"/>
      <c r="BD88" s="15"/>
      <c r="BE88" s="21"/>
      <c r="BF88" s="43"/>
      <c r="BG88" s="12"/>
      <c r="BH88" s="12" t="s">
        <v>604</v>
      </c>
    </row>
    <row r="89" spans="1:60" s="3" customFormat="1" ht="20.399999999999999" x14ac:dyDescent="0.3">
      <c r="A89" s="25"/>
      <c r="B89" s="26" t="s">
        <v>605</v>
      </c>
      <c r="C89" s="419" t="s">
        <v>606</v>
      </c>
      <c r="D89" s="419"/>
      <c r="E89" s="419"/>
      <c r="F89" s="27" t="s">
        <v>75</v>
      </c>
      <c r="G89" s="22" t="s">
        <v>3667</v>
      </c>
      <c r="H89" s="58"/>
      <c r="I89" s="28"/>
      <c r="J89" s="28"/>
      <c r="K89" s="29"/>
      <c r="BC89" s="14"/>
      <c r="BD89" s="15"/>
      <c r="BE89" s="21"/>
      <c r="BF89" s="43"/>
      <c r="BG89" s="12"/>
      <c r="BH89" s="12" t="s">
        <v>606</v>
      </c>
    </row>
    <row r="90" spans="1:60" s="3" customFormat="1" ht="20.399999999999999" x14ac:dyDescent="0.3">
      <c r="A90" s="25"/>
      <c r="B90" s="26" t="s">
        <v>89</v>
      </c>
      <c r="C90" s="419" t="s">
        <v>90</v>
      </c>
      <c r="D90" s="419"/>
      <c r="E90" s="419"/>
      <c r="F90" s="27" t="s">
        <v>70</v>
      </c>
      <c r="G90" s="22" t="s">
        <v>3668</v>
      </c>
      <c r="H90" s="58"/>
      <c r="I90" s="28"/>
      <c r="J90" s="28"/>
      <c r="K90" s="29"/>
      <c r="BC90" s="14"/>
      <c r="BD90" s="15"/>
      <c r="BE90" s="21"/>
      <c r="BF90" s="43"/>
      <c r="BG90" s="12"/>
      <c r="BH90" s="12" t="s">
        <v>90</v>
      </c>
    </row>
    <row r="91" spans="1:60" s="3" customFormat="1" ht="21.6" x14ac:dyDescent="0.3">
      <c r="A91" s="25"/>
      <c r="B91" s="26" t="s">
        <v>607</v>
      </c>
      <c r="C91" s="419" t="s">
        <v>608</v>
      </c>
      <c r="D91" s="419"/>
      <c r="E91" s="419"/>
      <c r="F91" s="27" t="s">
        <v>609</v>
      </c>
      <c r="G91" s="22" t="s">
        <v>3669</v>
      </c>
      <c r="H91" s="58"/>
      <c r="I91" s="28"/>
      <c r="J91" s="28"/>
      <c r="K91" s="29"/>
      <c r="BC91" s="14"/>
      <c r="BD91" s="15"/>
      <c r="BE91" s="21"/>
      <c r="BF91" s="43"/>
      <c r="BG91" s="12"/>
      <c r="BH91" s="12" t="s">
        <v>608</v>
      </c>
    </row>
    <row r="92" spans="1:60" s="3" customFormat="1" ht="21.6" x14ac:dyDescent="0.3">
      <c r="A92" s="16" t="s">
        <v>198</v>
      </c>
      <c r="B92" s="17" t="s">
        <v>3670</v>
      </c>
      <c r="C92" s="405" t="s">
        <v>3671</v>
      </c>
      <c r="D92" s="405"/>
      <c r="E92" s="405"/>
      <c r="F92" s="16" t="s">
        <v>67</v>
      </c>
      <c r="G92" s="31">
        <v>0.37</v>
      </c>
      <c r="H92" s="57">
        <f>I92/G92</f>
        <v>24293.972972972973</v>
      </c>
      <c r="I92" s="19">
        <v>8988.77</v>
      </c>
      <c r="J92" s="19">
        <f>K92/G92</f>
        <v>349.48648648648651</v>
      </c>
      <c r="K92" s="19">
        <v>129.31</v>
      </c>
      <c r="BC92" s="14"/>
      <c r="BD92" s="15"/>
      <c r="BE92" s="21" t="s">
        <v>3671</v>
      </c>
      <c r="BF92" s="43"/>
      <c r="BG92" s="12"/>
      <c r="BH92" s="12"/>
    </row>
    <row r="93" spans="1:60" s="3" customFormat="1" ht="20.399999999999999" x14ac:dyDescent="0.3">
      <c r="A93" s="25"/>
      <c r="B93" s="26" t="s">
        <v>599</v>
      </c>
      <c r="C93" s="419" t="s">
        <v>600</v>
      </c>
      <c r="D93" s="419"/>
      <c r="E93" s="419"/>
      <c r="F93" s="27" t="s">
        <v>406</v>
      </c>
      <c r="G93" s="22" t="s">
        <v>3672</v>
      </c>
      <c r="H93" s="58"/>
      <c r="I93" s="28"/>
      <c r="J93" s="28"/>
      <c r="K93" s="29"/>
      <c r="BC93" s="14"/>
      <c r="BD93" s="15"/>
      <c r="BE93" s="21"/>
      <c r="BF93" s="43"/>
      <c r="BG93" s="12"/>
      <c r="BH93" s="12" t="s">
        <v>600</v>
      </c>
    </row>
    <row r="94" spans="1:60" s="3" customFormat="1" ht="21.6" x14ac:dyDescent="0.3">
      <c r="A94" s="25"/>
      <c r="B94" s="26" t="s">
        <v>1766</v>
      </c>
      <c r="C94" s="419" t="s">
        <v>1767</v>
      </c>
      <c r="D94" s="419"/>
      <c r="E94" s="419"/>
      <c r="F94" s="27" t="s">
        <v>70</v>
      </c>
      <c r="G94" s="22" t="s">
        <v>3673</v>
      </c>
      <c r="H94" s="58"/>
      <c r="I94" s="28"/>
      <c r="J94" s="28"/>
      <c r="K94" s="29"/>
      <c r="BC94" s="14"/>
      <c r="BD94" s="15"/>
      <c r="BE94" s="21"/>
      <c r="BF94" s="43"/>
      <c r="BG94" s="12"/>
      <c r="BH94" s="12" t="s">
        <v>1767</v>
      </c>
    </row>
    <row r="95" spans="1:60" s="3" customFormat="1" ht="20.399999999999999" x14ac:dyDescent="0.3">
      <c r="A95" s="25"/>
      <c r="B95" s="26" t="s">
        <v>89</v>
      </c>
      <c r="C95" s="419" t="s">
        <v>90</v>
      </c>
      <c r="D95" s="419"/>
      <c r="E95" s="419"/>
      <c r="F95" s="27" t="s">
        <v>70</v>
      </c>
      <c r="G95" s="22" t="s">
        <v>3674</v>
      </c>
      <c r="H95" s="58"/>
      <c r="I95" s="28"/>
      <c r="J95" s="28"/>
      <c r="K95" s="29"/>
      <c r="BC95" s="14"/>
      <c r="BD95" s="15"/>
      <c r="BE95" s="21"/>
      <c r="BF95" s="43"/>
      <c r="BG95" s="12"/>
      <c r="BH95" s="12" t="s">
        <v>90</v>
      </c>
    </row>
    <row r="96" spans="1:60" s="3" customFormat="1" ht="21.6" x14ac:dyDescent="0.3">
      <c r="A96" s="25"/>
      <c r="B96" s="26" t="s">
        <v>607</v>
      </c>
      <c r="C96" s="419" t="s">
        <v>608</v>
      </c>
      <c r="D96" s="419"/>
      <c r="E96" s="419"/>
      <c r="F96" s="27" t="s">
        <v>609</v>
      </c>
      <c r="G96" s="22" t="s">
        <v>3675</v>
      </c>
      <c r="H96" s="58"/>
      <c r="I96" s="28"/>
      <c r="J96" s="28"/>
      <c r="K96" s="29"/>
      <c r="BC96" s="14"/>
      <c r="BD96" s="15"/>
      <c r="BE96" s="21"/>
      <c r="BF96" s="43"/>
      <c r="BG96" s="12"/>
      <c r="BH96" s="12" t="s">
        <v>608</v>
      </c>
    </row>
    <row r="97" spans="1:60" s="3" customFormat="1" ht="42" x14ac:dyDescent="0.3">
      <c r="A97" s="16" t="s">
        <v>201</v>
      </c>
      <c r="B97" s="17" t="s">
        <v>3676</v>
      </c>
      <c r="C97" s="405" t="s">
        <v>3677</v>
      </c>
      <c r="D97" s="405"/>
      <c r="E97" s="405"/>
      <c r="F97" s="16" t="s">
        <v>115</v>
      </c>
      <c r="G97" s="31">
        <v>497.76</v>
      </c>
      <c r="H97" s="57">
        <f>I97/G97</f>
        <v>0</v>
      </c>
      <c r="I97" s="19">
        <v>0</v>
      </c>
      <c r="J97" s="19">
        <f>K97/G97</f>
        <v>3569.1165019286404</v>
      </c>
      <c r="K97" s="19">
        <v>1776563.43</v>
      </c>
      <c r="BC97" s="14"/>
      <c r="BD97" s="15"/>
      <c r="BE97" s="21" t="s">
        <v>3677</v>
      </c>
      <c r="BF97" s="43"/>
      <c r="BG97" s="12"/>
      <c r="BH97" s="12"/>
    </row>
    <row r="98" spans="1:60" s="3" customFormat="1" ht="15" customHeight="1" x14ac:dyDescent="0.3">
      <c r="A98" s="437" t="s">
        <v>3678</v>
      </c>
      <c r="B98" s="418"/>
      <c r="C98" s="418"/>
      <c r="D98" s="418"/>
      <c r="E98" s="418"/>
      <c r="F98" s="418"/>
      <c r="G98" s="418"/>
      <c r="H98" s="123"/>
      <c r="I98" s="123"/>
      <c r="J98" s="123"/>
      <c r="K98" s="124"/>
      <c r="BC98" s="14"/>
      <c r="BD98" s="15" t="s">
        <v>3678</v>
      </c>
      <c r="BE98" s="21"/>
      <c r="BF98" s="43"/>
      <c r="BG98" s="12"/>
      <c r="BH98" s="12"/>
    </row>
    <row r="99" spans="1:60" s="3" customFormat="1" ht="21.6" x14ac:dyDescent="0.3">
      <c r="A99" s="16" t="s">
        <v>219</v>
      </c>
      <c r="B99" s="17" t="s">
        <v>597</v>
      </c>
      <c r="C99" s="405" t="s">
        <v>598</v>
      </c>
      <c r="D99" s="405"/>
      <c r="E99" s="405"/>
      <c r="F99" s="16" t="s">
        <v>67</v>
      </c>
      <c r="G99" s="31">
        <v>0.09</v>
      </c>
      <c r="H99" s="57">
        <f>I99/G99</f>
        <v>12315.222222222224</v>
      </c>
      <c r="I99" s="19">
        <v>1108.3700000000001</v>
      </c>
      <c r="J99" s="19">
        <f>K99/G99</f>
        <v>645.77777777777783</v>
      </c>
      <c r="K99" s="19">
        <v>58.12</v>
      </c>
      <c r="BC99" s="14"/>
      <c r="BD99" s="15"/>
      <c r="BE99" s="21" t="s">
        <v>598</v>
      </c>
      <c r="BF99" s="43"/>
      <c r="BG99" s="12"/>
      <c r="BH99" s="12"/>
    </row>
    <row r="100" spans="1:60" s="3" customFormat="1" ht="20.399999999999999" x14ac:dyDescent="0.3">
      <c r="A100" s="25"/>
      <c r="B100" s="26" t="s">
        <v>599</v>
      </c>
      <c r="C100" s="419" t="s">
        <v>600</v>
      </c>
      <c r="D100" s="419"/>
      <c r="E100" s="419"/>
      <c r="F100" s="27" t="s">
        <v>406</v>
      </c>
      <c r="G100" s="22" t="s">
        <v>3679</v>
      </c>
      <c r="H100" s="58"/>
      <c r="I100" s="28"/>
      <c r="J100" s="28"/>
      <c r="K100" s="29"/>
      <c r="BC100" s="14"/>
      <c r="BD100" s="15"/>
      <c r="BE100" s="21"/>
      <c r="BF100" s="43"/>
      <c r="BG100" s="12"/>
      <c r="BH100" s="12" t="s">
        <v>600</v>
      </c>
    </row>
    <row r="101" spans="1:60" s="3" customFormat="1" ht="21.6" x14ac:dyDescent="0.3">
      <c r="A101" s="25"/>
      <c r="B101" s="26" t="s">
        <v>601</v>
      </c>
      <c r="C101" s="419" t="s">
        <v>602</v>
      </c>
      <c r="D101" s="419"/>
      <c r="E101" s="419"/>
      <c r="F101" s="27" t="s">
        <v>70</v>
      </c>
      <c r="G101" s="22" t="s">
        <v>3680</v>
      </c>
      <c r="H101" s="58"/>
      <c r="I101" s="28"/>
      <c r="J101" s="28"/>
      <c r="K101" s="29"/>
      <c r="BC101" s="14"/>
      <c r="BD101" s="15"/>
      <c r="BE101" s="21"/>
      <c r="BF101" s="43"/>
      <c r="BG101" s="12"/>
      <c r="BH101" s="12" t="s">
        <v>602</v>
      </c>
    </row>
    <row r="102" spans="1:60" s="3" customFormat="1" ht="21.6" x14ac:dyDescent="0.3">
      <c r="A102" s="25"/>
      <c r="B102" s="26" t="s">
        <v>603</v>
      </c>
      <c r="C102" s="419" t="s">
        <v>604</v>
      </c>
      <c r="D102" s="419"/>
      <c r="E102" s="419"/>
      <c r="F102" s="27" t="s">
        <v>70</v>
      </c>
      <c r="G102" s="22" t="s">
        <v>3681</v>
      </c>
      <c r="H102" s="58"/>
      <c r="I102" s="28"/>
      <c r="J102" s="28"/>
      <c r="K102" s="29"/>
      <c r="BC102" s="14"/>
      <c r="BD102" s="15"/>
      <c r="BE102" s="21"/>
      <c r="BF102" s="43"/>
      <c r="BG102" s="12"/>
      <c r="BH102" s="12" t="s">
        <v>604</v>
      </c>
    </row>
    <row r="103" spans="1:60" s="3" customFormat="1" ht="20.399999999999999" x14ac:dyDescent="0.3">
      <c r="A103" s="25"/>
      <c r="B103" s="26" t="s">
        <v>605</v>
      </c>
      <c r="C103" s="419" t="s">
        <v>606</v>
      </c>
      <c r="D103" s="419"/>
      <c r="E103" s="419"/>
      <c r="F103" s="27" t="s">
        <v>75</v>
      </c>
      <c r="G103" s="22" t="s">
        <v>3682</v>
      </c>
      <c r="H103" s="58"/>
      <c r="I103" s="28"/>
      <c r="J103" s="28"/>
      <c r="K103" s="29"/>
      <c r="BC103" s="14"/>
      <c r="BD103" s="15"/>
      <c r="BE103" s="21"/>
      <c r="BF103" s="43"/>
      <c r="BG103" s="12"/>
      <c r="BH103" s="12" t="s">
        <v>606</v>
      </c>
    </row>
    <row r="104" spans="1:60" s="3" customFormat="1" ht="20.399999999999999" x14ac:dyDescent="0.3">
      <c r="A104" s="25"/>
      <c r="B104" s="26" t="s">
        <v>89</v>
      </c>
      <c r="C104" s="419" t="s">
        <v>90</v>
      </c>
      <c r="D104" s="419"/>
      <c r="E104" s="419"/>
      <c r="F104" s="27" t="s">
        <v>70</v>
      </c>
      <c r="G104" s="22" t="s">
        <v>3683</v>
      </c>
      <c r="H104" s="58"/>
      <c r="I104" s="28"/>
      <c r="J104" s="28"/>
      <c r="K104" s="29"/>
      <c r="BC104" s="14"/>
      <c r="BD104" s="15"/>
      <c r="BE104" s="21"/>
      <c r="BF104" s="43"/>
      <c r="BG104" s="12"/>
      <c r="BH104" s="12" t="s">
        <v>90</v>
      </c>
    </row>
    <row r="105" spans="1:60" s="3" customFormat="1" ht="21.6" x14ac:dyDescent="0.3">
      <c r="A105" s="25"/>
      <c r="B105" s="26" t="s">
        <v>607</v>
      </c>
      <c r="C105" s="419" t="s">
        <v>608</v>
      </c>
      <c r="D105" s="419"/>
      <c r="E105" s="419"/>
      <c r="F105" s="27" t="s">
        <v>609</v>
      </c>
      <c r="G105" s="22" t="s">
        <v>3684</v>
      </c>
      <c r="H105" s="58"/>
      <c r="I105" s="28"/>
      <c r="J105" s="28"/>
      <c r="K105" s="29"/>
      <c r="BC105" s="14"/>
      <c r="BD105" s="15"/>
      <c r="BE105" s="21"/>
      <c r="BF105" s="43"/>
      <c r="BG105" s="12"/>
      <c r="BH105" s="12" t="s">
        <v>608</v>
      </c>
    </row>
    <row r="106" spans="1:60" s="3" customFormat="1" ht="42" x14ac:dyDescent="0.3">
      <c r="A106" s="16" t="s">
        <v>222</v>
      </c>
      <c r="B106" s="17" t="s">
        <v>3685</v>
      </c>
      <c r="C106" s="405" t="s">
        <v>3686</v>
      </c>
      <c r="D106" s="405"/>
      <c r="E106" s="405"/>
      <c r="F106" s="16" t="s">
        <v>115</v>
      </c>
      <c r="G106" s="24">
        <v>10.199999999999999</v>
      </c>
      <c r="H106" s="57">
        <f>I106/G106</f>
        <v>0</v>
      </c>
      <c r="I106" s="19">
        <v>0</v>
      </c>
      <c r="J106" s="19">
        <f>K106/G106</f>
        <v>297.53725490196081</v>
      </c>
      <c r="K106" s="19">
        <v>3034.88</v>
      </c>
      <c r="BC106" s="14"/>
      <c r="BD106" s="15"/>
      <c r="BE106" s="21" t="s">
        <v>3686</v>
      </c>
      <c r="BF106" s="43"/>
      <c r="BG106" s="12"/>
      <c r="BH106" s="12"/>
    </row>
    <row r="107" spans="1:60" s="3" customFormat="1" ht="15" customHeight="1" x14ac:dyDescent="0.3">
      <c r="A107" s="437" t="s">
        <v>3687</v>
      </c>
      <c r="B107" s="418"/>
      <c r="C107" s="418"/>
      <c r="D107" s="418"/>
      <c r="E107" s="418"/>
      <c r="F107" s="418"/>
      <c r="G107" s="418"/>
      <c r="H107" s="123"/>
      <c r="I107" s="123"/>
      <c r="J107" s="123"/>
      <c r="K107" s="124"/>
      <c r="BC107" s="14"/>
      <c r="BD107" s="15" t="s">
        <v>3687</v>
      </c>
      <c r="BE107" s="21"/>
      <c r="BF107" s="43"/>
      <c r="BG107" s="12"/>
      <c r="BH107" s="12"/>
    </row>
    <row r="108" spans="1:60" s="3" customFormat="1" ht="21.6" x14ac:dyDescent="0.3">
      <c r="A108" s="16" t="s">
        <v>225</v>
      </c>
      <c r="B108" s="17" t="s">
        <v>3636</v>
      </c>
      <c r="C108" s="405" t="s">
        <v>3637</v>
      </c>
      <c r="D108" s="405"/>
      <c r="E108" s="405"/>
      <c r="F108" s="16" t="s">
        <v>67</v>
      </c>
      <c r="G108" s="24">
        <v>0.3</v>
      </c>
      <c r="H108" s="57">
        <f>I108/G108</f>
        <v>15269.433333333334</v>
      </c>
      <c r="I108" s="19">
        <v>4580.83</v>
      </c>
      <c r="J108" s="19">
        <f>K108/G108</f>
        <v>646.5</v>
      </c>
      <c r="K108" s="19">
        <v>193.95</v>
      </c>
      <c r="BC108" s="14"/>
      <c r="BD108" s="15"/>
      <c r="BE108" s="21" t="s">
        <v>3637</v>
      </c>
      <c r="BF108" s="43"/>
      <c r="BG108" s="12"/>
      <c r="BH108" s="12"/>
    </row>
    <row r="109" spans="1:60" s="3" customFormat="1" ht="20.399999999999999" x14ac:dyDescent="0.3">
      <c r="A109" s="25"/>
      <c r="B109" s="26" t="s">
        <v>599</v>
      </c>
      <c r="C109" s="419" t="s">
        <v>600</v>
      </c>
      <c r="D109" s="419"/>
      <c r="E109" s="419"/>
      <c r="F109" s="27" t="s">
        <v>406</v>
      </c>
      <c r="G109" s="22" t="s">
        <v>3688</v>
      </c>
      <c r="H109" s="58"/>
      <c r="I109" s="28"/>
      <c r="J109" s="28"/>
      <c r="K109" s="29"/>
      <c r="BC109" s="14"/>
      <c r="BD109" s="15"/>
      <c r="BE109" s="21"/>
      <c r="BF109" s="43"/>
      <c r="BG109" s="12"/>
      <c r="BH109" s="12" t="s">
        <v>600</v>
      </c>
    </row>
    <row r="110" spans="1:60" s="3" customFormat="1" ht="21.6" x14ac:dyDescent="0.3">
      <c r="A110" s="25"/>
      <c r="B110" s="26" t="s">
        <v>601</v>
      </c>
      <c r="C110" s="419" t="s">
        <v>602</v>
      </c>
      <c r="D110" s="419"/>
      <c r="E110" s="419"/>
      <c r="F110" s="27" t="s">
        <v>70</v>
      </c>
      <c r="G110" s="22" t="s">
        <v>3689</v>
      </c>
      <c r="H110" s="58"/>
      <c r="I110" s="28"/>
      <c r="J110" s="28"/>
      <c r="K110" s="29"/>
      <c r="BC110" s="14"/>
      <c r="BD110" s="15"/>
      <c r="BE110" s="21"/>
      <c r="BF110" s="43"/>
      <c r="BG110" s="12"/>
      <c r="BH110" s="12" t="s">
        <v>602</v>
      </c>
    </row>
    <row r="111" spans="1:60" s="3" customFormat="1" ht="21.6" x14ac:dyDescent="0.3">
      <c r="A111" s="25"/>
      <c r="B111" s="26" t="s">
        <v>603</v>
      </c>
      <c r="C111" s="419" t="s">
        <v>604</v>
      </c>
      <c r="D111" s="419"/>
      <c r="E111" s="419"/>
      <c r="F111" s="27" t="s">
        <v>70</v>
      </c>
      <c r="G111" s="22" t="s">
        <v>3690</v>
      </c>
      <c r="H111" s="58"/>
      <c r="I111" s="28"/>
      <c r="J111" s="28"/>
      <c r="K111" s="29"/>
      <c r="BC111" s="14"/>
      <c r="BD111" s="15"/>
      <c r="BE111" s="21"/>
      <c r="BF111" s="43"/>
      <c r="BG111" s="12"/>
      <c r="BH111" s="12" t="s">
        <v>604</v>
      </c>
    </row>
    <row r="112" spans="1:60" s="3" customFormat="1" ht="20.399999999999999" x14ac:dyDescent="0.3">
      <c r="A112" s="25"/>
      <c r="B112" s="26" t="s">
        <v>605</v>
      </c>
      <c r="C112" s="419" t="s">
        <v>606</v>
      </c>
      <c r="D112" s="419"/>
      <c r="E112" s="419"/>
      <c r="F112" s="27" t="s">
        <v>75</v>
      </c>
      <c r="G112" s="22" t="s">
        <v>3691</v>
      </c>
      <c r="H112" s="58"/>
      <c r="I112" s="28"/>
      <c r="J112" s="28"/>
      <c r="K112" s="29"/>
      <c r="BC112" s="14"/>
      <c r="BD112" s="15"/>
      <c r="BE112" s="21"/>
      <c r="BF112" s="43"/>
      <c r="BG112" s="12"/>
      <c r="BH112" s="12" t="s">
        <v>606</v>
      </c>
    </row>
    <row r="113" spans="1:60" s="3" customFormat="1" ht="20.399999999999999" x14ac:dyDescent="0.3">
      <c r="A113" s="25"/>
      <c r="B113" s="26" t="s">
        <v>89</v>
      </c>
      <c r="C113" s="419" t="s">
        <v>90</v>
      </c>
      <c r="D113" s="419"/>
      <c r="E113" s="419"/>
      <c r="F113" s="27" t="s">
        <v>70</v>
      </c>
      <c r="G113" s="22" t="s">
        <v>3692</v>
      </c>
      <c r="H113" s="58"/>
      <c r="I113" s="28"/>
      <c r="J113" s="28"/>
      <c r="K113" s="29"/>
      <c r="BC113" s="14"/>
      <c r="BD113" s="15"/>
      <c r="BE113" s="21"/>
      <c r="BF113" s="43"/>
      <c r="BG113" s="12"/>
      <c r="BH113" s="12" t="s">
        <v>90</v>
      </c>
    </row>
    <row r="114" spans="1:60" s="3" customFormat="1" ht="21.6" x14ac:dyDescent="0.3">
      <c r="A114" s="25"/>
      <c r="B114" s="26" t="s">
        <v>607</v>
      </c>
      <c r="C114" s="419" t="s">
        <v>608</v>
      </c>
      <c r="D114" s="419"/>
      <c r="E114" s="419"/>
      <c r="F114" s="27" t="s">
        <v>609</v>
      </c>
      <c r="G114" s="22" t="s">
        <v>3693</v>
      </c>
      <c r="H114" s="58"/>
      <c r="I114" s="28"/>
      <c r="J114" s="28"/>
      <c r="K114" s="29"/>
      <c r="BC114" s="14"/>
      <c r="BD114" s="15"/>
      <c r="BE114" s="21"/>
      <c r="BF114" s="43"/>
      <c r="BG114" s="12"/>
      <c r="BH114" s="12" t="s">
        <v>608</v>
      </c>
    </row>
    <row r="115" spans="1:60" s="3" customFormat="1" ht="42" x14ac:dyDescent="0.3">
      <c r="A115" s="16" t="s">
        <v>227</v>
      </c>
      <c r="B115" s="17" t="s">
        <v>3694</v>
      </c>
      <c r="C115" s="405" t="s">
        <v>3695</v>
      </c>
      <c r="D115" s="405"/>
      <c r="E115" s="405"/>
      <c r="F115" s="16" t="s">
        <v>115</v>
      </c>
      <c r="G115" s="31">
        <v>32.64</v>
      </c>
      <c r="H115" s="57">
        <f>I115/G115</f>
        <v>0</v>
      </c>
      <c r="I115" s="19">
        <v>0</v>
      </c>
      <c r="J115" s="19">
        <f>K115/G115</f>
        <v>1359.1829044117649</v>
      </c>
      <c r="K115" s="19">
        <v>44363.73</v>
      </c>
      <c r="BC115" s="14"/>
      <c r="BD115" s="15"/>
      <c r="BE115" s="21" t="s">
        <v>3695</v>
      </c>
      <c r="BF115" s="43"/>
      <c r="BG115" s="12"/>
      <c r="BH115" s="12"/>
    </row>
    <row r="116" spans="1:60" s="3" customFormat="1" ht="15" customHeight="1" x14ac:dyDescent="0.3">
      <c r="A116" s="437" t="s">
        <v>3696</v>
      </c>
      <c r="B116" s="418"/>
      <c r="C116" s="418"/>
      <c r="D116" s="418"/>
      <c r="E116" s="418"/>
      <c r="F116" s="418"/>
      <c r="G116" s="418"/>
      <c r="H116" s="123"/>
      <c r="I116" s="123"/>
      <c r="J116" s="123"/>
      <c r="K116" s="124"/>
      <c r="BC116" s="14"/>
      <c r="BD116" s="15" t="s">
        <v>3696</v>
      </c>
      <c r="BE116" s="21"/>
      <c r="BF116" s="43"/>
      <c r="BG116" s="12"/>
      <c r="BH116" s="12"/>
    </row>
    <row r="117" spans="1:60" s="3" customFormat="1" ht="21.6" x14ac:dyDescent="0.3">
      <c r="A117" s="16" t="s">
        <v>230</v>
      </c>
      <c r="B117" s="17" t="s">
        <v>3636</v>
      </c>
      <c r="C117" s="405" t="s">
        <v>3637</v>
      </c>
      <c r="D117" s="405"/>
      <c r="E117" s="405"/>
      <c r="F117" s="16" t="s">
        <v>67</v>
      </c>
      <c r="G117" s="31">
        <v>2.61</v>
      </c>
      <c r="H117" s="57">
        <f>I117/G117</f>
        <v>15269.425287356324</v>
      </c>
      <c r="I117" s="19">
        <v>39853.200000000004</v>
      </c>
      <c r="J117" s="19">
        <f>K117/G117</f>
        <v>646.49425287356325</v>
      </c>
      <c r="K117" s="19">
        <v>1687.35</v>
      </c>
      <c r="BC117" s="14"/>
      <c r="BD117" s="15"/>
      <c r="BE117" s="21" t="s">
        <v>3637</v>
      </c>
      <c r="BF117" s="43"/>
      <c r="BG117" s="12"/>
      <c r="BH117" s="12"/>
    </row>
    <row r="118" spans="1:60" s="3" customFormat="1" ht="20.399999999999999" x14ac:dyDescent="0.3">
      <c r="A118" s="25"/>
      <c r="B118" s="26" t="s">
        <v>599</v>
      </c>
      <c r="C118" s="419" t="s">
        <v>600</v>
      </c>
      <c r="D118" s="419"/>
      <c r="E118" s="419"/>
      <c r="F118" s="27" t="s">
        <v>406</v>
      </c>
      <c r="G118" s="22" t="s">
        <v>3697</v>
      </c>
      <c r="H118" s="58"/>
      <c r="I118" s="28"/>
      <c r="J118" s="28"/>
      <c r="K118" s="29"/>
      <c r="BC118" s="14"/>
      <c r="BD118" s="15"/>
      <c r="BE118" s="21"/>
      <c r="BF118" s="43"/>
      <c r="BG118" s="12"/>
      <c r="BH118" s="12" t="s">
        <v>600</v>
      </c>
    </row>
    <row r="119" spans="1:60" s="3" customFormat="1" ht="21.6" x14ac:dyDescent="0.3">
      <c r="A119" s="25"/>
      <c r="B119" s="26" t="s">
        <v>601</v>
      </c>
      <c r="C119" s="419" t="s">
        <v>602</v>
      </c>
      <c r="D119" s="419"/>
      <c r="E119" s="419"/>
      <c r="F119" s="27" t="s">
        <v>70</v>
      </c>
      <c r="G119" s="22" t="s">
        <v>3698</v>
      </c>
      <c r="H119" s="58"/>
      <c r="I119" s="28"/>
      <c r="J119" s="28"/>
      <c r="K119" s="29"/>
      <c r="BC119" s="14"/>
      <c r="BD119" s="15"/>
      <c r="BE119" s="21"/>
      <c r="BF119" s="43"/>
      <c r="BG119" s="12"/>
      <c r="BH119" s="12" t="s">
        <v>602</v>
      </c>
    </row>
    <row r="120" spans="1:60" s="3" customFormat="1" ht="21.6" x14ac:dyDescent="0.3">
      <c r="A120" s="25"/>
      <c r="B120" s="26" t="s">
        <v>603</v>
      </c>
      <c r="C120" s="419" t="s">
        <v>604</v>
      </c>
      <c r="D120" s="419"/>
      <c r="E120" s="419"/>
      <c r="F120" s="27" t="s">
        <v>70</v>
      </c>
      <c r="G120" s="22" t="s">
        <v>3699</v>
      </c>
      <c r="H120" s="58"/>
      <c r="I120" s="28"/>
      <c r="J120" s="28"/>
      <c r="K120" s="29"/>
      <c r="BC120" s="14"/>
      <c r="BD120" s="15"/>
      <c r="BE120" s="21"/>
      <c r="BF120" s="43"/>
      <c r="BG120" s="12"/>
      <c r="BH120" s="12" t="s">
        <v>604</v>
      </c>
    </row>
    <row r="121" spans="1:60" s="3" customFormat="1" ht="20.399999999999999" x14ac:dyDescent="0.3">
      <c r="A121" s="25"/>
      <c r="B121" s="26" t="s">
        <v>605</v>
      </c>
      <c r="C121" s="419" t="s">
        <v>606</v>
      </c>
      <c r="D121" s="419"/>
      <c r="E121" s="419"/>
      <c r="F121" s="27" t="s">
        <v>75</v>
      </c>
      <c r="G121" s="22" t="s">
        <v>3700</v>
      </c>
      <c r="H121" s="58"/>
      <c r="I121" s="28"/>
      <c r="J121" s="28"/>
      <c r="K121" s="29"/>
      <c r="BC121" s="14"/>
      <c r="BD121" s="15"/>
      <c r="BE121" s="21"/>
      <c r="BF121" s="43"/>
      <c r="BG121" s="12"/>
      <c r="BH121" s="12" t="s">
        <v>606</v>
      </c>
    </row>
    <row r="122" spans="1:60" s="3" customFormat="1" ht="20.399999999999999" x14ac:dyDescent="0.3">
      <c r="A122" s="25"/>
      <c r="B122" s="26" t="s">
        <v>89</v>
      </c>
      <c r="C122" s="419" t="s">
        <v>90</v>
      </c>
      <c r="D122" s="419"/>
      <c r="E122" s="419"/>
      <c r="F122" s="27" t="s">
        <v>70</v>
      </c>
      <c r="G122" s="22" t="s">
        <v>3701</v>
      </c>
      <c r="H122" s="58"/>
      <c r="I122" s="28"/>
      <c r="J122" s="28"/>
      <c r="K122" s="29"/>
      <c r="BC122" s="14"/>
      <c r="BD122" s="15"/>
      <c r="BE122" s="21"/>
      <c r="BF122" s="43"/>
      <c r="BG122" s="12"/>
      <c r="BH122" s="12" t="s">
        <v>90</v>
      </c>
    </row>
    <row r="123" spans="1:60" s="3" customFormat="1" ht="21.6" x14ac:dyDescent="0.3">
      <c r="A123" s="25"/>
      <c r="B123" s="26" t="s">
        <v>607</v>
      </c>
      <c r="C123" s="419" t="s">
        <v>608</v>
      </c>
      <c r="D123" s="419"/>
      <c r="E123" s="419"/>
      <c r="F123" s="27" t="s">
        <v>609</v>
      </c>
      <c r="G123" s="22" t="s">
        <v>3702</v>
      </c>
      <c r="H123" s="58"/>
      <c r="I123" s="28"/>
      <c r="J123" s="28"/>
      <c r="K123" s="29"/>
      <c r="BC123" s="14"/>
      <c r="BD123" s="15"/>
      <c r="BE123" s="21"/>
      <c r="BF123" s="43"/>
      <c r="BG123" s="12"/>
      <c r="BH123" s="12" t="s">
        <v>608</v>
      </c>
    </row>
    <row r="124" spans="1:60" s="3" customFormat="1" ht="31.8" x14ac:dyDescent="0.3">
      <c r="A124" s="16" t="s">
        <v>233</v>
      </c>
      <c r="B124" s="17" t="s">
        <v>3703</v>
      </c>
      <c r="C124" s="405" t="s">
        <v>3704</v>
      </c>
      <c r="D124" s="405"/>
      <c r="E124" s="405"/>
      <c r="F124" s="16" t="s">
        <v>67</v>
      </c>
      <c r="G124" s="24">
        <v>0.3</v>
      </c>
      <c r="H124" s="57">
        <f>I124/G124</f>
        <v>21796</v>
      </c>
      <c r="I124" s="19">
        <v>6538.8</v>
      </c>
      <c r="J124" s="19">
        <f>K124/G124</f>
        <v>318.23333333333335</v>
      </c>
      <c r="K124" s="19">
        <v>95.47</v>
      </c>
      <c r="BC124" s="14"/>
      <c r="BD124" s="15"/>
      <c r="BE124" s="21" t="s">
        <v>3704</v>
      </c>
      <c r="BF124" s="43"/>
      <c r="BG124" s="12"/>
      <c r="BH124" s="12"/>
    </row>
    <row r="125" spans="1:60" s="3" customFormat="1" ht="20.399999999999999" x14ac:dyDescent="0.3">
      <c r="A125" s="25"/>
      <c r="B125" s="26" t="s">
        <v>599</v>
      </c>
      <c r="C125" s="419" t="s">
        <v>600</v>
      </c>
      <c r="D125" s="419"/>
      <c r="E125" s="419"/>
      <c r="F125" s="27" t="s">
        <v>406</v>
      </c>
      <c r="G125" s="22" t="s">
        <v>3705</v>
      </c>
      <c r="H125" s="58"/>
      <c r="I125" s="28"/>
      <c r="J125" s="28"/>
      <c r="K125" s="29"/>
      <c r="BC125" s="14"/>
      <c r="BD125" s="15"/>
      <c r="BE125" s="21"/>
      <c r="BF125" s="43"/>
      <c r="BG125" s="12"/>
      <c r="BH125" s="12" t="s">
        <v>600</v>
      </c>
    </row>
    <row r="126" spans="1:60" s="3" customFormat="1" ht="20.399999999999999" x14ac:dyDescent="0.3">
      <c r="A126" s="25"/>
      <c r="B126" s="26" t="s">
        <v>1964</v>
      </c>
      <c r="C126" s="419" t="s">
        <v>1965</v>
      </c>
      <c r="D126" s="419"/>
      <c r="E126" s="419"/>
      <c r="F126" s="27" t="s">
        <v>70</v>
      </c>
      <c r="G126" s="22" t="s">
        <v>3706</v>
      </c>
      <c r="H126" s="58"/>
      <c r="I126" s="28"/>
      <c r="J126" s="28"/>
      <c r="K126" s="29"/>
      <c r="BC126" s="14"/>
      <c r="BD126" s="15"/>
      <c r="BE126" s="21"/>
      <c r="BF126" s="43"/>
      <c r="BG126" s="12"/>
      <c r="BH126" s="12" t="s">
        <v>1965</v>
      </c>
    </row>
    <row r="127" spans="1:60" s="3" customFormat="1" ht="21.6" x14ac:dyDescent="0.3">
      <c r="A127" s="25"/>
      <c r="B127" s="26" t="s">
        <v>1766</v>
      </c>
      <c r="C127" s="419" t="s">
        <v>1767</v>
      </c>
      <c r="D127" s="419"/>
      <c r="E127" s="419"/>
      <c r="F127" s="27" t="s">
        <v>70</v>
      </c>
      <c r="G127" s="22" t="s">
        <v>3707</v>
      </c>
      <c r="H127" s="58"/>
      <c r="I127" s="28"/>
      <c r="J127" s="28"/>
      <c r="K127" s="29"/>
      <c r="BC127" s="14"/>
      <c r="BD127" s="15"/>
      <c r="BE127" s="21"/>
      <c r="BF127" s="43"/>
      <c r="BG127" s="12"/>
      <c r="BH127" s="12" t="s">
        <v>1767</v>
      </c>
    </row>
    <row r="128" spans="1:60" s="3" customFormat="1" ht="20.399999999999999" x14ac:dyDescent="0.3">
      <c r="A128" s="25"/>
      <c r="B128" s="26" t="s">
        <v>89</v>
      </c>
      <c r="C128" s="419" t="s">
        <v>90</v>
      </c>
      <c r="D128" s="419"/>
      <c r="E128" s="419"/>
      <c r="F128" s="27" t="s">
        <v>70</v>
      </c>
      <c r="G128" s="22" t="s">
        <v>3708</v>
      </c>
      <c r="H128" s="58"/>
      <c r="I128" s="28"/>
      <c r="J128" s="28"/>
      <c r="K128" s="29"/>
      <c r="BC128" s="14"/>
      <c r="BD128" s="15"/>
      <c r="BE128" s="21"/>
      <c r="BF128" s="43"/>
      <c r="BG128" s="12"/>
      <c r="BH128" s="12" t="s">
        <v>90</v>
      </c>
    </row>
    <row r="129" spans="1:60" s="3" customFormat="1" ht="21.6" x14ac:dyDescent="0.3">
      <c r="A129" s="25"/>
      <c r="B129" s="26" t="s">
        <v>607</v>
      </c>
      <c r="C129" s="419" t="s">
        <v>608</v>
      </c>
      <c r="D129" s="419"/>
      <c r="E129" s="419"/>
      <c r="F129" s="27" t="s">
        <v>609</v>
      </c>
      <c r="G129" s="22" t="s">
        <v>3709</v>
      </c>
      <c r="H129" s="58"/>
      <c r="I129" s="28"/>
      <c r="J129" s="28"/>
      <c r="K129" s="29"/>
      <c r="BC129" s="14"/>
      <c r="BD129" s="15"/>
      <c r="BE129" s="21"/>
      <c r="BF129" s="43"/>
      <c r="BG129" s="12"/>
      <c r="BH129" s="12" t="s">
        <v>608</v>
      </c>
    </row>
    <row r="130" spans="1:60" s="3" customFormat="1" ht="21.6" x14ac:dyDescent="0.3">
      <c r="A130" s="16" t="s">
        <v>235</v>
      </c>
      <c r="B130" s="17" t="s">
        <v>3670</v>
      </c>
      <c r="C130" s="405" t="s">
        <v>3671</v>
      </c>
      <c r="D130" s="405"/>
      <c r="E130" s="405"/>
      <c r="F130" s="16" t="s">
        <v>67</v>
      </c>
      <c r="G130" s="31">
        <v>0.56000000000000005</v>
      </c>
      <c r="H130" s="57">
        <f>I130/G130</f>
        <v>24293.964285714286</v>
      </c>
      <c r="I130" s="19">
        <v>13604.62</v>
      </c>
      <c r="J130" s="19">
        <f>K130/G130</f>
        <v>349.48214285714283</v>
      </c>
      <c r="K130" s="19">
        <v>195.71</v>
      </c>
      <c r="BC130" s="14"/>
      <c r="BD130" s="15"/>
      <c r="BE130" s="21" t="s">
        <v>3671</v>
      </c>
      <c r="BF130" s="43"/>
      <c r="BG130" s="12"/>
      <c r="BH130" s="12"/>
    </row>
    <row r="131" spans="1:60" s="3" customFormat="1" ht="20.399999999999999" x14ac:dyDescent="0.3">
      <c r="A131" s="25"/>
      <c r="B131" s="26" t="s">
        <v>599</v>
      </c>
      <c r="C131" s="419" t="s">
        <v>600</v>
      </c>
      <c r="D131" s="419"/>
      <c r="E131" s="419"/>
      <c r="F131" s="27" t="s">
        <v>406</v>
      </c>
      <c r="G131" s="22" t="s">
        <v>3710</v>
      </c>
      <c r="H131" s="58"/>
      <c r="I131" s="28"/>
      <c r="J131" s="28"/>
      <c r="K131" s="29"/>
      <c r="BC131" s="14"/>
      <c r="BD131" s="15"/>
      <c r="BE131" s="21"/>
      <c r="BF131" s="43"/>
      <c r="BG131" s="12"/>
      <c r="BH131" s="12" t="s">
        <v>600</v>
      </c>
    </row>
    <row r="132" spans="1:60" s="3" customFormat="1" ht="21.6" x14ac:dyDescent="0.3">
      <c r="A132" s="25"/>
      <c r="B132" s="26" t="s">
        <v>1766</v>
      </c>
      <c r="C132" s="419" t="s">
        <v>1767</v>
      </c>
      <c r="D132" s="419"/>
      <c r="E132" s="419"/>
      <c r="F132" s="27" t="s">
        <v>70</v>
      </c>
      <c r="G132" s="22" t="s">
        <v>3711</v>
      </c>
      <c r="H132" s="58"/>
      <c r="I132" s="28"/>
      <c r="J132" s="28"/>
      <c r="K132" s="29"/>
      <c r="BC132" s="14"/>
      <c r="BD132" s="15"/>
      <c r="BE132" s="21"/>
      <c r="BF132" s="43"/>
      <c r="BG132" s="12"/>
      <c r="BH132" s="12" t="s">
        <v>1767</v>
      </c>
    </row>
    <row r="133" spans="1:60" s="3" customFormat="1" ht="20.399999999999999" x14ac:dyDescent="0.3">
      <c r="A133" s="25"/>
      <c r="B133" s="26" t="s">
        <v>89</v>
      </c>
      <c r="C133" s="419" t="s">
        <v>90</v>
      </c>
      <c r="D133" s="419"/>
      <c r="E133" s="419"/>
      <c r="F133" s="27" t="s">
        <v>70</v>
      </c>
      <c r="G133" s="22" t="s">
        <v>3712</v>
      </c>
      <c r="H133" s="58"/>
      <c r="I133" s="28"/>
      <c r="J133" s="28"/>
      <c r="K133" s="29"/>
      <c r="BC133" s="14"/>
      <c r="BD133" s="15"/>
      <c r="BE133" s="21"/>
      <c r="BF133" s="43"/>
      <c r="BG133" s="12"/>
      <c r="BH133" s="12" t="s">
        <v>90</v>
      </c>
    </row>
    <row r="134" spans="1:60" s="3" customFormat="1" ht="21.6" x14ac:dyDescent="0.3">
      <c r="A134" s="25"/>
      <c r="B134" s="26" t="s">
        <v>607</v>
      </c>
      <c r="C134" s="419" t="s">
        <v>608</v>
      </c>
      <c r="D134" s="419"/>
      <c r="E134" s="419"/>
      <c r="F134" s="27" t="s">
        <v>609</v>
      </c>
      <c r="G134" s="22" t="s">
        <v>3713</v>
      </c>
      <c r="H134" s="58"/>
      <c r="I134" s="28"/>
      <c r="J134" s="28"/>
      <c r="K134" s="29"/>
      <c r="BC134" s="14"/>
      <c r="BD134" s="15"/>
      <c r="BE134" s="21"/>
      <c r="BF134" s="43"/>
      <c r="BG134" s="12"/>
      <c r="BH134" s="12" t="s">
        <v>608</v>
      </c>
    </row>
    <row r="135" spans="1:60" s="3" customFormat="1" ht="42" x14ac:dyDescent="0.3">
      <c r="A135" s="16" t="s">
        <v>237</v>
      </c>
      <c r="B135" s="17" t="s">
        <v>3714</v>
      </c>
      <c r="C135" s="405" t="s">
        <v>3715</v>
      </c>
      <c r="D135" s="405"/>
      <c r="E135" s="405"/>
      <c r="F135" s="16" t="s">
        <v>115</v>
      </c>
      <c r="G135" s="31">
        <v>375.36</v>
      </c>
      <c r="H135" s="57">
        <f>I135/G135</f>
        <v>0</v>
      </c>
      <c r="I135" s="19">
        <v>0</v>
      </c>
      <c r="J135" s="19">
        <f>K135/G135</f>
        <v>2001.7814897698208</v>
      </c>
      <c r="K135" s="19">
        <v>751388.7</v>
      </c>
      <c r="BC135" s="14"/>
      <c r="BD135" s="15"/>
      <c r="BE135" s="21" t="s">
        <v>3715</v>
      </c>
      <c r="BF135" s="43"/>
      <c r="BG135" s="12"/>
      <c r="BH135" s="12"/>
    </row>
    <row r="136" spans="1:60" s="3" customFormat="1" ht="15" customHeight="1" x14ac:dyDescent="0.3">
      <c r="A136" s="437" t="s">
        <v>3716</v>
      </c>
      <c r="B136" s="418"/>
      <c r="C136" s="418"/>
      <c r="D136" s="418"/>
      <c r="E136" s="418"/>
      <c r="F136" s="418"/>
      <c r="G136" s="418"/>
      <c r="H136" s="123"/>
      <c r="I136" s="123"/>
      <c r="J136" s="123"/>
      <c r="K136" s="124"/>
      <c r="BC136" s="14"/>
      <c r="BD136" s="15" t="s">
        <v>3716</v>
      </c>
      <c r="BE136" s="21"/>
      <c r="BF136" s="43"/>
      <c r="BG136" s="12"/>
      <c r="BH136" s="12"/>
    </row>
    <row r="137" spans="1:60" s="3" customFormat="1" ht="21.6" x14ac:dyDescent="0.3">
      <c r="A137" s="16" t="s">
        <v>243</v>
      </c>
      <c r="B137" s="17" t="s">
        <v>597</v>
      </c>
      <c r="C137" s="405" t="s">
        <v>598</v>
      </c>
      <c r="D137" s="405"/>
      <c r="E137" s="405"/>
      <c r="F137" s="16" t="s">
        <v>67</v>
      </c>
      <c r="G137" s="31">
        <v>1.43</v>
      </c>
      <c r="H137" s="57">
        <f>I137/G137</f>
        <v>12315.153846153846</v>
      </c>
      <c r="I137" s="19">
        <v>17610.669999999998</v>
      </c>
      <c r="J137" s="19">
        <f>K137/G137</f>
        <v>645.78321678321686</v>
      </c>
      <c r="K137" s="19">
        <v>923.47</v>
      </c>
      <c r="BC137" s="14"/>
      <c r="BD137" s="15"/>
      <c r="BE137" s="21" t="s">
        <v>598</v>
      </c>
      <c r="BF137" s="43"/>
      <c r="BG137" s="12"/>
      <c r="BH137" s="12"/>
    </row>
    <row r="138" spans="1:60" s="3" customFormat="1" ht="20.399999999999999" x14ac:dyDescent="0.3">
      <c r="A138" s="25"/>
      <c r="B138" s="26" t="s">
        <v>599</v>
      </c>
      <c r="C138" s="419" t="s">
        <v>600</v>
      </c>
      <c r="D138" s="419"/>
      <c r="E138" s="419"/>
      <c r="F138" s="27" t="s">
        <v>406</v>
      </c>
      <c r="G138" s="22" t="s">
        <v>3717</v>
      </c>
      <c r="H138" s="58"/>
      <c r="I138" s="28"/>
      <c r="J138" s="28"/>
      <c r="K138" s="29"/>
      <c r="BC138" s="14"/>
      <c r="BD138" s="15"/>
      <c r="BE138" s="21"/>
      <c r="BF138" s="43"/>
      <c r="BG138" s="12"/>
      <c r="BH138" s="12" t="s">
        <v>600</v>
      </c>
    </row>
    <row r="139" spans="1:60" s="3" customFormat="1" ht="21.6" x14ac:dyDescent="0.3">
      <c r="A139" s="25"/>
      <c r="B139" s="26" t="s">
        <v>601</v>
      </c>
      <c r="C139" s="419" t="s">
        <v>602</v>
      </c>
      <c r="D139" s="419"/>
      <c r="E139" s="419"/>
      <c r="F139" s="27" t="s">
        <v>70</v>
      </c>
      <c r="G139" s="22" t="s">
        <v>3718</v>
      </c>
      <c r="H139" s="58"/>
      <c r="I139" s="28"/>
      <c r="J139" s="28"/>
      <c r="K139" s="29"/>
      <c r="BC139" s="14"/>
      <c r="BD139" s="15"/>
      <c r="BE139" s="21"/>
      <c r="BF139" s="43"/>
      <c r="BG139" s="12"/>
      <c r="BH139" s="12" t="s">
        <v>602</v>
      </c>
    </row>
    <row r="140" spans="1:60" s="3" customFormat="1" ht="21.6" x14ac:dyDescent="0.3">
      <c r="A140" s="25"/>
      <c r="B140" s="26" t="s">
        <v>603</v>
      </c>
      <c r="C140" s="419" t="s">
        <v>604</v>
      </c>
      <c r="D140" s="419"/>
      <c r="E140" s="419"/>
      <c r="F140" s="27" t="s">
        <v>70</v>
      </c>
      <c r="G140" s="22" t="s">
        <v>3719</v>
      </c>
      <c r="H140" s="58"/>
      <c r="I140" s="28"/>
      <c r="J140" s="28"/>
      <c r="K140" s="29"/>
      <c r="BC140" s="14"/>
      <c r="BD140" s="15"/>
      <c r="BE140" s="21"/>
      <c r="BF140" s="43"/>
      <c r="BG140" s="12"/>
      <c r="BH140" s="12" t="s">
        <v>604</v>
      </c>
    </row>
    <row r="141" spans="1:60" s="3" customFormat="1" ht="20.399999999999999" x14ac:dyDescent="0.3">
      <c r="A141" s="25"/>
      <c r="B141" s="26" t="s">
        <v>605</v>
      </c>
      <c r="C141" s="419" t="s">
        <v>606</v>
      </c>
      <c r="D141" s="419"/>
      <c r="E141" s="419"/>
      <c r="F141" s="27" t="s">
        <v>75</v>
      </c>
      <c r="G141" s="22" t="s">
        <v>3720</v>
      </c>
      <c r="H141" s="58"/>
      <c r="I141" s="28"/>
      <c r="J141" s="28"/>
      <c r="K141" s="29"/>
      <c r="BC141" s="14"/>
      <c r="BD141" s="15"/>
      <c r="BE141" s="21"/>
      <c r="BF141" s="43"/>
      <c r="BG141" s="12"/>
      <c r="BH141" s="12" t="s">
        <v>606</v>
      </c>
    </row>
    <row r="142" spans="1:60" s="3" customFormat="1" ht="20.399999999999999" x14ac:dyDescent="0.3">
      <c r="A142" s="25"/>
      <c r="B142" s="26" t="s">
        <v>89</v>
      </c>
      <c r="C142" s="419" t="s">
        <v>90</v>
      </c>
      <c r="D142" s="419"/>
      <c r="E142" s="419"/>
      <c r="F142" s="27" t="s">
        <v>70</v>
      </c>
      <c r="G142" s="22" t="s">
        <v>3721</v>
      </c>
      <c r="H142" s="58"/>
      <c r="I142" s="28"/>
      <c r="J142" s="28"/>
      <c r="K142" s="29"/>
      <c r="BC142" s="14"/>
      <c r="BD142" s="15"/>
      <c r="BE142" s="21"/>
      <c r="BF142" s="43"/>
      <c r="BG142" s="12"/>
      <c r="BH142" s="12" t="s">
        <v>90</v>
      </c>
    </row>
    <row r="143" spans="1:60" s="3" customFormat="1" ht="21.6" x14ac:dyDescent="0.3">
      <c r="A143" s="25"/>
      <c r="B143" s="26" t="s">
        <v>607</v>
      </c>
      <c r="C143" s="419" t="s">
        <v>608</v>
      </c>
      <c r="D143" s="419"/>
      <c r="E143" s="419"/>
      <c r="F143" s="27" t="s">
        <v>609</v>
      </c>
      <c r="G143" s="22" t="s">
        <v>3722</v>
      </c>
      <c r="H143" s="58"/>
      <c r="I143" s="28"/>
      <c r="J143" s="28"/>
      <c r="K143" s="29"/>
      <c r="BC143" s="14"/>
      <c r="BD143" s="15"/>
      <c r="BE143" s="21"/>
      <c r="BF143" s="43"/>
      <c r="BG143" s="12"/>
      <c r="BH143" s="12" t="s">
        <v>608</v>
      </c>
    </row>
    <row r="144" spans="1:60" s="3" customFormat="1" ht="21.6" x14ac:dyDescent="0.3">
      <c r="A144" s="16" t="s">
        <v>244</v>
      </c>
      <c r="B144" s="17" t="s">
        <v>1945</v>
      </c>
      <c r="C144" s="405" t="s">
        <v>1946</v>
      </c>
      <c r="D144" s="405"/>
      <c r="E144" s="405"/>
      <c r="F144" s="16" t="s">
        <v>67</v>
      </c>
      <c r="G144" s="31">
        <v>1.05</v>
      </c>
      <c r="H144" s="57">
        <f>I144/G144</f>
        <v>10823.342857142858</v>
      </c>
      <c r="I144" s="19">
        <v>11364.51</v>
      </c>
      <c r="J144" s="19">
        <f>K144/G144</f>
        <v>327.71428571428572</v>
      </c>
      <c r="K144" s="19">
        <v>344.1</v>
      </c>
      <c r="BC144" s="14"/>
      <c r="BD144" s="15"/>
      <c r="BE144" s="21" t="s">
        <v>1946</v>
      </c>
      <c r="BF144" s="43"/>
      <c r="BG144" s="12"/>
      <c r="BH144" s="12"/>
    </row>
    <row r="145" spans="1:60" s="3" customFormat="1" ht="20.399999999999999" x14ac:dyDescent="0.3">
      <c r="A145" s="25"/>
      <c r="B145" s="26" t="s">
        <v>599</v>
      </c>
      <c r="C145" s="419" t="s">
        <v>600</v>
      </c>
      <c r="D145" s="419"/>
      <c r="E145" s="419"/>
      <c r="F145" s="27" t="s">
        <v>406</v>
      </c>
      <c r="G145" s="22" t="s">
        <v>3723</v>
      </c>
      <c r="H145" s="58"/>
      <c r="I145" s="28"/>
      <c r="J145" s="28"/>
      <c r="K145" s="29"/>
      <c r="BC145" s="14"/>
      <c r="BD145" s="15"/>
      <c r="BE145" s="21"/>
      <c r="BF145" s="43"/>
      <c r="BG145" s="12"/>
      <c r="BH145" s="12" t="s">
        <v>600</v>
      </c>
    </row>
    <row r="146" spans="1:60" s="3" customFormat="1" ht="21.6" x14ac:dyDescent="0.3">
      <c r="A146" s="25"/>
      <c r="B146" s="26" t="s">
        <v>1766</v>
      </c>
      <c r="C146" s="419" t="s">
        <v>1767</v>
      </c>
      <c r="D146" s="419"/>
      <c r="E146" s="419"/>
      <c r="F146" s="27" t="s">
        <v>70</v>
      </c>
      <c r="G146" s="22" t="s">
        <v>3724</v>
      </c>
      <c r="H146" s="58"/>
      <c r="I146" s="28"/>
      <c r="J146" s="28"/>
      <c r="K146" s="29"/>
      <c r="BC146" s="14"/>
      <c r="BD146" s="15"/>
      <c r="BE146" s="21"/>
      <c r="BF146" s="43"/>
      <c r="BG146" s="12"/>
      <c r="BH146" s="12" t="s">
        <v>1767</v>
      </c>
    </row>
    <row r="147" spans="1:60" s="3" customFormat="1" ht="20.399999999999999" x14ac:dyDescent="0.3">
      <c r="A147" s="25"/>
      <c r="B147" s="26" t="s">
        <v>89</v>
      </c>
      <c r="C147" s="419" t="s">
        <v>90</v>
      </c>
      <c r="D147" s="419"/>
      <c r="E147" s="419"/>
      <c r="F147" s="27" t="s">
        <v>70</v>
      </c>
      <c r="G147" s="22" t="s">
        <v>3725</v>
      </c>
      <c r="H147" s="58"/>
      <c r="I147" s="28"/>
      <c r="J147" s="28"/>
      <c r="K147" s="29"/>
      <c r="BC147" s="14"/>
      <c r="BD147" s="15"/>
      <c r="BE147" s="21"/>
      <c r="BF147" s="43"/>
      <c r="BG147" s="12"/>
      <c r="BH147" s="12" t="s">
        <v>90</v>
      </c>
    </row>
    <row r="148" spans="1:60" s="3" customFormat="1" ht="21.6" x14ac:dyDescent="0.3">
      <c r="A148" s="25"/>
      <c r="B148" s="26" t="s">
        <v>607</v>
      </c>
      <c r="C148" s="419" t="s">
        <v>608</v>
      </c>
      <c r="D148" s="419"/>
      <c r="E148" s="419"/>
      <c r="F148" s="27" t="s">
        <v>609</v>
      </c>
      <c r="G148" s="22" t="s">
        <v>3726</v>
      </c>
      <c r="H148" s="58"/>
      <c r="I148" s="28"/>
      <c r="J148" s="28"/>
      <c r="K148" s="29"/>
      <c r="BC148" s="14"/>
      <c r="BD148" s="15"/>
      <c r="BE148" s="21"/>
      <c r="BF148" s="43"/>
      <c r="BG148" s="12"/>
      <c r="BH148" s="12" t="s">
        <v>608</v>
      </c>
    </row>
    <row r="149" spans="1:60" s="3" customFormat="1" ht="31.8" x14ac:dyDescent="0.3">
      <c r="A149" s="16" t="s">
        <v>246</v>
      </c>
      <c r="B149" s="17" t="s">
        <v>3727</v>
      </c>
      <c r="C149" s="405" t="s">
        <v>3728</v>
      </c>
      <c r="D149" s="405"/>
      <c r="E149" s="405"/>
      <c r="F149" s="16" t="s">
        <v>67</v>
      </c>
      <c r="G149" s="24">
        <v>0.6</v>
      </c>
      <c r="H149" s="57">
        <f>I149/G149</f>
        <v>15017.683333333334</v>
      </c>
      <c r="I149" s="19">
        <v>9010.61</v>
      </c>
      <c r="J149" s="19">
        <f>K149/G149</f>
        <v>307.10000000000002</v>
      </c>
      <c r="K149" s="19">
        <v>184.26</v>
      </c>
      <c r="BC149" s="14"/>
      <c r="BD149" s="15"/>
      <c r="BE149" s="21" t="s">
        <v>3728</v>
      </c>
      <c r="BF149" s="43"/>
      <c r="BG149" s="12"/>
      <c r="BH149" s="12"/>
    </row>
    <row r="150" spans="1:60" s="3" customFormat="1" ht="20.399999999999999" x14ac:dyDescent="0.3">
      <c r="A150" s="25"/>
      <c r="B150" s="26" t="s">
        <v>599</v>
      </c>
      <c r="C150" s="419" t="s">
        <v>600</v>
      </c>
      <c r="D150" s="419"/>
      <c r="E150" s="419"/>
      <c r="F150" s="27" t="s">
        <v>406</v>
      </c>
      <c r="G150" s="22" t="s">
        <v>3729</v>
      </c>
      <c r="H150" s="58"/>
      <c r="I150" s="28"/>
      <c r="J150" s="28"/>
      <c r="K150" s="29"/>
      <c r="BC150" s="14"/>
      <c r="BD150" s="15"/>
      <c r="BE150" s="21"/>
      <c r="BF150" s="43"/>
      <c r="BG150" s="12"/>
      <c r="BH150" s="12" t="s">
        <v>600</v>
      </c>
    </row>
    <row r="151" spans="1:60" s="3" customFormat="1" ht="20.399999999999999" x14ac:dyDescent="0.3">
      <c r="A151" s="25"/>
      <c r="B151" s="26" t="s">
        <v>1964</v>
      </c>
      <c r="C151" s="419" t="s">
        <v>1965</v>
      </c>
      <c r="D151" s="419"/>
      <c r="E151" s="419"/>
      <c r="F151" s="27" t="s">
        <v>70</v>
      </c>
      <c r="G151" s="22" t="s">
        <v>3730</v>
      </c>
      <c r="H151" s="58"/>
      <c r="I151" s="28"/>
      <c r="J151" s="28"/>
      <c r="K151" s="29"/>
      <c r="BC151" s="14"/>
      <c r="BD151" s="15"/>
      <c r="BE151" s="21"/>
      <c r="BF151" s="43"/>
      <c r="BG151" s="12"/>
      <c r="BH151" s="12" t="s">
        <v>1965</v>
      </c>
    </row>
    <row r="152" spans="1:60" s="3" customFormat="1" ht="21.6" x14ac:dyDescent="0.3">
      <c r="A152" s="25"/>
      <c r="B152" s="26" t="s">
        <v>1766</v>
      </c>
      <c r="C152" s="419" t="s">
        <v>1767</v>
      </c>
      <c r="D152" s="419"/>
      <c r="E152" s="419"/>
      <c r="F152" s="27" t="s">
        <v>70</v>
      </c>
      <c r="G152" s="22" t="s">
        <v>3731</v>
      </c>
      <c r="H152" s="58"/>
      <c r="I152" s="28"/>
      <c r="J152" s="28"/>
      <c r="K152" s="29"/>
      <c r="BC152" s="14"/>
      <c r="BD152" s="15"/>
      <c r="BE152" s="21"/>
      <c r="BF152" s="43"/>
      <c r="BG152" s="12"/>
      <c r="BH152" s="12" t="s">
        <v>1767</v>
      </c>
    </row>
    <row r="153" spans="1:60" s="3" customFormat="1" ht="20.399999999999999" x14ac:dyDescent="0.3">
      <c r="A153" s="25"/>
      <c r="B153" s="26" t="s">
        <v>89</v>
      </c>
      <c r="C153" s="419" t="s">
        <v>90</v>
      </c>
      <c r="D153" s="419"/>
      <c r="E153" s="419"/>
      <c r="F153" s="27" t="s">
        <v>70</v>
      </c>
      <c r="G153" s="22" t="s">
        <v>3732</v>
      </c>
      <c r="H153" s="58"/>
      <c r="I153" s="28"/>
      <c r="J153" s="28"/>
      <c r="K153" s="29"/>
      <c r="BC153" s="14"/>
      <c r="BD153" s="15"/>
      <c r="BE153" s="21"/>
      <c r="BF153" s="43"/>
      <c r="BG153" s="12"/>
      <c r="BH153" s="12" t="s">
        <v>90</v>
      </c>
    </row>
    <row r="154" spans="1:60" s="3" customFormat="1" ht="21.6" x14ac:dyDescent="0.3">
      <c r="A154" s="25"/>
      <c r="B154" s="26" t="s">
        <v>607</v>
      </c>
      <c r="C154" s="419" t="s">
        <v>608</v>
      </c>
      <c r="D154" s="419"/>
      <c r="E154" s="419"/>
      <c r="F154" s="27" t="s">
        <v>609</v>
      </c>
      <c r="G154" s="22" t="s">
        <v>3733</v>
      </c>
      <c r="H154" s="58"/>
      <c r="I154" s="28"/>
      <c r="J154" s="28"/>
      <c r="K154" s="29"/>
      <c r="BC154" s="14"/>
      <c r="BD154" s="15"/>
      <c r="BE154" s="21"/>
      <c r="BF154" s="43"/>
      <c r="BG154" s="12"/>
      <c r="BH154" s="12" t="s">
        <v>608</v>
      </c>
    </row>
    <row r="155" spans="1:60" s="3" customFormat="1" ht="21.6" x14ac:dyDescent="0.3">
      <c r="A155" s="16" t="s">
        <v>247</v>
      </c>
      <c r="B155" s="17" t="s">
        <v>3734</v>
      </c>
      <c r="C155" s="405" t="s">
        <v>3735</v>
      </c>
      <c r="D155" s="405"/>
      <c r="E155" s="405"/>
      <c r="F155" s="16" t="s">
        <v>1049</v>
      </c>
      <c r="G155" s="31">
        <v>332.52</v>
      </c>
      <c r="H155" s="57">
        <f>I155/G155</f>
        <v>0</v>
      </c>
      <c r="I155" s="19">
        <v>0</v>
      </c>
      <c r="J155" s="19">
        <f>K155/G155</f>
        <v>30825.129977144235</v>
      </c>
      <c r="K155" s="19">
        <v>10249972.220000001</v>
      </c>
      <c r="BC155" s="14"/>
      <c r="BD155" s="15"/>
      <c r="BE155" s="21" t="s">
        <v>3735</v>
      </c>
      <c r="BF155" s="43"/>
      <c r="BG155" s="12"/>
      <c r="BH155" s="12"/>
    </row>
    <row r="156" spans="1:60" s="3" customFormat="1" ht="15" customHeight="1" x14ac:dyDescent="0.3">
      <c r="A156" s="437" t="s">
        <v>3387</v>
      </c>
      <c r="B156" s="418"/>
      <c r="C156" s="418"/>
      <c r="D156" s="418"/>
      <c r="E156" s="418"/>
      <c r="F156" s="418"/>
      <c r="G156" s="418"/>
      <c r="H156" s="123"/>
      <c r="I156" s="123"/>
      <c r="J156" s="123"/>
      <c r="K156" s="124"/>
      <c r="BC156" s="14"/>
      <c r="BD156" s="15" t="s">
        <v>3387</v>
      </c>
      <c r="BE156" s="21"/>
      <c r="BF156" s="43"/>
      <c r="BG156" s="12"/>
      <c r="BH156" s="12"/>
    </row>
    <row r="157" spans="1:60" s="3" customFormat="1" ht="31.8" x14ac:dyDescent="0.3">
      <c r="A157" s="16" t="s">
        <v>531</v>
      </c>
      <c r="B157" s="17" t="s">
        <v>3388</v>
      </c>
      <c r="C157" s="405" t="s">
        <v>3389</v>
      </c>
      <c r="D157" s="405"/>
      <c r="E157" s="405"/>
      <c r="F157" s="16" t="s">
        <v>1261</v>
      </c>
      <c r="G157" s="24">
        <v>4.2</v>
      </c>
      <c r="H157" s="57">
        <f>I157/G157</f>
        <v>10238.652380952381</v>
      </c>
      <c r="I157" s="19">
        <v>43002.34</v>
      </c>
      <c r="J157" s="19">
        <f>K157/G157</f>
        <v>3426.7190476190472</v>
      </c>
      <c r="K157" s="19">
        <v>14392.22</v>
      </c>
      <c r="BC157" s="14"/>
      <c r="BD157" s="15"/>
      <c r="BE157" s="21" t="s">
        <v>3389</v>
      </c>
      <c r="BF157" s="43"/>
      <c r="BG157" s="12"/>
      <c r="BH157" s="12"/>
    </row>
    <row r="158" spans="1:60" s="3" customFormat="1" ht="20.399999999999999" x14ac:dyDescent="0.3">
      <c r="A158" s="37" t="s">
        <v>143</v>
      </c>
      <c r="B158" s="38" t="s">
        <v>1824</v>
      </c>
      <c r="C158" s="430" t="s">
        <v>3390</v>
      </c>
      <c r="D158" s="430"/>
      <c r="E158" s="430"/>
      <c r="F158" s="39" t="s">
        <v>38</v>
      </c>
      <c r="G158" s="40" t="s">
        <v>3736</v>
      </c>
      <c r="H158" s="100"/>
      <c r="I158" s="41"/>
      <c r="J158" s="41"/>
      <c r="K158" s="42"/>
      <c r="BC158" s="14"/>
      <c r="BD158" s="15"/>
      <c r="BE158" s="21"/>
      <c r="BF158" s="43" t="s">
        <v>3390</v>
      </c>
      <c r="BG158" s="12"/>
      <c r="BH158" s="12"/>
    </row>
    <row r="159" spans="1:60" s="3" customFormat="1" ht="21.6" x14ac:dyDescent="0.3">
      <c r="A159" s="25" t="s">
        <v>129</v>
      </c>
      <c r="B159" s="26" t="s">
        <v>3392</v>
      </c>
      <c r="C159" s="419" t="s">
        <v>3393</v>
      </c>
      <c r="D159" s="419"/>
      <c r="E159" s="419"/>
      <c r="F159" s="27" t="s">
        <v>1261</v>
      </c>
      <c r="G159" s="22" t="s">
        <v>3736</v>
      </c>
      <c r="H159" s="57" t="e">
        <f>I159/G159</f>
        <v>#VALUE!</v>
      </c>
      <c r="I159" s="28"/>
      <c r="J159" s="19" t="e">
        <f>K159/G159</f>
        <v>#VALUE!</v>
      </c>
      <c r="K159" s="29"/>
      <c r="BC159" s="14"/>
      <c r="BD159" s="15"/>
      <c r="BE159" s="21"/>
      <c r="BF159" s="43"/>
      <c r="BG159" s="12" t="s">
        <v>3393</v>
      </c>
      <c r="BH159" s="12"/>
    </row>
    <row r="160" spans="1:60" s="3" customFormat="1" ht="15" customHeight="1" x14ac:dyDescent="0.3">
      <c r="A160" s="437" t="s">
        <v>3394</v>
      </c>
      <c r="B160" s="418"/>
      <c r="C160" s="418"/>
      <c r="D160" s="418"/>
      <c r="E160" s="418"/>
      <c r="F160" s="418"/>
      <c r="G160" s="418"/>
      <c r="H160" s="123"/>
      <c r="I160" s="123"/>
      <c r="J160" s="123"/>
      <c r="K160" s="124"/>
      <c r="BC160" s="14"/>
      <c r="BD160" s="15" t="s">
        <v>3394</v>
      </c>
      <c r="BE160" s="21"/>
      <c r="BF160" s="43"/>
      <c r="BG160" s="12"/>
      <c r="BH160" s="12"/>
    </row>
    <row r="161" spans="1:60" s="3" customFormat="1" ht="21.6" x14ac:dyDescent="0.3">
      <c r="A161" s="16" t="s">
        <v>533</v>
      </c>
      <c r="B161" s="17" t="s">
        <v>3395</v>
      </c>
      <c r="C161" s="405" t="s">
        <v>3396</v>
      </c>
      <c r="D161" s="405"/>
      <c r="E161" s="405"/>
      <c r="F161" s="16" t="s">
        <v>38</v>
      </c>
      <c r="G161" s="23">
        <v>90</v>
      </c>
      <c r="H161" s="57">
        <f>I161/G161</f>
        <v>566.5436666666667</v>
      </c>
      <c r="I161" s="19">
        <v>50988.93</v>
      </c>
      <c r="J161" s="19">
        <f>K161/G161</f>
        <v>8.3190000000000008</v>
      </c>
      <c r="K161" s="19">
        <v>748.71</v>
      </c>
      <c r="BC161" s="14"/>
      <c r="BD161" s="15"/>
      <c r="BE161" s="21" t="s">
        <v>3396</v>
      </c>
      <c r="BF161" s="43"/>
      <c r="BG161" s="12"/>
      <c r="BH161" s="12"/>
    </row>
    <row r="162" spans="1:60" s="3" customFormat="1" ht="20.399999999999999" x14ac:dyDescent="0.3">
      <c r="A162" s="25"/>
      <c r="B162" s="26" t="s">
        <v>2604</v>
      </c>
      <c r="C162" s="419" t="s">
        <v>2605</v>
      </c>
      <c r="D162" s="419"/>
      <c r="E162" s="419"/>
      <c r="F162" s="27" t="s">
        <v>75</v>
      </c>
      <c r="G162" s="22" t="s">
        <v>3737</v>
      </c>
      <c r="H162" s="58"/>
      <c r="I162" s="28"/>
      <c r="J162" s="28"/>
      <c r="K162" s="29"/>
      <c r="BC162" s="14"/>
      <c r="BD162" s="15"/>
      <c r="BE162" s="21"/>
      <c r="BF162" s="43"/>
      <c r="BG162" s="12"/>
      <c r="BH162" s="12" t="s">
        <v>2605</v>
      </c>
    </row>
    <row r="163" spans="1:60" s="3" customFormat="1" ht="20.399999999999999" x14ac:dyDescent="0.3">
      <c r="A163" s="25"/>
      <c r="B163" s="26" t="s">
        <v>3398</v>
      </c>
      <c r="C163" s="419" t="s">
        <v>3399</v>
      </c>
      <c r="D163" s="419"/>
      <c r="E163" s="419"/>
      <c r="F163" s="27" t="s">
        <v>67</v>
      </c>
      <c r="G163" s="22" t="s">
        <v>3738</v>
      </c>
      <c r="H163" s="58"/>
      <c r="I163" s="28"/>
      <c r="J163" s="28"/>
      <c r="K163" s="29"/>
      <c r="BC163" s="14"/>
      <c r="BD163" s="15"/>
      <c r="BE163" s="21"/>
      <c r="BF163" s="43"/>
      <c r="BG163" s="12"/>
      <c r="BH163" s="12" t="s">
        <v>3399</v>
      </c>
    </row>
    <row r="164" spans="1:60" s="3" customFormat="1" ht="21.6" x14ac:dyDescent="0.3">
      <c r="A164" s="25"/>
      <c r="B164" s="26" t="s">
        <v>3401</v>
      </c>
      <c r="C164" s="419" t="s">
        <v>3402</v>
      </c>
      <c r="D164" s="419"/>
      <c r="E164" s="419"/>
      <c r="F164" s="27" t="s">
        <v>67</v>
      </c>
      <c r="G164" s="22" t="s">
        <v>3739</v>
      </c>
      <c r="H164" s="58"/>
      <c r="I164" s="28"/>
      <c r="J164" s="28"/>
      <c r="K164" s="29"/>
      <c r="BC164" s="14"/>
      <c r="BD164" s="15"/>
      <c r="BE164" s="21"/>
      <c r="BF164" s="43"/>
      <c r="BG164" s="12"/>
      <c r="BH164" s="12" t="s">
        <v>3402</v>
      </c>
    </row>
    <row r="165" spans="1:60" s="3" customFormat="1" ht="21.6" x14ac:dyDescent="0.3">
      <c r="A165" s="25"/>
      <c r="B165" s="26" t="s">
        <v>607</v>
      </c>
      <c r="C165" s="419" t="s">
        <v>608</v>
      </c>
      <c r="D165" s="419"/>
      <c r="E165" s="419"/>
      <c r="F165" s="27" t="s">
        <v>609</v>
      </c>
      <c r="G165" s="22" t="s">
        <v>3740</v>
      </c>
      <c r="H165" s="58"/>
      <c r="I165" s="28"/>
      <c r="J165" s="28"/>
      <c r="K165" s="29"/>
      <c r="BC165" s="14"/>
      <c r="BD165" s="15"/>
      <c r="BE165" s="21"/>
      <c r="BF165" s="43"/>
      <c r="BG165" s="12"/>
      <c r="BH165" s="12" t="s">
        <v>608</v>
      </c>
    </row>
    <row r="166" spans="1:60" s="3" customFormat="1" ht="21.6" x14ac:dyDescent="0.3">
      <c r="A166" s="16" t="s">
        <v>539</v>
      </c>
      <c r="B166" s="17" t="s">
        <v>3741</v>
      </c>
      <c r="C166" s="405" t="s">
        <v>3742</v>
      </c>
      <c r="D166" s="405"/>
      <c r="E166" s="405"/>
      <c r="F166" s="16" t="s">
        <v>1460</v>
      </c>
      <c r="G166" s="23">
        <v>90</v>
      </c>
      <c r="H166" s="57">
        <f>I166/G166</f>
        <v>0</v>
      </c>
      <c r="I166" s="19">
        <v>0</v>
      </c>
      <c r="J166" s="19">
        <f>K166/G166</f>
        <v>374.97455555555553</v>
      </c>
      <c r="K166" s="19">
        <v>33747.71</v>
      </c>
      <c r="BC166" s="14"/>
      <c r="BD166" s="15"/>
      <c r="BE166" s="21" t="s">
        <v>3742</v>
      </c>
      <c r="BF166" s="43"/>
      <c r="BG166" s="12"/>
      <c r="BH166" s="12"/>
    </row>
    <row r="167" spans="1:60" s="3" customFormat="1" ht="15" customHeight="1" x14ac:dyDescent="0.3">
      <c r="A167" s="437" t="s">
        <v>1655</v>
      </c>
      <c r="B167" s="418"/>
      <c r="C167" s="418"/>
      <c r="D167" s="418"/>
      <c r="E167" s="418"/>
      <c r="F167" s="418"/>
      <c r="G167" s="418"/>
      <c r="H167" s="123"/>
      <c r="I167" s="123"/>
      <c r="J167" s="123"/>
      <c r="K167" s="124"/>
      <c r="BC167" s="14"/>
      <c r="BD167" s="15" t="s">
        <v>1655</v>
      </c>
      <c r="BE167" s="21"/>
      <c r="BF167" s="43"/>
      <c r="BG167" s="12"/>
      <c r="BH167" s="12"/>
    </row>
    <row r="168" spans="1:60" s="3" customFormat="1" ht="21.6" x14ac:dyDescent="0.3">
      <c r="A168" s="16" t="s">
        <v>542</v>
      </c>
      <c r="B168" s="17" t="s">
        <v>1656</v>
      </c>
      <c r="C168" s="405" t="s">
        <v>1657</v>
      </c>
      <c r="D168" s="405"/>
      <c r="E168" s="405"/>
      <c r="F168" s="16" t="s">
        <v>67</v>
      </c>
      <c r="G168" s="31">
        <v>12.03</v>
      </c>
      <c r="H168" s="57">
        <f>I168/G168</f>
        <v>440.11637572734827</v>
      </c>
      <c r="I168" s="19">
        <v>5294.5999999999995</v>
      </c>
      <c r="J168" s="19">
        <f>K168/G168</f>
        <v>0.70822942643391518</v>
      </c>
      <c r="K168" s="19">
        <v>8.52</v>
      </c>
      <c r="BC168" s="14"/>
      <c r="BD168" s="15"/>
      <c r="BE168" s="21" t="s">
        <v>1657</v>
      </c>
      <c r="BF168" s="43"/>
      <c r="BG168" s="12"/>
      <c r="BH168" s="12"/>
    </row>
    <row r="169" spans="1:60" s="3" customFormat="1" ht="21.6" x14ac:dyDescent="0.3">
      <c r="A169" s="25"/>
      <c r="B169" s="26" t="s">
        <v>607</v>
      </c>
      <c r="C169" s="419" t="s">
        <v>608</v>
      </c>
      <c r="D169" s="419"/>
      <c r="E169" s="419"/>
      <c r="F169" s="27" t="s">
        <v>609</v>
      </c>
      <c r="G169" s="22" t="s">
        <v>3743</v>
      </c>
      <c r="H169" s="58"/>
      <c r="I169" s="28"/>
      <c r="J169" s="28"/>
      <c r="K169" s="29"/>
      <c r="BC169" s="14"/>
      <c r="BD169" s="15"/>
      <c r="BE169" s="21"/>
      <c r="BF169" s="43"/>
      <c r="BG169" s="12"/>
      <c r="BH169" s="12" t="s">
        <v>608</v>
      </c>
    </row>
    <row r="170" spans="1:60" s="3" customFormat="1" ht="21.6" x14ac:dyDescent="0.3">
      <c r="A170" s="16" t="s">
        <v>547</v>
      </c>
      <c r="B170" s="17" t="s">
        <v>1659</v>
      </c>
      <c r="C170" s="405" t="s">
        <v>1660</v>
      </c>
      <c r="D170" s="405"/>
      <c r="E170" s="405"/>
      <c r="F170" s="16" t="s">
        <v>38</v>
      </c>
      <c r="G170" s="23">
        <v>2</v>
      </c>
      <c r="H170" s="57">
        <f>I170/G170</f>
        <v>0</v>
      </c>
      <c r="I170" s="19">
        <v>0</v>
      </c>
      <c r="J170" s="19">
        <f>K170/G170</f>
        <v>622.77499999999998</v>
      </c>
      <c r="K170" s="19">
        <v>1245.55</v>
      </c>
      <c r="BC170" s="14"/>
      <c r="BD170" s="15"/>
      <c r="BE170" s="21" t="s">
        <v>1660</v>
      </c>
      <c r="BF170" s="43"/>
      <c r="BG170" s="12"/>
      <c r="BH170" s="12"/>
    </row>
    <row r="171" spans="1:60" s="3" customFormat="1" ht="20.399999999999999" x14ac:dyDescent="0.3">
      <c r="A171" s="16" t="s">
        <v>549</v>
      </c>
      <c r="B171" s="17" t="s">
        <v>1661</v>
      </c>
      <c r="C171" s="405" t="s">
        <v>1662</v>
      </c>
      <c r="D171" s="405"/>
      <c r="E171" s="405"/>
      <c r="F171" s="16" t="s">
        <v>115</v>
      </c>
      <c r="G171" s="23">
        <v>470</v>
      </c>
      <c r="H171" s="57">
        <f>I171/G171</f>
        <v>0</v>
      </c>
      <c r="I171" s="19">
        <v>0</v>
      </c>
      <c r="J171" s="19">
        <f>K171/G171</f>
        <v>11.062510638297873</v>
      </c>
      <c r="K171" s="19">
        <v>5199.38</v>
      </c>
      <c r="BC171" s="14"/>
      <c r="BD171" s="15"/>
      <c r="BE171" s="21" t="s">
        <v>1662</v>
      </c>
      <c r="BF171" s="43"/>
      <c r="BG171" s="12"/>
      <c r="BH171" s="12"/>
    </row>
    <row r="172" spans="1:60" s="3" customFormat="1" ht="21.6" x14ac:dyDescent="0.3">
      <c r="A172" s="16" t="s">
        <v>570</v>
      </c>
      <c r="B172" s="17" t="s">
        <v>3409</v>
      </c>
      <c r="C172" s="405" t="s">
        <v>3410</v>
      </c>
      <c r="D172" s="405"/>
      <c r="E172" s="405"/>
      <c r="F172" s="16" t="s">
        <v>38</v>
      </c>
      <c r="G172" s="23">
        <v>2</v>
      </c>
      <c r="H172" s="57">
        <f>I172/G172</f>
        <v>0</v>
      </c>
      <c r="I172" s="19">
        <v>0</v>
      </c>
      <c r="J172" s="19">
        <f>K172/G172</f>
        <v>3335.92</v>
      </c>
      <c r="K172" s="19">
        <v>6671.84</v>
      </c>
      <c r="BC172" s="14"/>
      <c r="BD172" s="15"/>
      <c r="BE172" s="21" t="s">
        <v>3410</v>
      </c>
      <c r="BF172" s="43"/>
      <c r="BG172" s="12"/>
      <c r="BH172" s="12"/>
    </row>
    <row r="173" spans="1:60" s="3" customFormat="1" ht="20.399999999999999" x14ac:dyDescent="0.3">
      <c r="A173" s="16" t="s">
        <v>584</v>
      </c>
      <c r="B173" s="17" t="s">
        <v>3744</v>
      </c>
      <c r="C173" s="405" t="s">
        <v>3412</v>
      </c>
      <c r="D173" s="405"/>
      <c r="E173" s="405"/>
      <c r="F173" s="16" t="s">
        <v>115</v>
      </c>
      <c r="G173" s="23">
        <v>175</v>
      </c>
      <c r="H173" s="57">
        <f t="shared" ref="H173:H174" si="0">I173/G173</f>
        <v>0</v>
      </c>
      <c r="I173" s="19">
        <v>0</v>
      </c>
      <c r="J173" s="19">
        <f t="shared" ref="J173:J174" si="1">K173/G173</f>
        <v>19.204514285714286</v>
      </c>
      <c r="K173" s="19">
        <v>3360.79</v>
      </c>
      <c r="BC173" s="14"/>
      <c r="BD173" s="15"/>
      <c r="BE173" s="21" t="s">
        <v>3412</v>
      </c>
      <c r="BF173" s="43"/>
      <c r="BG173" s="12"/>
      <c r="BH173" s="12"/>
    </row>
    <row r="174" spans="1:60" s="3" customFormat="1" ht="20.399999999999999" x14ac:dyDescent="0.3">
      <c r="A174" s="16" t="s">
        <v>585</v>
      </c>
      <c r="B174" s="17" t="s">
        <v>3745</v>
      </c>
      <c r="C174" s="405" t="s">
        <v>3414</v>
      </c>
      <c r="D174" s="405"/>
      <c r="E174" s="405"/>
      <c r="F174" s="16" t="s">
        <v>115</v>
      </c>
      <c r="G174" s="23">
        <v>120</v>
      </c>
      <c r="H174" s="57">
        <f t="shared" si="0"/>
        <v>0</v>
      </c>
      <c r="I174" s="19">
        <v>0</v>
      </c>
      <c r="J174" s="19">
        <f t="shared" si="1"/>
        <v>25.576499999999999</v>
      </c>
      <c r="K174" s="19">
        <v>3069.18</v>
      </c>
      <c r="BC174" s="14"/>
      <c r="BD174" s="15"/>
      <c r="BE174" s="21" t="s">
        <v>3414</v>
      </c>
      <c r="BF174" s="43"/>
      <c r="BG174" s="12"/>
      <c r="BH174" s="12"/>
    </row>
    <row r="175" spans="1:60" s="3" customFormat="1" ht="21.6" x14ac:dyDescent="0.3">
      <c r="A175" s="16" t="s">
        <v>2137</v>
      </c>
      <c r="B175" s="17" t="s">
        <v>3415</v>
      </c>
      <c r="C175" s="405" t="s">
        <v>3416</v>
      </c>
      <c r="D175" s="405"/>
      <c r="E175" s="405"/>
      <c r="F175" s="16" t="s">
        <v>38</v>
      </c>
      <c r="G175" s="23">
        <v>1</v>
      </c>
      <c r="H175" s="57">
        <f>I175/G175</f>
        <v>0</v>
      </c>
      <c r="I175" s="19">
        <v>0</v>
      </c>
      <c r="J175" s="19">
        <f>K175/G175</f>
        <v>10113.959999999999</v>
      </c>
      <c r="K175" s="19">
        <v>10113.959999999999</v>
      </c>
      <c r="BC175" s="14"/>
      <c r="BD175" s="15"/>
      <c r="BE175" s="21" t="s">
        <v>3416</v>
      </c>
      <c r="BF175" s="43"/>
      <c r="BG175" s="12"/>
      <c r="BH175" s="12"/>
    </row>
    <row r="176" spans="1:60" s="3" customFormat="1" ht="15" customHeight="1" x14ac:dyDescent="0.3">
      <c r="A176" s="435" t="s">
        <v>1663</v>
      </c>
      <c r="B176" s="436"/>
      <c r="C176" s="436"/>
      <c r="D176" s="436"/>
      <c r="E176" s="436"/>
      <c r="F176" s="436"/>
      <c r="G176" s="436"/>
      <c r="H176" s="103"/>
      <c r="I176" s="103"/>
      <c r="J176" s="103"/>
      <c r="K176" s="104"/>
      <c r="BC176" s="14" t="s">
        <v>1663</v>
      </c>
      <c r="BD176" s="15"/>
      <c r="BE176" s="21"/>
      <c r="BF176" s="43"/>
      <c r="BG176" s="12"/>
      <c r="BH176" s="12"/>
    </row>
    <row r="177" spans="1:60" s="3" customFormat="1" ht="42" x14ac:dyDescent="0.3">
      <c r="A177" s="16" t="s">
        <v>2138</v>
      </c>
      <c r="B177" s="17" t="s">
        <v>1664</v>
      </c>
      <c r="C177" s="405" t="s">
        <v>1665</v>
      </c>
      <c r="D177" s="405"/>
      <c r="E177" s="405"/>
      <c r="F177" s="16" t="s">
        <v>38</v>
      </c>
      <c r="G177" s="23">
        <v>16</v>
      </c>
      <c r="H177" s="57">
        <f>I177/G177</f>
        <v>957.13750000000005</v>
      </c>
      <c r="I177" s="19">
        <v>15314.2</v>
      </c>
      <c r="J177" s="19">
        <f>K177/G177</f>
        <v>43.541874999999997</v>
      </c>
      <c r="K177" s="19">
        <v>696.67</v>
      </c>
      <c r="BC177" s="14"/>
      <c r="BD177" s="15"/>
      <c r="BE177" s="21" t="s">
        <v>1665</v>
      </c>
      <c r="BF177" s="43"/>
      <c r="BG177" s="12"/>
      <c r="BH177" s="12"/>
    </row>
    <row r="178" spans="1:60" s="3" customFormat="1" ht="20.399999999999999" x14ac:dyDescent="0.3">
      <c r="A178" s="25"/>
      <c r="B178" s="26" t="s">
        <v>1666</v>
      </c>
      <c r="C178" s="419" t="s">
        <v>1667</v>
      </c>
      <c r="D178" s="419"/>
      <c r="E178" s="419"/>
      <c r="F178" s="27" t="s">
        <v>70</v>
      </c>
      <c r="G178" s="22" t="s">
        <v>1668</v>
      </c>
      <c r="H178" s="58"/>
      <c r="I178" s="28"/>
      <c r="J178" s="28"/>
      <c r="K178" s="29"/>
      <c r="BC178" s="14"/>
      <c r="BD178" s="15"/>
      <c r="BE178" s="21"/>
      <c r="BF178" s="43"/>
      <c r="BG178" s="12"/>
      <c r="BH178" s="12" t="s">
        <v>1667</v>
      </c>
    </row>
    <row r="179" spans="1:60" s="3" customFormat="1" ht="20.399999999999999" x14ac:dyDescent="0.3">
      <c r="A179" s="25"/>
      <c r="B179" s="26" t="s">
        <v>1669</v>
      </c>
      <c r="C179" s="419" t="s">
        <v>1670</v>
      </c>
      <c r="D179" s="419"/>
      <c r="E179" s="419"/>
      <c r="F179" s="27" t="s">
        <v>70</v>
      </c>
      <c r="G179" s="22" t="s">
        <v>1671</v>
      </c>
      <c r="H179" s="58"/>
      <c r="I179" s="28"/>
      <c r="J179" s="28"/>
      <c r="K179" s="29"/>
      <c r="BC179" s="14"/>
      <c r="BD179" s="15"/>
      <c r="BE179" s="21"/>
      <c r="BF179" s="43"/>
      <c r="BG179" s="12"/>
      <c r="BH179" s="12" t="s">
        <v>1670</v>
      </c>
    </row>
    <row r="180" spans="1:60" s="3" customFormat="1" ht="20.399999999999999" x14ac:dyDescent="0.3">
      <c r="A180" s="25"/>
      <c r="B180" s="26" t="s">
        <v>387</v>
      </c>
      <c r="C180" s="419" t="s">
        <v>388</v>
      </c>
      <c r="D180" s="419"/>
      <c r="E180" s="419"/>
      <c r="F180" s="27" t="s">
        <v>75</v>
      </c>
      <c r="G180" s="22" t="s">
        <v>1672</v>
      </c>
      <c r="H180" s="58"/>
      <c r="I180" s="28"/>
      <c r="J180" s="28"/>
      <c r="K180" s="29"/>
      <c r="BC180" s="14"/>
      <c r="BD180" s="15"/>
      <c r="BE180" s="21"/>
      <c r="BF180" s="43"/>
      <c r="BG180" s="12"/>
      <c r="BH180" s="12" t="s">
        <v>388</v>
      </c>
    </row>
    <row r="181" spans="1:60" s="3" customFormat="1" ht="20.399999999999999" x14ac:dyDescent="0.3">
      <c r="A181" s="25"/>
      <c r="B181" s="26" t="s">
        <v>599</v>
      </c>
      <c r="C181" s="419" t="s">
        <v>600</v>
      </c>
      <c r="D181" s="419"/>
      <c r="E181" s="419"/>
      <c r="F181" s="27" t="s">
        <v>406</v>
      </c>
      <c r="G181" s="22" t="s">
        <v>1673</v>
      </c>
      <c r="H181" s="58"/>
      <c r="I181" s="28"/>
      <c r="J181" s="28"/>
      <c r="K181" s="29"/>
      <c r="BC181" s="14"/>
      <c r="BD181" s="15"/>
      <c r="BE181" s="21"/>
      <c r="BF181" s="43"/>
      <c r="BG181" s="12"/>
      <c r="BH181" s="12" t="s">
        <v>600</v>
      </c>
    </row>
    <row r="182" spans="1:60" s="3" customFormat="1" ht="21.6" x14ac:dyDescent="0.3">
      <c r="A182" s="25"/>
      <c r="B182" s="26" t="s">
        <v>607</v>
      </c>
      <c r="C182" s="419" t="s">
        <v>608</v>
      </c>
      <c r="D182" s="419"/>
      <c r="E182" s="419"/>
      <c r="F182" s="27" t="s">
        <v>609</v>
      </c>
      <c r="G182" s="22" t="s">
        <v>1674</v>
      </c>
      <c r="H182" s="58"/>
      <c r="I182" s="28"/>
      <c r="J182" s="28"/>
      <c r="K182" s="29"/>
      <c r="BC182" s="14"/>
      <c r="BD182" s="15"/>
      <c r="BE182" s="21"/>
      <c r="BF182" s="43"/>
      <c r="BG182" s="12"/>
      <c r="BH182" s="12" t="s">
        <v>608</v>
      </c>
    </row>
    <row r="183" spans="1:60" s="3" customFormat="1" ht="21.6" x14ac:dyDescent="0.3">
      <c r="A183" s="16" t="s">
        <v>2139</v>
      </c>
      <c r="B183" s="17" t="s">
        <v>3746</v>
      </c>
      <c r="C183" s="405" t="s">
        <v>3747</v>
      </c>
      <c r="D183" s="405"/>
      <c r="E183" s="405"/>
      <c r="F183" s="16" t="s">
        <v>1460</v>
      </c>
      <c r="G183" s="23">
        <v>4</v>
      </c>
      <c r="H183" s="57">
        <f t="shared" ref="H183:H185" si="2">I183/G183</f>
        <v>0</v>
      </c>
      <c r="I183" s="19">
        <v>0</v>
      </c>
      <c r="J183" s="19">
        <f t="shared" ref="J183:J185" si="3">K183/G183</f>
        <v>850.04250000000002</v>
      </c>
      <c r="K183" s="19">
        <v>3400.17</v>
      </c>
      <c r="BC183" s="14"/>
      <c r="BD183" s="15"/>
      <c r="BE183" s="21" t="s">
        <v>3747</v>
      </c>
      <c r="BF183" s="43"/>
      <c r="BG183" s="12"/>
      <c r="BH183" s="12"/>
    </row>
    <row r="184" spans="1:60" s="3" customFormat="1" ht="21.6" x14ac:dyDescent="0.3">
      <c r="A184" s="16" t="s">
        <v>2144</v>
      </c>
      <c r="B184" s="17" t="s">
        <v>3748</v>
      </c>
      <c r="C184" s="405" t="s">
        <v>3749</v>
      </c>
      <c r="D184" s="405"/>
      <c r="E184" s="405"/>
      <c r="F184" s="16" t="s">
        <v>1460</v>
      </c>
      <c r="G184" s="23">
        <v>8</v>
      </c>
      <c r="H184" s="57">
        <f t="shared" si="2"/>
        <v>0</v>
      </c>
      <c r="I184" s="19">
        <v>0</v>
      </c>
      <c r="J184" s="19">
        <f t="shared" si="3"/>
        <v>963.0575</v>
      </c>
      <c r="K184" s="19">
        <v>7704.46</v>
      </c>
      <c r="BC184" s="14"/>
      <c r="BD184" s="15"/>
      <c r="BE184" s="21" t="s">
        <v>3749</v>
      </c>
      <c r="BF184" s="43"/>
      <c r="BG184" s="12"/>
      <c r="BH184" s="12"/>
    </row>
    <row r="185" spans="1:60" s="3" customFormat="1" ht="20.399999999999999" x14ac:dyDescent="0.3">
      <c r="A185" s="16" t="s">
        <v>2169</v>
      </c>
      <c r="B185" s="17" t="s">
        <v>3750</v>
      </c>
      <c r="C185" s="405" t="s">
        <v>3751</v>
      </c>
      <c r="D185" s="405"/>
      <c r="E185" s="405"/>
      <c r="F185" s="16" t="s">
        <v>1460</v>
      </c>
      <c r="G185" s="23">
        <v>4</v>
      </c>
      <c r="H185" s="57">
        <f t="shared" si="2"/>
        <v>0</v>
      </c>
      <c r="I185" s="19">
        <v>0</v>
      </c>
      <c r="J185" s="19">
        <f t="shared" si="3"/>
        <v>302.935</v>
      </c>
      <c r="K185" s="19">
        <v>1211.74</v>
      </c>
      <c r="BC185" s="14"/>
      <c r="BD185" s="15"/>
      <c r="BE185" s="21" t="s">
        <v>3751</v>
      </c>
      <c r="BF185" s="43"/>
      <c r="BG185" s="12"/>
      <c r="BH185" s="12"/>
    </row>
    <row r="186" spans="1:60" s="3" customFormat="1" ht="42" x14ac:dyDescent="0.3">
      <c r="A186" s="16" t="s">
        <v>2179</v>
      </c>
      <c r="B186" s="17" t="s">
        <v>3752</v>
      </c>
      <c r="C186" s="405" t="s">
        <v>3753</v>
      </c>
      <c r="D186" s="405"/>
      <c r="E186" s="405"/>
      <c r="F186" s="16" t="s">
        <v>38</v>
      </c>
      <c r="G186" s="23">
        <v>18</v>
      </c>
      <c r="H186" s="57">
        <f>I186/G186</f>
        <v>1136.1022222222223</v>
      </c>
      <c r="I186" s="19">
        <v>20449.84</v>
      </c>
      <c r="J186" s="19">
        <f>K186/G186</f>
        <v>43.896111111111111</v>
      </c>
      <c r="K186" s="19">
        <v>790.13</v>
      </c>
      <c r="BC186" s="14"/>
      <c r="BD186" s="15"/>
      <c r="BE186" s="21" t="s">
        <v>3753</v>
      </c>
      <c r="BF186" s="43"/>
      <c r="BG186" s="12"/>
      <c r="BH186" s="12"/>
    </row>
    <row r="187" spans="1:60" s="3" customFormat="1" ht="20.399999999999999" x14ac:dyDescent="0.3">
      <c r="A187" s="25"/>
      <c r="B187" s="26" t="s">
        <v>1666</v>
      </c>
      <c r="C187" s="419" t="s">
        <v>1667</v>
      </c>
      <c r="D187" s="419"/>
      <c r="E187" s="419"/>
      <c r="F187" s="27" t="s">
        <v>70</v>
      </c>
      <c r="G187" s="22" t="s">
        <v>3754</v>
      </c>
      <c r="H187" s="58"/>
      <c r="I187" s="28"/>
      <c r="J187" s="28"/>
      <c r="K187" s="29"/>
      <c r="BC187" s="14"/>
      <c r="BD187" s="15"/>
      <c r="BE187" s="21"/>
      <c r="BF187" s="43"/>
      <c r="BG187" s="12"/>
      <c r="BH187" s="12" t="s">
        <v>1667</v>
      </c>
    </row>
    <row r="188" spans="1:60" s="3" customFormat="1" ht="20.399999999999999" x14ac:dyDescent="0.3">
      <c r="A188" s="25"/>
      <c r="B188" s="26" t="s">
        <v>1669</v>
      </c>
      <c r="C188" s="419" t="s">
        <v>1670</v>
      </c>
      <c r="D188" s="419"/>
      <c r="E188" s="419"/>
      <c r="F188" s="27" t="s">
        <v>70</v>
      </c>
      <c r="G188" s="22" t="s">
        <v>3755</v>
      </c>
      <c r="H188" s="58"/>
      <c r="I188" s="28"/>
      <c r="J188" s="28"/>
      <c r="K188" s="29"/>
      <c r="BC188" s="14"/>
      <c r="BD188" s="15"/>
      <c r="BE188" s="21"/>
      <c r="BF188" s="43"/>
      <c r="BG188" s="12"/>
      <c r="BH188" s="12" t="s">
        <v>1670</v>
      </c>
    </row>
    <row r="189" spans="1:60" s="3" customFormat="1" ht="20.399999999999999" x14ac:dyDescent="0.3">
      <c r="A189" s="25"/>
      <c r="B189" s="26" t="s">
        <v>387</v>
      </c>
      <c r="C189" s="419" t="s">
        <v>388</v>
      </c>
      <c r="D189" s="419"/>
      <c r="E189" s="419"/>
      <c r="F189" s="27" t="s">
        <v>75</v>
      </c>
      <c r="G189" s="22" t="s">
        <v>3756</v>
      </c>
      <c r="H189" s="58"/>
      <c r="I189" s="28"/>
      <c r="J189" s="28"/>
      <c r="K189" s="29"/>
      <c r="BC189" s="14"/>
      <c r="BD189" s="15"/>
      <c r="BE189" s="21"/>
      <c r="BF189" s="43"/>
      <c r="BG189" s="12"/>
      <c r="BH189" s="12" t="s">
        <v>388</v>
      </c>
    </row>
    <row r="190" spans="1:60" s="3" customFormat="1" ht="20.399999999999999" x14ac:dyDescent="0.3">
      <c r="A190" s="25"/>
      <c r="B190" s="26" t="s">
        <v>599</v>
      </c>
      <c r="C190" s="419" t="s">
        <v>600</v>
      </c>
      <c r="D190" s="419"/>
      <c r="E190" s="419"/>
      <c r="F190" s="27" t="s">
        <v>406</v>
      </c>
      <c r="G190" s="22" t="s">
        <v>3757</v>
      </c>
      <c r="H190" s="58"/>
      <c r="I190" s="28"/>
      <c r="J190" s="28"/>
      <c r="K190" s="29"/>
      <c r="BC190" s="14"/>
      <c r="BD190" s="15"/>
      <c r="BE190" s="21"/>
      <c r="BF190" s="43"/>
      <c r="BG190" s="12"/>
      <c r="BH190" s="12" t="s">
        <v>600</v>
      </c>
    </row>
    <row r="191" spans="1:60" s="3" customFormat="1" ht="21.6" x14ac:dyDescent="0.3">
      <c r="A191" s="25"/>
      <c r="B191" s="26" t="s">
        <v>607</v>
      </c>
      <c r="C191" s="419" t="s">
        <v>608</v>
      </c>
      <c r="D191" s="419"/>
      <c r="E191" s="419"/>
      <c r="F191" s="27" t="s">
        <v>609</v>
      </c>
      <c r="G191" s="22" t="s">
        <v>3758</v>
      </c>
      <c r="H191" s="58"/>
      <c r="I191" s="28"/>
      <c r="J191" s="28"/>
      <c r="K191" s="29"/>
      <c r="BC191" s="14"/>
      <c r="BD191" s="15"/>
      <c r="BE191" s="21"/>
      <c r="BF191" s="43"/>
      <c r="BG191" s="12"/>
      <c r="BH191" s="12" t="s">
        <v>608</v>
      </c>
    </row>
    <row r="192" spans="1:60" s="3" customFormat="1" ht="21.6" x14ac:dyDescent="0.3">
      <c r="A192" s="16" t="s">
        <v>2180</v>
      </c>
      <c r="B192" s="17" t="s">
        <v>3759</v>
      </c>
      <c r="C192" s="405" t="s">
        <v>3760</v>
      </c>
      <c r="D192" s="405"/>
      <c r="E192" s="405"/>
      <c r="F192" s="16" t="s">
        <v>1460</v>
      </c>
      <c r="G192" s="23">
        <v>2</v>
      </c>
      <c r="H192" s="57">
        <f t="shared" ref="H192:H195" si="4">I192/G192</f>
        <v>0</v>
      </c>
      <c r="I192" s="19">
        <v>0</v>
      </c>
      <c r="J192" s="19">
        <f t="shared" ref="J192:J195" si="5">K192/G192</f>
        <v>1413.7</v>
      </c>
      <c r="K192" s="19">
        <v>2827.4</v>
      </c>
      <c r="BC192" s="14"/>
      <c r="BD192" s="15"/>
      <c r="BE192" s="21" t="s">
        <v>3760</v>
      </c>
      <c r="BF192" s="43"/>
      <c r="BG192" s="12"/>
      <c r="BH192" s="12"/>
    </row>
    <row r="193" spans="1:60" s="3" customFormat="1" ht="21.6" x14ac:dyDescent="0.3">
      <c r="A193" s="16" t="s">
        <v>2183</v>
      </c>
      <c r="B193" s="17" t="s">
        <v>3761</v>
      </c>
      <c r="C193" s="405" t="s">
        <v>3762</v>
      </c>
      <c r="D193" s="405"/>
      <c r="E193" s="405"/>
      <c r="F193" s="16" t="s">
        <v>1460</v>
      </c>
      <c r="G193" s="23">
        <v>2</v>
      </c>
      <c r="H193" s="57">
        <f t="shared" si="4"/>
        <v>0</v>
      </c>
      <c r="I193" s="19">
        <v>0</v>
      </c>
      <c r="J193" s="19">
        <f t="shared" si="5"/>
        <v>3477.165</v>
      </c>
      <c r="K193" s="19">
        <v>6954.33</v>
      </c>
      <c r="BC193" s="14"/>
      <c r="BD193" s="15"/>
      <c r="BE193" s="21" t="s">
        <v>3762</v>
      </c>
      <c r="BF193" s="43"/>
      <c r="BG193" s="12"/>
      <c r="BH193" s="12"/>
    </row>
    <row r="194" spans="1:60" s="3" customFormat="1" ht="21.6" x14ac:dyDescent="0.3">
      <c r="A194" s="16" t="s">
        <v>2210</v>
      </c>
      <c r="B194" s="17" t="s">
        <v>3763</v>
      </c>
      <c r="C194" s="405" t="s">
        <v>3764</v>
      </c>
      <c r="D194" s="405"/>
      <c r="E194" s="405"/>
      <c r="F194" s="16" t="s">
        <v>1460</v>
      </c>
      <c r="G194" s="23">
        <v>2</v>
      </c>
      <c r="H194" s="57">
        <f t="shared" si="4"/>
        <v>0</v>
      </c>
      <c r="I194" s="19">
        <v>0</v>
      </c>
      <c r="J194" s="19">
        <f t="shared" si="5"/>
        <v>2333.125</v>
      </c>
      <c r="K194" s="19">
        <v>4666.25</v>
      </c>
      <c r="BC194" s="14"/>
      <c r="BD194" s="15"/>
      <c r="BE194" s="21" t="s">
        <v>3764</v>
      </c>
      <c r="BF194" s="43"/>
      <c r="BG194" s="12"/>
      <c r="BH194" s="12"/>
    </row>
    <row r="195" spans="1:60" s="3" customFormat="1" ht="21.6" x14ac:dyDescent="0.3">
      <c r="A195" s="16" t="s">
        <v>2214</v>
      </c>
      <c r="B195" s="17" t="s">
        <v>3765</v>
      </c>
      <c r="C195" s="405" t="s">
        <v>3766</v>
      </c>
      <c r="D195" s="405"/>
      <c r="E195" s="405"/>
      <c r="F195" s="16" t="s">
        <v>1460</v>
      </c>
      <c r="G195" s="23">
        <v>12</v>
      </c>
      <c r="H195" s="57">
        <f t="shared" si="4"/>
        <v>0</v>
      </c>
      <c r="I195" s="19">
        <v>0</v>
      </c>
      <c r="J195" s="19">
        <f t="shared" si="5"/>
        <v>1648.1358333333335</v>
      </c>
      <c r="K195" s="19">
        <v>19777.63</v>
      </c>
      <c r="BC195" s="14"/>
      <c r="BD195" s="15"/>
      <c r="BE195" s="21" t="s">
        <v>3766</v>
      </c>
      <c r="BF195" s="43"/>
      <c r="BG195" s="12"/>
      <c r="BH195" s="12"/>
    </row>
    <row r="196" spans="1:60" s="3" customFormat="1" ht="15" customHeight="1" x14ac:dyDescent="0.3">
      <c r="A196" s="437" t="s">
        <v>3767</v>
      </c>
      <c r="B196" s="418"/>
      <c r="C196" s="418"/>
      <c r="D196" s="418"/>
      <c r="E196" s="418"/>
      <c r="F196" s="418"/>
      <c r="G196" s="418"/>
      <c r="H196" s="123"/>
      <c r="I196" s="123"/>
      <c r="J196" s="123"/>
      <c r="K196" s="124"/>
      <c r="BC196" s="14"/>
      <c r="BD196" s="15" t="s">
        <v>3767</v>
      </c>
      <c r="BE196" s="21"/>
      <c r="BF196" s="43"/>
      <c r="BG196" s="12"/>
      <c r="BH196" s="12"/>
    </row>
    <row r="197" spans="1:60" s="3" customFormat="1" ht="21.6" x14ac:dyDescent="0.3">
      <c r="A197" s="16" t="s">
        <v>2222</v>
      </c>
      <c r="B197" s="17" t="s">
        <v>3768</v>
      </c>
      <c r="C197" s="405" t="s">
        <v>3769</v>
      </c>
      <c r="D197" s="405"/>
      <c r="E197" s="405"/>
      <c r="F197" s="16" t="s">
        <v>38</v>
      </c>
      <c r="G197" s="23">
        <v>20</v>
      </c>
      <c r="H197" s="57">
        <f>I197/G197</f>
        <v>24331.476499999997</v>
      </c>
      <c r="I197" s="19">
        <v>486629.52999999997</v>
      </c>
      <c r="J197" s="19">
        <f>K197/G197</f>
        <v>13146.498000000001</v>
      </c>
      <c r="K197" s="19">
        <v>262929.96000000002</v>
      </c>
      <c r="BC197" s="14"/>
      <c r="BD197" s="15"/>
      <c r="BE197" s="21" t="s">
        <v>3769</v>
      </c>
      <c r="BF197" s="43"/>
      <c r="BG197" s="12"/>
      <c r="BH197" s="12"/>
    </row>
    <row r="198" spans="1:60" s="3" customFormat="1" ht="20.399999999999999" x14ac:dyDescent="0.3">
      <c r="A198" s="25"/>
      <c r="B198" s="26" t="s">
        <v>3770</v>
      </c>
      <c r="C198" s="419" t="s">
        <v>3771</v>
      </c>
      <c r="D198" s="419"/>
      <c r="E198" s="419"/>
      <c r="F198" s="27" t="s">
        <v>75</v>
      </c>
      <c r="G198" s="22" t="s">
        <v>3772</v>
      </c>
      <c r="H198" s="58"/>
      <c r="I198" s="28"/>
      <c r="J198" s="28"/>
      <c r="K198" s="29"/>
      <c r="BC198" s="14"/>
      <c r="BD198" s="15"/>
      <c r="BE198" s="21"/>
      <c r="BF198" s="43"/>
      <c r="BG198" s="12"/>
      <c r="BH198" s="12" t="s">
        <v>3771</v>
      </c>
    </row>
    <row r="199" spans="1:60" s="3" customFormat="1" ht="20.399999999999999" x14ac:dyDescent="0.3">
      <c r="A199" s="25"/>
      <c r="B199" s="26" t="s">
        <v>3773</v>
      </c>
      <c r="C199" s="419" t="s">
        <v>3774</v>
      </c>
      <c r="D199" s="419"/>
      <c r="E199" s="419"/>
      <c r="F199" s="27" t="s">
        <v>75</v>
      </c>
      <c r="G199" s="22" t="s">
        <v>3775</v>
      </c>
      <c r="H199" s="58"/>
      <c r="I199" s="28"/>
      <c r="J199" s="28"/>
      <c r="K199" s="29"/>
      <c r="BC199" s="14"/>
      <c r="BD199" s="15"/>
      <c r="BE199" s="21"/>
      <c r="BF199" s="43"/>
      <c r="BG199" s="12"/>
      <c r="BH199" s="12" t="s">
        <v>3774</v>
      </c>
    </row>
    <row r="200" spans="1:60" s="3" customFormat="1" ht="20.399999999999999" x14ac:dyDescent="0.3">
      <c r="A200" s="25"/>
      <c r="B200" s="26" t="s">
        <v>3776</v>
      </c>
      <c r="C200" s="419" t="s">
        <v>3777</v>
      </c>
      <c r="D200" s="419"/>
      <c r="E200" s="419"/>
      <c r="F200" s="27" t="s">
        <v>75</v>
      </c>
      <c r="G200" s="22" t="s">
        <v>3778</v>
      </c>
      <c r="H200" s="58"/>
      <c r="I200" s="28"/>
      <c r="J200" s="28"/>
      <c r="K200" s="29"/>
      <c r="BC200" s="14"/>
      <c r="BD200" s="15"/>
      <c r="BE200" s="21"/>
      <c r="BF200" s="43"/>
      <c r="BG200" s="12"/>
      <c r="BH200" s="12" t="s">
        <v>3777</v>
      </c>
    </row>
    <row r="201" spans="1:60" s="3" customFormat="1" ht="20.399999999999999" x14ac:dyDescent="0.3">
      <c r="A201" s="25"/>
      <c r="B201" s="26" t="s">
        <v>391</v>
      </c>
      <c r="C201" s="419" t="s">
        <v>392</v>
      </c>
      <c r="D201" s="419"/>
      <c r="E201" s="419"/>
      <c r="F201" s="27" t="s">
        <v>75</v>
      </c>
      <c r="G201" s="22" t="s">
        <v>3779</v>
      </c>
      <c r="H201" s="58"/>
      <c r="I201" s="28"/>
      <c r="J201" s="28"/>
      <c r="K201" s="29"/>
      <c r="BC201" s="14"/>
      <c r="BD201" s="15"/>
      <c r="BE201" s="21"/>
      <c r="BF201" s="43"/>
      <c r="BG201" s="12"/>
      <c r="BH201" s="12" t="s">
        <v>392</v>
      </c>
    </row>
    <row r="202" spans="1:60" s="3" customFormat="1" ht="20.399999999999999" x14ac:dyDescent="0.3">
      <c r="A202" s="25"/>
      <c r="B202" s="26" t="s">
        <v>1964</v>
      </c>
      <c r="C202" s="419" t="s">
        <v>1965</v>
      </c>
      <c r="D202" s="419"/>
      <c r="E202" s="419"/>
      <c r="F202" s="27" t="s">
        <v>70</v>
      </c>
      <c r="G202" s="22" t="s">
        <v>3780</v>
      </c>
      <c r="H202" s="58"/>
      <c r="I202" s="28"/>
      <c r="J202" s="28"/>
      <c r="K202" s="29"/>
      <c r="BC202" s="14"/>
      <c r="BD202" s="15"/>
      <c r="BE202" s="21"/>
      <c r="BF202" s="43"/>
      <c r="BG202" s="12"/>
      <c r="BH202" s="12" t="s">
        <v>1965</v>
      </c>
    </row>
    <row r="203" spans="1:60" s="3" customFormat="1" ht="20.399999999999999" x14ac:dyDescent="0.3">
      <c r="A203" s="25"/>
      <c r="B203" s="26" t="s">
        <v>3781</v>
      </c>
      <c r="C203" s="419" t="s">
        <v>3782</v>
      </c>
      <c r="D203" s="419"/>
      <c r="E203" s="419"/>
      <c r="F203" s="27" t="s">
        <v>70</v>
      </c>
      <c r="G203" s="22" t="s">
        <v>3783</v>
      </c>
      <c r="H203" s="58"/>
      <c r="I203" s="28"/>
      <c r="J203" s="28"/>
      <c r="K203" s="29"/>
      <c r="BC203" s="14"/>
      <c r="BD203" s="15"/>
      <c r="BE203" s="21"/>
      <c r="BF203" s="43"/>
      <c r="BG203" s="12"/>
      <c r="BH203" s="12" t="s">
        <v>3782</v>
      </c>
    </row>
    <row r="204" spans="1:60" s="3" customFormat="1" ht="20.399999999999999" x14ac:dyDescent="0.3">
      <c r="A204" s="25"/>
      <c r="B204" s="26" t="s">
        <v>3784</v>
      </c>
      <c r="C204" s="419" t="s">
        <v>3785</v>
      </c>
      <c r="D204" s="419"/>
      <c r="E204" s="419"/>
      <c r="F204" s="27" t="s">
        <v>75</v>
      </c>
      <c r="G204" s="22" t="s">
        <v>3786</v>
      </c>
      <c r="H204" s="58"/>
      <c r="I204" s="28"/>
      <c r="J204" s="28"/>
      <c r="K204" s="29"/>
      <c r="BC204" s="14"/>
      <c r="BD204" s="15"/>
      <c r="BE204" s="21"/>
      <c r="BF204" s="43"/>
      <c r="BG204" s="12"/>
      <c r="BH204" s="12" t="s">
        <v>3785</v>
      </c>
    </row>
    <row r="205" spans="1:60" s="3" customFormat="1" ht="21.6" x14ac:dyDescent="0.3">
      <c r="A205" s="25"/>
      <c r="B205" s="26" t="s">
        <v>3787</v>
      </c>
      <c r="C205" s="419" t="s">
        <v>3788</v>
      </c>
      <c r="D205" s="419"/>
      <c r="E205" s="419"/>
      <c r="F205" s="27" t="s">
        <v>75</v>
      </c>
      <c r="G205" s="22" t="s">
        <v>3789</v>
      </c>
      <c r="H205" s="58"/>
      <c r="I205" s="28"/>
      <c r="J205" s="28"/>
      <c r="K205" s="29"/>
      <c r="BC205" s="14"/>
      <c r="BD205" s="15"/>
      <c r="BE205" s="21"/>
      <c r="BF205" s="43"/>
      <c r="BG205" s="12"/>
      <c r="BH205" s="12" t="s">
        <v>3788</v>
      </c>
    </row>
    <row r="206" spans="1:60" s="3" customFormat="1" ht="21.6" x14ac:dyDescent="0.3">
      <c r="A206" s="25"/>
      <c r="B206" s="26" t="s">
        <v>603</v>
      </c>
      <c r="C206" s="419" t="s">
        <v>604</v>
      </c>
      <c r="D206" s="419"/>
      <c r="E206" s="419"/>
      <c r="F206" s="27" t="s">
        <v>70</v>
      </c>
      <c r="G206" s="22" t="s">
        <v>3790</v>
      </c>
      <c r="H206" s="58"/>
      <c r="I206" s="28"/>
      <c r="J206" s="28"/>
      <c r="K206" s="29"/>
      <c r="BC206" s="14"/>
      <c r="BD206" s="15"/>
      <c r="BE206" s="21"/>
      <c r="BF206" s="43"/>
      <c r="BG206" s="12"/>
      <c r="BH206" s="12" t="s">
        <v>604</v>
      </c>
    </row>
    <row r="207" spans="1:60" s="3" customFormat="1" ht="21.6" x14ac:dyDescent="0.3">
      <c r="A207" s="25"/>
      <c r="B207" s="26" t="s">
        <v>3791</v>
      </c>
      <c r="C207" s="419" t="s">
        <v>3792</v>
      </c>
      <c r="D207" s="419"/>
      <c r="E207" s="419"/>
      <c r="F207" s="27" t="s">
        <v>70</v>
      </c>
      <c r="G207" s="22" t="s">
        <v>3780</v>
      </c>
      <c r="H207" s="58"/>
      <c r="I207" s="28"/>
      <c r="J207" s="28"/>
      <c r="K207" s="29"/>
      <c r="BC207" s="14"/>
      <c r="BD207" s="15"/>
      <c r="BE207" s="21"/>
      <c r="BF207" s="43"/>
      <c r="BG207" s="12"/>
      <c r="BH207" s="12" t="s">
        <v>3792</v>
      </c>
    </row>
    <row r="208" spans="1:60" s="3" customFormat="1" ht="21.6" x14ac:dyDescent="0.3">
      <c r="A208" s="25"/>
      <c r="B208" s="26" t="s">
        <v>3793</v>
      </c>
      <c r="C208" s="419" t="s">
        <v>3794</v>
      </c>
      <c r="D208" s="419"/>
      <c r="E208" s="419"/>
      <c r="F208" s="27" t="s">
        <v>70</v>
      </c>
      <c r="G208" s="22" t="s">
        <v>3795</v>
      </c>
      <c r="H208" s="58"/>
      <c r="I208" s="28"/>
      <c r="J208" s="28"/>
      <c r="K208" s="29"/>
      <c r="BC208" s="14"/>
      <c r="BD208" s="15"/>
      <c r="BE208" s="21"/>
      <c r="BF208" s="43"/>
      <c r="BG208" s="12"/>
      <c r="BH208" s="12" t="s">
        <v>3794</v>
      </c>
    </row>
    <row r="209" spans="1:60" s="3" customFormat="1" ht="20.399999999999999" x14ac:dyDescent="0.3">
      <c r="A209" s="25"/>
      <c r="B209" s="26" t="s">
        <v>3796</v>
      </c>
      <c r="C209" s="419" t="s">
        <v>3797</v>
      </c>
      <c r="D209" s="419"/>
      <c r="E209" s="419"/>
      <c r="F209" s="27" t="s">
        <v>70</v>
      </c>
      <c r="G209" s="22" t="s">
        <v>3798</v>
      </c>
      <c r="H209" s="58"/>
      <c r="I209" s="28"/>
      <c r="J209" s="28"/>
      <c r="K209" s="29"/>
      <c r="BC209" s="14"/>
      <c r="BD209" s="15"/>
      <c r="BE209" s="21"/>
      <c r="BF209" s="43"/>
      <c r="BG209" s="12"/>
      <c r="BH209" s="12" t="s">
        <v>3797</v>
      </c>
    </row>
    <row r="210" spans="1:60" s="3" customFormat="1" ht="20.399999999999999" x14ac:dyDescent="0.3">
      <c r="A210" s="25"/>
      <c r="B210" s="26" t="s">
        <v>3799</v>
      </c>
      <c r="C210" s="419" t="s">
        <v>3800</v>
      </c>
      <c r="D210" s="419"/>
      <c r="E210" s="419"/>
      <c r="F210" s="27" t="s">
        <v>25</v>
      </c>
      <c r="G210" s="22" t="s">
        <v>3801</v>
      </c>
      <c r="H210" s="58"/>
      <c r="I210" s="28"/>
      <c r="J210" s="28"/>
      <c r="K210" s="29"/>
      <c r="BC210" s="14"/>
      <c r="BD210" s="15"/>
      <c r="BE210" s="21"/>
      <c r="BF210" s="43"/>
      <c r="BG210" s="12"/>
      <c r="BH210" s="12" t="s">
        <v>3800</v>
      </c>
    </row>
    <row r="211" spans="1:60" s="3" customFormat="1" ht="21.6" x14ac:dyDescent="0.3">
      <c r="A211" s="25"/>
      <c r="B211" s="26" t="s">
        <v>3802</v>
      </c>
      <c r="C211" s="419" t="s">
        <v>3803</v>
      </c>
      <c r="D211" s="419"/>
      <c r="E211" s="419"/>
      <c r="F211" s="27" t="s">
        <v>75</v>
      </c>
      <c r="G211" s="22" t="s">
        <v>3804</v>
      </c>
      <c r="H211" s="58"/>
      <c r="I211" s="28"/>
      <c r="J211" s="28"/>
      <c r="K211" s="29"/>
      <c r="BC211" s="14"/>
      <c r="BD211" s="15"/>
      <c r="BE211" s="21"/>
      <c r="BF211" s="43"/>
      <c r="BG211" s="12"/>
      <c r="BH211" s="12" t="s">
        <v>3803</v>
      </c>
    </row>
    <row r="212" spans="1:60" s="3" customFormat="1" ht="20.399999999999999" x14ac:dyDescent="0.3">
      <c r="A212" s="25"/>
      <c r="B212" s="26" t="s">
        <v>3805</v>
      </c>
      <c r="C212" s="419" t="s">
        <v>3806</v>
      </c>
      <c r="D212" s="419"/>
      <c r="E212" s="419"/>
      <c r="F212" s="27" t="s">
        <v>1049</v>
      </c>
      <c r="G212" s="22" t="s">
        <v>3772</v>
      </c>
      <c r="H212" s="58"/>
      <c r="I212" s="28"/>
      <c r="J212" s="28"/>
      <c r="K212" s="29"/>
      <c r="BC212" s="14"/>
      <c r="BD212" s="15"/>
      <c r="BE212" s="21"/>
      <c r="BF212" s="43"/>
      <c r="BG212" s="12"/>
      <c r="BH212" s="12" t="s">
        <v>3806</v>
      </c>
    </row>
    <row r="213" spans="1:60" s="3" customFormat="1" ht="20.399999999999999" x14ac:dyDescent="0.3">
      <c r="A213" s="25"/>
      <c r="B213" s="26" t="s">
        <v>3807</v>
      </c>
      <c r="C213" s="419" t="s">
        <v>3808</v>
      </c>
      <c r="D213" s="419"/>
      <c r="E213" s="419"/>
      <c r="F213" s="27" t="s">
        <v>38</v>
      </c>
      <c r="G213" s="22" t="s">
        <v>3801</v>
      </c>
      <c r="H213" s="58"/>
      <c r="I213" s="28"/>
      <c r="J213" s="28"/>
      <c r="K213" s="29"/>
      <c r="BC213" s="14"/>
      <c r="BD213" s="15"/>
      <c r="BE213" s="21"/>
      <c r="BF213" s="43"/>
      <c r="BG213" s="12"/>
      <c r="BH213" s="12" t="s">
        <v>3808</v>
      </c>
    </row>
    <row r="214" spans="1:60" s="3" customFormat="1" ht="31.8" x14ac:dyDescent="0.3">
      <c r="A214" s="25"/>
      <c r="B214" s="26" t="s">
        <v>3809</v>
      </c>
      <c r="C214" s="419" t="s">
        <v>3810</v>
      </c>
      <c r="D214" s="419"/>
      <c r="E214" s="419"/>
      <c r="F214" s="27" t="s">
        <v>38</v>
      </c>
      <c r="G214" s="22" t="s">
        <v>3811</v>
      </c>
      <c r="H214" s="58"/>
      <c r="I214" s="28"/>
      <c r="J214" s="28"/>
      <c r="K214" s="29"/>
      <c r="BC214" s="14"/>
      <c r="BD214" s="15"/>
      <c r="BE214" s="21"/>
      <c r="BF214" s="43"/>
      <c r="BG214" s="12"/>
      <c r="BH214" s="12" t="s">
        <v>3810</v>
      </c>
    </row>
    <row r="215" spans="1:60" s="3" customFormat="1" ht="21.6" x14ac:dyDescent="0.3">
      <c r="A215" s="25"/>
      <c r="B215" s="26" t="s">
        <v>607</v>
      </c>
      <c r="C215" s="419" t="s">
        <v>608</v>
      </c>
      <c r="D215" s="419"/>
      <c r="E215" s="419"/>
      <c r="F215" s="27" t="s">
        <v>609</v>
      </c>
      <c r="G215" s="22" t="s">
        <v>3812</v>
      </c>
      <c r="H215" s="58"/>
      <c r="I215" s="28"/>
      <c r="J215" s="28"/>
      <c r="K215" s="29"/>
      <c r="BC215" s="14"/>
      <c r="BD215" s="15"/>
      <c r="BE215" s="21"/>
      <c r="BF215" s="43"/>
      <c r="BG215" s="12"/>
      <c r="BH215" s="12" t="s">
        <v>608</v>
      </c>
    </row>
    <row r="216" spans="1:60" s="3" customFormat="1" ht="15" customHeight="1" x14ac:dyDescent="0.3">
      <c r="A216" s="437" t="s">
        <v>3813</v>
      </c>
      <c r="B216" s="418"/>
      <c r="C216" s="418"/>
      <c r="D216" s="418"/>
      <c r="E216" s="418"/>
      <c r="F216" s="418"/>
      <c r="G216" s="418"/>
      <c r="H216" s="123"/>
      <c r="I216" s="123"/>
      <c r="J216" s="123"/>
      <c r="K216" s="124"/>
      <c r="BC216" s="14"/>
      <c r="BD216" s="15" t="s">
        <v>3813</v>
      </c>
      <c r="BE216" s="21"/>
      <c r="BF216" s="43"/>
      <c r="BG216" s="12"/>
      <c r="BH216" s="12"/>
    </row>
    <row r="217" spans="1:60" s="3" customFormat="1" ht="31.8" x14ac:dyDescent="0.3">
      <c r="A217" s="16" t="s">
        <v>2226</v>
      </c>
      <c r="B217" s="17" t="s">
        <v>3814</v>
      </c>
      <c r="C217" s="405" t="s">
        <v>3815</v>
      </c>
      <c r="D217" s="405"/>
      <c r="E217" s="405"/>
      <c r="F217" s="16" t="s">
        <v>142</v>
      </c>
      <c r="G217" s="31">
        <v>0.11</v>
      </c>
      <c r="H217" s="57">
        <f>I217/G217</f>
        <v>42571.454545454544</v>
      </c>
      <c r="I217" s="19">
        <v>4682.8599999999997</v>
      </c>
      <c r="J217" s="19">
        <f>K217/G217</f>
        <v>1750.1818181818182</v>
      </c>
      <c r="K217" s="19">
        <v>192.52</v>
      </c>
      <c r="BC217" s="14"/>
      <c r="BD217" s="15"/>
      <c r="BE217" s="21" t="s">
        <v>3815</v>
      </c>
      <c r="BF217" s="43"/>
      <c r="BG217" s="12"/>
      <c r="BH217" s="12"/>
    </row>
    <row r="218" spans="1:60" s="3" customFormat="1" ht="20.399999999999999" x14ac:dyDescent="0.3">
      <c r="A218" s="25"/>
      <c r="B218" s="26" t="s">
        <v>1755</v>
      </c>
      <c r="C218" s="419" t="s">
        <v>1756</v>
      </c>
      <c r="D218" s="419"/>
      <c r="E218" s="419"/>
      <c r="F218" s="27" t="s">
        <v>75</v>
      </c>
      <c r="G218" s="22" t="s">
        <v>3816</v>
      </c>
      <c r="H218" s="58"/>
      <c r="I218" s="28"/>
      <c r="J218" s="28"/>
      <c r="K218" s="29"/>
      <c r="BC218" s="14"/>
      <c r="BD218" s="15"/>
      <c r="BE218" s="21"/>
      <c r="BF218" s="43"/>
      <c r="BG218" s="12"/>
      <c r="BH218" s="12" t="s">
        <v>1756</v>
      </c>
    </row>
    <row r="219" spans="1:60" s="3" customFormat="1" ht="20.399999999999999" x14ac:dyDescent="0.3">
      <c r="A219" s="25"/>
      <c r="B219" s="26" t="s">
        <v>1758</v>
      </c>
      <c r="C219" s="419" t="s">
        <v>1759</v>
      </c>
      <c r="D219" s="419"/>
      <c r="E219" s="419"/>
      <c r="F219" s="27" t="s">
        <v>75</v>
      </c>
      <c r="G219" s="22" t="s">
        <v>3817</v>
      </c>
      <c r="H219" s="58"/>
      <c r="I219" s="28"/>
      <c r="J219" s="28"/>
      <c r="K219" s="29"/>
      <c r="BC219" s="14"/>
      <c r="BD219" s="15"/>
      <c r="BE219" s="21"/>
      <c r="BF219" s="43"/>
      <c r="BG219" s="12"/>
      <c r="BH219" s="12" t="s">
        <v>1759</v>
      </c>
    </row>
    <row r="220" spans="1:60" s="3" customFormat="1" ht="31.8" x14ac:dyDescent="0.3">
      <c r="A220" s="25"/>
      <c r="B220" s="26" t="s">
        <v>1703</v>
      </c>
      <c r="C220" s="419" t="s">
        <v>1704</v>
      </c>
      <c r="D220" s="419"/>
      <c r="E220" s="419"/>
      <c r="F220" s="27" t="s">
        <v>75</v>
      </c>
      <c r="G220" s="22" t="s">
        <v>3818</v>
      </c>
      <c r="H220" s="58"/>
      <c r="I220" s="28"/>
      <c r="J220" s="28"/>
      <c r="K220" s="29"/>
      <c r="BC220" s="14"/>
      <c r="BD220" s="15"/>
      <c r="BE220" s="21"/>
      <c r="BF220" s="43"/>
      <c r="BG220" s="12"/>
      <c r="BH220" s="12" t="s">
        <v>1704</v>
      </c>
    </row>
    <row r="221" spans="1:60" s="3" customFormat="1" ht="20.399999999999999" x14ac:dyDescent="0.3">
      <c r="A221" s="25"/>
      <c r="B221" s="26" t="s">
        <v>599</v>
      </c>
      <c r="C221" s="419" t="s">
        <v>600</v>
      </c>
      <c r="D221" s="419"/>
      <c r="E221" s="419"/>
      <c r="F221" s="27" t="s">
        <v>406</v>
      </c>
      <c r="G221" s="22" t="s">
        <v>3819</v>
      </c>
      <c r="H221" s="58"/>
      <c r="I221" s="28"/>
      <c r="J221" s="28"/>
      <c r="K221" s="29"/>
      <c r="BC221" s="14"/>
      <c r="BD221" s="15"/>
      <c r="BE221" s="21"/>
      <c r="BF221" s="43"/>
      <c r="BG221" s="12"/>
      <c r="BH221" s="12" t="s">
        <v>600</v>
      </c>
    </row>
    <row r="222" spans="1:60" s="3" customFormat="1" ht="20.399999999999999" x14ac:dyDescent="0.3">
      <c r="A222" s="25"/>
      <c r="B222" s="26" t="s">
        <v>391</v>
      </c>
      <c r="C222" s="419" t="s">
        <v>392</v>
      </c>
      <c r="D222" s="419"/>
      <c r="E222" s="419"/>
      <c r="F222" s="27" t="s">
        <v>75</v>
      </c>
      <c r="G222" s="22" t="s">
        <v>3820</v>
      </c>
      <c r="H222" s="58"/>
      <c r="I222" s="28"/>
      <c r="J222" s="28"/>
      <c r="K222" s="29"/>
      <c r="BC222" s="14"/>
      <c r="BD222" s="15"/>
      <c r="BE222" s="21"/>
      <c r="BF222" s="43"/>
      <c r="BG222" s="12"/>
      <c r="BH222" s="12" t="s">
        <v>392</v>
      </c>
    </row>
    <row r="223" spans="1:60" s="3" customFormat="1" ht="20.399999999999999" x14ac:dyDescent="0.3">
      <c r="A223" s="25"/>
      <c r="B223" s="26" t="s">
        <v>1763</v>
      </c>
      <c r="C223" s="419" t="s">
        <v>1764</v>
      </c>
      <c r="D223" s="419"/>
      <c r="E223" s="419"/>
      <c r="F223" s="27" t="s">
        <v>75</v>
      </c>
      <c r="G223" s="22" t="s">
        <v>3821</v>
      </c>
      <c r="H223" s="58"/>
      <c r="I223" s="28"/>
      <c r="J223" s="28"/>
      <c r="K223" s="29"/>
      <c r="BC223" s="14"/>
      <c r="BD223" s="15"/>
      <c r="BE223" s="21"/>
      <c r="BF223" s="43"/>
      <c r="BG223" s="12"/>
      <c r="BH223" s="12" t="s">
        <v>1764</v>
      </c>
    </row>
    <row r="224" spans="1:60" s="3" customFormat="1" ht="20.399999999999999" x14ac:dyDescent="0.3">
      <c r="A224" s="25"/>
      <c r="B224" s="26" t="s">
        <v>1708</v>
      </c>
      <c r="C224" s="419" t="s">
        <v>1709</v>
      </c>
      <c r="D224" s="419"/>
      <c r="E224" s="419"/>
      <c r="F224" s="27" t="s">
        <v>70</v>
      </c>
      <c r="G224" s="22" t="s">
        <v>3822</v>
      </c>
      <c r="H224" s="58"/>
      <c r="I224" s="28"/>
      <c r="J224" s="28"/>
      <c r="K224" s="29"/>
      <c r="BC224" s="14"/>
      <c r="BD224" s="15"/>
      <c r="BE224" s="21"/>
      <c r="BF224" s="43"/>
      <c r="BG224" s="12"/>
      <c r="BH224" s="12" t="s">
        <v>1709</v>
      </c>
    </row>
    <row r="225" spans="1:60" s="3" customFormat="1" ht="20.399999999999999" x14ac:dyDescent="0.3">
      <c r="A225" s="25"/>
      <c r="B225" s="26" t="s">
        <v>1770</v>
      </c>
      <c r="C225" s="419" t="s">
        <v>1771</v>
      </c>
      <c r="D225" s="419"/>
      <c r="E225" s="419"/>
      <c r="F225" s="27" t="s">
        <v>142</v>
      </c>
      <c r="G225" s="22" t="s">
        <v>3823</v>
      </c>
      <c r="H225" s="58"/>
      <c r="I225" s="28"/>
      <c r="J225" s="28"/>
      <c r="K225" s="29"/>
      <c r="BC225" s="14"/>
      <c r="BD225" s="15"/>
      <c r="BE225" s="21"/>
      <c r="BF225" s="43"/>
      <c r="BG225" s="12"/>
      <c r="BH225" s="12" t="s">
        <v>1771</v>
      </c>
    </row>
    <row r="226" spans="1:60" s="3" customFormat="1" ht="21.6" x14ac:dyDescent="0.3">
      <c r="A226" s="25"/>
      <c r="B226" s="26" t="s">
        <v>607</v>
      </c>
      <c r="C226" s="419" t="s">
        <v>608</v>
      </c>
      <c r="D226" s="419"/>
      <c r="E226" s="419"/>
      <c r="F226" s="27" t="s">
        <v>609</v>
      </c>
      <c r="G226" s="22" t="s">
        <v>3824</v>
      </c>
      <c r="H226" s="58"/>
      <c r="I226" s="28"/>
      <c r="J226" s="28"/>
      <c r="K226" s="29"/>
      <c r="BC226" s="14"/>
      <c r="BD226" s="15"/>
      <c r="BE226" s="21"/>
      <c r="BF226" s="43"/>
      <c r="BG226" s="12"/>
      <c r="BH226" s="12" t="s">
        <v>608</v>
      </c>
    </row>
    <row r="227" spans="1:60" s="3" customFormat="1" ht="15" customHeight="1" x14ac:dyDescent="0.3">
      <c r="A227" s="435" t="s">
        <v>3825</v>
      </c>
      <c r="B227" s="436"/>
      <c r="C227" s="436"/>
      <c r="D227" s="436"/>
      <c r="E227" s="436"/>
      <c r="F227" s="436"/>
      <c r="G227" s="436"/>
      <c r="H227" s="103"/>
      <c r="I227" s="103"/>
      <c r="J227" s="103"/>
      <c r="K227" s="104"/>
      <c r="BC227" s="14" t="s">
        <v>3825</v>
      </c>
      <c r="BD227" s="15"/>
      <c r="BE227" s="21"/>
      <c r="BF227" s="43"/>
      <c r="BG227" s="12"/>
      <c r="BH227" s="12"/>
    </row>
    <row r="228" spans="1:60" s="3" customFormat="1" ht="15" customHeight="1" x14ac:dyDescent="0.3">
      <c r="A228" s="437" t="s">
        <v>1731</v>
      </c>
      <c r="B228" s="418"/>
      <c r="C228" s="418"/>
      <c r="D228" s="418"/>
      <c r="E228" s="418"/>
      <c r="F228" s="418"/>
      <c r="G228" s="418"/>
      <c r="H228" s="123"/>
      <c r="I228" s="123"/>
      <c r="J228" s="123"/>
      <c r="K228" s="124"/>
      <c r="BC228" s="14"/>
      <c r="BD228" s="15" t="s">
        <v>1731</v>
      </c>
      <c r="BE228" s="21"/>
      <c r="BF228" s="43"/>
      <c r="BG228" s="12"/>
      <c r="BH228" s="12"/>
    </row>
    <row r="229" spans="1:60" s="3" customFormat="1" ht="31.8" x14ac:dyDescent="0.3">
      <c r="A229" s="16" t="s">
        <v>2229</v>
      </c>
      <c r="B229" s="17" t="s">
        <v>1732</v>
      </c>
      <c r="C229" s="405" t="s">
        <v>1733</v>
      </c>
      <c r="D229" s="405"/>
      <c r="E229" s="405"/>
      <c r="F229" s="16" t="s">
        <v>125</v>
      </c>
      <c r="G229" s="18">
        <v>0.154</v>
      </c>
      <c r="H229" s="57">
        <f t="shared" ref="H229:H230" si="6">I229/G229</f>
        <v>117456.94805194804</v>
      </c>
      <c r="I229" s="19">
        <v>18088.37</v>
      </c>
      <c r="J229" s="19">
        <f t="shared" ref="J229:J230" si="7">K229/G229</f>
        <v>0</v>
      </c>
      <c r="K229" s="19">
        <v>0</v>
      </c>
      <c r="BC229" s="14"/>
      <c r="BD229" s="15"/>
      <c r="BE229" s="21" t="s">
        <v>1733</v>
      </c>
      <c r="BF229" s="43"/>
      <c r="BG229" s="12"/>
      <c r="BH229" s="12"/>
    </row>
    <row r="230" spans="1:60" s="3" customFormat="1" ht="21.6" x14ac:dyDescent="0.3">
      <c r="A230" s="16" t="s">
        <v>2230</v>
      </c>
      <c r="B230" s="17" t="s">
        <v>123</v>
      </c>
      <c r="C230" s="405" t="s">
        <v>124</v>
      </c>
      <c r="D230" s="405"/>
      <c r="E230" s="405"/>
      <c r="F230" s="16" t="s">
        <v>125</v>
      </c>
      <c r="G230" s="18">
        <v>0.154</v>
      </c>
      <c r="H230" s="57">
        <f t="shared" si="6"/>
        <v>28342.142857142855</v>
      </c>
      <c r="I230" s="19">
        <v>4364.6899999999996</v>
      </c>
      <c r="J230" s="19">
        <f t="shared" si="7"/>
        <v>0</v>
      </c>
      <c r="K230" s="19">
        <v>0</v>
      </c>
      <c r="BC230" s="14"/>
      <c r="BD230" s="15"/>
      <c r="BE230" s="21" t="s">
        <v>124</v>
      </c>
      <c r="BF230" s="43"/>
      <c r="BG230" s="12"/>
      <c r="BH230" s="12"/>
    </row>
    <row r="231" spans="1:60" s="3" customFormat="1" ht="15" customHeight="1" x14ac:dyDescent="0.3">
      <c r="A231" s="437" t="s">
        <v>1734</v>
      </c>
      <c r="B231" s="418"/>
      <c r="C231" s="418"/>
      <c r="D231" s="418"/>
      <c r="E231" s="418"/>
      <c r="F231" s="418"/>
      <c r="G231" s="418"/>
      <c r="H231" s="123"/>
      <c r="I231" s="123"/>
      <c r="J231" s="123"/>
      <c r="K231" s="124"/>
      <c r="BC231" s="14"/>
      <c r="BD231" s="15" t="s">
        <v>1734</v>
      </c>
      <c r="BE231" s="21"/>
      <c r="BF231" s="43"/>
      <c r="BG231" s="12"/>
      <c r="BH231" s="12"/>
    </row>
    <row r="232" spans="1:60" s="3" customFormat="1" ht="21.6" x14ac:dyDescent="0.3">
      <c r="A232" s="16" t="s">
        <v>2232</v>
      </c>
      <c r="B232" s="17" t="s">
        <v>1735</v>
      </c>
      <c r="C232" s="405" t="s">
        <v>1736</v>
      </c>
      <c r="D232" s="405"/>
      <c r="E232" s="405"/>
      <c r="F232" s="16" t="s">
        <v>67</v>
      </c>
      <c r="G232" s="31">
        <v>0.55000000000000004</v>
      </c>
      <c r="H232" s="57">
        <f>I232/G232</f>
        <v>15444.254545454545</v>
      </c>
      <c r="I232" s="19">
        <v>8494.34</v>
      </c>
      <c r="J232" s="19">
        <f>K232/G232</f>
        <v>7917.2181818181816</v>
      </c>
      <c r="K232" s="19">
        <v>4354.47</v>
      </c>
      <c r="BC232" s="14"/>
      <c r="BD232" s="15"/>
      <c r="BE232" s="21" t="s">
        <v>1736</v>
      </c>
      <c r="BF232" s="43"/>
      <c r="BG232" s="12"/>
      <c r="BH232" s="12"/>
    </row>
    <row r="233" spans="1:60" s="3" customFormat="1" ht="20.399999999999999" x14ac:dyDescent="0.3">
      <c r="A233" s="25"/>
      <c r="B233" s="26" t="s">
        <v>1693</v>
      </c>
      <c r="C233" s="419" t="s">
        <v>1694</v>
      </c>
      <c r="D233" s="419"/>
      <c r="E233" s="419"/>
      <c r="F233" s="27" t="s">
        <v>75</v>
      </c>
      <c r="G233" s="22" t="s">
        <v>3826</v>
      </c>
      <c r="H233" s="58"/>
      <c r="I233" s="28"/>
      <c r="J233" s="28"/>
      <c r="K233" s="29"/>
      <c r="BC233" s="14"/>
      <c r="BD233" s="15"/>
      <c r="BE233" s="21"/>
      <c r="BF233" s="43"/>
      <c r="BG233" s="12"/>
      <c r="BH233" s="12" t="s">
        <v>1694</v>
      </c>
    </row>
    <row r="234" spans="1:60" s="3" customFormat="1" ht="20.399999999999999" x14ac:dyDescent="0.3">
      <c r="A234" s="25"/>
      <c r="B234" s="26" t="s">
        <v>1738</v>
      </c>
      <c r="C234" s="419" t="s">
        <v>1739</v>
      </c>
      <c r="D234" s="419"/>
      <c r="E234" s="419"/>
      <c r="F234" s="27" t="s">
        <v>75</v>
      </c>
      <c r="G234" s="22" t="s">
        <v>3827</v>
      </c>
      <c r="H234" s="58"/>
      <c r="I234" s="28"/>
      <c r="J234" s="28"/>
      <c r="K234" s="29"/>
      <c r="BC234" s="14"/>
      <c r="BD234" s="15"/>
      <c r="BE234" s="21"/>
      <c r="BF234" s="43"/>
      <c r="BG234" s="12"/>
      <c r="BH234" s="12" t="s">
        <v>1739</v>
      </c>
    </row>
    <row r="235" spans="1:60" s="3" customFormat="1" ht="21.6" x14ac:dyDescent="0.3">
      <c r="A235" s="25"/>
      <c r="B235" s="26" t="s">
        <v>607</v>
      </c>
      <c r="C235" s="419" t="s">
        <v>608</v>
      </c>
      <c r="D235" s="419"/>
      <c r="E235" s="419"/>
      <c r="F235" s="27" t="s">
        <v>609</v>
      </c>
      <c r="G235" s="22" t="s">
        <v>3828</v>
      </c>
      <c r="H235" s="58"/>
      <c r="I235" s="28"/>
      <c r="J235" s="28"/>
      <c r="K235" s="29"/>
      <c r="BC235" s="14"/>
      <c r="BD235" s="15"/>
      <c r="BE235" s="21"/>
      <c r="BF235" s="43"/>
      <c r="BG235" s="12"/>
      <c r="BH235" s="12" t="s">
        <v>608</v>
      </c>
    </row>
    <row r="236" spans="1:60" s="3" customFormat="1" ht="14.4" x14ac:dyDescent="0.3">
      <c r="A236" s="16" t="s">
        <v>2872</v>
      </c>
      <c r="B236" s="17" t="s">
        <v>1742</v>
      </c>
      <c r="C236" s="405" t="s">
        <v>1743</v>
      </c>
      <c r="D236" s="405"/>
      <c r="E236" s="405"/>
      <c r="F236" s="16" t="s">
        <v>70</v>
      </c>
      <c r="G236" s="44">
        <v>8.6349999999999996E-2</v>
      </c>
      <c r="H236" s="57">
        <f>I236/G236</f>
        <v>0</v>
      </c>
      <c r="I236" s="19">
        <v>0</v>
      </c>
      <c r="J236" s="19">
        <f>K236/G236</f>
        <v>54509.090909090904</v>
      </c>
      <c r="K236" s="19">
        <v>4706.8599999999997</v>
      </c>
      <c r="BC236" s="14"/>
      <c r="BD236" s="15"/>
      <c r="BE236" s="21" t="s">
        <v>1743</v>
      </c>
      <c r="BF236" s="43"/>
      <c r="BG236" s="12"/>
      <c r="BH236" s="12"/>
    </row>
    <row r="237" spans="1:60" s="3" customFormat="1" ht="15" customHeight="1" x14ac:dyDescent="0.3">
      <c r="A237" s="437" t="s">
        <v>1744</v>
      </c>
      <c r="B237" s="418"/>
      <c r="C237" s="418"/>
      <c r="D237" s="418"/>
      <c r="E237" s="418"/>
      <c r="F237" s="418"/>
      <c r="G237" s="418"/>
      <c r="H237" s="123"/>
      <c r="I237" s="123"/>
      <c r="J237" s="123"/>
      <c r="K237" s="124"/>
      <c r="BC237" s="14"/>
      <c r="BD237" s="15" t="s">
        <v>1744</v>
      </c>
      <c r="BE237" s="21"/>
      <c r="BF237" s="43"/>
      <c r="BG237" s="12"/>
      <c r="BH237" s="12"/>
    </row>
    <row r="238" spans="1:60" s="3" customFormat="1" ht="21.6" x14ac:dyDescent="0.3">
      <c r="A238" s="16" t="s">
        <v>2880</v>
      </c>
      <c r="B238" s="17" t="s">
        <v>1745</v>
      </c>
      <c r="C238" s="405" t="s">
        <v>1746</v>
      </c>
      <c r="D238" s="405"/>
      <c r="E238" s="405"/>
      <c r="F238" s="16" t="s">
        <v>1261</v>
      </c>
      <c r="G238" s="24">
        <v>0.4</v>
      </c>
      <c r="H238" s="57">
        <f>I238/G238</f>
        <v>10084.825000000001</v>
      </c>
      <c r="I238" s="19">
        <v>4033.9300000000003</v>
      </c>
      <c r="J238" s="19">
        <f>K238/G238</f>
        <v>4297.3</v>
      </c>
      <c r="K238" s="19">
        <v>1718.92</v>
      </c>
      <c r="BC238" s="14"/>
      <c r="BD238" s="15"/>
      <c r="BE238" s="21" t="s">
        <v>1746</v>
      </c>
      <c r="BF238" s="43"/>
      <c r="BG238" s="12"/>
      <c r="BH238" s="12"/>
    </row>
    <row r="239" spans="1:60" s="3" customFormat="1" ht="20.399999999999999" x14ac:dyDescent="0.3">
      <c r="A239" s="25"/>
      <c r="B239" s="26" t="s">
        <v>1693</v>
      </c>
      <c r="C239" s="419" t="s">
        <v>1694</v>
      </c>
      <c r="D239" s="419"/>
      <c r="E239" s="419"/>
      <c r="F239" s="27" t="s">
        <v>75</v>
      </c>
      <c r="G239" s="22" t="s">
        <v>3829</v>
      </c>
      <c r="H239" s="58"/>
      <c r="I239" s="28"/>
      <c r="J239" s="28"/>
      <c r="K239" s="29"/>
      <c r="BC239" s="14"/>
      <c r="BD239" s="15"/>
      <c r="BE239" s="21"/>
      <c r="BF239" s="43"/>
      <c r="BG239" s="12"/>
      <c r="BH239" s="12" t="s">
        <v>1694</v>
      </c>
    </row>
    <row r="240" spans="1:60" s="3" customFormat="1" ht="20.399999999999999" x14ac:dyDescent="0.3">
      <c r="A240" s="25"/>
      <c r="B240" s="26" t="s">
        <v>1738</v>
      </c>
      <c r="C240" s="419" t="s">
        <v>1739</v>
      </c>
      <c r="D240" s="419"/>
      <c r="E240" s="419"/>
      <c r="F240" s="27" t="s">
        <v>75</v>
      </c>
      <c r="G240" s="22" t="s">
        <v>523</v>
      </c>
      <c r="H240" s="58"/>
      <c r="I240" s="28"/>
      <c r="J240" s="28"/>
      <c r="K240" s="29"/>
      <c r="BC240" s="14"/>
      <c r="BD240" s="15"/>
      <c r="BE240" s="21"/>
      <c r="BF240" s="43"/>
      <c r="BG240" s="12"/>
      <c r="BH240" s="12" t="s">
        <v>1739</v>
      </c>
    </row>
    <row r="241" spans="1:60" s="3" customFormat="1" ht="21.6" x14ac:dyDescent="0.3">
      <c r="A241" s="25"/>
      <c r="B241" s="26" t="s">
        <v>607</v>
      </c>
      <c r="C241" s="419" t="s">
        <v>608</v>
      </c>
      <c r="D241" s="419"/>
      <c r="E241" s="419"/>
      <c r="F241" s="27" t="s">
        <v>609</v>
      </c>
      <c r="G241" s="22" t="s">
        <v>3830</v>
      </c>
      <c r="H241" s="58"/>
      <c r="I241" s="28"/>
      <c r="J241" s="28"/>
      <c r="K241" s="29"/>
      <c r="BC241" s="14"/>
      <c r="BD241" s="15"/>
      <c r="BE241" s="21"/>
      <c r="BF241" s="43"/>
      <c r="BG241" s="12"/>
      <c r="BH241" s="12" t="s">
        <v>608</v>
      </c>
    </row>
    <row r="242" spans="1:60" s="3" customFormat="1" ht="21.6" x14ac:dyDescent="0.3">
      <c r="A242" s="16" t="s">
        <v>2895</v>
      </c>
      <c r="B242" s="17" t="s">
        <v>1750</v>
      </c>
      <c r="C242" s="405" t="s">
        <v>1751</v>
      </c>
      <c r="D242" s="405"/>
      <c r="E242" s="405"/>
      <c r="F242" s="16" t="s">
        <v>75</v>
      </c>
      <c r="G242" s="24">
        <v>12.2</v>
      </c>
      <c r="H242" s="57">
        <f>I242/G242</f>
        <v>0</v>
      </c>
      <c r="I242" s="19">
        <v>0</v>
      </c>
      <c r="J242" s="19">
        <f>K242/G242</f>
        <v>48.05573770491803</v>
      </c>
      <c r="K242" s="19">
        <v>586.28</v>
      </c>
      <c r="BC242" s="14"/>
      <c r="BD242" s="15"/>
      <c r="BE242" s="21" t="s">
        <v>1751</v>
      </c>
      <c r="BF242" s="43"/>
      <c r="BG242" s="12"/>
      <c r="BH242" s="12"/>
    </row>
    <row r="243" spans="1:60" s="3" customFormat="1" ht="15" customHeight="1" x14ac:dyDescent="0.3">
      <c r="A243" s="437" t="s">
        <v>3831</v>
      </c>
      <c r="B243" s="418"/>
      <c r="C243" s="418"/>
      <c r="D243" s="418"/>
      <c r="E243" s="418"/>
      <c r="F243" s="418"/>
      <c r="G243" s="418"/>
      <c r="H243" s="123"/>
      <c r="I243" s="123"/>
      <c r="J243" s="123"/>
      <c r="K243" s="124"/>
      <c r="BC243" s="14"/>
      <c r="BD243" s="15" t="s">
        <v>3831</v>
      </c>
      <c r="BE243" s="21"/>
      <c r="BF243" s="43"/>
      <c r="BG243" s="12"/>
      <c r="BH243" s="12"/>
    </row>
    <row r="244" spans="1:60" s="3" customFormat="1" ht="31.8" x14ac:dyDescent="0.3">
      <c r="A244" s="16" t="s">
        <v>2899</v>
      </c>
      <c r="B244" s="17" t="s">
        <v>3832</v>
      </c>
      <c r="C244" s="405" t="s">
        <v>3833</v>
      </c>
      <c r="D244" s="405"/>
      <c r="E244" s="405"/>
      <c r="F244" s="16" t="s">
        <v>67</v>
      </c>
      <c r="G244" s="24">
        <v>0.7</v>
      </c>
      <c r="H244" s="57">
        <f>I244/G244</f>
        <v>18146.357142857141</v>
      </c>
      <c r="I244" s="19">
        <v>12702.449999999999</v>
      </c>
      <c r="J244" s="19">
        <f>K244/G244</f>
        <v>4538.3714285714286</v>
      </c>
      <c r="K244" s="19">
        <v>3176.86</v>
      </c>
      <c r="BC244" s="14"/>
      <c r="BD244" s="15"/>
      <c r="BE244" s="21" t="s">
        <v>3833</v>
      </c>
      <c r="BF244" s="43"/>
      <c r="BG244" s="12"/>
      <c r="BH244" s="12"/>
    </row>
    <row r="245" spans="1:60" s="3" customFormat="1" ht="20.399999999999999" x14ac:dyDescent="0.3">
      <c r="A245" s="25"/>
      <c r="B245" s="26" t="s">
        <v>1693</v>
      </c>
      <c r="C245" s="419" t="s">
        <v>1694</v>
      </c>
      <c r="D245" s="419"/>
      <c r="E245" s="419"/>
      <c r="F245" s="27" t="s">
        <v>75</v>
      </c>
      <c r="G245" s="22" t="s">
        <v>3834</v>
      </c>
      <c r="H245" s="58"/>
      <c r="I245" s="28"/>
      <c r="J245" s="28"/>
      <c r="K245" s="29"/>
      <c r="BC245" s="14"/>
      <c r="BD245" s="15"/>
      <c r="BE245" s="21"/>
      <c r="BF245" s="43"/>
      <c r="BG245" s="12"/>
      <c r="BH245" s="12" t="s">
        <v>1694</v>
      </c>
    </row>
    <row r="246" spans="1:60" s="3" customFormat="1" ht="21.6" x14ac:dyDescent="0.3">
      <c r="A246" s="25"/>
      <c r="B246" s="26" t="s">
        <v>1233</v>
      </c>
      <c r="C246" s="419" t="s">
        <v>1234</v>
      </c>
      <c r="D246" s="419"/>
      <c r="E246" s="419"/>
      <c r="F246" s="27" t="s">
        <v>70</v>
      </c>
      <c r="G246" s="22" t="s">
        <v>3835</v>
      </c>
      <c r="H246" s="58"/>
      <c r="I246" s="28"/>
      <c r="J246" s="28"/>
      <c r="K246" s="29"/>
      <c r="BC246" s="14"/>
      <c r="BD246" s="15"/>
      <c r="BE246" s="21"/>
      <c r="BF246" s="43"/>
      <c r="BG246" s="12"/>
      <c r="BH246" s="12" t="s">
        <v>1234</v>
      </c>
    </row>
    <row r="247" spans="1:60" s="3" customFormat="1" ht="20.399999999999999" x14ac:dyDescent="0.3">
      <c r="A247" s="25"/>
      <c r="B247" s="26" t="s">
        <v>1738</v>
      </c>
      <c r="C247" s="419" t="s">
        <v>1739</v>
      </c>
      <c r="D247" s="419"/>
      <c r="E247" s="419"/>
      <c r="F247" s="27" t="s">
        <v>75</v>
      </c>
      <c r="G247" s="22" t="s">
        <v>3836</v>
      </c>
      <c r="H247" s="58"/>
      <c r="I247" s="28"/>
      <c r="J247" s="28"/>
      <c r="K247" s="29"/>
      <c r="BC247" s="14"/>
      <c r="BD247" s="15"/>
      <c r="BE247" s="21"/>
      <c r="BF247" s="43"/>
      <c r="BG247" s="12"/>
      <c r="BH247" s="12" t="s">
        <v>1739</v>
      </c>
    </row>
    <row r="248" spans="1:60" s="3" customFormat="1" ht="21.6" x14ac:dyDescent="0.3">
      <c r="A248" s="25"/>
      <c r="B248" s="26" t="s">
        <v>607</v>
      </c>
      <c r="C248" s="419" t="s">
        <v>608</v>
      </c>
      <c r="D248" s="419"/>
      <c r="E248" s="419"/>
      <c r="F248" s="27" t="s">
        <v>609</v>
      </c>
      <c r="G248" s="22" t="s">
        <v>3837</v>
      </c>
      <c r="H248" s="58"/>
      <c r="I248" s="28"/>
      <c r="J248" s="28"/>
      <c r="K248" s="29"/>
      <c r="BC248" s="14"/>
      <c r="BD248" s="15"/>
      <c r="BE248" s="21"/>
      <c r="BF248" s="43"/>
      <c r="BG248" s="12"/>
      <c r="BH248" s="12" t="s">
        <v>608</v>
      </c>
    </row>
    <row r="249" spans="1:60" s="3" customFormat="1" ht="14.4" x14ac:dyDescent="0.3">
      <c r="A249" s="16" t="s">
        <v>2916</v>
      </c>
      <c r="B249" s="17" t="s">
        <v>3838</v>
      </c>
      <c r="C249" s="405" t="s">
        <v>3839</v>
      </c>
      <c r="D249" s="405"/>
      <c r="E249" s="405"/>
      <c r="F249" s="16" t="s">
        <v>70</v>
      </c>
      <c r="G249" s="44">
        <v>2.7650000000000001E-2</v>
      </c>
      <c r="H249" s="57">
        <f>I249/G249</f>
        <v>0</v>
      </c>
      <c r="I249" s="19">
        <v>0</v>
      </c>
      <c r="J249" s="19">
        <f>K249/G249</f>
        <v>63153.345388788424</v>
      </c>
      <c r="K249" s="19">
        <v>1746.19</v>
      </c>
      <c r="BC249" s="14"/>
      <c r="BD249" s="15"/>
      <c r="BE249" s="21" t="s">
        <v>3839</v>
      </c>
      <c r="BF249" s="43"/>
      <c r="BG249" s="12"/>
      <c r="BH249" s="12"/>
    </row>
    <row r="250" spans="1:60" s="3" customFormat="1" ht="15" customHeight="1" x14ac:dyDescent="0.3">
      <c r="A250" s="437" t="s">
        <v>3840</v>
      </c>
      <c r="B250" s="418"/>
      <c r="C250" s="418"/>
      <c r="D250" s="418"/>
      <c r="E250" s="418"/>
      <c r="F250" s="418"/>
      <c r="G250" s="418"/>
      <c r="H250" s="123"/>
      <c r="I250" s="123"/>
      <c r="J250" s="123"/>
      <c r="K250" s="124"/>
      <c r="BC250" s="14"/>
      <c r="BD250" s="15" t="s">
        <v>3840</v>
      </c>
      <c r="BE250" s="21"/>
      <c r="BF250" s="43"/>
      <c r="BG250" s="12"/>
      <c r="BH250" s="12"/>
    </row>
    <row r="251" spans="1:60" s="3" customFormat="1" ht="15" customHeight="1" x14ac:dyDescent="0.3">
      <c r="A251" s="437" t="s">
        <v>3841</v>
      </c>
      <c r="B251" s="418"/>
      <c r="C251" s="418"/>
      <c r="D251" s="418"/>
      <c r="E251" s="418"/>
      <c r="F251" s="418"/>
      <c r="G251" s="418"/>
      <c r="H251" s="123"/>
      <c r="I251" s="123"/>
      <c r="J251" s="123"/>
      <c r="K251" s="124"/>
      <c r="BC251" s="14"/>
      <c r="BD251" s="15" t="s">
        <v>3841</v>
      </c>
      <c r="BE251" s="21"/>
      <c r="BF251" s="43"/>
      <c r="BG251" s="12"/>
      <c r="BH251" s="12"/>
    </row>
    <row r="252" spans="1:60" s="3" customFormat="1" ht="31.8" x14ac:dyDescent="0.3">
      <c r="A252" s="16" t="s">
        <v>2921</v>
      </c>
      <c r="B252" s="17" t="s">
        <v>1753</v>
      </c>
      <c r="C252" s="405" t="s">
        <v>1754</v>
      </c>
      <c r="D252" s="405"/>
      <c r="E252" s="405"/>
      <c r="F252" s="16" t="s">
        <v>142</v>
      </c>
      <c r="G252" s="31">
        <v>0.01</v>
      </c>
      <c r="H252" s="57">
        <f>I252/G252</f>
        <v>16269.999999999998</v>
      </c>
      <c r="I252" s="19">
        <v>162.69999999999999</v>
      </c>
      <c r="J252" s="19">
        <f>K252/G252</f>
        <v>875</v>
      </c>
      <c r="K252" s="19">
        <v>8.75</v>
      </c>
      <c r="BC252" s="14"/>
      <c r="BD252" s="15"/>
      <c r="BE252" s="21" t="s">
        <v>1754</v>
      </c>
      <c r="BF252" s="43"/>
      <c r="BG252" s="12"/>
      <c r="BH252" s="12"/>
    </row>
    <row r="253" spans="1:60" s="3" customFormat="1" ht="20.399999999999999" x14ac:dyDescent="0.3">
      <c r="A253" s="25"/>
      <c r="B253" s="26" t="s">
        <v>1755</v>
      </c>
      <c r="C253" s="419" t="s">
        <v>1756</v>
      </c>
      <c r="D253" s="419"/>
      <c r="E253" s="419"/>
      <c r="F253" s="27" t="s">
        <v>75</v>
      </c>
      <c r="G253" s="22" t="s">
        <v>3842</v>
      </c>
      <c r="H253" s="58"/>
      <c r="I253" s="28"/>
      <c r="J253" s="28"/>
      <c r="K253" s="29"/>
      <c r="BC253" s="14"/>
      <c r="BD253" s="15"/>
      <c r="BE253" s="21"/>
      <c r="BF253" s="43"/>
      <c r="BG253" s="12"/>
      <c r="BH253" s="12" t="s">
        <v>1756</v>
      </c>
    </row>
    <row r="254" spans="1:60" s="3" customFormat="1" ht="20.399999999999999" x14ac:dyDescent="0.3">
      <c r="A254" s="25"/>
      <c r="B254" s="26" t="s">
        <v>1758</v>
      </c>
      <c r="C254" s="419" t="s">
        <v>1759</v>
      </c>
      <c r="D254" s="419"/>
      <c r="E254" s="419"/>
      <c r="F254" s="27" t="s">
        <v>75</v>
      </c>
      <c r="G254" s="22" t="s">
        <v>3843</v>
      </c>
      <c r="H254" s="58"/>
      <c r="I254" s="28"/>
      <c r="J254" s="28"/>
      <c r="K254" s="29"/>
      <c r="BC254" s="14"/>
      <c r="BD254" s="15"/>
      <c r="BE254" s="21"/>
      <c r="BF254" s="43"/>
      <c r="BG254" s="12"/>
      <c r="BH254" s="12" t="s">
        <v>1759</v>
      </c>
    </row>
    <row r="255" spans="1:60" s="3" customFormat="1" ht="31.8" x14ac:dyDescent="0.3">
      <c r="A255" s="25"/>
      <c r="B255" s="26" t="s">
        <v>1703</v>
      </c>
      <c r="C255" s="419" t="s">
        <v>1704</v>
      </c>
      <c r="D255" s="419"/>
      <c r="E255" s="419"/>
      <c r="F255" s="27" t="s">
        <v>75</v>
      </c>
      <c r="G255" s="22" t="s">
        <v>3844</v>
      </c>
      <c r="H255" s="58"/>
      <c r="I255" s="28"/>
      <c r="J255" s="28"/>
      <c r="K255" s="29"/>
      <c r="BC255" s="14"/>
      <c r="BD255" s="15"/>
      <c r="BE255" s="21"/>
      <c r="BF255" s="43"/>
      <c r="BG255" s="12"/>
      <c r="BH255" s="12" t="s">
        <v>1704</v>
      </c>
    </row>
    <row r="256" spans="1:60" s="3" customFormat="1" ht="20.399999999999999" x14ac:dyDescent="0.3">
      <c r="A256" s="25"/>
      <c r="B256" s="26" t="s">
        <v>599</v>
      </c>
      <c r="C256" s="419" t="s">
        <v>600</v>
      </c>
      <c r="D256" s="419"/>
      <c r="E256" s="419"/>
      <c r="F256" s="27" t="s">
        <v>406</v>
      </c>
      <c r="G256" s="22" t="s">
        <v>3845</v>
      </c>
      <c r="H256" s="58"/>
      <c r="I256" s="28"/>
      <c r="J256" s="28"/>
      <c r="K256" s="29"/>
      <c r="BC256" s="14"/>
      <c r="BD256" s="15"/>
      <c r="BE256" s="21"/>
      <c r="BF256" s="43"/>
      <c r="BG256" s="12"/>
      <c r="BH256" s="12" t="s">
        <v>600</v>
      </c>
    </row>
    <row r="257" spans="1:60" s="3" customFormat="1" ht="20.399999999999999" x14ac:dyDescent="0.3">
      <c r="A257" s="25"/>
      <c r="B257" s="26" t="s">
        <v>1763</v>
      </c>
      <c r="C257" s="419" t="s">
        <v>1764</v>
      </c>
      <c r="D257" s="419"/>
      <c r="E257" s="419"/>
      <c r="F257" s="27" t="s">
        <v>75</v>
      </c>
      <c r="G257" s="22" t="s">
        <v>3846</v>
      </c>
      <c r="H257" s="58"/>
      <c r="I257" s="28"/>
      <c r="J257" s="28"/>
      <c r="K257" s="29"/>
      <c r="BC257" s="14"/>
      <c r="BD257" s="15"/>
      <c r="BE257" s="21"/>
      <c r="BF257" s="43"/>
      <c r="BG257" s="12"/>
      <c r="BH257" s="12" t="s">
        <v>1764</v>
      </c>
    </row>
    <row r="258" spans="1:60" s="3" customFormat="1" ht="21.6" x14ac:dyDescent="0.3">
      <c r="A258" s="25"/>
      <c r="B258" s="26" t="s">
        <v>1766</v>
      </c>
      <c r="C258" s="419" t="s">
        <v>1767</v>
      </c>
      <c r="D258" s="419"/>
      <c r="E258" s="419"/>
      <c r="F258" s="27" t="s">
        <v>70</v>
      </c>
      <c r="G258" s="22" t="s">
        <v>3847</v>
      </c>
      <c r="H258" s="58"/>
      <c r="I258" s="28"/>
      <c r="J258" s="28"/>
      <c r="K258" s="29"/>
      <c r="BC258" s="14"/>
      <c r="BD258" s="15"/>
      <c r="BE258" s="21"/>
      <c r="BF258" s="43"/>
      <c r="BG258" s="12"/>
      <c r="BH258" s="12" t="s">
        <v>1767</v>
      </c>
    </row>
    <row r="259" spans="1:60" s="3" customFormat="1" ht="20.399999999999999" x14ac:dyDescent="0.3">
      <c r="A259" s="25"/>
      <c r="B259" s="26" t="s">
        <v>1708</v>
      </c>
      <c r="C259" s="419" t="s">
        <v>1709</v>
      </c>
      <c r="D259" s="419"/>
      <c r="E259" s="419"/>
      <c r="F259" s="27" t="s">
        <v>70</v>
      </c>
      <c r="G259" s="22" t="s">
        <v>3848</v>
      </c>
      <c r="H259" s="58"/>
      <c r="I259" s="28"/>
      <c r="J259" s="28"/>
      <c r="K259" s="29"/>
      <c r="BC259" s="14"/>
      <c r="BD259" s="15"/>
      <c r="BE259" s="21"/>
      <c r="BF259" s="43"/>
      <c r="BG259" s="12"/>
      <c r="BH259" s="12" t="s">
        <v>1709</v>
      </c>
    </row>
    <row r="260" spans="1:60" s="3" customFormat="1" ht="20.399999999999999" x14ac:dyDescent="0.3">
      <c r="A260" s="25"/>
      <c r="B260" s="26" t="s">
        <v>1770</v>
      </c>
      <c r="C260" s="419" t="s">
        <v>1771</v>
      </c>
      <c r="D260" s="419"/>
      <c r="E260" s="419"/>
      <c r="F260" s="27" t="s">
        <v>142</v>
      </c>
      <c r="G260" s="22" t="s">
        <v>3849</v>
      </c>
      <c r="H260" s="58"/>
      <c r="I260" s="28"/>
      <c r="J260" s="28"/>
      <c r="K260" s="29"/>
      <c r="BC260" s="14"/>
      <c r="BD260" s="15"/>
      <c r="BE260" s="21"/>
      <c r="BF260" s="43"/>
      <c r="BG260" s="12"/>
      <c r="BH260" s="12" t="s">
        <v>1771</v>
      </c>
    </row>
    <row r="261" spans="1:60" s="3" customFormat="1" ht="21.6" x14ac:dyDescent="0.3">
      <c r="A261" s="25"/>
      <c r="B261" s="26" t="s">
        <v>607</v>
      </c>
      <c r="C261" s="419" t="s">
        <v>608</v>
      </c>
      <c r="D261" s="419"/>
      <c r="E261" s="419"/>
      <c r="F261" s="27" t="s">
        <v>609</v>
      </c>
      <c r="G261" s="22" t="s">
        <v>3850</v>
      </c>
      <c r="H261" s="58"/>
      <c r="I261" s="28"/>
      <c r="J261" s="28"/>
      <c r="K261" s="29"/>
      <c r="BC261" s="14"/>
      <c r="BD261" s="15"/>
      <c r="BE261" s="21"/>
      <c r="BF261" s="43"/>
      <c r="BG261" s="12"/>
      <c r="BH261" s="12" t="s">
        <v>608</v>
      </c>
    </row>
    <row r="262" spans="1:60" s="3" customFormat="1" ht="15" customHeight="1" x14ac:dyDescent="0.3">
      <c r="A262" s="435" t="s">
        <v>3851</v>
      </c>
      <c r="B262" s="436"/>
      <c r="C262" s="436"/>
      <c r="D262" s="436"/>
      <c r="E262" s="436"/>
      <c r="F262" s="436"/>
      <c r="G262" s="436"/>
      <c r="H262" s="103"/>
      <c r="I262" s="103"/>
      <c r="J262" s="103"/>
      <c r="K262" s="104"/>
      <c r="BC262" s="14" t="s">
        <v>3851</v>
      </c>
      <c r="BD262" s="15"/>
      <c r="BE262" s="21"/>
      <c r="BF262" s="43"/>
      <c r="BG262" s="12"/>
      <c r="BH262" s="12"/>
    </row>
    <row r="263" spans="1:60" s="3" customFormat="1" ht="15" customHeight="1" x14ac:dyDescent="0.3">
      <c r="A263" s="437" t="s">
        <v>1731</v>
      </c>
      <c r="B263" s="418"/>
      <c r="C263" s="418"/>
      <c r="D263" s="418"/>
      <c r="E263" s="418"/>
      <c r="F263" s="418"/>
      <c r="G263" s="418"/>
      <c r="H263" s="123"/>
      <c r="I263" s="123"/>
      <c r="J263" s="123"/>
      <c r="K263" s="124"/>
      <c r="BC263" s="14"/>
      <c r="BD263" s="15" t="s">
        <v>1731</v>
      </c>
      <c r="BE263" s="21"/>
      <c r="BF263" s="43"/>
      <c r="BG263" s="12"/>
      <c r="BH263" s="12"/>
    </row>
    <row r="264" spans="1:60" s="3" customFormat="1" ht="31.8" x14ac:dyDescent="0.3">
      <c r="A264" s="16" t="s">
        <v>2930</v>
      </c>
      <c r="B264" s="17" t="s">
        <v>1732</v>
      </c>
      <c r="C264" s="405" t="s">
        <v>1733</v>
      </c>
      <c r="D264" s="405"/>
      <c r="E264" s="405"/>
      <c r="F264" s="16" t="s">
        <v>125</v>
      </c>
      <c r="G264" s="30">
        <v>0.1515</v>
      </c>
      <c r="H264" s="57">
        <f t="shared" ref="H264:H265" si="8">I264/G264</f>
        <v>117456.89768976899</v>
      </c>
      <c r="I264" s="19">
        <v>17794.72</v>
      </c>
      <c r="J264" s="19">
        <f t="shared" ref="J264:J265" si="9">K264/G264</f>
        <v>0</v>
      </c>
      <c r="K264" s="19">
        <v>0</v>
      </c>
      <c r="BC264" s="14"/>
      <c r="BD264" s="15"/>
      <c r="BE264" s="21" t="s">
        <v>1733</v>
      </c>
      <c r="BF264" s="43"/>
      <c r="BG264" s="12"/>
      <c r="BH264" s="12"/>
    </row>
    <row r="265" spans="1:60" s="3" customFormat="1" ht="21.6" x14ac:dyDescent="0.3">
      <c r="A265" s="16" t="s">
        <v>2939</v>
      </c>
      <c r="B265" s="17" t="s">
        <v>123</v>
      </c>
      <c r="C265" s="405" t="s">
        <v>124</v>
      </c>
      <c r="D265" s="405"/>
      <c r="E265" s="405"/>
      <c r="F265" s="16" t="s">
        <v>125</v>
      </c>
      <c r="G265" s="30">
        <v>0.1515</v>
      </c>
      <c r="H265" s="57">
        <f t="shared" si="8"/>
        <v>28342.112211221123</v>
      </c>
      <c r="I265" s="19">
        <v>4293.83</v>
      </c>
      <c r="J265" s="19">
        <f t="shared" si="9"/>
        <v>0</v>
      </c>
      <c r="K265" s="19">
        <v>0</v>
      </c>
      <c r="BC265" s="14"/>
      <c r="BD265" s="15"/>
      <c r="BE265" s="21" t="s">
        <v>124</v>
      </c>
      <c r="BF265" s="43"/>
      <c r="BG265" s="12"/>
      <c r="BH265" s="12"/>
    </row>
    <row r="266" spans="1:60" s="3" customFormat="1" ht="15" customHeight="1" x14ac:dyDescent="0.3">
      <c r="A266" s="437" t="s">
        <v>1734</v>
      </c>
      <c r="B266" s="418"/>
      <c r="C266" s="418"/>
      <c r="D266" s="418"/>
      <c r="E266" s="418"/>
      <c r="F266" s="418"/>
      <c r="G266" s="418"/>
      <c r="H266" s="123"/>
      <c r="I266" s="123"/>
      <c r="J266" s="123"/>
      <c r="K266" s="124"/>
      <c r="BC266" s="14"/>
      <c r="BD266" s="15" t="s">
        <v>1734</v>
      </c>
      <c r="BE266" s="21"/>
      <c r="BF266" s="43"/>
      <c r="BG266" s="12"/>
      <c r="BH266" s="12"/>
    </row>
    <row r="267" spans="1:60" s="3" customFormat="1" ht="21.6" x14ac:dyDescent="0.3">
      <c r="A267" s="16" t="s">
        <v>2946</v>
      </c>
      <c r="B267" s="17" t="s">
        <v>1735</v>
      </c>
      <c r="C267" s="405" t="s">
        <v>1736</v>
      </c>
      <c r="D267" s="405"/>
      <c r="E267" s="405"/>
      <c r="F267" s="16" t="s">
        <v>67</v>
      </c>
      <c r="G267" s="18">
        <v>0.54100000000000004</v>
      </c>
      <c r="H267" s="57">
        <f>I267/G267</f>
        <v>15444.251386321626</v>
      </c>
      <c r="I267" s="19">
        <v>8355.34</v>
      </c>
      <c r="J267" s="19">
        <f>K267/G267</f>
        <v>7917.20887245841</v>
      </c>
      <c r="K267" s="19">
        <v>4283.21</v>
      </c>
      <c r="BC267" s="14"/>
      <c r="BD267" s="15"/>
      <c r="BE267" s="21" t="s">
        <v>1736</v>
      </c>
      <c r="BF267" s="43"/>
      <c r="BG267" s="12"/>
      <c r="BH267" s="12"/>
    </row>
    <row r="268" spans="1:60" s="3" customFormat="1" ht="20.399999999999999" x14ac:dyDescent="0.3">
      <c r="A268" s="25"/>
      <c r="B268" s="26" t="s">
        <v>1693</v>
      </c>
      <c r="C268" s="419" t="s">
        <v>1694</v>
      </c>
      <c r="D268" s="419"/>
      <c r="E268" s="419"/>
      <c r="F268" s="27" t="s">
        <v>75</v>
      </c>
      <c r="G268" s="22" t="s">
        <v>3852</v>
      </c>
      <c r="H268" s="58"/>
      <c r="I268" s="28"/>
      <c r="J268" s="28"/>
      <c r="K268" s="29"/>
      <c r="BC268" s="14"/>
      <c r="BD268" s="15"/>
      <c r="BE268" s="21"/>
      <c r="BF268" s="43"/>
      <c r="BG268" s="12"/>
      <c r="BH268" s="12" t="s">
        <v>1694</v>
      </c>
    </row>
    <row r="269" spans="1:60" s="3" customFormat="1" ht="20.399999999999999" x14ac:dyDescent="0.3">
      <c r="A269" s="25"/>
      <c r="B269" s="26" t="s">
        <v>1738</v>
      </c>
      <c r="C269" s="419" t="s">
        <v>1739</v>
      </c>
      <c r="D269" s="419"/>
      <c r="E269" s="419"/>
      <c r="F269" s="27" t="s">
        <v>75</v>
      </c>
      <c r="G269" s="22" t="s">
        <v>3853</v>
      </c>
      <c r="H269" s="58"/>
      <c r="I269" s="28"/>
      <c r="J269" s="28"/>
      <c r="K269" s="29"/>
      <c r="BC269" s="14"/>
      <c r="BD269" s="15"/>
      <c r="BE269" s="21"/>
      <c r="BF269" s="43"/>
      <c r="BG269" s="12"/>
      <c r="BH269" s="12" t="s">
        <v>1739</v>
      </c>
    </row>
    <row r="270" spans="1:60" s="3" customFormat="1" ht="21.6" x14ac:dyDescent="0.3">
      <c r="A270" s="25"/>
      <c r="B270" s="26" t="s">
        <v>607</v>
      </c>
      <c r="C270" s="419" t="s">
        <v>608</v>
      </c>
      <c r="D270" s="419"/>
      <c r="E270" s="419"/>
      <c r="F270" s="27" t="s">
        <v>609</v>
      </c>
      <c r="G270" s="22" t="s">
        <v>3854</v>
      </c>
      <c r="H270" s="58"/>
      <c r="I270" s="28"/>
      <c r="J270" s="28"/>
      <c r="K270" s="29"/>
      <c r="BC270" s="14"/>
      <c r="BD270" s="15"/>
      <c r="BE270" s="21"/>
      <c r="BF270" s="43"/>
      <c r="BG270" s="12"/>
      <c r="BH270" s="12" t="s">
        <v>608</v>
      </c>
    </row>
    <row r="271" spans="1:60" s="3" customFormat="1" ht="14.4" x14ac:dyDescent="0.3">
      <c r="A271" s="16" t="s">
        <v>2953</v>
      </c>
      <c r="B271" s="17" t="s">
        <v>1742</v>
      </c>
      <c r="C271" s="405" t="s">
        <v>1743</v>
      </c>
      <c r="D271" s="405"/>
      <c r="E271" s="405"/>
      <c r="F271" s="16" t="s">
        <v>70</v>
      </c>
      <c r="G271" s="46">
        <v>8.4936999999999999E-2</v>
      </c>
      <c r="H271" s="57">
        <f>I271/G271</f>
        <v>0</v>
      </c>
      <c r="I271" s="19">
        <v>0</v>
      </c>
      <c r="J271" s="19">
        <f>K271/G271</f>
        <v>54509.106749708611</v>
      </c>
      <c r="K271" s="19">
        <v>4629.84</v>
      </c>
      <c r="BC271" s="14"/>
      <c r="BD271" s="15"/>
      <c r="BE271" s="21" t="s">
        <v>1743</v>
      </c>
      <c r="BF271" s="43"/>
      <c r="BG271" s="12"/>
      <c r="BH271" s="12"/>
    </row>
    <row r="272" spans="1:60" s="3" customFormat="1" ht="15" customHeight="1" x14ac:dyDescent="0.3">
      <c r="A272" s="437" t="s">
        <v>1744</v>
      </c>
      <c r="B272" s="418"/>
      <c r="C272" s="418"/>
      <c r="D272" s="418"/>
      <c r="E272" s="418"/>
      <c r="F272" s="418"/>
      <c r="G272" s="418"/>
      <c r="H272" s="123"/>
      <c r="I272" s="123"/>
      <c r="J272" s="123"/>
      <c r="K272" s="124"/>
      <c r="BC272" s="14"/>
      <c r="BD272" s="15" t="s">
        <v>1744</v>
      </c>
      <c r="BE272" s="21"/>
      <c r="BF272" s="43"/>
      <c r="BG272" s="12"/>
      <c r="BH272" s="12"/>
    </row>
    <row r="273" spans="1:60" s="3" customFormat="1" ht="21.6" x14ac:dyDescent="0.3">
      <c r="A273" s="16" t="s">
        <v>2958</v>
      </c>
      <c r="B273" s="17" t="s">
        <v>1745</v>
      </c>
      <c r="C273" s="405" t="s">
        <v>1746</v>
      </c>
      <c r="D273" s="405"/>
      <c r="E273" s="405"/>
      <c r="F273" s="16" t="s">
        <v>1261</v>
      </c>
      <c r="G273" s="24">
        <v>0.8</v>
      </c>
      <c r="H273" s="57">
        <f>I273/G273</f>
        <v>10084.837499999998</v>
      </c>
      <c r="I273" s="19">
        <v>8067.869999999999</v>
      </c>
      <c r="J273" s="19">
        <f>K273/G273</f>
        <v>4297.3</v>
      </c>
      <c r="K273" s="19">
        <v>3437.84</v>
      </c>
      <c r="BC273" s="14"/>
      <c r="BD273" s="15"/>
      <c r="BE273" s="21" t="s">
        <v>1746</v>
      </c>
      <c r="BF273" s="43"/>
      <c r="BG273" s="12"/>
      <c r="BH273" s="12"/>
    </row>
    <row r="274" spans="1:60" s="3" customFormat="1" ht="20.399999999999999" x14ac:dyDescent="0.3">
      <c r="A274" s="25"/>
      <c r="B274" s="26" t="s">
        <v>1693</v>
      </c>
      <c r="C274" s="419" t="s">
        <v>1694</v>
      </c>
      <c r="D274" s="419"/>
      <c r="E274" s="419"/>
      <c r="F274" s="27" t="s">
        <v>75</v>
      </c>
      <c r="G274" s="22" t="s">
        <v>3855</v>
      </c>
      <c r="H274" s="58"/>
      <c r="I274" s="28"/>
      <c r="J274" s="28"/>
      <c r="K274" s="29"/>
      <c r="BC274" s="14"/>
      <c r="BD274" s="15"/>
      <c r="BE274" s="21"/>
      <c r="BF274" s="43"/>
      <c r="BG274" s="12"/>
      <c r="BH274" s="12" t="s">
        <v>1694</v>
      </c>
    </row>
    <row r="275" spans="1:60" s="3" customFormat="1" ht="20.399999999999999" x14ac:dyDescent="0.3">
      <c r="A275" s="25"/>
      <c r="B275" s="26" t="s">
        <v>1738</v>
      </c>
      <c r="C275" s="419" t="s">
        <v>1739</v>
      </c>
      <c r="D275" s="419"/>
      <c r="E275" s="419"/>
      <c r="F275" s="27" t="s">
        <v>75</v>
      </c>
      <c r="G275" s="22" t="s">
        <v>3856</v>
      </c>
      <c r="H275" s="58"/>
      <c r="I275" s="28"/>
      <c r="J275" s="28"/>
      <c r="K275" s="29"/>
      <c r="BC275" s="14"/>
      <c r="BD275" s="15"/>
      <c r="BE275" s="21"/>
      <c r="BF275" s="43"/>
      <c r="BG275" s="12"/>
      <c r="BH275" s="12" t="s">
        <v>1739</v>
      </c>
    </row>
    <row r="276" spans="1:60" s="3" customFormat="1" ht="21.6" x14ac:dyDescent="0.3">
      <c r="A276" s="25"/>
      <c r="B276" s="26" t="s">
        <v>607</v>
      </c>
      <c r="C276" s="419" t="s">
        <v>608</v>
      </c>
      <c r="D276" s="419"/>
      <c r="E276" s="419"/>
      <c r="F276" s="27" t="s">
        <v>609</v>
      </c>
      <c r="G276" s="22" t="s">
        <v>3857</v>
      </c>
      <c r="H276" s="58"/>
      <c r="I276" s="28"/>
      <c r="J276" s="28"/>
      <c r="K276" s="29"/>
      <c r="BC276" s="14"/>
      <c r="BD276" s="15"/>
      <c r="BE276" s="21"/>
      <c r="BF276" s="43"/>
      <c r="BG276" s="12"/>
      <c r="BH276" s="12" t="s">
        <v>608</v>
      </c>
    </row>
    <row r="277" spans="1:60" s="3" customFormat="1" ht="21.6" x14ac:dyDescent="0.3">
      <c r="A277" s="16" t="s">
        <v>2978</v>
      </c>
      <c r="B277" s="17" t="s">
        <v>1750</v>
      </c>
      <c r="C277" s="405" t="s">
        <v>1751</v>
      </c>
      <c r="D277" s="405"/>
      <c r="E277" s="405"/>
      <c r="F277" s="16" t="s">
        <v>75</v>
      </c>
      <c r="G277" s="24">
        <v>24.4</v>
      </c>
      <c r="H277" s="57">
        <f>I277/G277</f>
        <v>0</v>
      </c>
      <c r="I277" s="19">
        <v>0</v>
      </c>
      <c r="J277" s="19">
        <f>K277/G277</f>
        <v>48.055327868852459</v>
      </c>
      <c r="K277" s="19">
        <v>1172.55</v>
      </c>
      <c r="BC277" s="14"/>
      <c r="BD277" s="15"/>
      <c r="BE277" s="21" t="s">
        <v>1751</v>
      </c>
      <c r="BF277" s="43"/>
      <c r="BG277" s="12"/>
      <c r="BH277" s="12"/>
    </row>
    <row r="278" spans="1:60" s="3" customFormat="1" ht="15" customHeight="1" x14ac:dyDescent="0.3">
      <c r="A278" s="437" t="s">
        <v>3841</v>
      </c>
      <c r="B278" s="418"/>
      <c r="C278" s="418"/>
      <c r="D278" s="418"/>
      <c r="E278" s="418"/>
      <c r="F278" s="418"/>
      <c r="G278" s="418"/>
      <c r="H278" s="123"/>
      <c r="I278" s="123"/>
      <c r="J278" s="123"/>
      <c r="K278" s="124"/>
      <c r="BC278" s="14"/>
      <c r="BD278" s="15" t="s">
        <v>3841</v>
      </c>
      <c r="BE278" s="21"/>
      <c r="BF278" s="43"/>
      <c r="BG278" s="12"/>
      <c r="BH278" s="12"/>
    </row>
    <row r="279" spans="1:60" s="3" customFormat="1" ht="31.8" x14ac:dyDescent="0.3">
      <c r="A279" s="16" t="s">
        <v>3002</v>
      </c>
      <c r="B279" s="17" t="s">
        <v>1753</v>
      </c>
      <c r="C279" s="405" t="s">
        <v>1754</v>
      </c>
      <c r="D279" s="405"/>
      <c r="E279" s="405"/>
      <c r="F279" s="16" t="s">
        <v>142</v>
      </c>
      <c r="G279" s="31">
        <v>0.01</v>
      </c>
      <c r="H279" s="57">
        <f>I279/G279</f>
        <v>16269.999999999998</v>
      </c>
      <c r="I279" s="19">
        <v>162.69999999999999</v>
      </c>
      <c r="J279" s="19">
        <f>K279/G279</f>
        <v>875</v>
      </c>
      <c r="K279" s="19">
        <v>8.75</v>
      </c>
      <c r="BC279" s="14"/>
      <c r="BD279" s="15"/>
      <c r="BE279" s="21" t="s">
        <v>1754</v>
      </c>
      <c r="BF279" s="43"/>
      <c r="BG279" s="12"/>
      <c r="BH279" s="12"/>
    </row>
    <row r="280" spans="1:60" s="3" customFormat="1" ht="20.399999999999999" x14ac:dyDescent="0.3">
      <c r="A280" s="25"/>
      <c r="B280" s="26" t="s">
        <v>1755</v>
      </c>
      <c r="C280" s="419" t="s">
        <v>1756</v>
      </c>
      <c r="D280" s="419"/>
      <c r="E280" s="419"/>
      <c r="F280" s="27" t="s">
        <v>75</v>
      </c>
      <c r="G280" s="22" t="s">
        <v>3842</v>
      </c>
      <c r="H280" s="58"/>
      <c r="I280" s="28"/>
      <c r="J280" s="28"/>
      <c r="K280" s="29"/>
      <c r="BC280" s="14"/>
      <c r="BD280" s="15"/>
      <c r="BE280" s="21"/>
      <c r="BF280" s="43"/>
      <c r="BG280" s="12"/>
      <c r="BH280" s="12" t="s">
        <v>1756</v>
      </c>
    </row>
    <row r="281" spans="1:60" s="3" customFormat="1" ht="20.399999999999999" x14ac:dyDescent="0.3">
      <c r="A281" s="25"/>
      <c r="B281" s="26" t="s">
        <v>1758</v>
      </c>
      <c r="C281" s="419" t="s">
        <v>1759</v>
      </c>
      <c r="D281" s="419"/>
      <c r="E281" s="419"/>
      <c r="F281" s="27" t="s">
        <v>75</v>
      </c>
      <c r="G281" s="22" t="s">
        <v>3843</v>
      </c>
      <c r="H281" s="58"/>
      <c r="I281" s="28"/>
      <c r="J281" s="28"/>
      <c r="K281" s="29"/>
      <c r="BC281" s="14"/>
      <c r="BD281" s="15"/>
      <c r="BE281" s="21"/>
      <c r="BF281" s="43"/>
      <c r="BG281" s="12"/>
      <c r="BH281" s="12" t="s">
        <v>1759</v>
      </c>
    </row>
    <row r="282" spans="1:60" s="3" customFormat="1" ht="31.8" x14ac:dyDescent="0.3">
      <c r="A282" s="25"/>
      <c r="B282" s="26" t="s">
        <v>1703</v>
      </c>
      <c r="C282" s="419" t="s">
        <v>1704</v>
      </c>
      <c r="D282" s="419"/>
      <c r="E282" s="419"/>
      <c r="F282" s="27" t="s">
        <v>75</v>
      </c>
      <c r="G282" s="22" t="s">
        <v>3844</v>
      </c>
      <c r="H282" s="58"/>
      <c r="I282" s="28"/>
      <c r="J282" s="28"/>
      <c r="K282" s="29"/>
      <c r="BC282" s="14"/>
      <c r="BD282" s="15"/>
      <c r="BE282" s="21"/>
      <c r="BF282" s="43"/>
      <c r="BG282" s="12"/>
      <c r="BH282" s="12" t="s">
        <v>1704</v>
      </c>
    </row>
    <row r="283" spans="1:60" s="3" customFormat="1" ht="20.399999999999999" x14ac:dyDescent="0.3">
      <c r="A283" s="25"/>
      <c r="B283" s="26" t="s">
        <v>599</v>
      </c>
      <c r="C283" s="419" t="s">
        <v>600</v>
      </c>
      <c r="D283" s="419"/>
      <c r="E283" s="419"/>
      <c r="F283" s="27" t="s">
        <v>406</v>
      </c>
      <c r="G283" s="22" t="s">
        <v>3845</v>
      </c>
      <c r="H283" s="58"/>
      <c r="I283" s="28"/>
      <c r="J283" s="28"/>
      <c r="K283" s="29"/>
      <c r="BC283" s="14"/>
      <c r="BD283" s="15"/>
      <c r="BE283" s="21"/>
      <c r="BF283" s="43"/>
      <c r="BG283" s="12"/>
      <c r="BH283" s="12" t="s">
        <v>600</v>
      </c>
    </row>
    <row r="284" spans="1:60" s="3" customFormat="1" ht="20.399999999999999" x14ac:dyDescent="0.3">
      <c r="A284" s="25"/>
      <c r="B284" s="26" t="s">
        <v>1763</v>
      </c>
      <c r="C284" s="419" t="s">
        <v>1764</v>
      </c>
      <c r="D284" s="419"/>
      <c r="E284" s="419"/>
      <c r="F284" s="27" t="s">
        <v>75</v>
      </c>
      <c r="G284" s="22" t="s">
        <v>3846</v>
      </c>
      <c r="H284" s="58"/>
      <c r="I284" s="28"/>
      <c r="J284" s="28"/>
      <c r="K284" s="29"/>
      <c r="BC284" s="14"/>
      <c r="BD284" s="15"/>
      <c r="BE284" s="21"/>
      <c r="BF284" s="43"/>
      <c r="BG284" s="12"/>
      <c r="BH284" s="12" t="s">
        <v>1764</v>
      </c>
    </row>
    <row r="285" spans="1:60" s="3" customFormat="1" ht="21.6" x14ac:dyDescent="0.3">
      <c r="A285" s="25"/>
      <c r="B285" s="26" t="s">
        <v>1766</v>
      </c>
      <c r="C285" s="419" t="s">
        <v>1767</v>
      </c>
      <c r="D285" s="419"/>
      <c r="E285" s="419"/>
      <c r="F285" s="27" t="s">
        <v>70</v>
      </c>
      <c r="G285" s="22" t="s">
        <v>3847</v>
      </c>
      <c r="H285" s="58"/>
      <c r="I285" s="28"/>
      <c r="J285" s="28"/>
      <c r="K285" s="29"/>
      <c r="BC285" s="14"/>
      <c r="BD285" s="15"/>
      <c r="BE285" s="21"/>
      <c r="BF285" s="43"/>
      <c r="BG285" s="12"/>
      <c r="BH285" s="12" t="s">
        <v>1767</v>
      </c>
    </row>
    <row r="286" spans="1:60" s="3" customFormat="1" ht="20.399999999999999" x14ac:dyDescent="0.3">
      <c r="A286" s="25"/>
      <c r="B286" s="26" t="s">
        <v>1708</v>
      </c>
      <c r="C286" s="419" t="s">
        <v>1709</v>
      </c>
      <c r="D286" s="419"/>
      <c r="E286" s="419"/>
      <c r="F286" s="27" t="s">
        <v>70</v>
      </c>
      <c r="G286" s="22" t="s">
        <v>3848</v>
      </c>
      <c r="H286" s="58"/>
      <c r="I286" s="28"/>
      <c r="J286" s="28"/>
      <c r="K286" s="29"/>
      <c r="BC286" s="14"/>
      <c r="BD286" s="15"/>
      <c r="BE286" s="21"/>
      <c r="BF286" s="43"/>
      <c r="BG286" s="12"/>
      <c r="BH286" s="12" t="s">
        <v>1709</v>
      </c>
    </row>
    <row r="287" spans="1:60" s="3" customFormat="1" ht="20.399999999999999" x14ac:dyDescent="0.3">
      <c r="A287" s="25"/>
      <c r="B287" s="26" t="s">
        <v>1770</v>
      </c>
      <c r="C287" s="419" t="s">
        <v>1771</v>
      </c>
      <c r="D287" s="419"/>
      <c r="E287" s="419"/>
      <c r="F287" s="27" t="s">
        <v>142</v>
      </c>
      <c r="G287" s="22" t="s">
        <v>3849</v>
      </c>
      <c r="H287" s="58"/>
      <c r="I287" s="28"/>
      <c r="J287" s="28"/>
      <c r="K287" s="29"/>
      <c r="BC287" s="14"/>
      <c r="BD287" s="15"/>
      <c r="BE287" s="21"/>
      <c r="BF287" s="43"/>
      <c r="BG287" s="12"/>
      <c r="BH287" s="12" t="s">
        <v>1771</v>
      </c>
    </row>
    <row r="288" spans="1:60" s="3" customFormat="1" ht="21.6" x14ac:dyDescent="0.3">
      <c r="A288" s="25"/>
      <c r="B288" s="26" t="s">
        <v>607</v>
      </c>
      <c r="C288" s="419" t="s">
        <v>608</v>
      </c>
      <c r="D288" s="419"/>
      <c r="E288" s="419"/>
      <c r="F288" s="27" t="s">
        <v>609</v>
      </c>
      <c r="G288" s="22" t="s">
        <v>3850</v>
      </c>
      <c r="H288" s="58"/>
      <c r="I288" s="28"/>
      <c r="J288" s="28"/>
      <c r="K288" s="29"/>
      <c r="BC288" s="14"/>
      <c r="BD288" s="15"/>
      <c r="BE288" s="21"/>
      <c r="BF288" s="43"/>
      <c r="BG288" s="12"/>
      <c r="BH288" s="12" t="s">
        <v>608</v>
      </c>
    </row>
    <row r="289" spans="1:13" s="3" customFormat="1" ht="20.25" customHeight="1" x14ac:dyDescent="0.3">
      <c r="A289" s="406" t="s">
        <v>57</v>
      </c>
      <c r="B289" s="407"/>
      <c r="C289" s="407"/>
      <c r="D289" s="407"/>
      <c r="E289" s="407"/>
      <c r="F289" s="407"/>
      <c r="G289" s="407"/>
      <c r="H289" s="66"/>
      <c r="I289" s="67">
        <f>SUM(I14:I288)</f>
        <v>1585904.9000000001</v>
      </c>
      <c r="J289" s="72"/>
      <c r="K289" s="87">
        <f>SUM(K14:K288)</f>
        <v>16104576.050000006</v>
      </c>
      <c r="M289" s="56"/>
    </row>
    <row r="290" spans="1:13" s="53" customFormat="1" ht="20.25" customHeight="1" thickBot="1" x14ac:dyDescent="0.35">
      <c r="A290" s="408" t="s">
        <v>5461</v>
      </c>
      <c r="B290" s="409"/>
      <c r="C290" s="409"/>
      <c r="D290" s="409"/>
      <c r="E290" s="409"/>
      <c r="F290" s="409"/>
      <c r="G290" s="409"/>
      <c r="H290" s="88"/>
      <c r="I290" s="410">
        <f>I289+K289</f>
        <v>17690480.950000007</v>
      </c>
      <c r="J290" s="411"/>
      <c r="K290" s="412"/>
      <c r="M290" s="153"/>
    </row>
    <row r="291" spans="1:13" ht="11.25" customHeight="1" x14ac:dyDescent="0.2">
      <c r="M291" s="54"/>
    </row>
  </sheetData>
  <autoFilter ref="A11:BK290" xr:uid="{00000000-0001-0000-1B00-000000000000}"/>
  <mergeCells count="287">
    <mergeCell ref="C279:E279"/>
    <mergeCell ref="C280:E280"/>
    <mergeCell ref="C271:E271"/>
    <mergeCell ref="C273:E273"/>
    <mergeCell ref="C274:E274"/>
    <mergeCell ref="C275:E275"/>
    <mergeCell ref="C286:E286"/>
    <mergeCell ref="C287:E287"/>
    <mergeCell ref="C288:E288"/>
    <mergeCell ref="C281:E281"/>
    <mergeCell ref="C282:E282"/>
    <mergeCell ref="C283:E283"/>
    <mergeCell ref="C284:E284"/>
    <mergeCell ref="C285:E285"/>
    <mergeCell ref="C267:E267"/>
    <mergeCell ref="C268:E268"/>
    <mergeCell ref="C269:E269"/>
    <mergeCell ref="C270:E270"/>
    <mergeCell ref="C261:E261"/>
    <mergeCell ref="C264:E264"/>
    <mergeCell ref="C265:E265"/>
    <mergeCell ref="C276:E276"/>
    <mergeCell ref="C277:E277"/>
    <mergeCell ref="C244:E244"/>
    <mergeCell ref="C245:E245"/>
    <mergeCell ref="C256:E256"/>
    <mergeCell ref="C257:E257"/>
    <mergeCell ref="C258:E258"/>
    <mergeCell ref="C259:E259"/>
    <mergeCell ref="C260:E260"/>
    <mergeCell ref="C252:E252"/>
    <mergeCell ref="C253:E253"/>
    <mergeCell ref="C254:E254"/>
    <mergeCell ref="C255:E255"/>
    <mergeCell ref="C226:E226"/>
    <mergeCell ref="C229:E229"/>
    <mergeCell ref="C230:E230"/>
    <mergeCell ref="C221:E221"/>
    <mergeCell ref="C222:E222"/>
    <mergeCell ref="C223:E223"/>
    <mergeCell ref="C224:E224"/>
    <mergeCell ref="C225:E225"/>
    <mergeCell ref="C236:E236"/>
    <mergeCell ref="C232:E232"/>
    <mergeCell ref="C233:E233"/>
    <mergeCell ref="C234:E234"/>
    <mergeCell ref="C235:E235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A216:G216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A196:G196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77:E177"/>
    <mergeCell ref="C178:E178"/>
    <mergeCell ref="C179:E179"/>
    <mergeCell ref="C180:E180"/>
    <mergeCell ref="C171:E171"/>
    <mergeCell ref="C172:E172"/>
    <mergeCell ref="C173:E173"/>
    <mergeCell ref="C174:E174"/>
    <mergeCell ref="C175:E175"/>
    <mergeCell ref="A176:G176"/>
    <mergeCell ref="C166:E166"/>
    <mergeCell ref="C168:E168"/>
    <mergeCell ref="C169:E169"/>
    <mergeCell ref="C170:E170"/>
    <mergeCell ref="C161:E161"/>
    <mergeCell ref="C162:E162"/>
    <mergeCell ref="C163:E163"/>
    <mergeCell ref="C164:E164"/>
    <mergeCell ref="C165:E165"/>
    <mergeCell ref="A167:G167"/>
    <mergeCell ref="C157:E157"/>
    <mergeCell ref="C158:E158"/>
    <mergeCell ref="C159:E159"/>
    <mergeCell ref="C151:E151"/>
    <mergeCell ref="C152:E152"/>
    <mergeCell ref="C153:E153"/>
    <mergeCell ref="C154:E154"/>
    <mergeCell ref="C155:E155"/>
    <mergeCell ref="A160:G160"/>
    <mergeCell ref="A156:G156"/>
    <mergeCell ref="C146:E146"/>
    <mergeCell ref="C147:E147"/>
    <mergeCell ref="C148:E148"/>
    <mergeCell ref="C149:E149"/>
    <mergeCell ref="C150:E150"/>
    <mergeCell ref="C141:E141"/>
    <mergeCell ref="C142:E142"/>
    <mergeCell ref="C143:E143"/>
    <mergeCell ref="C144:E144"/>
    <mergeCell ref="C145:E145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A136:G136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A116:G116"/>
    <mergeCell ref="C106:E106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A107:G107"/>
    <mergeCell ref="C96:E96"/>
    <mergeCell ref="C97:E97"/>
    <mergeCell ref="C99:E99"/>
    <mergeCell ref="C100:E100"/>
    <mergeCell ref="C91:E91"/>
    <mergeCell ref="C92:E92"/>
    <mergeCell ref="C93:E93"/>
    <mergeCell ref="C94:E94"/>
    <mergeCell ref="C95:E95"/>
    <mergeCell ref="A98:G98"/>
    <mergeCell ref="C86:E86"/>
    <mergeCell ref="C87:E87"/>
    <mergeCell ref="C88:E88"/>
    <mergeCell ref="C89:E89"/>
    <mergeCell ref="C90:E90"/>
    <mergeCell ref="C81:E81"/>
    <mergeCell ref="C82:E82"/>
    <mergeCell ref="C83:E83"/>
    <mergeCell ref="C85:E85"/>
    <mergeCell ref="A84:G84"/>
    <mergeCell ref="A70:G70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61:E61"/>
    <mergeCell ref="C62:E62"/>
    <mergeCell ref="C63:E63"/>
    <mergeCell ref="C64:E64"/>
    <mergeCell ref="C65:E65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A56:G56"/>
    <mergeCell ref="C46:E46"/>
    <mergeCell ref="C48:E48"/>
    <mergeCell ref="C49:E49"/>
    <mergeCell ref="C50:E50"/>
    <mergeCell ref="C41:E41"/>
    <mergeCell ref="C42:E42"/>
    <mergeCell ref="C43:E43"/>
    <mergeCell ref="C44:E44"/>
    <mergeCell ref="C45:E45"/>
    <mergeCell ref="A47:G47"/>
    <mergeCell ref="C36:E36"/>
    <mergeCell ref="A33:G33"/>
    <mergeCell ref="A28:G28"/>
    <mergeCell ref="C37:E37"/>
    <mergeCell ref="C38:E38"/>
    <mergeCell ref="C39:E39"/>
    <mergeCell ref="C40:E40"/>
    <mergeCell ref="C31:E31"/>
    <mergeCell ref="C32:E32"/>
    <mergeCell ref="C34:E34"/>
    <mergeCell ref="C35:E35"/>
    <mergeCell ref="C18:E18"/>
    <mergeCell ref="C19:E19"/>
    <mergeCell ref="C14:E14"/>
    <mergeCell ref="C26:E26"/>
    <mergeCell ref="C27:E27"/>
    <mergeCell ref="A24:G24"/>
    <mergeCell ref="A20:G20"/>
    <mergeCell ref="C29:E29"/>
    <mergeCell ref="C30:E30"/>
    <mergeCell ref="C21:E21"/>
    <mergeCell ref="C22:E22"/>
    <mergeCell ref="C23:E23"/>
    <mergeCell ref="C25:E25"/>
    <mergeCell ref="A2:K2"/>
    <mergeCell ref="A3:K3"/>
    <mergeCell ref="A5:K5"/>
    <mergeCell ref="C9:E9"/>
    <mergeCell ref="C10:E10"/>
    <mergeCell ref="A6:K6"/>
    <mergeCell ref="C7:G7"/>
    <mergeCell ref="C16:E16"/>
    <mergeCell ref="A17:G17"/>
    <mergeCell ref="A15:G15"/>
    <mergeCell ref="A13:G13"/>
    <mergeCell ref="A12:G12"/>
    <mergeCell ref="A289:G289"/>
    <mergeCell ref="A290:G290"/>
    <mergeCell ref="I290:K290"/>
    <mergeCell ref="A250:G250"/>
    <mergeCell ref="A243:G243"/>
    <mergeCell ref="A237:G237"/>
    <mergeCell ref="A231:G231"/>
    <mergeCell ref="A228:G228"/>
    <mergeCell ref="A227:G227"/>
    <mergeCell ref="A278:G278"/>
    <mergeCell ref="A272:G272"/>
    <mergeCell ref="A266:G266"/>
    <mergeCell ref="A263:G263"/>
    <mergeCell ref="A262:G262"/>
    <mergeCell ref="A251:G251"/>
    <mergeCell ref="C238:E238"/>
    <mergeCell ref="C239:E239"/>
    <mergeCell ref="C240:E240"/>
    <mergeCell ref="C246:E246"/>
    <mergeCell ref="C247:E247"/>
    <mergeCell ref="C248:E248"/>
    <mergeCell ref="C249:E249"/>
    <mergeCell ref="C241:E241"/>
    <mergeCell ref="C242:E24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1:BK714"/>
  <sheetViews>
    <sheetView workbookViewId="0">
      <selection activeCell="J13" sqref="J13"/>
    </sheetView>
  </sheetViews>
  <sheetFormatPr defaultColWidth="9.109375" defaultRowHeight="11.25" customHeight="1" x14ac:dyDescent="0.2"/>
  <cols>
    <col min="1" max="1" width="20.5546875" style="1" customWidth="1"/>
    <col min="2" max="2" width="27.5546875" style="1" customWidth="1"/>
    <col min="3" max="4" width="10.44140625" style="1" customWidth="1"/>
    <col min="5" max="5" width="13.33203125" style="1" customWidth="1"/>
    <col min="6" max="7" width="10.6640625" style="1" customWidth="1"/>
    <col min="8" max="11" width="18.88671875" style="54" customWidth="1"/>
    <col min="12" max="12" width="10.6640625" style="1" customWidth="1"/>
    <col min="13" max="13" width="15.6640625" style="1" customWidth="1"/>
    <col min="14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9" s="3" customFormat="1" ht="14.4" x14ac:dyDescent="0.3">
      <c r="A1" s="95" t="s">
        <v>5589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9" s="3" customFormat="1" ht="26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9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9" s="3" customFormat="1" ht="14.4" x14ac:dyDescent="0.3">
      <c r="A5" s="404" t="s">
        <v>2359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2359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9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9" s="3" customFormat="1" ht="14.4" x14ac:dyDescent="0.3">
      <c r="A7" s="4"/>
      <c r="B7" s="8" t="s">
        <v>5</v>
      </c>
      <c r="C7" s="402" t="s">
        <v>2360</v>
      </c>
      <c r="D7" s="402"/>
      <c r="E7" s="402"/>
      <c r="F7" s="402"/>
      <c r="G7" s="402"/>
      <c r="H7" s="55"/>
      <c r="I7" s="109"/>
      <c r="J7" s="109"/>
      <c r="K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9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9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9" s="3" customFormat="1" ht="15" customHeight="1" x14ac:dyDescent="0.3">
      <c r="A11" s="435" t="s">
        <v>2361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2361</v>
      </c>
    </row>
    <row r="12" spans="1:59" s="3" customFormat="1" ht="15" customHeight="1" x14ac:dyDescent="0.3">
      <c r="A12" s="454" t="s">
        <v>2362</v>
      </c>
      <c r="B12" s="455"/>
      <c r="C12" s="455"/>
      <c r="D12" s="455"/>
      <c r="E12" s="455"/>
      <c r="F12" s="455"/>
      <c r="G12" s="455"/>
      <c r="H12" s="296"/>
      <c r="I12" s="296"/>
      <c r="J12" s="296"/>
      <c r="K12" s="297"/>
      <c r="BC12" s="14"/>
      <c r="BD12" s="15" t="s">
        <v>2362</v>
      </c>
    </row>
    <row r="13" spans="1:59" s="3" customFormat="1" ht="42" x14ac:dyDescent="0.3">
      <c r="A13" s="16" t="s">
        <v>15</v>
      </c>
      <c r="B13" s="17" t="s">
        <v>327</v>
      </c>
      <c r="C13" s="405" t="s">
        <v>328</v>
      </c>
      <c r="D13" s="405"/>
      <c r="E13" s="405"/>
      <c r="F13" s="16" t="s">
        <v>329</v>
      </c>
      <c r="G13" s="30">
        <v>0.27939999999999998</v>
      </c>
      <c r="H13" s="57">
        <f>I13/G13</f>
        <v>25173.586256263425</v>
      </c>
      <c r="I13" s="19">
        <v>7033.5000000000009</v>
      </c>
      <c r="J13" s="19">
        <f>K13/G13</f>
        <v>7875.3400143163926</v>
      </c>
      <c r="K13" s="19">
        <v>2200.37</v>
      </c>
      <c r="BC13" s="14"/>
      <c r="BD13" s="15"/>
      <c r="BE13" s="21" t="s">
        <v>328</v>
      </c>
    </row>
    <row r="14" spans="1:59" s="3" customFormat="1" ht="20.399999999999999" x14ac:dyDescent="0.3">
      <c r="A14" s="37" t="s">
        <v>143</v>
      </c>
      <c r="B14" s="38" t="s">
        <v>330</v>
      </c>
      <c r="C14" s="430" t="s">
        <v>331</v>
      </c>
      <c r="D14" s="430"/>
      <c r="E14" s="430"/>
      <c r="F14" s="39" t="s">
        <v>70</v>
      </c>
      <c r="G14" s="40" t="s">
        <v>2363</v>
      </c>
      <c r="H14" s="100"/>
      <c r="I14" s="41"/>
      <c r="J14" s="41"/>
      <c r="K14" s="42"/>
      <c r="BC14" s="14"/>
      <c r="BD14" s="15"/>
      <c r="BE14" s="21"/>
      <c r="BF14" s="43" t="s">
        <v>331</v>
      </c>
    </row>
    <row r="15" spans="1:59" s="3" customFormat="1" ht="20.399999999999999" x14ac:dyDescent="0.3">
      <c r="A15" s="37" t="s">
        <v>143</v>
      </c>
      <c r="B15" s="38" t="s">
        <v>333</v>
      </c>
      <c r="C15" s="430" t="s">
        <v>334</v>
      </c>
      <c r="D15" s="430"/>
      <c r="E15" s="430"/>
      <c r="F15" s="39" t="s">
        <v>70</v>
      </c>
      <c r="G15" s="40" t="s">
        <v>2364</v>
      </c>
      <c r="H15" s="100"/>
      <c r="I15" s="41"/>
      <c r="J15" s="41"/>
      <c r="K15" s="42"/>
      <c r="BC15" s="14"/>
      <c r="BD15" s="15"/>
      <c r="BE15" s="21"/>
      <c r="BF15" s="43" t="s">
        <v>334</v>
      </c>
    </row>
    <row r="16" spans="1:59" s="3" customFormat="1" ht="20.399999999999999" x14ac:dyDescent="0.3">
      <c r="A16" s="25"/>
      <c r="B16" s="26" t="s">
        <v>336</v>
      </c>
      <c r="C16" s="419" t="s">
        <v>337</v>
      </c>
      <c r="D16" s="419"/>
      <c r="E16" s="419"/>
      <c r="F16" s="27" t="s">
        <v>70</v>
      </c>
      <c r="G16" s="22" t="s">
        <v>2365</v>
      </c>
      <c r="H16" s="58"/>
      <c r="I16" s="28"/>
      <c r="J16" s="28"/>
      <c r="K16" s="29"/>
      <c r="BC16" s="14"/>
      <c r="BD16" s="15"/>
      <c r="BE16" s="21"/>
      <c r="BF16" s="43"/>
      <c r="BG16" s="12" t="s">
        <v>337</v>
      </c>
    </row>
    <row r="17" spans="1:60" s="3" customFormat="1" ht="20.399999999999999" x14ac:dyDescent="0.3">
      <c r="A17" s="25"/>
      <c r="B17" s="26" t="s">
        <v>339</v>
      </c>
      <c r="C17" s="419" t="s">
        <v>340</v>
      </c>
      <c r="D17" s="419"/>
      <c r="E17" s="419"/>
      <c r="F17" s="27" t="s">
        <v>75</v>
      </c>
      <c r="G17" s="22" t="s">
        <v>2366</v>
      </c>
      <c r="H17" s="58"/>
      <c r="I17" s="28"/>
      <c r="J17" s="28"/>
      <c r="K17" s="29"/>
      <c r="BC17" s="14"/>
      <c r="BD17" s="15"/>
      <c r="BE17" s="21"/>
      <c r="BF17" s="43"/>
      <c r="BG17" s="12" t="s">
        <v>340</v>
      </c>
    </row>
    <row r="18" spans="1:60" s="3" customFormat="1" ht="20.399999999999999" x14ac:dyDescent="0.3">
      <c r="A18" s="25" t="s">
        <v>129</v>
      </c>
      <c r="B18" s="26" t="s">
        <v>344</v>
      </c>
      <c r="C18" s="419" t="s">
        <v>345</v>
      </c>
      <c r="D18" s="419"/>
      <c r="E18" s="419"/>
      <c r="F18" s="27" t="s">
        <v>70</v>
      </c>
      <c r="G18" s="22" t="s">
        <v>2363</v>
      </c>
      <c r="H18" s="58"/>
      <c r="I18" s="28"/>
      <c r="J18" s="28"/>
      <c r="K18" s="29"/>
      <c r="BC18" s="14"/>
      <c r="BD18" s="15"/>
      <c r="BE18" s="21"/>
      <c r="BF18" s="43"/>
      <c r="BG18" s="12"/>
      <c r="BH18" s="12" t="s">
        <v>345</v>
      </c>
    </row>
    <row r="19" spans="1:60" s="3" customFormat="1" ht="20.399999999999999" x14ac:dyDescent="0.3">
      <c r="A19" s="25" t="s">
        <v>129</v>
      </c>
      <c r="B19" s="26" t="s">
        <v>342</v>
      </c>
      <c r="C19" s="419" t="s">
        <v>343</v>
      </c>
      <c r="D19" s="419"/>
      <c r="E19" s="419"/>
      <c r="F19" s="27" t="s">
        <v>70</v>
      </c>
      <c r="G19" s="22" t="s">
        <v>2364</v>
      </c>
      <c r="H19" s="58"/>
      <c r="I19" s="28"/>
      <c r="J19" s="28"/>
      <c r="K19" s="29"/>
      <c r="BC19" s="14"/>
      <c r="BD19" s="15"/>
      <c r="BE19" s="21"/>
      <c r="BF19" s="43"/>
      <c r="BG19" s="12"/>
      <c r="BH19" s="12" t="s">
        <v>343</v>
      </c>
    </row>
    <row r="20" spans="1:60" s="3" customFormat="1" ht="15" customHeight="1" x14ac:dyDescent="0.3">
      <c r="A20" s="454" t="s">
        <v>2367</v>
      </c>
      <c r="B20" s="455"/>
      <c r="C20" s="455"/>
      <c r="D20" s="455"/>
      <c r="E20" s="455"/>
      <c r="F20" s="455"/>
      <c r="G20" s="455"/>
      <c r="H20" s="296"/>
      <c r="I20" s="296"/>
      <c r="J20" s="296"/>
      <c r="K20" s="297"/>
      <c r="BC20" s="14"/>
      <c r="BD20" s="15" t="s">
        <v>2367</v>
      </c>
      <c r="BE20" s="21"/>
      <c r="BF20" s="43"/>
      <c r="BG20" s="12"/>
      <c r="BH20" s="12"/>
    </row>
    <row r="21" spans="1:60" s="3" customFormat="1" ht="31.8" x14ac:dyDescent="0.3">
      <c r="A21" s="16" t="s">
        <v>20</v>
      </c>
      <c r="B21" s="17" t="s">
        <v>2009</v>
      </c>
      <c r="C21" s="405" t="s">
        <v>2010</v>
      </c>
      <c r="D21" s="405"/>
      <c r="E21" s="405"/>
      <c r="F21" s="16" t="s">
        <v>46</v>
      </c>
      <c r="G21" s="18">
        <v>2.4369999999999998</v>
      </c>
      <c r="H21" s="57">
        <f>I21/G21</f>
        <v>10131.563397620026</v>
      </c>
      <c r="I21" s="19">
        <v>24690.620000000003</v>
      </c>
      <c r="J21" s="19">
        <f>K21/G21</f>
        <v>13513.771029954862</v>
      </c>
      <c r="K21" s="19">
        <v>32933.06</v>
      </c>
      <c r="BC21" s="14"/>
      <c r="BD21" s="15"/>
      <c r="BE21" s="21" t="s">
        <v>2010</v>
      </c>
      <c r="BF21" s="43"/>
      <c r="BG21" s="12"/>
      <c r="BH21" s="12"/>
    </row>
    <row r="22" spans="1:60" s="3" customFormat="1" ht="20.399999999999999" x14ac:dyDescent="0.3">
      <c r="A22" s="37" t="s">
        <v>143</v>
      </c>
      <c r="B22" s="38" t="s">
        <v>2011</v>
      </c>
      <c r="C22" s="430" t="s">
        <v>2012</v>
      </c>
      <c r="D22" s="430"/>
      <c r="E22" s="430"/>
      <c r="F22" s="39" t="s">
        <v>46</v>
      </c>
      <c r="G22" s="40" t="s">
        <v>2368</v>
      </c>
      <c r="H22" s="100"/>
      <c r="I22" s="41"/>
      <c r="J22" s="41"/>
      <c r="K22" s="42"/>
      <c r="BC22" s="14"/>
      <c r="BD22" s="15"/>
      <c r="BE22" s="21"/>
      <c r="BF22" s="43" t="s">
        <v>2012</v>
      </c>
      <c r="BG22" s="12"/>
      <c r="BH22" s="12"/>
    </row>
    <row r="23" spans="1:60" s="3" customFormat="1" ht="21.6" x14ac:dyDescent="0.3">
      <c r="A23" s="25" t="s">
        <v>129</v>
      </c>
      <c r="B23" s="26" t="s">
        <v>2369</v>
      </c>
      <c r="C23" s="419" t="s">
        <v>2370</v>
      </c>
      <c r="D23" s="419"/>
      <c r="E23" s="419"/>
      <c r="F23" s="27" t="s">
        <v>46</v>
      </c>
      <c r="G23" s="22" t="s">
        <v>2368</v>
      </c>
      <c r="H23" s="58"/>
      <c r="I23" s="28"/>
      <c r="J23" s="28"/>
      <c r="K23" s="29"/>
      <c r="BC23" s="14"/>
      <c r="BD23" s="15"/>
      <c r="BE23" s="21"/>
      <c r="BF23" s="43"/>
      <c r="BG23" s="12"/>
      <c r="BH23" s="12" t="s">
        <v>2370</v>
      </c>
    </row>
    <row r="24" spans="1:60" s="3" customFormat="1" ht="15" customHeight="1" x14ac:dyDescent="0.3">
      <c r="A24" s="454" t="s">
        <v>2371</v>
      </c>
      <c r="B24" s="455"/>
      <c r="C24" s="455"/>
      <c r="D24" s="455"/>
      <c r="E24" s="455"/>
      <c r="F24" s="455"/>
      <c r="G24" s="455"/>
      <c r="H24" s="296"/>
      <c r="I24" s="296"/>
      <c r="J24" s="296"/>
      <c r="K24" s="297"/>
      <c r="BC24" s="14"/>
      <c r="BD24" s="15" t="s">
        <v>2371</v>
      </c>
      <c r="BE24" s="21"/>
      <c r="BF24" s="43"/>
      <c r="BG24" s="12"/>
      <c r="BH24" s="12"/>
    </row>
    <row r="25" spans="1:60" s="3" customFormat="1" ht="42" x14ac:dyDescent="0.3">
      <c r="A25" s="16" t="s">
        <v>22</v>
      </c>
      <c r="B25" s="17" t="s">
        <v>2372</v>
      </c>
      <c r="C25" s="405" t="s">
        <v>2373</v>
      </c>
      <c r="D25" s="405"/>
      <c r="E25" s="405"/>
      <c r="F25" s="16" t="s">
        <v>329</v>
      </c>
      <c r="G25" s="18">
        <v>4.3999999999999997E-2</v>
      </c>
      <c r="H25" s="57">
        <f>I25/G25</f>
        <v>14382.500000000004</v>
      </c>
      <c r="I25" s="19">
        <v>632.83000000000015</v>
      </c>
      <c r="J25" s="19">
        <f>K25/G25</f>
        <v>22444.318181818184</v>
      </c>
      <c r="K25" s="19">
        <v>987.55</v>
      </c>
      <c r="BC25" s="14"/>
      <c r="BD25" s="15"/>
      <c r="BE25" s="21" t="s">
        <v>2373</v>
      </c>
      <c r="BF25" s="43"/>
      <c r="BG25" s="12"/>
      <c r="BH25" s="12"/>
    </row>
    <row r="26" spans="1:60" s="3" customFormat="1" ht="20.399999999999999" x14ac:dyDescent="0.3">
      <c r="A26" s="25"/>
      <c r="B26" s="26" t="s">
        <v>154</v>
      </c>
      <c r="C26" s="419" t="s">
        <v>155</v>
      </c>
      <c r="D26" s="419"/>
      <c r="E26" s="419"/>
      <c r="F26" s="27" t="s">
        <v>46</v>
      </c>
      <c r="G26" s="22" t="s">
        <v>2374</v>
      </c>
      <c r="H26" s="58"/>
      <c r="I26" s="28"/>
      <c r="J26" s="28"/>
      <c r="K26" s="29"/>
      <c r="BC26" s="14"/>
      <c r="BD26" s="15"/>
      <c r="BE26" s="21"/>
      <c r="BF26" s="43"/>
      <c r="BG26" s="12" t="s">
        <v>155</v>
      </c>
      <c r="BH26" s="12"/>
    </row>
    <row r="27" spans="1:60" s="3" customFormat="1" ht="21.6" x14ac:dyDescent="0.3">
      <c r="A27" s="37" t="s">
        <v>78</v>
      </c>
      <c r="B27" s="38" t="s">
        <v>2375</v>
      </c>
      <c r="C27" s="430" t="s">
        <v>2376</v>
      </c>
      <c r="D27" s="430"/>
      <c r="E27" s="430"/>
      <c r="F27" s="39" t="s">
        <v>1261</v>
      </c>
      <c r="G27" s="40" t="s">
        <v>33</v>
      </c>
      <c r="H27" s="100"/>
      <c r="I27" s="41"/>
      <c r="J27" s="41"/>
      <c r="K27" s="42"/>
      <c r="BC27" s="14"/>
      <c r="BD27" s="15"/>
      <c r="BE27" s="21"/>
      <c r="BF27" s="43" t="s">
        <v>2376</v>
      </c>
      <c r="BG27" s="12"/>
      <c r="BH27" s="12"/>
    </row>
    <row r="28" spans="1:60" s="3" customFormat="1" ht="20.399999999999999" x14ac:dyDescent="0.3">
      <c r="A28" s="37" t="s">
        <v>78</v>
      </c>
      <c r="B28" s="38" t="s">
        <v>2377</v>
      </c>
      <c r="C28" s="430" t="s">
        <v>2378</v>
      </c>
      <c r="D28" s="430"/>
      <c r="E28" s="430"/>
      <c r="F28" s="39" t="s">
        <v>46</v>
      </c>
      <c r="G28" s="40" t="s">
        <v>33</v>
      </c>
      <c r="H28" s="100"/>
      <c r="I28" s="41"/>
      <c r="J28" s="41"/>
      <c r="K28" s="42"/>
      <c r="BC28" s="14"/>
      <c r="BD28" s="15"/>
      <c r="BE28" s="21"/>
      <c r="BF28" s="43" t="s">
        <v>2378</v>
      </c>
      <c r="BG28" s="12"/>
      <c r="BH28" s="12"/>
    </row>
    <row r="29" spans="1:60" s="3" customFormat="1" ht="20.399999999999999" x14ac:dyDescent="0.3">
      <c r="A29" s="25"/>
      <c r="B29" s="26" t="s">
        <v>2379</v>
      </c>
      <c r="C29" s="419" t="s">
        <v>2380</v>
      </c>
      <c r="D29" s="419"/>
      <c r="E29" s="419"/>
      <c r="F29" s="27" t="s">
        <v>75</v>
      </c>
      <c r="G29" s="22" t="s">
        <v>2381</v>
      </c>
      <c r="H29" s="58"/>
      <c r="I29" s="28"/>
      <c r="J29" s="28"/>
      <c r="K29" s="29"/>
      <c r="BC29" s="14"/>
      <c r="BD29" s="15"/>
      <c r="BE29" s="21"/>
      <c r="BF29" s="43"/>
      <c r="BG29" s="12" t="s">
        <v>2380</v>
      </c>
      <c r="BH29" s="12"/>
    </row>
    <row r="30" spans="1:60" s="3" customFormat="1" ht="31.8" x14ac:dyDescent="0.3">
      <c r="A30" s="16" t="s">
        <v>27</v>
      </c>
      <c r="B30" s="17" t="s">
        <v>2382</v>
      </c>
      <c r="C30" s="405" t="s">
        <v>2383</v>
      </c>
      <c r="D30" s="405"/>
      <c r="E30" s="405"/>
      <c r="F30" s="16" t="s">
        <v>46</v>
      </c>
      <c r="G30" s="31">
        <v>0.44</v>
      </c>
      <c r="H30" s="57">
        <f>I30/G30</f>
        <v>0</v>
      </c>
      <c r="I30" s="19">
        <v>0</v>
      </c>
      <c r="J30" s="19">
        <f>K30/G30</f>
        <v>14058.227272727272</v>
      </c>
      <c r="K30" s="19">
        <v>6185.62</v>
      </c>
      <c r="BC30" s="14"/>
      <c r="BD30" s="15"/>
      <c r="BE30" s="21" t="s">
        <v>2383</v>
      </c>
      <c r="BF30" s="43"/>
      <c r="BG30" s="12"/>
      <c r="BH30" s="12"/>
    </row>
    <row r="31" spans="1:60" s="3" customFormat="1" ht="31.8" x14ac:dyDescent="0.3">
      <c r="A31" s="16" t="s">
        <v>35</v>
      </c>
      <c r="B31" s="17" t="s">
        <v>2384</v>
      </c>
      <c r="C31" s="405" t="s">
        <v>2385</v>
      </c>
      <c r="D31" s="405"/>
      <c r="E31" s="405"/>
      <c r="F31" s="16" t="s">
        <v>142</v>
      </c>
      <c r="G31" s="31">
        <v>1.95</v>
      </c>
      <c r="H31" s="57">
        <f>I31/G31</f>
        <v>0</v>
      </c>
      <c r="I31" s="19">
        <v>0</v>
      </c>
      <c r="J31" s="19">
        <f>K31/G31</f>
        <v>627.20000000000005</v>
      </c>
      <c r="K31" s="19">
        <v>1223.04</v>
      </c>
      <c r="BC31" s="14"/>
      <c r="BD31" s="15"/>
      <c r="BE31" s="21" t="s">
        <v>2385</v>
      </c>
      <c r="BF31" s="43"/>
      <c r="BG31" s="12"/>
      <c r="BH31" s="12"/>
    </row>
    <row r="32" spans="1:60" s="3" customFormat="1" ht="15" customHeight="1" x14ac:dyDescent="0.3">
      <c r="A32" s="454" t="s">
        <v>2386</v>
      </c>
      <c r="B32" s="455"/>
      <c r="C32" s="455"/>
      <c r="D32" s="455"/>
      <c r="E32" s="455"/>
      <c r="F32" s="455"/>
      <c r="G32" s="455"/>
      <c r="H32" s="296"/>
      <c r="I32" s="296"/>
      <c r="J32" s="296"/>
      <c r="K32" s="297"/>
      <c r="BC32" s="14"/>
      <c r="BD32" s="15" t="s">
        <v>2386</v>
      </c>
      <c r="BE32" s="21"/>
      <c r="BF32" s="43"/>
      <c r="BG32" s="12"/>
      <c r="BH32" s="12"/>
    </row>
    <row r="33" spans="1:60" s="3" customFormat="1" ht="21.6" x14ac:dyDescent="0.3">
      <c r="A33" s="16" t="s">
        <v>40</v>
      </c>
      <c r="B33" s="17" t="s">
        <v>2387</v>
      </c>
      <c r="C33" s="405" t="s">
        <v>2388</v>
      </c>
      <c r="D33" s="405"/>
      <c r="E33" s="405"/>
      <c r="F33" s="16" t="s">
        <v>329</v>
      </c>
      <c r="G33" s="30">
        <v>0.1303</v>
      </c>
      <c r="H33" s="57">
        <f>I33/G33</f>
        <v>114178.1273983116</v>
      </c>
      <c r="I33" s="19">
        <v>14877.410000000002</v>
      </c>
      <c r="J33" s="19">
        <f>K33/G33</f>
        <v>42199.386032233306</v>
      </c>
      <c r="K33" s="19">
        <v>5498.58</v>
      </c>
      <c r="BC33" s="14"/>
      <c r="BD33" s="15"/>
      <c r="BE33" s="21" t="s">
        <v>2388</v>
      </c>
      <c r="BF33" s="43"/>
      <c r="BG33" s="12"/>
      <c r="BH33" s="12"/>
    </row>
    <row r="34" spans="1:60" s="3" customFormat="1" ht="20.399999999999999" x14ac:dyDescent="0.3">
      <c r="A34" s="25"/>
      <c r="B34" s="26" t="s">
        <v>154</v>
      </c>
      <c r="C34" s="419" t="s">
        <v>155</v>
      </c>
      <c r="D34" s="419"/>
      <c r="E34" s="419"/>
      <c r="F34" s="27" t="s">
        <v>46</v>
      </c>
      <c r="G34" s="22" t="s">
        <v>2389</v>
      </c>
      <c r="H34" s="58"/>
      <c r="I34" s="28"/>
      <c r="J34" s="28"/>
      <c r="K34" s="29"/>
      <c r="BC34" s="14"/>
      <c r="BD34" s="15"/>
      <c r="BE34" s="21"/>
      <c r="BF34" s="43"/>
      <c r="BG34" s="12" t="s">
        <v>155</v>
      </c>
      <c r="BH34" s="12"/>
    </row>
    <row r="35" spans="1:60" s="3" customFormat="1" ht="20.399999999999999" x14ac:dyDescent="0.3">
      <c r="A35" s="25"/>
      <c r="B35" s="26" t="s">
        <v>73</v>
      </c>
      <c r="C35" s="419" t="s">
        <v>74</v>
      </c>
      <c r="D35" s="419"/>
      <c r="E35" s="419"/>
      <c r="F35" s="27" t="s">
        <v>75</v>
      </c>
      <c r="G35" s="22" t="s">
        <v>2390</v>
      </c>
      <c r="H35" s="58"/>
      <c r="I35" s="28"/>
      <c r="J35" s="28"/>
      <c r="K35" s="29"/>
      <c r="BC35" s="14"/>
      <c r="BD35" s="15"/>
      <c r="BE35" s="21"/>
      <c r="BF35" s="43"/>
      <c r="BG35" s="12" t="s">
        <v>74</v>
      </c>
      <c r="BH35" s="12"/>
    </row>
    <row r="36" spans="1:60" s="3" customFormat="1" ht="21.6" x14ac:dyDescent="0.3">
      <c r="A36" s="25"/>
      <c r="B36" s="26" t="s">
        <v>2391</v>
      </c>
      <c r="C36" s="419" t="s">
        <v>2392</v>
      </c>
      <c r="D36" s="419"/>
      <c r="E36" s="419"/>
      <c r="F36" s="27" t="s">
        <v>70</v>
      </c>
      <c r="G36" s="22" t="s">
        <v>2393</v>
      </c>
      <c r="H36" s="58"/>
      <c r="I36" s="28"/>
      <c r="J36" s="28"/>
      <c r="K36" s="29"/>
      <c r="BC36" s="14"/>
      <c r="BD36" s="15"/>
      <c r="BE36" s="21"/>
      <c r="BF36" s="43"/>
      <c r="BG36" s="12" t="s">
        <v>2392</v>
      </c>
      <c r="BH36" s="12"/>
    </row>
    <row r="37" spans="1:60" s="3" customFormat="1" ht="21.6" x14ac:dyDescent="0.3">
      <c r="A37" s="25"/>
      <c r="B37" s="26" t="s">
        <v>105</v>
      </c>
      <c r="C37" s="419" t="s">
        <v>106</v>
      </c>
      <c r="D37" s="419"/>
      <c r="E37" s="419"/>
      <c r="F37" s="27" t="s">
        <v>70</v>
      </c>
      <c r="G37" s="22" t="s">
        <v>2394</v>
      </c>
      <c r="H37" s="58"/>
      <c r="I37" s="28"/>
      <c r="J37" s="28"/>
      <c r="K37" s="29"/>
      <c r="BC37" s="14"/>
      <c r="BD37" s="15"/>
      <c r="BE37" s="21"/>
      <c r="BF37" s="43"/>
      <c r="BG37" s="12" t="s">
        <v>106</v>
      </c>
      <c r="BH37" s="12"/>
    </row>
    <row r="38" spans="1:60" s="3" customFormat="1" ht="21.6" x14ac:dyDescent="0.3">
      <c r="A38" s="25"/>
      <c r="B38" s="26" t="s">
        <v>2395</v>
      </c>
      <c r="C38" s="419" t="s">
        <v>2396</v>
      </c>
      <c r="D38" s="419"/>
      <c r="E38" s="419"/>
      <c r="F38" s="27" t="s">
        <v>46</v>
      </c>
      <c r="G38" s="22" t="s">
        <v>2397</v>
      </c>
      <c r="H38" s="58"/>
      <c r="I38" s="28"/>
      <c r="J38" s="28"/>
      <c r="K38" s="29"/>
      <c r="BC38" s="14"/>
      <c r="BD38" s="15"/>
      <c r="BE38" s="21"/>
      <c r="BF38" s="43"/>
      <c r="BG38" s="12" t="s">
        <v>2396</v>
      </c>
      <c r="BH38" s="12"/>
    </row>
    <row r="39" spans="1:60" s="3" customFormat="1" ht="21.6" x14ac:dyDescent="0.3">
      <c r="A39" s="25"/>
      <c r="B39" s="26" t="s">
        <v>2398</v>
      </c>
      <c r="C39" s="419" t="s">
        <v>2399</v>
      </c>
      <c r="D39" s="419"/>
      <c r="E39" s="419"/>
      <c r="F39" s="27" t="s">
        <v>158</v>
      </c>
      <c r="G39" s="22" t="s">
        <v>2400</v>
      </c>
      <c r="H39" s="58"/>
      <c r="I39" s="28"/>
      <c r="J39" s="28"/>
      <c r="K39" s="29"/>
      <c r="BC39" s="14"/>
      <c r="BD39" s="15"/>
      <c r="BE39" s="21"/>
      <c r="BF39" s="43"/>
      <c r="BG39" s="12" t="s">
        <v>2399</v>
      </c>
      <c r="BH39" s="12"/>
    </row>
    <row r="40" spans="1:60" s="3" customFormat="1" ht="21.6" x14ac:dyDescent="0.3">
      <c r="A40" s="16" t="s">
        <v>47</v>
      </c>
      <c r="B40" s="17" t="s">
        <v>2401</v>
      </c>
      <c r="C40" s="405" t="s">
        <v>2402</v>
      </c>
      <c r="D40" s="405"/>
      <c r="E40" s="405"/>
      <c r="F40" s="16" t="s">
        <v>329</v>
      </c>
      <c r="G40" s="30">
        <v>0.1303</v>
      </c>
      <c r="H40" s="57">
        <f>I40/G40</f>
        <v>17146.124328472757</v>
      </c>
      <c r="I40" s="19">
        <v>2234.1400000000003</v>
      </c>
      <c r="J40" s="19">
        <f>K40/G40</f>
        <v>17144.359171143515</v>
      </c>
      <c r="K40" s="19">
        <v>2233.91</v>
      </c>
      <c r="BC40" s="14"/>
      <c r="BD40" s="15"/>
      <c r="BE40" s="21" t="s">
        <v>2402</v>
      </c>
      <c r="BF40" s="43"/>
      <c r="BG40" s="12"/>
      <c r="BH40" s="12"/>
    </row>
    <row r="41" spans="1:60" s="3" customFormat="1" ht="20.399999999999999" x14ac:dyDescent="0.3">
      <c r="A41" s="25"/>
      <c r="B41" s="26" t="s">
        <v>154</v>
      </c>
      <c r="C41" s="419" t="s">
        <v>155</v>
      </c>
      <c r="D41" s="419"/>
      <c r="E41" s="419"/>
      <c r="F41" s="27" t="s">
        <v>46</v>
      </c>
      <c r="G41" s="22" t="s">
        <v>2403</v>
      </c>
      <c r="H41" s="58"/>
      <c r="I41" s="28"/>
      <c r="J41" s="28"/>
      <c r="K41" s="29"/>
      <c r="BC41" s="14"/>
      <c r="BD41" s="15"/>
      <c r="BE41" s="21"/>
      <c r="BF41" s="43"/>
      <c r="BG41" s="12" t="s">
        <v>155</v>
      </c>
      <c r="BH41" s="12"/>
    </row>
    <row r="42" spans="1:60" s="3" customFormat="1" ht="20.399999999999999" x14ac:dyDescent="0.3">
      <c r="A42" s="25"/>
      <c r="B42" s="26" t="s">
        <v>339</v>
      </c>
      <c r="C42" s="419" t="s">
        <v>340</v>
      </c>
      <c r="D42" s="419"/>
      <c r="E42" s="419"/>
      <c r="F42" s="27" t="s">
        <v>75</v>
      </c>
      <c r="G42" s="22" t="s">
        <v>2389</v>
      </c>
      <c r="H42" s="58"/>
      <c r="I42" s="28"/>
      <c r="J42" s="28"/>
      <c r="K42" s="29"/>
      <c r="BC42" s="14"/>
      <c r="BD42" s="15"/>
      <c r="BE42" s="21"/>
      <c r="BF42" s="43"/>
      <c r="BG42" s="12" t="s">
        <v>340</v>
      </c>
      <c r="BH42" s="12"/>
    </row>
    <row r="43" spans="1:60" s="3" customFormat="1" ht="20.399999999999999" x14ac:dyDescent="0.3">
      <c r="A43" s="25"/>
      <c r="B43" s="26" t="s">
        <v>2404</v>
      </c>
      <c r="C43" s="419" t="s">
        <v>2405</v>
      </c>
      <c r="D43" s="419"/>
      <c r="E43" s="419"/>
      <c r="F43" s="27" t="s">
        <v>70</v>
      </c>
      <c r="G43" s="22" t="s">
        <v>2406</v>
      </c>
      <c r="H43" s="58"/>
      <c r="I43" s="28"/>
      <c r="J43" s="28"/>
      <c r="K43" s="29"/>
      <c r="BC43" s="14"/>
      <c r="BD43" s="15"/>
      <c r="BE43" s="21"/>
      <c r="BF43" s="43"/>
      <c r="BG43" s="12" t="s">
        <v>2405</v>
      </c>
      <c r="BH43" s="12"/>
    </row>
    <row r="44" spans="1:60" s="3" customFormat="1" ht="21.6" x14ac:dyDescent="0.3">
      <c r="A44" s="25"/>
      <c r="B44" s="26" t="s">
        <v>2407</v>
      </c>
      <c r="C44" s="419" t="s">
        <v>2408</v>
      </c>
      <c r="D44" s="419"/>
      <c r="E44" s="419"/>
      <c r="F44" s="27" t="s">
        <v>46</v>
      </c>
      <c r="G44" s="22" t="s">
        <v>2409</v>
      </c>
      <c r="H44" s="58"/>
      <c r="I44" s="28"/>
      <c r="J44" s="28"/>
      <c r="K44" s="29"/>
      <c r="BC44" s="14"/>
      <c r="BD44" s="15"/>
      <c r="BE44" s="21"/>
      <c r="BF44" s="43"/>
      <c r="BG44" s="12" t="s">
        <v>2408</v>
      </c>
      <c r="BH44" s="12"/>
    </row>
    <row r="45" spans="1:60" s="3" customFormat="1" ht="21.6" x14ac:dyDescent="0.3">
      <c r="A45" s="25"/>
      <c r="B45" s="26" t="s">
        <v>2410</v>
      </c>
      <c r="C45" s="419" t="s">
        <v>2411</v>
      </c>
      <c r="D45" s="419"/>
      <c r="E45" s="419"/>
      <c r="F45" s="27" t="s">
        <v>46</v>
      </c>
      <c r="G45" s="22" t="s">
        <v>2412</v>
      </c>
      <c r="H45" s="58"/>
      <c r="I45" s="28"/>
      <c r="J45" s="28"/>
      <c r="K45" s="29"/>
      <c r="BC45" s="14"/>
      <c r="BD45" s="15"/>
      <c r="BE45" s="21"/>
      <c r="BF45" s="43"/>
      <c r="BG45" s="12" t="s">
        <v>2411</v>
      </c>
      <c r="BH45" s="12"/>
    </row>
    <row r="46" spans="1:60" s="3" customFormat="1" ht="20.399999999999999" x14ac:dyDescent="0.3">
      <c r="A46" s="25"/>
      <c r="B46" s="26" t="s">
        <v>2413</v>
      </c>
      <c r="C46" s="419" t="s">
        <v>2414</v>
      </c>
      <c r="D46" s="419"/>
      <c r="E46" s="419"/>
      <c r="F46" s="27" t="s">
        <v>70</v>
      </c>
      <c r="G46" s="22" t="s">
        <v>2415</v>
      </c>
      <c r="H46" s="58"/>
      <c r="I46" s="28"/>
      <c r="J46" s="28"/>
      <c r="K46" s="29"/>
      <c r="BC46" s="14"/>
      <c r="BD46" s="15"/>
      <c r="BE46" s="21"/>
      <c r="BF46" s="43"/>
      <c r="BG46" s="12" t="s">
        <v>2414</v>
      </c>
      <c r="BH46" s="12"/>
    </row>
    <row r="47" spans="1:60" s="3" customFormat="1" ht="20.399999999999999" x14ac:dyDescent="0.3">
      <c r="A47" s="37" t="s">
        <v>143</v>
      </c>
      <c r="B47" s="38" t="s">
        <v>2416</v>
      </c>
      <c r="C47" s="430" t="s">
        <v>2417</v>
      </c>
      <c r="D47" s="430"/>
      <c r="E47" s="430"/>
      <c r="F47" s="39" t="s">
        <v>70</v>
      </c>
      <c r="G47" s="40" t="s">
        <v>2418</v>
      </c>
      <c r="H47" s="100"/>
      <c r="I47" s="41"/>
      <c r="J47" s="41"/>
      <c r="K47" s="42"/>
      <c r="BC47" s="14"/>
      <c r="BD47" s="15"/>
      <c r="BE47" s="21"/>
      <c r="BF47" s="43" t="s">
        <v>2417</v>
      </c>
      <c r="BG47" s="12"/>
      <c r="BH47" s="12"/>
    </row>
    <row r="48" spans="1:60" s="3" customFormat="1" ht="20.399999999999999" x14ac:dyDescent="0.3">
      <c r="A48" s="25" t="s">
        <v>129</v>
      </c>
      <c r="B48" s="26" t="s">
        <v>2419</v>
      </c>
      <c r="C48" s="419" t="s">
        <v>2417</v>
      </c>
      <c r="D48" s="419"/>
      <c r="E48" s="419"/>
      <c r="F48" s="27" t="s">
        <v>75</v>
      </c>
      <c r="G48" s="22" t="s">
        <v>2420</v>
      </c>
      <c r="H48" s="58"/>
      <c r="I48" s="28"/>
      <c r="J48" s="28"/>
      <c r="K48" s="29"/>
      <c r="BC48" s="14"/>
      <c r="BD48" s="15"/>
      <c r="BE48" s="21"/>
      <c r="BF48" s="43"/>
      <c r="BG48" s="12"/>
      <c r="BH48" s="12" t="s">
        <v>2417</v>
      </c>
    </row>
    <row r="49" spans="1:60" s="3" customFormat="1" ht="15" customHeight="1" x14ac:dyDescent="0.3">
      <c r="A49" s="454" t="s">
        <v>2421</v>
      </c>
      <c r="B49" s="455"/>
      <c r="C49" s="455"/>
      <c r="D49" s="455"/>
      <c r="E49" s="455"/>
      <c r="F49" s="455"/>
      <c r="G49" s="455"/>
      <c r="H49" s="296"/>
      <c r="I49" s="296"/>
      <c r="J49" s="296"/>
      <c r="K49" s="297"/>
      <c r="BC49" s="14"/>
      <c r="BD49" s="15" t="s">
        <v>2421</v>
      </c>
      <c r="BE49" s="21"/>
      <c r="BF49" s="43"/>
      <c r="BG49" s="12"/>
      <c r="BH49" s="12"/>
    </row>
    <row r="50" spans="1:60" s="3" customFormat="1" ht="42" x14ac:dyDescent="0.3">
      <c r="A50" s="16" t="s">
        <v>52</v>
      </c>
      <c r="B50" s="17" t="s">
        <v>2422</v>
      </c>
      <c r="C50" s="405" t="s">
        <v>2423</v>
      </c>
      <c r="D50" s="405"/>
      <c r="E50" s="405"/>
      <c r="F50" s="16" t="s">
        <v>67</v>
      </c>
      <c r="G50" s="18">
        <v>0.27300000000000002</v>
      </c>
      <c r="H50" s="57">
        <f>I50/G50</f>
        <v>10810.76923076923</v>
      </c>
      <c r="I50" s="19">
        <v>2951.34</v>
      </c>
      <c r="J50" s="19">
        <f>K50/G50</f>
        <v>1644.5787545787546</v>
      </c>
      <c r="K50" s="19">
        <v>448.97</v>
      </c>
      <c r="BC50" s="14"/>
      <c r="BD50" s="15"/>
      <c r="BE50" s="21" t="s">
        <v>2423</v>
      </c>
      <c r="BF50" s="43"/>
      <c r="BG50" s="12"/>
      <c r="BH50" s="12"/>
    </row>
    <row r="51" spans="1:60" s="3" customFormat="1" ht="31.8" x14ac:dyDescent="0.3">
      <c r="A51" s="25"/>
      <c r="B51" s="26" t="s">
        <v>2424</v>
      </c>
      <c r="C51" s="419" t="s">
        <v>2425</v>
      </c>
      <c r="D51" s="419"/>
      <c r="E51" s="419"/>
      <c r="F51" s="27" t="s">
        <v>70</v>
      </c>
      <c r="G51" s="22" t="s">
        <v>2426</v>
      </c>
      <c r="H51" s="58"/>
      <c r="I51" s="28"/>
      <c r="J51" s="28"/>
      <c r="K51" s="29"/>
      <c r="BC51" s="14"/>
      <c r="BD51" s="15"/>
      <c r="BE51" s="21"/>
      <c r="BF51" s="43"/>
      <c r="BG51" s="12" t="s">
        <v>2425</v>
      </c>
      <c r="BH51" s="12"/>
    </row>
    <row r="52" spans="1:60" s="3" customFormat="1" ht="31.8" x14ac:dyDescent="0.3">
      <c r="A52" s="25"/>
      <c r="B52" s="26" t="s">
        <v>2427</v>
      </c>
      <c r="C52" s="419" t="s">
        <v>2428</v>
      </c>
      <c r="D52" s="419"/>
      <c r="E52" s="419"/>
      <c r="F52" s="27" t="s">
        <v>67</v>
      </c>
      <c r="G52" s="22" t="s">
        <v>2429</v>
      </c>
      <c r="H52" s="58"/>
      <c r="I52" s="28"/>
      <c r="J52" s="28"/>
      <c r="K52" s="29"/>
      <c r="BC52" s="14"/>
      <c r="BD52" s="15"/>
      <c r="BE52" s="21"/>
      <c r="BF52" s="43"/>
      <c r="BG52" s="12" t="s">
        <v>2428</v>
      </c>
      <c r="BH52" s="12"/>
    </row>
    <row r="53" spans="1:60" s="3" customFormat="1" ht="20.399999999999999" x14ac:dyDescent="0.3">
      <c r="A53" s="25"/>
      <c r="B53" s="26" t="s">
        <v>2430</v>
      </c>
      <c r="C53" s="419" t="s">
        <v>2431</v>
      </c>
      <c r="D53" s="419"/>
      <c r="E53" s="419"/>
      <c r="F53" s="27" t="s">
        <v>70</v>
      </c>
      <c r="G53" s="22" t="s">
        <v>2432</v>
      </c>
      <c r="H53" s="58"/>
      <c r="I53" s="28"/>
      <c r="J53" s="28"/>
      <c r="K53" s="29"/>
      <c r="BC53" s="14"/>
      <c r="BD53" s="15"/>
      <c r="BE53" s="21"/>
      <c r="BF53" s="43"/>
      <c r="BG53" s="12" t="s">
        <v>2431</v>
      </c>
      <c r="BH53" s="12"/>
    </row>
    <row r="54" spans="1:60" s="3" customFormat="1" ht="20.399999999999999" x14ac:dyDescent="0.3">
      <c r="A54" s="25"/>
      <c r="B54" s="26" t="s">
        <v>2433</v>
      </c>
      <c r="C54" s="419" t="s">
        <v>2434</v>
      </c>
      <c r="D54" s="419"/>
      <c r="E54" s="419"/>
      <c r="F54" s="27" t="s">
        <v>70</v>
      </c>
      <c r="G54" s="22" t="s">
        <v>2435</v>
      </c>
      <c r="H54" s="58"/>
      <c r="I54" s="28"/>
      <c r="J54" s="28"/>
      <c r="K54" s="29"/>
      <c r="BC54" s="14"/>
      <c r="BD54" s="15"/>
      <c r="BE54" s="21"/>
      <c r="BF54" s="43"/>
      <c r="BG54" s="12" t="s">
        <v>2434</v>
      </c>
      <c r="BH54" s="12"/>
    </row>
    <row r="55" spans="1:60" s="3" customFormat="1" ht="15" customHeight="1" x14ac:dyDescent="0.3">
      <c r="A55" s="435" t="s">
        <v>2436</v>
      </c>
      <c r="B55" s="436"/>
      <c r="C55" s="436"/>
      <c r="D55" s="436"/>
      <c r="E55" s="436"/>
      <c r="F55" s="436"/>
      <c r="G55" s="436"/>
      <c r="H55" s="103"/>
      <c r="I55" s="103"/>
      <c r="J55" s="103"/>
      <c r="K55" s="104"/>
      <c r="BC55" s="14" t="s">
        <v>2436</v>
      </c>
      <c r="BD55" s="15"/>
      <c r="BE55" s="21"/>
      <c r="BF55" s="43"/>
      <c r="BG55" s="12"/>
      <c r="BH55" s="12"/>
    </row>
    <row r="56" spans="1:60" s="3" customFormat="1" ht="15" customHeight="1" x14ac:dyDescent="0.3">
      <c r="A56" s="454" t="s">
        <v>2437</v>
      </c>
      <c r="B56" s="455"/>
      <c r="C56" s="455"/>
      <c r="D56" s="455"/>
      <c r="E56" s="455"/>
      <c r="F56" s="455"/>
      <c r="G56" s="455"/>
      <c r="H56" s="296"/>
      <c r="I56" s="296"/>
      <c r="J56" s="296"/>
      <c r="K56" s="297"/>
      <c r="BC56" s="14"/>
      <c r="BD56" s="15" t="s">
        <v>2437</v>
      </c>
      <c r="BE56" s="21"/>
      <c r="BF56" s="43"/>
      <c r="BG56" s="12"/>
      <c r="BH56" s="12"/>
    </row>
    <row r="57" spans="1:60" s="3" customFormat="1" ht="31.8" x14ac:dyDescent="0.3">
      <c r="A57" s="16" t="s">
        <v>55</v>
      </c>
      <c r="B57" s="17" t="s">
        <v>2438</v>
      </c>
      <c r="C57" s="405" t="s">
        <v>2439</v>
      </c>
      <c r="D57" s="405"/>
      <c r="E57" s="405"/>
      <c r="F57" s="16" t="s">
        <v>329</v>
      </c>
      <c r="G57" s="30">
        <v>0.3654</v>
      </c>
      <c r="H57" s="57">
        <f>I57/G57</f>
        <v>255986.80897646412</v>
      </c>
      <c r="I57" s="19">
        <v>93537.579999999987</v>
      </c>
      <c r="J57" s="19">
        <f>K57/G57</f>
        <v>247868.77394636016</v>
      </c>
      <c r="K57" s="19">
        <v>90571.25</v>
      </c>
      <c r="BC57" s="14"/>
      <c r="BD57" s="15"/>
      <c r="BE57" s="21" t="s">
        <v>2439</v>
      </c>
      <c r="BF57" s="43"/>
      <c r="BG57" s="12"/>
      <c r="BH57" s="12"/>
    </row>
    <row r="58" spans="1:60" s="3" customFormat="1" ht="20.399999999999999" x14ac:dyDescent="0.3">
      <c r="A58" s="25"/>
      <c r="B58" s="26" t="s">
        <v>384</v>
      </c>
      <c r="C58" s="419" t="s">
        <v>385</v>
      </c>
      <c r="D58" s="419"/>
      <c r="E58" s="419"/>
      <c r="F58" s="27" t="s">
        <v>46</v>
      </c>
      <c r="G58" s="22" t="s">
        <v>2440</v>
      </c>
      <c r="H58" s="58"/>
      <c r="I58" s="28"/>
      <c r="J58" s="28"/>
      <c r="K58" s="29"/>
      <c r="BC58" s="14"/>
      <c r="BD58" s="15"/>
      <c r="BE58" s="21"/>
      <c r="BF58" s="43"/>
      <c r="BG58" s="12" t="s">
        <v>385</v>
      </c>
      <c r="BH58" s="12"/>
    </row>
    <row r="59" spans="1:60" s="3" customFormat="1" ht="20.399999999999999" x14ac:dyDescent="0.3">
      <c r="A59" s="25"/>
      <c r="B59" s="26" t="s">
        <v>387</v>
      </c>
      <c r="C59" s="419" t="s">
        <v>388</v>
      </c>
      <c r="D59" s="419"/>
      <c r="E59" s="419"/>
      <c r="F59" s="27" t="s">
        <v>75</v>
      </c>
      <c r="G59" s="22" t="s">
        <v>2441</v>
      </c>
      <c r="H59" s="58"/>
      <c r="I59" s="28"/>
      <c r="J59" s="28"/>
      <c r="K59" s="29"/>
      <c r="BC59" s="14"/>
      <c r="BD59" s="15"/>
      <c r="BE59" s="21"/>
      <c r="BF59" s="43"/>
      <c r="BG59" s="12" t="s">
        <v>388</v>
      </c>
      <c r="BH59" s="12"/>
    </row>
    <row r="60" spans="1:60" s="3" customFormat="1" ht="20.399999999999999" x14ac:dyDescent="0.3">
      <c r="A60" s="25"/>
      <c r="B60" s="26" t="s">
        <v>277</v>
      </c>
      <c r="C60" s="419" t="s">
        <v>278</v>
      </c>
      <c r="D60" s="419"/>
      <c r="E60" s="419"/>
      <c r="F60" s="27" t="s">
        <v>70</v>
      </c>
      <c r="G60" s="22" t="s">
        <v>2442</v>
      </c>
      <c r="H60" s="58"/>
      <c r="I60" s="28"/>
      <c r="J60" s="28"/>
      <c r="K60" s="29"/>
      <c r="BC60" s="14"/>
      <c r="BD60" s="15"/>
      <c r="BE60" s="21"/>
      <c r="BF60" s="43"/>
      <c r="BG60" s="12" t="s">
        <v>278</v>
      </c>
      <c r="BH60" s="12"/>
    </row>
    <row r="61" spans="1:60" s="3" customFormat="1" ht="20.399999999999999" x14ac:dyDescent="0.3">
      <c r="A61" s="25"/>
      <c r="B61" s="26" t="s">
        <v>391</v>
      </c>
      <c r="C61" s="419" t="s">
        <v>392</v>
      </c>
      <c r="D61" s="419"/>
      <c r="E61" s="419"/>
      <c r="F61" s="27" t="s">
        <v>75</v>
      </c>
      <c r="G61" s="22" t="s">
        <v>2443</v>
      </c>
      <c r="H61" s="58"/>
      <c r="I61" s="28"/>
      <c r="J61" s="28"/>
      <c r="K61" s="29"/>
      <c r="BC61" s="14"/>
      <c r="BD61" s="15"/>
      <c r="BE61" s="21"/>
      <c r="BF61" s="43"/>
      <c r="BG61" s="12" t="s">
        <v>392</v>
      </c>
      <c r="BH61" s="12"/>
    </row>
    <row r="62" spans="1:60" s="3" customFormat="1" ht="20.399999999999999" x14ac:dyDescent="0.3">
      <c r="A62" s="25"/>
      <c r="B62" s="26" t="s">
        <v>76</v>
      </c>
      <c r="C62" s="419" t="s">
        <v>77</v>
      </c>
      <c r="D62" s="419"/>
      <c r="E62" s="419"/>
      <c r="F62" s="27" t="s">
        <v>70</v>
      </c>
      <c r="G62" s="22" t="s">
        <v>2444</v>
      </c>
      <c r="H62" s="58"/>
      <c r="I62" s="28"/>
      <c r="J62" s="28"/>
      <c r="K62" s="29"/>
      <c r="BC62" s="14"/>
      <c r="BD62" s="15"/>
      <c r="BE62" s="21"/>
      <c r="BF62" s="43"/>
      <c r="BG62" s="12" t="s">
        <v>77</v>
      </c>
      <c r="BH62" s="12"/>
    </row>
    <row r="63" spans="1:60" s="3" customFormat="1" ht="20.399999999999999" x14ac:dyDescent="0.3">
      <c r="A63" s="25"/>
      <c r="B63" s="26" t="s">
        <v>395</v>
      </c>
      <c r="C63" s="419" t="s">
        <v>396</v>
      </c>
      <c r="D63" s="419"/>
      <c r="E63" s="419"/>
      <c r="F63" s="27" t="s">
        <v>70</v>
      </c>
      <c r="G63" s="22" t="s">
        <v>2445</v>
      </c>
      <c r="H63" s="58"/>
      <c r="I63" s="28"/>
      <c r="J63" s="28"/>
      <c r="K63" s="29"/>
      <c r="BC63" s="14"/>
      <c r="BD63" s="15"/>
      <c r="BE63" s="21"/>
      <c r="BF63" s="43"/>
      <c r="BG63" s="12" t="s">
        <v>396</v>
      </c>
      <c r="BH63" s="12"/>
    </row>
    <row r="64" spans="1:60" s="3" customFormat="1" ht="21.6" x14ac:dyDescent="0.3">
      <c r="A64" s="37" t="s">
        <v>78</v>
      </c>
      <c r="B64" s="38" t="s">
        <v>2446</v>
      </c>
      <c r="C64" s="430" t="s">
        <v>2447</v>
      </c>
      <c r="D64" s="430"/>
      <c r="E64" s="430"/>
      <c r="F64" s="39" t="s">
        <v>158</v>
      </c>
      <c r="G64" s="40" t="s">
        <v>33</v>
      </c>
      <c r="H64" s="100"/>
      <c r="I64" s="41"/>
      <c r="J64" s="41"/>
      <c r="K64" s="42"/>
      <c r="BC64" s="14"/>
      <c r="BD64" s="15"/>
      <c r="BE64" s="21"/>
      <c r="BF64" s="43" t="s">
        <v>2447</v>
      </c>
      <c r="BG64" s="12"/>
      <c r="BH64" s="12"/>
    </row>
    <row r="65" spans="1:60" s="3" customFormat="1" ht="42" x14ac:dyDescent="0.3">
      <c r="A65" s="25"/>
      <c r="B65" s="26" t="s">
        <v>512</v>
      </c>
      <c r="C65" s="419" t="s">
        <v>513</v>
      </c>
      <c r="D65" s="419"/>
      <c r="E65" s="419"/>
      <c r="F65" s="27" t="s">
        <v>70</v>
      </c>
      <c r="G65" s="22" t="s">
        <v>2448</v>
      </c>
      <c r="H65" s="58"/>
      <c r="I65" s="28"/>
      <c r="J65" s="28"/>
      <c r="K65" s="29"/>
      <c r="BC65" s="14"/>
      <c r="BD65" s="15"/>
      <c r="BE65" s="21"/>
      <c r="BF65" s="43"/>
      <c r="BG65" s="12" t="s">
        <v>513</v>
      </c>
      <c r="BH65" s="12"/>
    </row>
    <row r="66" spans="1:60" s="3" customFormat="1" ht="21.6" x14ac:dyDescent="0.3">
      <c r="A66" s="37" t="s">
        <v>143</v>
      </c>
      <c r="B66" s="38" t="s">
        <v>2059</v>
      </c>
      <c r="C66" s="430" t="s">
        <v>2449</v>
      </c>
      <c r="D66" s="430"/>
      <c r="E66" s="430"/>
      <c r="F66" s="39" t="s">
        <v>70</v>
      </c>
      <c r="G66" s="40" t="s">
        <v>2450</v>
      </c>
      <c r="H66" s="100"/>
      <c r="I66" s="41"/>
      <c r="J66" s="41"/>
      <c r="K66" s="42"/>
      <c r="BC66" s="14"/>
      <c r="BD66" s="15"/>
      <c r="BE66" s="21"/>
      <c r="BF66" s="43" t="s">
        <v>2449</v>
      </c>
      <c r="BG66" s="12"/>
      <c r="BH66" s="12"/>
    </row>
    <row r="67" spans="1:60" s="3" customFormat="1" ht="42" x14ac:dyDescent="0.3">
      <c r="A67" s="25"/>
      <c r="B67" s="26" t="s">
        <v>404</v>
      </c>
      <c r="C67" s="419" t="s">
        <v>405</v>
      </c>
      <c r="D67" s="419"/>
      <c r="E67" s="419"/>
      <c r="F67" s="27" t="s">
        <v>406</v>
      </c>
      <c r="G67" s="22" t="s">
        <v>2451</v>
      </c>
      <c r="H67" s="58"/>
      <c r="I67" s="28"/>
      <c r="J67" s="28"/>
      <c r="K67" s="29"/>
      <c r="BC67" s="14"/>
      <c r="BD67" s="15"/>
      <c r="BE67" s="21"/>
      <c r="BF67" s="43"/>
      <c r="BG67" s="12" t="s">
        <v>405</v>
      </c>
      <c r="BH67" s="12"/>
    </row>
    <row r="68" spans="1:60" s="3" customFormat="1" ht="21.6" x14ac:dyDescent="0.3">
      <c r="A68" s="25"/>
      <c r="B68" s="26" t="s">
        <v>285</v>
      </c>
      <c r="C68" s="419" t="s">
        <v>286</v>
      </c>
      <c r="D68" s="419"/>
      <c r="E68" s="419"/>
      <c r="F68" s="27" t="s">
        <v>70</v>
      </c>
      <c r="G68" s="22" t="s">
        <v>2452</v>
      </c>
      <c r="H68" s="58"/>
      <c r="I68" s="28"/>
      <c r="J68" s="28"/>
      <c r="K68" s="29"/>
      <c r="BC68" s="14"/>
      <c r="BD68" s="15"/>
      <c r="BE68" s="21"/>
      <c r="BF68" s="43"/>
      <c r="BG68" s="12" t="s">
        <v>286</v>
      </c>
      <c r="BH68" s="12"/>
    </row>
    <row r="69" spans="1:60" s="3" customFormat="1" ht="20.399999999999999" x14ac:dyDescent="0.3">
      <c r="A69" s="25"/>
      <c r="B69" s="26" t="s">
        <v>409</v>
      </c>
      <c r="C69" s="419" t="s">
        <v>410</v>
      </c>
      <c r="D69" s="419"/>
      <c r="E69" s="419"/>
      <c r="F69" s="27" t="s">
        <v>70</v>
      </c>
      <c r="G69" s="22" t="s">
        <v>2453</v>
      </c>
      <c r="H69" s="58"/>
      <c r="I69" s="28"/>
      <c r="J69" s="28"/>
      <c r="K69" s="29"/>
      <c r="BC69" s="14"/>
      <c r="BD69" s="15"/>
      <c r="BE69" s="21"/>
      <c r="BF69" s="43"/>
      <c r="BG69" s="12" t="s">
        <v>410</v>
      </c>
      <c r="BH69" s="12"/>
    </row>
    <row r="70" spans="1:60" s="3" customFormat="1" ht="21.6" x14ac:dyDescent="0.3">
      <c r="A70" s="25"/>
      <c r="B70" s="26" t="s">
        <v>412</v>
      </c>
      <c r="C70" s="419" t="s">
        <v>413</v>
      </c>
      <c r="D70" s="419"/>
      <c r="E70" s="419"/>
      <c r="F70" s="27" t="s">
        <v>46</v>
      </c>
      <c r="G70" s="22" t="s">
        <v>2454</v>
      </c>
      <c r="H70" s="58"/>
      <c r="I70" s="28"/>
      <c r="J70" s="28"/>
      <c r="K70" s="29"/>
      <c r="BC70" s="14"/>
      <c r="BD70" s="15"/>
      <c r="BE70" s="21"/>
      <c r="BF70" s="43"/>
      <c r="BG70" s="12" t="s">
        <v>413</v>
      </c>
      <c r="BH70" s="12"/>
    </row>
    <row r="71" spans="1:60" s="3" customFormat="1" ht="20.399999999999999" x14ac:dyDescent="0.3">
      <c r="A71" s="25"/>
      <c r="B71" s="26" t="s">
        <v>415</v>
      </c>
      <c r="C71" s="419" t="s">
        <v>416</v>
      </c>
      <c r="D71" s="419"/>
      <c r="E71" s="419"/>
      <c r="F71" s="27" t="s">
        <v>70</v>
      </c>
      <c r="G71" s="22" t="s">
        <v>2455</v>
      </c>
      <c r="H71" s="58"/>
      <c r="I71" s="28"/>
      <c r="J71" s="28"/>
      <c r="K71" s="29"/>
      <c r="BC71" s="14"/>
      <c r="BD71" s="15"/>
      <c r="BE71" s="21"/>
      <c r="BF71" s="43"/>
      <c r="BG71" s="12" t="s">
        <v>416</v>
      </c>
      <c r="BH71" s="12"/>
    </row>
    <row r="72" spans="1:60" s="3" customFormat="1" ht="20.399999999999999" x14ac:dyDescent="0.3">
      <c r="A72" s="25"/>
      <c r="B72" s="26" t="s">
        <v>370</v>
      </c>
      <c r="C72" s="419" t="s">
        <v>371</v>
      </c>
      <c r="D72" s="419"/>
      <c r="E72" s="419"/>
      <c r="F72" s="27" t="s">
        <v>75</v>
      </c>
      <c r="G72" s="22" t="s">
        <v>2456</v>
      </c>
      <c r="H72" s="58"/>
      <c r="I72" s="28"/>
      <c r="J72" s="28"/>
      <c r="K72" s="29"/>
      <c r="BC72" s="14"/>
      <c r="BD72" s="15"/>
      <c r="BE72" s="21"/>
      <c r="BF72" s="43"/>
      <c r="BG72" s="12" t="s">
        <v>371</v>
      </c>
      <c r="BH72" s="12"/>
    </row>
    <row r="73" spans="1:60" s="3" customFormat="1" ht="72.599999999999994" x14ac:dyDescent="0.3">
      <c r="A73" s="25" t="s">
        <v>129</v>
      </c>
      <c r="B73" s="26" t="s">
        <v>2457</v>
      </c>
      <c r="C73" s="419" t="s">
        <v>2458</v>
      </c>
      <c r="D73" s="419"/>
      <c r="E73" s="419"/>
      <c r="F73" s="27" t="s">
        <v>158</v>
      </c>
      <c r="G73" s="22" t="s">
        <v>2459</v>
      </c>
      <c r="H73" s="58"/>
      <c r="I73" s="28"/>
      <c r="J73" s="28"/>
      <c r="K73" s="29"/>
      <c r="BC73" s="14"/>
      <c r="BD73" s="15"/>
      <c r="BE73" s="21"/>
      <c r="BF73" s="43"/>
      <c r="BG73" s="12"/>
      <c r="BH73" s="12" t="s">
        <v>2458</v>
      </c>
    </row>
    <row r="74" spans="1:60" s="3" customFormat="1" ht="21.6" x14ac:dyDescent="0.3">
      <c r="A74" s="25" t="s">
        <v>129</v>
      </c>
      <c r="B74" s="26" t="s">
        <v>2460</v>
      </c>
      <c r="C74" s="419" t="s">
        <v>2449</v>
      </c>
      <c r="D74" s="419"/>
      <c r="E74" s="419"/>
      <c r="F74" s="27" t="s">
        <v>70</v>
      </c>
      <c r="G74" s="22" t="s">
        <v>2450</v>
      </c>
      <c r="H74" s="58"/>
      <c r="I74" s="28"/>
      <c r="J74" s="28"/>
      <c r="K74" s="29"/>
      <c r="BC74" s="14"/>
      <c r="BD74" s="15"/>
      <c r="BE74" s="21"/>
      <c r="BF74" s="43"/>
      <c r="BG74" s="12"/>
      <c r="BH74" s="12" t="s">
        <v>2449</v>
      </c>
    </row>
    <row r="75" spans="1:60" s="3" customFormat="1" ht="15" customHeight="1" x14ac:dyDescent="0.3">
      <c r="A75" s="299" t="s">
        <v>2461</v>
      </c>
      <c r="B75" s="300"/>
      <c r="C75" s="300"/>
      <c r="D75" s="300"/>
      <c r="E75" s="300"/>
      <c r="F75" s="300"/>
      <c r="G75" s="300"/>
      <c r="H75" s="296"/>
      <c r="I75" s="296"/>
      <c r="J75" s="296"/>
      <c r="K75" s="297"/>
      <c r="BC75" s="14"/>
      <c r="BD75" s="15" t="s">
        <v>2461</v>
      </c>
      <c r="BE75" s="21"/>
      <c r="BF75" s="43"/>
      <c r="BG75" s="12"/>
      <c r="BH75" s="12"/>
    </row>
    <row r="76" spans="1:60" s="3" customFormat="1" ht="45.75" customHeight="1" x14ac:dyDescent="0.3">
      <c r="A76" s="303" t="s">
        <v>56</v>
      </c>
      <c r="B76" s="304" t="s">
        <v>2438</v>
      </c>
      <c r="C76" s="459" t="s">
        <v>2439</v>
      </c>
      <c r="D76" s="459"/>
      <c r="E76" s="459"/>
      <c r="F76" s="303" t="s">
        <v>329</v>
      </c>
      <c r="G76" s="305">
        <v>0.59389999999999998</v>
      </c>
      <c r="H76" s="57">
        <f>I76/G76</f>
        <v>255986.81596228323</v>
      </c>
      <c r="I76" s="19">
        <v>152030.57</v>
      </c>
      <c r="J76" s="19">
        <f>K76/G76</f>
        <v>247868.7657854858</v>
      </c>
      <c r="K76" s="19">
        <v>147209.26</v>
      </c>
      <c r="BC76" s="14"/>
      <c r="BD76" s="15"/>
      <c r="BE76" s="21" t="s">
        <v>2439</v>
      </c>
      <c r="BF76" s="43"/>
      <c r="BG76" s="12"/>
      <c r="BH76" s="12"/>
    </row>
    <row r="77" spans="1:60" s="3" customFormat="1" ht="22.5" customHeight="1" x14ac:dyDescent="0.3">
      <c r="A77" s="311"/>
      <c r="B77" s="312" t="s">
        <v>384</v>
      </c>
      <c r="C77" s="457" t="s">
        <v>385</v>
      </c>
      <c r="D77" s="457"/>
      <c r="E77" s="457"/>
      <c r="F77" s="313" t="s">
        <v>46</v>
      </c>
      <c r="G77" s="306" t="s">
        <v>2462</v>
      </c>
      <c r="H77" s="315"/>
      <c r="I77" s="28"/>
      <c r="J77" s="28"/>
      <c r="K77" s="29"/>
      <c r="BC77" s="14"/>
      <c r="BD77" s="15"/>
      <c r="BE77" s="21"/>
      <c r="BF77" s="43"/>
      <c r="BG77" s="12" t="s">
        <v>385</v>
      </c>
      <c r="BH77" s="12"/>
    </row>
    <row r="78" spans="1:60" s="3" customFormat="1" ht="22.5" customHeight="1" x14ac:dyDescent="0.3">
      <c r="A78" s="311"/>
      <c r="B78" s="312" t="s">
        <v>387</v>
      </c>
      <c r="C78" s="457" t="s">
        <v>388</v>
      </c>
      <c r="D78" s="457"/>
      <c r="E78" s="457"/>
      <c r="F78" s="313" t="s">
        <v>75</v>
      </c>
      <c r="G78" s="306" t="s">
        <v>2463</v>
      </c>
      <c r="H78" s="315"/>
      <c r="I78" s="28"/>
      <c r="J78" s="28"/>
      <c r="K78" s="29"/>
      <c r="BC78" s="14"/>
      <c r="BD78" s="15"/>
      <c r="BE78" s="21"/>
      <c r="BF78" s="43"/>
      <c r="BG78" s="12" t="s">
        <v>388</v>
      </c>
      <c r="BH78" s="12"/>
    </row>
    <row r="79" spans="1:60" s="3" customFormat="1" ht="22.5" customHeight="1" x14ac:dyDescent="0.3">
      <c r="A79" s="311"/>
      <c r="B79" s="312" t="s">
        <v>277</v>
      </c>
      <c r="C79" s="457" t="s">
        <v>278</v>
      </c>
      <c r="D79" s="457"/>
      <c r="E79" s="457"/>
      <c r="F79" s="313" t="s">
        <v>70</v>
      </c>
      <c r="G79" s="306" t="s">
        <v>2464</v>
      </c>
      <c r="H79" s="315"/>
      <c r="I79" s="28"/>
      <c r="J79" s="28"/>
      <c r="K79" s="29"/>
      <c r="BC79" s="14"/>
      <c r="BD79" s="15"/>
      <c r="BE79" s="21"/>
      <c r="BF79" s="43"/>
      <c r="BG79" s="12" t="s">
        <v>278</v>
      </c>
      <c r="BH79" s="12"/>
    </row>
    <row r="80" spans="1:60" s="3" customFormat="1" ht="22.5" customHeight="1" x14ac:dyDescent="0.3">
      <c r="A80" s="311"/>
      <c r="B80" s="312" t="s">
        <v>391</v>
      </c>
      <c r="C80" s="457" t="s">
        <v>392</v>
      </c>
      <c r="D80" s="457"/>
      <c r="E80" s="457"/>
      <c r="F80" s="313" t="s">
        <v>75</v>
      </c>
      <c r="G80" s="306" t="s">
        <v>2465</v>
      </c>
      <c r="H80" s="315"/>
      <c r="I80" s="28"/>
      <c r="J80" s="28"/>
      <c r="K80" s="29"/>
      <c r="BC80" s="14"/>
      <c r="BD80" s="15"/>
      <c r="BE80" s="21"/>
      <c r="BF80" s="43"/>
      <c r="BG80" s="12" t="s">
        <v>392</v>
      </c>
      <c r="BH80" s="12"/>
    </row>
    <row r="81" spans="1:60" s="3" customFormat="1" ht="22.5" customHeight="1" x14ac:dyDescent="0.3">
      <c r="A81" s="311"/>
      <c r="B81" s="312" t="s">
        <v>76</v>
      </c>
      <c r="C81" s="457" t="s">
        <v>77</v>
      </c>
      <c r="D81" s="457"/>
      <c r="E81" s="457"/>
      <c r="F81" s="313" t="s">
        <v>70</v>
      </c>
      <c r="G81" s="306" t="s">
        <v>2466</v>
      </c>
      <c r="H81" s="315"/>
      <c r="I81" s="28"/>
      <c r="J81" s="28"/>
      <c r="K81" s="29"/>
      <c r="BC81" s="14"/>
      <c r="BD81" s="15"/>
      <c r="BE81" s="21"/>
      <c r="BF81" s="43"/>
      <c r="BG81" s="12" t="s">
        <v>77</v>
      </c>
      <c r="BH81" s="12"/>
    </row>
    <row r="82" spans="1:60" s="3" customFormat="1" ht="22.5" customHeight="1" x14ac:dyDescent="0.3">
      <c r="A82" s="311"/>
      <c r="B82" s="312" t="s">
        <v>395</v>
      </c>
      <c r="C82" s="457" t="s">
        <v>396</v>
      </c>
      <c r="D82" s="457"/>
      <c r="E82" s="457"/>
      <c r="F82" s="313" t="s">
        <v>70</v>
      </c>
      <c r="G82" s="306" t="s">
        <v>2467</v>
      </c>
      <c r="H82" s="315"/>
      <c r="I82" s="28"/>
      <c r="J82" s="28"/>
      <c r="K82" s="29"/>
      <c r="BC82" s="14"/>
      <c r="BD82" s="15"/>
      <c r="BE82" s="21"/>
      <c r="BF82" s="43"/>
      <c r="BG82" s="12" t="s">
        <v>396</v>
      </c>
      <c r="BH82" s="12"/>
    </row>
    <row r="83" spans="1:60" s="3" customFormat="1" ht="23.25" customHeight="1" x14ac:dyDescent="0.3">
      <c r="A83" s="307" t="s">
        <v>78</v>
      </c>
      <c r="B83" s="308" t="s">
        <v>2446</v>
      </c>
      <c r="C83" s="458" t="s">
        <v>2447</v>
      </c>
      <c r="D83" s="458"/>
      <c r="E83" s="458"/>
      <c r="F83" s="309" t="s">
        <v>158</v>
      </c>
      <c r="G83" s="310" t="s">
        <v>33</v>
      </c>
      <c r="H83" s="316"/>
      <c r="I83" s="41"/>
      <c r="J83" s="41"/>
      <c r="K83" s="42"/>
      <c r="BC83" s="14"/>
      <c r="BD83" s="15"/>
      <c r="BE83" s="21"/>
      <c r="BF83" s="43" t="s">
        <v>2447</v>
      </c>
      <c r="BG83" s="12"/>
      <c r="BH83" s="12"/>
    </row>
    <row r="84" spans="1:60" s="3" customFormat="1" ht="45.75" customHeight="1" x14ac:dyDescent="0.3">
      <c r="A84" s="311"/>
      <c r="B84" s="312" t="s">
        <v>512</v>
      </c>
      <c r="C84" s="457" t="s">
        <v>513</v>
      </c>
      <c r="D84" s="457"/>
      <c r="E84" s="457"/>
      <c r="F84" s="313" t="s">
        <v>70</v>
      </c>
      <c r="G84" s="306" t="s">
        <v>2468</v>
      </c>
      <c r="H84" s="315"/>
      <c r="I84" s="28"/>
      <c r="J84" s="28"/>
      <c r="K84" s="29"/>
      <c r="BC84" s="14"/>
      <c r="BD84" s="15"/>
      <c r="BE84" s="21"/>
      <c r="BF84" s="43"/>
      <c r="BG84" s="12" t="s">
        <v>513</v>
      </c>
      <c r="BH84" s="12"/>
    </row>
    <row r="85" spans="1:60" s="3" customFormat="1" ht="23.25" customHeight="1" x14ac:dyDescent="0.3">
      <c r="A85" s="307" t="s">
        <v>143</v>
      </c>
      <c r="B85" s="308" t="s">
        <v>2059</v>
      </c>
      <c r="C85" s="458" t="s">
        <v>2449</v>
      </c>
      <c r="D85" s="458"/>
      <c r="E85" s="458"/>
      <c r="F85" s="309" t="s">
        <v>70</v>
      </c>
      <c r="G85" s="310" t="s">
        <v>2469</v>
      </c>
      <c r="H85" s="316"/>
      <c r="I85" s="41"/>
      <c r="J85" s="41"/>
      <c r="K85" s="42"/>
      <c r="BC85" s="14"/>
      <c r="BD85" s="15"/>
      <c r="BE85" s="21"/>
      <c r="BF85" s="43" t="s">
        <v>2449</v>
      </c>
      <c r="BG85" s="12"/>
      <c r="BH85" s="12"/>
    </row>
    <row r="86" spans="1:60" s="3" customFormat="1" ht="45.75" customHeight="1" x14ac:dyDescent="0.3">
      <c r="A86" s="311"/>
      <c r="B86" s="312" t="s">
        <v>404</v>
      </c>
      <c r="C86" s="457" t="s">
        <v>405</v>
      </c>
      <c r="D86" s="457"/>
      <c r="E86" s="457"/>
      <c r="F86" s="313" t="s">
        <v>406</v>
      </c>
      <c r="G86" s="306" t="s">
        <v>2470</v>
      </c>
      <c r="H86" s="315"/>
      <c r="I86" s="28"/>
      <c r="J86" s="28"/>
      <c r="K86" s="29"/>
      <c r="BC86" s="14"/>
      <c r="BD86" s="15"/>
      <c r="BE86" s="21"/>
      <c r="BF86" s="43"/>
      <c r="BG86" s="12" t="s">
        <v>405</v>
      </c>
      <c r="BH86" s="12"/>
    </row>
    <row r="87" spans="1:60" s="3" customFormat="1" ht="23.25" customHeight="1" x14ac:dyDescent="0.3">
      <c r="A87" s="311"/>
      <c r="B87" s="312" t="s">
        <v>285</v>
      </c>
      <c r="C87" s="457" t="s">
        <v>286</v>
      </c>
      <c r="D87" s="457"/>
      <c r="E87" s="457"/>
      <c r="F87" s="313" t="s">
        <v>70</v>
      </c>
      <c r="G87" s="306" t="s">
        <v>2471</v>
      </c>
      <c r="H87" s="315"/>
      <c r="I87" s="28"/>
      <c r="J87" s="28"/>
      <c r="K87" s="29"/>
      <c r="BC87" s="14"/>
      <c r="BD87" s="15"/>
      <c r="BE87" s="21"/>
      <c r="BF87" s="43"/>
      <c r="BG87" s="12" t="s">
        <v>286</v>
      </c>
      <c r="BH87" s="12"/>
    </row>
    <row r="88" spans="1:60" s="3" customFormat="1" ht="22.5" customHeight="1" x14ac:dyDescent="0.3">
      <c r="A88" s="311"/>
      <c r="B88" s="312" t="s">
        <v>409</v>
      </c>
      <c r="C88" s="457" t="s">
        <v>410</v>
      </c>
      <c r="D88" s="457"/>
      <c r="E88" s="457"/>
      <c r="F88" s="313" t="s">
        <v>70</v>
      </c>
      <c r="G88" s="306" t="s">
        <v>2472</v>
      </c>
      <c r="H88" s="315"/>
      <c r="I88" s="28"/>
      <c r="J88" s="28"/>
      <c r="K88" s="29"/>
      <c r="BC88" s="14"/>
      <c r="BD88" s="15"/>
      <c r="BE88" s="21"/>
      <c r="BF88" s="43"/>
      <c r="BG88" s="12" t="s">
        <v>410</v>
      </c>
      <c r="BH88" s="12"/>
    </row>
    <row r="89" spans="1:60" s="3" customFormat="1" ht="34.5" customHeight="1" x14ac:dyDescent="0.3">
      <c r="A89" s="311"/>
      <c r="B89" s="312" t="s">
        <v>412</v>
      </c>
      <c r="C89" s="457" t="s">
        <v>413</v>
      </c>
      <c r="D89" s="457"/>
      <c r="E89" s="457"/>
      <c r="F89" s="313" t="s">
        <v>46</v>
      </c>
      <c r="G89" s="306" t="s">
        <v>2473</v>
      </c>
      <c r="H89" s="315"/>
      <c r="I89" s="28"/>
      <c r="J89" s="28"/>
      <c r="K89" s="29"/>
      <c r="BC89" s="14"/>
      <c r="BD89" s="15"/>
      <c r="BE89" s="21"/>
      <c r="BF89" s="43"/>
      <c r="BG89" s="12" t="s">
        <v>413</v>
      </c>
      <c r="BH89" s="12"/>
    </row>
    <row r="90" spans="1:60" s="3" customFormat="1" ht="22.5" customHeight="1" x14ac:dyDescent="0.3">
      <c r="A90" s="311"/>
      <c r="B90" s="312" t="s">
        <v>415</v>
      </c>
      <c r="C90" s="457" t="s">
        <v>416</v>
      </c>
      <c r="D90" s="457"/>
      <c r="E90" s="457"/>
      <c r="F90" s="313" t="s">
        <v>70</v>
      </c>
      <c r="G90" s="306" t="s">
        <v>2474</v>
      </c>
      <c r="H90" s="315"/>
      <c r="I90" s="28"/>
      <c r="J90" s="28"/>
      <c r="K90" s="29"/>
      <c r="BC90" s="14"/>
      <c r="BD90" s="15"/>
      <c r="BE90" s="21"/>
      <c r="BF90" s="43"/>
      <c r="BG90" s="12" t="s">
        <v>416</v>
      </c>
      <c r="BH90" s="12"/>
    </row>
    <row r="91" spans="1:60" s="3" customFormat="1" ht="22.5" customHeight="1" x14ac:dyDescent="0.3">
      <c r="A91" s="311"/>
      <c r="B91" s="312" t="s">
        <v>370</v>
      </c>
      <c r="C91" s="457" t="s">
        <v>371</v>
      </c>
      <c r="D91" s="457"/>
      <c r="E91" s="457"/>
      <c r="F91" s="313" t="s">
        <v>75</v>
      </c>
      <c r="G91" s="306" t="s">
        <v>2475</v>
      </c>
      <c r="H91" s="315"/>
      <c r="I91" s="28"/>
      <c r="J91" s="28"/>
      <c r="K91" s="29"/>
      <c r="BC91" s="14"/>
      <c r="BD91" s="15"/>
      <c r="BE91" s="21"/>
      <c r="BF91" s="43"/>
      <c r="BG91" s="12" t="s">
        <v>371</v>
      </c>
      <c r="BH91" s="12"/>
    </row>
    <row r="92" spans="1:60" s="3" customFormat="1" ht="79.5" customHeight="1" x14ac:dyDescent="0.3">
      <c r="A92" s="311" t="s">
        <v>129</v>
      </c>
      <c r="B92" s="312" t="s">
        <v>2457</v>
      </c>
      <c r="C92" s="457" t="s">
        <v>2458</v>
      </c>
      <c r="D92" s="457"/>
      <c r="E92" s="457"/>
      <c r="F92" s="313" t="s">
        <v>158</v>
      </c>
      <c r="G92" s="306" t="s">
        <v>2476</v>
      </c>
      <c r="H92" s="315"/>
      <c r="I92" s="28"/>
      <c r="J92" s="28"/>
      <c r="K92" s="29"/>
      <c r="BC92" s="14"/>
      <c r="BD92" s="15"/>
      <c r="BE92" s="21"/>
      <c r="BF92" s="43"/>
      <c r="BG92" s="12"/>
      <c r="BH92" s="12" t="s">
        <v>2458</v>
      </c>
    </row>
    <row r="93" spans="1:60" s="3" customFormat="1" ht="23.25" customHeight="1" x14ac:dyDescent="0.3">
      <c r="A93" s="311" t="s">
        <v>129</v>
      </c>
      <c r="B93" s="312" t="s">
        <v>2460</v>
      </c>
      <c r="C93" s="457" t="s">
        <v>2449</v>
      </c>
      <c r="D93" s="457"/>
      <c r="E93" s="457"/>
      <c r="F93" s="313" t="s">
        <v>70</v>
      </c>
      <c r="G93" s="306" t="s">
        <v>2469</v>
      </c>
      <c r="H93" s="315"/>
      <c r="I93" s="28"/>
      <c r="J93" s="28"/>
      <c r="K93" s="29"/>
      <c r="BC93" s="14"/>
      <c r="BD93" s="15"/>
      <c r="BE93" s="21"/>
      <c r="BF93" s="43"/>
      <c r="BG93" s="12"/>
      <c r="BH93" s="12" t="s">
        <v>2449</v>
      </c>
    </row>
    <row r="94" spans="1:60" s="3" customFormat="1" ht="15" customHeight="1" x14ac:dyDescent="0.3">
      <c r="A94" s="301"/>
      <c r="B94" s="302"/>
      <c r="C94" s="302"/>
      <c r="D94" s="302"/>
      <c r="E94" s="302"/>
      <c r="F94" s="302"/>
      <c r="G94" s="302"/>
      <c r="H94" s="296"/>
      <c r="I94" s="296"/>
      <c r="J94" s="296"/>
      <c r="K94" s="297"/>
      <c r="BC94" s="14"/>
      <c r="BD94" s="15" t="s">
        <v>2477</v>
      </c>
      <c r="BE94" s="21"/>
      <c r="BF94" s="43"/>
      <c r="BG94" s="12"/>
      <c r="BH94" s="12"/>
    </row>
    <row r="95" spans="1:60" s="3" customFormat="1" ht="21.6" x14ac:dyDescent="0.3">
      <c r="A95" s="16" t="s">
        <v>166</v>
      </c>
      <c r="B95" s="17" t="s">
        <v>2478</v>
      </c>
      <c r="C95" s="405" t="s">
        <v>2479</v>
      </c>
      <c r="D95" s="405"/>
      <c r="E95" s="405"/>
      <c r="F95" s="16" t="s">
        <v>67</v>
      </c>
      <c r="G95" s="18">
        <v>0.23599999999999999</v>
      </c>
      <c r="H95" s="57">
        <f>I95/G95</f>
        <v>12848.940677966104</v>
      </c>
      <c r="I95" s="19">
        <v>3032.3500000000004</v>
      </c>
      <c r="J95" s="19">
        <f>K95/G95</f>
        <v>82.5</v>
      </c>
      <c r="K95" s="19">
        <v>19.47</v>
      </c>
      <c r="BC95" s="14"/>
      <c r="BD95" s="15"/>
      <c r="BE95" s="21" t="s">
        <v>2479</v>
      </c>
      <c r="BF95" s="43"/>
      <c r="BG95" s="12"/>
      <c r="BH95" s="12"/>
    </row>
    <row r="96" spans="1:60" s="3" customFormat="1" ht="20.399999999999999" x14ac:dyDescent="0.3">
      <c r="A96" s="25"/>
      <c r="B96" s="26" t="s">
        <v>2480</v>
      </c>
      <c r="C96" s="419" t="s">
        <v>2481</v>
      </c>
      <c r="D96" s="419"/>
      <c r="E96" s="419"/>
      <c r="F96" s="27" t="s">
        <v>70</v>
      </c>
      <c r="G96" s="22" t="s">
        <v>2482</v>
      </c>
      <c r="H96" s="58"/>
      <c r="I96" s="28"/>
      <c r="J96" s="28"/>
      <c r="K96" s="29"/>
      <c r="BC96" s="14"/>
      <c r="BD96" s="15"/>
      <c r="BE96" s="21"/>
      <c r="BF96" s="43"/>
      <c r="BG96" s="12" t="s">
        <v>2481</v>
      </c>
      <c r="BH96" s="12"/>
    </row>
    <row r="97" spans="1:60" s="3" customFormat="1" ht="20.399999999999999" x14ac:dyDescent="0.3">
      <c r="A97" s="37" t="s">
        <v>143</v>
      </c>
      <c r="B97" s="38" t="s">
        <v>2059</v>
      </c>
      <c r="C97" s="430" t="s">
        <v>2483</v>
      </c>
      <c r="D97" s="430"/>
      <c r="E97" s="430"/>
      <c r="F97" s="39" t="s">
        <v>70</v>
      </c>
      <c r="G97" s="40" t="s">
        <v>2484</v>
      </c>
      <c r="H97" s="100"/>
      <c r="I97" s="41"/>
      <c r="J97" s="41"/>
      <c r="K97" s="42"/>
      <c r="BC97" s="14"/>
      <c r="BD97" s="15"/>
      <c r="BE97" s="21"/>
      <c r="BF97" s="43" t="s">
        <v>2483</v>
      </c>
      <c r="BG97" s="12"/>
      <c r="BH97" s="12"/>
    </row>
    <row r="98" spans="1:60" s="3" customFormat="1" ht="20.399999999999999" x14ac:dyDescent="0.3">
      <c r="A98" s="37" t="s">
        <v>78</v>
      </c>
      <c r="B98" s="38" t="s">
        <v>2485</v>
      </c>
      <c r="C98" s="430" t="s">
        <v>399</v>
      </c>
      <c r="D98" s="430"/>
      <c r="E98" s="430"/>
      <c r="F98" s="39" t="s">
        <v>70</v>
      </c>
      <c r="G98" s="40" t="s">
        <v>33</v>
      </c>
      <c r="H98" s="100"/>
      <c r="I98" s="41"/>
      <c r="J98" s="41"/>
      <c r="K98" s="42"/>
      <c r="BC98" s="14"/>
      <c r="BD98" s="15"/>
      <c r="BE98" s="21"/>
      <c r="BF98" s="43" t="s">
        <v>399</v>
      </c>
      <c r="BG98" s="12"/>
      <c r="BH98" s="12"/>
    </row>
    <row r="99" spans="1:60" s="3" customFormat="1" ht="21.6" x14ac:dyDescent="0.3">
      <c r="A99" s="16" t="s">
        <v>169</v>
      </c>
      <c r="B99" s="17" t="s">
        <v>2486</v>
      </c>
      <c r="C99" s="405" t="s">
        <v>604</v>
      </c>
      <c r="D99" s="405"/>
      <c r="E99" s="405"/>
      <c r="F99" s="16" t="s">
        <v>70</v>
      </c>
      <c r="G99" s="46">
        <v>8.8971999999999996E-2</v>
      </c>
      <c r="H99" s="57">
        <f>I99/G99</f>
        <v>0</v>
      </c>
      <c r="I99" s="19">
        <v>0</v>
      </c>
      <c r="J99" s="19">
        <f>K99/G99</f>
        <v>51002.5626039653</v>
      </c>
      <c r="K99" s="19">
        <v>4537.8</v>
      </c>
      <c r="BC99" s="14"/>
      <c r="BD99" s="15"/>
      <c r="BE99" s="21" t="s">
        <v>604</v>
      </c>
      <c r="BF99" s="43"/>
      <c r="BG99" s="12"/>
      <c r="BH99" s="12"/>
    </row>
    <row r="100" spans="1:60" s="3" customFormat="1" ht="15" customHeight="1" x14ac:dyDescent="0.3">
      <c r="A100" s="454" t="s">
        <v>2487</v>
      </c>
      <c r="B100" s="455"/>
      <c r="C100" s="455"/>
      <c r="D100" s="455"/>
      <c r="E100" s="455"/>
      <c r="F100" s="455"/>
      <c r="G100" s="455"/>
      <c r="H100" s="296"/>
      <c r="I100" s="296"/>
      <c r="J100" s="296"/>
      <c r="K100" s="297"/>
      <c r="BC100" s="14"/>
      <c r="BD100" s="15" t="s">
        <v>2487</v>
      </c>
      <c r="BE100" s="21"/>
      <c r="BF100" s="43"/>
      <c r="BG100" s="12"/>
      <c r="BH100" s="12"/>
    </row>
    <row r="101" spans="1:60" s="3" customFormat="1" ht="31.8" x14ac:dyDescent="0.3">
      <c r="A101" s="16" t="s">
        <v>170</v>
      </c>
      <c r="B101" s="17" t="s">
        <v>2488</v>
      </c>
      <c r="C101" s="405" t="s">
        <v>2489</v>
      </c>
      <c r="D101" s="405"/>
      <c r="E101" s="405"/>
      <c r="F101" s="16" t="s">
        <v>67</v>
      </c>
      <c r="G101" s="18">
        <v>0.49399999999999999</v>
      </c>
      <c r="H101" s="57">
        <f>I101/G101</f>
        <v>5707.1862348178129</v>
      </c>
      <c r="I101" s="19">
        <v>2819.3499999999995</v>
      </c>
      <c r="J101" s="19">
        <f>K101/G101</f>
        <v>13389.251012145749</v>
      </c>
      <c r="K101" s="19">
        <v>6614.29</v>
      </c>
      <c r="BC101" s="14"/>
      <c r="BD101" s="15"/>
      <c r="BE101" s="21" t="s">
        <v>2489</v>
      </c>
      <c r="BF101" s="43"/>
      <c r="BG101" s="12"/>
      <c r="BH101" s="12"/>
    </row>
    <row r="102" spans="1:60" s="3" customFormat="1" ht="42" x14ac:dyDescent="0.3">
      <c r="A102" s="25"/>
      <c r="B102" s="26" t="s">
        <v>2490</v>
      </c>
      <c r="C102" s="419" t="s">
        <v>2491</v>
      </c>
      <c r="D102" s="419"/>
      <c r="E102" s="419"/>
      <c r="F102" s="27" t="s">
        <v>46</v>
      </c>
      <c r="G102" s="22" t="s">
        <v>2492</v>
      </c>
      <c r="H102" s="58"/>
      <c r="I102" s="28"/>
      <c r="J102" s="28"/>
      <c r="K102" s="29"/>
      <c r="BC102" s="14"/>
      <c r="BD102" s="15"/>
      <c r="BE102" s="21"/>
      <c r="BF102" s="43"/>
      <c r="BG102" s="12" t="s">
        <v>2491</v>
      </c>
      <c r="BH102" s="12"/>
    </row>
    <row r="103" spans="1:60" s="3" customFormat="1" ht="20.399999999999999" x14ac:dyDescent="0.3">
      <c r="A103" s="25"/>
      <c r="B103" s="26" t="s">
        <v>2493</v>
      </c>
      <c r="C103" s="419" t="s">
        <v>2494</v>
      </c>
      <c r="D103" s="419"/>
      <c r="E103" s="419"/>
      <c r="F103" s="27" t="s">
        <v>70</v>
      </c>
      <c r="G103" s="22" t="s">
        <v>2495</v>
      </c>
      <c r="H103" s="58"/>
      <c r="I103" s="28"/>
      <c r="J103" s="28"/>
      <c r="K103" s="29"/>
      <c r="BC103" s="14"/>
      <c r="BD103" s="15"/>
      <c r="BE103" s="21"/>
      <c r="BF103" s="43"/>
      <c r="BG103" s="12" t="s">
        <v>2494</v>
      </c>
      <c r="BH103" s="12"/>
    </row>
    <row r="104" spans="1:60" s="3" customFormat="1" ht="15" customHeight="1" x14ac:dyDescent="0.3">
      <c r="A104" s="454" t="s">
        <v>2496</v>
      </c>
      <c r="B104" s="455"/>
      <c r="C104" s="455"/>
      <c r="D104" s="455"/>
      <c r="E104" s="455"/>
      <c r="F104" s="455"/>
      <c r="G104" s="455"/>
      <c r="H104" s="296"/>
      <c r="I104" s="296"/>
      <c r="J104" s="296"/>
      <c r="K104" s="297"/>
      <c r="BC104" s="14"/>
      <c r="BD104" s="15" t="s">
        <v>2496</v>
      </c>
      <c r="BE104" s="21"/>
      <c r="BF104" s="43"/>
      <c r="BG104" s="12"/>
      <c r="BH104" s="12"/>
    </row>
    <row r="105" spans="1:60" s="3" customFormat="1" ht="15" customHeight="1" x14ac:dyDescent="0.3">
      <c r="A105" s="454" t="s">
        <v>2497</v>
      </c>
      <c r="B105" s="455"/>
      <c r="C105" s="455"/>
      <c r="D105" s="455"/>
      <c r="E105" s="455"/>
      <c r="F105" s="455"/>
      <c r="G105" s="455"/>
      <c r="H105" s="296"/>
      <c r="I105" s="296"/>
      <c r="J105" s="296"/>
      <c r="K105" s="297"/>
      <c r="BC105" s="14"/>
      <c r="BD105" s="15" t="s">
        <v>2497</v>
      </c>
      <c r="BE105" s="21"/>
      <c r="BF105" s="43"/>
      <c r="BG105" s="12"/>
      <c r="BH105" s="12"/>
    </row>
    <row r="106" spans="1:60" s="3" customFormat="1" ht="31.8" x14ac:dyDescent="0.3">
      <c r="A106" s="16" t="s">
        <v>173</v>
      </c>
      <c r="B106" s="17" t="s">
        <v>2498</v>
      </c>
      <c r="C106" s="405" t="s">
        <v>2499</v>
      </c>
      <c r="D106" s="405"/>
      <c r="E106" s="405"/>
      <c r="F106" s="16" t="s">
        <v>329</v>
      </c>
      <c r="G106" s="30">
        <v>0.65110000000000001</v>
      </c>
      <c r="H106" s="57">
        <f>I106/G106</f>
        <v>94720.565197358315</v>
      </c>
      <c r="I106" s="19">
        <v>61672.560000000005</v>
      </c>
      <c r="J106" s="19">
        <f>K106/G106</f>
        <v>57668.192289970822</v>
      </c>
      <c r="K106" s="19">
        <v>37547.760000000002</v>
      </c>
      <c r="BC106" s="14"/>
      <c r="BD106" s="15"/>
      <c r="BE106" s="21" t="s">
        <v>2499</v>
      </c>
      <c r="BF106" s="43"/>
      <c r="BG106" s="12"/>
      <c r="BH106" s="12"/>
    </row>
    <row r="107" spans="1:60" s="3" customFormat="1" ht="20.399999999999999" x14ac:dyDescent="0.3">
      <c r="A107" s="25"/>
      <c r="B107" s="26" t="s">
        <v>2500</v>
      </c>
      <c r="C107" s="419" t="s">
        <v>2501</v>
      </c>
      <c r="D107" s="419"/>
      <c r="E107" s="419"/>
      <c r="F107" s="27" t="s">
        <v>70</v>
      </c>
      <c r="G107" s="22" t="s">
        <v>2502</v>
      </c>
      <c r="H107" s="58"/>
      <c r="I107" s="28"/>
      <c r="J107" s="28"/>
      <c r="K107" s="29"/>
      <c r="BC107" s="14"/>
      <c r="BD107" s="15"/>
      <c r="BE107" s="21"/>
      <c r="BF107" s="43"/>
      <c r="BG107" s="12" t="s">
        <v>2501</v>
      </c>
      <c r="BH107" s="12"/>
    </row>
    <row r="108" spans="1:60" s="3" customFormat="1" ht="21.6" x14ac:dyDescent="0.3">
      <c r="A108" s="25"/>
      <c r="B108" s="26" t="s">
        <v>2503</v>
      </c>
      <c r="C108" s="419" t="s">
        <v>2504</v>
      </c>
      <c r="D108" s="419"/>
      <c r="E108" s="419"/>
      <c r="F108" s="27" t="s">
        <v>70</v>
      </c>
      <c r="G108" s="22" t="s">
        <v>2505</v>
      </c>
      <c r="H108" s="58"/>
      <c r="I108" s="28"/>
      <c r="J108" s="28"/>
      <c r="K108" s="29"/>
      <c r="BC108" s="14"/>
      <c r="BD108" s="15"/>
      <c r="BE108" s="21"/>
      <c r="BF108" s="43"/>
      <c r="BG108" s="12" t="s">
        <v>2504</v>
      </c>
      <c r="BH108" s="12"/>
    </row>
    <row r="109" spans="1:60" s="3" customFormat="1" ht="20.399999999999999" x14ac:dyDescent="0.3">
      <c r="A109" s="25"/>
      <c r="B109" s="26" t="s">
        <v>2506</v>
      </c>
      <c r="C109" s="419" t="s">
        <v>2507</v>
      </c>
      <c r="D109" s="419"/>
      <c r="E109" s="419"/>
      <c r="F109" s="27" t="s">
        <v>70</v>
      </c>
      <c r="G109" s="22" t="s">
        <v>2508</v>
      </c>
      <c r="H109" s="58"/>
      <c r="I109" s="28"/>
      <c r="J109" s="28"/>
      <c r="K109" s="29"/>
      <c r="BC109" s="14"/>
      <c r="BD109" s="15"/>
      <c r="BE109" s="21"/>
      <c r="BF109" s="43"/>
      <c r="BG109" s="12" t="s">
        <v>2507</v>
      </c>
      <c r="BH109" s="12"/>
    </row>
    <row r="110" spans="1:60" s="3" customFormat="1" ht="15" customHeight="1" x14ac:dyDescent="0.3">
      <c r="A110" s="435" t="s">
        <v>2509</v>
      </c>
      <c r="B110" s="436"/>
      <c r="C110" s="436"/>
      <c r="D110" s="436"/>
      <c r="E110" s="436"/>
      <c r="F110" s="436"/>
      <c r="G110" s="436"/>
      <c r="H110" s="103"/>
      <c r="I110" s="103"/>
      <c r="J110" s="103"/>
      <c r="K110" s="104"/>
      <c r="BC110" s="14" t="s">
        <v>2509</v>
      </c>
      <c r="BD110" s="15"/>
      <c r="BE110" s="21"/>
      <c r="BF110" s="43"/>
      <c r="BG110" s="12"/>
      <c r="BH110" s="12"/>
    </row>
    <row r="111" spans="1:60" s="3" customFormat="1" ht="14.4" x14ac:dyDescent="0.3">
      <c r="A111" s="454" t="s">
        <v>2510</v>
      </c>
      <c r="B111" s="455"/>
      <c r="C111" s="455"/>
      <c r="D111" s="455"/>
      <c r="E111" s="455"/>
      <c r="F111" s="455"/>
      <c r="G111" s="455"/>
      <c r="H111" s="296"/>
      <c r="I111" s="296"/>
      <c r="J111" s="296"/>
      <c r="K111" s="297"/>
      <c r="BC111" s="14"/>
      <c r="BD111" s="15" t="s">
        <v>2510</v>
      </c>
      <c r="BE111" s="21"/>
      <c r="BF111" s="43"/>
      <c r="BG111" s="12"/>
      <c r="BH111" s="12"/>
    </row>
    <row r="112" spans="1:60" s="3" customFormat="1" ht="15" customHeight="1" x14ac:dyDescent="0.3">
      <c r="A112" s="454" t="s">
        <v>2511</v>
      </c>
      <c r="B112" s="455"/>
      <c r="C112" s="455"/>
      <c r="D112" s="455"/>
      <c r="E112" s="455"/>
      <c r="F112" s="455"/>
      <c r="G112" s="455"/>
      <c r="H112" s="296"/>
      <c r="I112" s="296"/>
      <c r="J112" s="296"/>
      <c r="K112" s="297"/>
      <c r="BC112" s="14"/>
      <c r="BD112" s="15" t="s">
        <v>2511</v>
      </c>
      <c r="BE112" s="21"/>
      <c r="BF112" s="43"/>
      <c r="BG112" s="12"/>
      <c r="BH112" s="12"/>
    </row>
    <row r="113" spans="1:60" s="3" customFormat="1" ht="23.25" customHeight="1" x14ac:dyDescent="0.3">
      <c r="A113" s="16" t="s">
        <v>176</v>
      </c>
      <c r="B113" s="17" t="s">
        <v>2512</v>
      </c>
      <c r="C113" s="120" t="s">
        <v>2513</v>
      </c>
      <c r="D113" s="120"/>
      <c r="E113" s="120"/>
      <c r="F113" s="16" t="s">
        <v>329</v>
      </c>
      <c r="G113" s="18">
        <v>6.5000000000000002E-2</v>
      </c>
      <c r="H113" s="57">
        <f>I113/G113</f>
        <v>322557.53846153844</v>
      </c>
      <c r="I113" s="19">
        <v>20966.239999999998</v>
      </c>
      <c r="J113" s="19">
        <f>K113/G113</f>
        <v>175247.07692307691</v>
      </c>
      <c r="K113" s="19">
        <v>11391.06</v>
      </c>
      <c r="BC113" s="14"/>
      <c r="BD113" s="15"/>
      <c r="BE113" s="21" t="s">
        <v>2513</v>
      </c>
      <c r="BF113" s="43"/>
      <c r="BG113" s="12"/>
      <c r="BH113" s="12"/>
    </row>
    <row r="114" spans="1:60" s="3" customFormat="1" ht="22.5" customHeight="1" x14ac:dyDescent="0.3">
      <c r="A114" s="25"/>
      <c r="B114" s="26" t="s">
        <v>154</v>
      </c>
      <c r="C114" s="121" t="s">
        <v>155</v>
      </c>
      <c r="D114" s="121"/>
      <c r="E114" s="121"/>
      <c r="F114" s="256" t="s">
        <v>46</v>
      </c>
      <c r="G114" s="22" t="s">
        <v>2514</v>
      </c>
      <c r="H114" s="58"/>
      <c r="I114" s="28"/>
      <c r="J114" s="28"/>
      <c r="K114" s="29"/>
      <c r="BC114" s="14"/>
      <c r="BD114" s="15"/>
      <c r="BE114" s="21"/>
      <c r="BF114" s="43"/>
      <c r="BG114" s="12" t="s">
        <v>155</v>
      </c>
      <c r="BH114" s="12"/>
    </row>
    <row r="115" spans="1:60" s="3" customFormat="1" ht="34.5" customHeight="1" x14ac:dyDescent="0.3">
      <c r="A115" s="25"/>
      <c r="B115" s="26" t="s">
        <v>2515</v>
      </c>
      <c r="C115" s="121" t="s">
        <v>2516</v>
      </c>
      <c r="D115" s="121"/>
      <c r="E115" s="121"/>
      <c r="F115" s="256" t="s">
        <v>70</v>
      </c>
      <c r="G115" s="22" t="s">
        <v>2517</v>
      </c>
      <c r="H115" s="58"/>
      <c r="I115" s="28"/>
      <c r="J115" s="28"/>
      <c r="K115" s="29"/>
      <c r="BC115" s="14"/>
      <c r="BD115" s="15"/>
      <c r="BE115" s="21"/>
      <c r="BF115" s="43"/>
      <c r="BG115" s="12" t="s">
        <v>2516</v>
      </c>
      <c r="BH115" s="12"/>
    </row>
    <row r="116" spans="1:60" s="3" customFormat="1" ht="22.5" customHeight="1" x14ac:dyDescent="0.3">
      <c r="A116" s="37" t="s">
        <v>143</v>
      </c>
      <c r="B116" s="38" t="s">
        <v>2518</v>
      </c>
      <c r="C116" s="122" t="s">
        <v>2519</v>
      </c>
      <c r="D116" s="122"/>
      <c r="E116" s="122"/>
      <c r="F116" s="258" t="s">
        <v>158</v>
      </c>
      <c r="G116" s="40" t="s">
        <v>2520</v>
      </c>
      <c r="H116" s="100"/>
      <c r="I116" s="41"/>
      <c r="J116" s="41"/>
      <c r="K116" s="42"/>
      <c r="BC116" s="14"/>
      <c r="BD116" s="15"/>
      <c r="BE116" s="21"/>
      <c r="BF116" s="43" t="s">
        <v>2519</v>
      </c>
      <c r="BG116" s="12"/>
      <c r="BH116" s="12"/>
    </row>
    <row r="117" spans="1:60" s="3" customFormat="1" ht="22.5" customHeight="1" x14ac:dyDescent="0.3">
      <c r="A117" s="37" t="s">
        <v>143</v>
      </c>
      <c r="B117" s="38" t="s">
        <v>2521</v>
      </c>
      <c r="C117" s="122" t="s">
        <v>2522</v>
      </c>
      <c r="D117" s="122"/>
      <c r="E117" s="122"/>
      <c r="F117" s="258" t="s">
        <v>46</v>
      </c>
      <c r="G117" s="40" t="s">
        <v>2523</v>
      </c>
      <c r="H117" s="100"/>
      <c r="I117" s="41"/>
      <c r="J117" s="41"/>
      <c r="K117" s="42"/>
      <c r="BC117" s="14"/>
      <c r="BD117" s="15"/>
      <c r="BE117" s="21"/>
      <c r="BF117" s="43" t="s">
        <v>2522</v>
      </c>
      <c r="BG117" s="12"/>
      <c r="BH117" s="12"/>
    </row>
    <row r="118" spans="1:60" s="3" customFormat="1" ht="23.25" customHeight="1" x14ac:dyDescent="0.3">
      <c r="A118" s="37" t="s">
        <v>143</v>
      </c>
      <c r="B118" s="38" t="s">
        <v>2524</v>
      </c>
      <c r="C118" s="122" t="s">
        <v>2525</v>
      </c>
      <c r="D118" s="122"/>
      <c r="E118" s="122"/>
      <c r="F118" s="258" t="s">
        <v>70</v>
      </c>
      <c r="G118" s="40" t="s">
        <v>2526</v>
      </c>
      <c r="H118" s="100"/>
      <c r="I118" s="41"/>
      <c r="J118" s="41"/>
      <c r="K118" s="42"/>
      <c r="BC118" s="14"/>
      <c r="BD118" s="15"/>
      <c r="BE118" s="21"/>
      <c r="BF118" s="43" t="s">
        <v>2525</v>
      </c>
      <c r="BG118" s="12"/>
      <c r="BH118" s="12"/>
    </row>
    <row r="119" spans="1:60" s="3" customFormat="1" ht="22.5" customHeight="1" x14ac:dyDescent="0.3">
      <c r="A119" s="37" t="s">
        <v>78</v>
      </c>
      <c r="B119" s="38" t="s">
        <v>2527</v>
      </c>
      <c r="C119" s="122" t="s">
        <v>2528</v>
      </c>
      <c r="D119" s="122"/>
      <c r="E119" s="122"/>
      <c r="F119" s="258" t="s">
        <v>70</v>
      </c>
      <c r="G119" s="40" t="s">
        <v>33</v>
      </c>
      <c r="H119" s="100"/>
      <c r="I119" s="41"/>
      <c r="J119" s="41"/>
      <c r="K119" s="42"/>
      <c r="BC119" s="14"/>
      <c r="BD119" s="15"/>
      <c r="BE119" s="21"/>
      <c r="BF119" s="43" t="s">
        <v>2528</v>
      </c>
      <c r="BG119" s="12"/>
      <c r="BH119" s="12"/>
    </row>
    <row r="120" spans="1:60" s="3" customFormat="1" ht="23.25" customHeight="1" x14ac:dyDescent="0.3">
      <c r="A120" s="25" t="s">
        <v>129</v>
      </c>
      <c r="B120" s="26" t="s">
        <v>2529</v>
      </c>
      <c r="C120" s="121" t="s">
        <v>2530</v>
      </c>
      <c r="D120" s="121"/>
      <c r="E120" s="121"/>
      <c r="F120" s="256" t="s">
        <v>158</v>
      </c>
      <c r="G120" s="22" t="s">
        <v>2520</v>
      </c>
      <c r="H120" s="58"/>
      <c r="I120" s="28"/>
      <c r="J120" s="28"/>
      <c r="K120" s="29"/>
      <c r="BC120" s="14"/>
      <c r="BD120" s="15"/>
      <c r="BE120" s="21"/>
      <c r="BF120" s="43"/>
      <c r="BG120" s="12"/>
      <c r="BH120" s="12" t="s">
        <v>2530</v>
      </c>
    </row>
    <row r="121" spans="1:60" s="3" customFormat="1" ht="22.5" customHeight="1" x14ac:dyDescent="0.3">
      <c r="A121" s="25" t="s">
        <v>129</v>
      </c>
      <c r="B121" s="26" t="s">
        <v>2531</v>
      </c>
      <c r="C121" s="121" t="s">
        <v>2532</v>
      </c>
      <c r="D121" s="121"/>
      <c r="E121" s="121"/>
      <c r="F121" s="256" t="s">
        <v>70</v>
      </c>
      <c r="G121" s="22" t="s">
        <v>2526</v>
      </c>
      <c r="H121" s="58"/>
      <c r="I121" s="28"/>
      <c r="J121" s="28"/>
      <c r="K121" s="29"/>
      <c r="BC121" s="14"/>
      <c r="BD121" s="15"/>
      <c r="BE121" s="21"/>
      <c r="BF121" s="43"/>
      <c r="BG121" s="12"/>
      <c r="BH121" s="12" t="s">
        <v>2532</v>
      </c>
    </row>
    <row r="122" spans="1:60" s="3" customFormat="1" ht="22.5" customHeight="1" x14ac:dyDescent="0.3">
      <c r="A122" s="25" t="s">
        <v>129</v>
      </c>
      <c r="B122" s="26" t="s">
        <v>2533</v>
      </c>
      <c r="C122" s="121" t="s">
        <v>2534</v>
      </c>
      <c r="D122" s="121"/>
      <c r="E122" s="121"/>
      <c r="F122" s="256" t="s">
        <v>46</v>
      </c>
      <c r="G122" s="22" t="s">
        <v>2523</v>
      </c>
      <c r="H122" s="58"/>
      <c r="I122" s="28"/>
      <c r="J122" s="28"/>
      <c r="K122" s="29"/>
      <c r="BC122" s="14"/>
      <c r="BD122" s="15"/>
      <c r="BE122" s="21"/>
      <c r="BF122" s="43"/>
      <c r="BG122" s="12"/>
      <c r="BH122" s="12" t="s">
        <v>2534</v>
      </c>
    </row>
    <row r="123" spans="1:60" s="3" customFormat="1" ht="23.25" customHeight="1" x14ac:dyDescent="0.3">
      <c r="A123" s="25" t="s">
        <v>129</v>
      </c>
      <c r="B123" s="26" t="s">
        <v>2535</v>
      </c>
      <c r="C123" s="121" t="s">
        <v>2536</v>
      </c>
      <c r="D123" s="121"/>
      <c r="E123" s="121"/>
      <c r="F123" s="256" t="s">
        <v>75</v>
      </c>
      <c r="G123" s="22" t="s">
        <v>2537</v>
      </c>
      <c r="H123" s="58"/>
      <c r="I123" s="28"/>
      <c r="J123" s="28"/>
      <c r="K123" s="29"/>
      <c r="BC123" s="14"/>
      <c r="BD123" s="15"/>
      <c r="BE123" s="21"/>
      <c r="BF123" s="43"/>
      <c r="BG123" s="12"/>
      <c r="BH123" s="12" t="s">
        <v>2536</v>
      </c>
    </row>
    <row r="124" spans="1:60" s="3" customFormat="1" ht="15" customHeight="1" x14ac:dyDescent="0.3">
      <c r="A124" s="454" t="s">
        <v>2538</v>
      </c>
      <c r="B124" s="455"/>
      <c r="C124" s="455"/>
      <c r="D124" s="455"/>
      <c r="E124" s="455"/>
      <c r="F124" s="455"/>
      <c r="G124" s="455"/>
      <c r="H124" s="296"/>
      <c r="I124" s="296"/>
      <c r="J124" s="296"/>
      <c r="K124" s="297"/>
      <c r="BC124" s="14"/>
      <c r="BD124" s="15" t="s">
        <v>2538</v>
      </c>
      <c r="BE124" s="21"/>
      <c r="BF124" s="43"/>
      <c r="BG124" s="12"/>
      <c r="BH124" s="12"/>
    </row>
    <row r="125" spans="1:60" s="3" customFormat="1" ht="21.6" x14ac:dyDescent="0.3">
      <c r="A125" s="16" t="s">
        <v>177</v>
      </c>
      <c r="B125" s="17" t="s">
        <v>2539</v>
      </c>
      <c r="C125" s="405" t="s">
        <v>2540</v>
      </c>
      <c r="D125" s="405"/>
      <c r="E125" s="405"/>
      <c r="F125" s="16" t="s">
        <v>329</v>
      </c>
      <c r="G125" s="30">
        <v>7.0300000000000001E-2</v>
      </c>
      <c r="H125" s="57">
        <f>I125/G125</f>
        <v>35324.182076813653</v>
      </c>
      <c r="I125" s="19">
        <v>2483.29</v>
      </c>
      <c r="J125" s="19">
        <f>K125/G125</f>
        <v>9974.5376955903266</v>
      </c>
      <c r="K125" s="19">
        <v>701.21</v>
      </c>
      <c r="BC125" s="14"/>
      <c r="BD125" s="15"/>
      <c r="BE125" s="21" t="s">
        <v>2540</v>
      </c>
      <c r="BF125" s="43"/>
      <c r="BG125" s="12"/>
      <c r="BH125" s="12"/>
    </row>
    <row r="126" spans="1:60" s="3" customFormat="1" ht="20.399999999999999" x14ac:dyDescent="0.3">
      <c r="A126" s="25"/>
      <c r="B126" s="26" t="s">
        <v>154</v>
      </c>
      <c r="C126" s="419" t="s">
        <v>155</v>
      </c>
      <c r="D126" s="419"/>
      <c r="E126" s="419"/>
      <c r="F126" s="27" t="s">
        <v>46</v>
      </c>
      <c r="G126" s="22" t="s">
        <v>2541</v>
      </c>
      <c r="H126" s="58"/>
      <c r="I126" s="28"/>
      <c r="J126" s="28"/>
      <c r="K126" s="29"/>
      <c r="BC126" s="14"/>
      <c r="BD126" s="15"/>
      <c r="BE126" s="21"/>
      <c r="BF126" s="43"/>
      <c r="BG126" s="12" t="s">
        <v>155</v>
      </c>
      <c r="BH126" s="12"/>
    </row>
    <row r="127" spans="1:60" s="3" customFormat="1" ht="21.6" x14ac:dyDescent="0.3">
      <c r="A127" s="37" t="s">
        <v>143</v>
      </c>
      <c r="B127" s="38" t="s">
        <v>2542</v>
      </c>
      <c r="C127" s="430" t="s">
        <v>2543</v>
      </c>
      <c r="D127" s="430"/>
      <c r="E127" s="430"/>
      <c r="F127" s="39" t="s">
        <v>46</v>
      </c>
      <c r="G127" s="40" t="s">
        <v>2544</v>
      </c>
      <c r="H127" s="100"/>
      <c r="I127" s="41"/>
      <c r="J127" s="41"/>
      <c r="K127" s="42"/>
      <c r="BC127" s="14"/>
      <c r="BD127" s="15"/>
      <c r="BE127" s="21"/>
      <c r="BF127" s="43" t="s">
        <v>2543</v>
      </c>
      <c r="BG127" s="12"/>
      <c r="BH127" s="12"/>
    </row>
    <row r="128" spans="1:60" s="3" customFormat="1" ht="20.399999999999999" x14ac:dyDescent="0.3">
      <c r="A128" s="25" t="s">
        <v>129</v>
      </c>
      <c r="B128" s="26" t="s">
        <v>2545</v>
      </c>
      <c r="C128" s="419" t="s">
        <v>84</v>
      </c>
      <c r="D128" s="419"/>
      <c r="E128" s="419"/>
      <c r="F128" s="27" t="s">
        <v>46</v>
      </c>
      <c r="G128" s="22" t="s">
        <v>2544</v>
      </c>
      <c r="H128" s="58"/>
      <c r="I128" s="28"/>
      <c r="J128" s="28"/>
      <c r="K128" s="29"/>
      <c r="BC128" s="14"/>
      <c r="BD128" s="15"/>
      <c r="BE128" s="21"/>
      <c r="BF128" s="43"/>
      <c r="BG128" s="12"/>
      <c r="BH128" s="12" t="s">
        <v>84</v>
      </c>
    </row>
    <row r="129" spans="1:60" s="3" customFormat="1" ht="31.8" x14ac:dyDescent="0.3">
      <c r="A129" s="16" t="s">
        <v>180</v>
      </c>
      <c r="B129" s="17" t="s">
        <v>2546</v>
      </c>
      <c r="C129" s="405" t="s">
        <v>2547</v>
      </c>
      <c r="D129" s="405"/>
      <c r="E129" s="405"/>
      <c r="F129" s="16" t="s">
        <v>329</v>
      </c>
      <c r="G129" s="30">
        <v>7.0300000000000001E-2</v>
      </c>
      <c r="H129" s="57">
        <f>I129/G129</f>
        <v>3653.2005689900448</v>
      </c>
      <c r="I129" s="19">
        <v>256.82000000000016</v>
      </c>
      <c r="J129" s="19">
        <f>K129/G129</f>
        <v>49495.0213371266</v>
      </c>
      <c r="K129" s="19">
        <v>3479.5</v>
      </c>
      <c r="BC129" s="14"/>
      <c r="BD129" s="15"/>
      <c r="BE129" s="21" t="s">
        <v>2547</v>
      </c>
      <c r="BF129" s="43"/>
      <c r="BG129" s="12"/>
      <c r="BH129" s="12"/>
    </row>
    <row r="130" spans="1:60" s="3" customFormat="1" ht="21.6" x14ac:dyDescent="0.3">
      <c r="A130" s="37" t="s">
        <v>143</v>
      </c>
      <c r="B130" s="38" t="s">
        <v>2542</v>
      </c>
      <c r="C130" s="430" t="s">
        <v>2543</v>
      </c>
      <c r="D130" s="430"/>
      <c r="E130" s="430"/>
      <c r="F130" s="39" t="s">
        <v>46</v>
      </c>
      <c r="G130" s="40" t="s">
        <v>2548</v>
      </c>
      <c r="H130" s="100"/>
      <c r="I130" s="41"/>
      <c r="J130" s="41"/>
      <c r="K130" s="42"/>
      <c r="BC130" s="14"/>
      <c r="BD130" s="15"/>
      <c r="BE130" s="21"/>
      <c r="BF130" s="43" t="s">
        <v>2543</v>
      </c>
      <c r="BG130" s="12"/>
      <c r="BH130" s="12"/>
    </row>
    <row r="131" spans="1:60" s="3" customFormat="1" ht="20.399999999999999" x14ac:dyDescent="0.3">
      <c r="A131" s="25" t="s">
        <v>129</v>
      </c>
      <c r="B131" s="26" t="s">
        <v>2545</v>
      </c>
      <c r="C131" s="419" t="s">
        <v>84</v>
      </c>
      <c r="D131" s="419"/>
      <c r="E131" s="419"/>
      <c r="F131" s="27" t="s">
        <v>46</v>
      </c>
      <c r="G131" s="22" t="s">
        <v>2549</v>
      </c>
      <c r="H131" s="58"/>
      <c r="I131" s="28"/>
      <c r="J131" s="28"/>
      <c r="K131" s="29"/>
      <c r="BC131" s="14"/>
      <c r="BD131" s="15"/>
      <c r="BE131" s="21"/>
      <c r="BF131" s="43"/>
      <c r="BG131" s="12"/>
      <c r="BH131" s="12" t="s">
        <v>84</v>
      </c>
    </row>
    <row r="132" spans="1:60" s="3" customFormat="1" ht="21.6" x14ac:dyDescent="0.3">
      <c r="A132" s="16" t="s">
        <v>182</v>
      </c>
      <c r="B132" s="17" t="s">
        <v>2550</v>
      </c>
      <c r="C132" s="405" t="s">
        <v>2551</v>
      </c>
      <c r="D132" s="405"/>
      <c r="E132" s="405"/>
      <c r="F132" s="16" t="s">
        <v>70</v>
      </c>
      <c r="G132" s="46">
        <v>2.1793E-2</v>
      </c>
      <c r="H132" s="57">
        <f>I132/G132</f>
        <v>12123.15881246272</v>
      </c>
      <c r="I132" s="19">
        <v>264.20000000000005</v>
      </c>
      <c r="J132" s="19">
        <f>K132/G132</f>
        <v>70358.371954297254</v>
      </c>
      <c r="K132" s="19">
        <v>1533.32</v>
      </c>
      <c r="BC132" s="14"/>
      <c r="BD132" s="15"/>
      <c r="BE132" s="21" t="s">
        <v>2551</v>
      </c>
      <c r="BF132" s="43"/>
      <c r="BG132" s="12"/>
      <c r="BH132" s="12"/>
    </row>
    <row r="133" spans="1:60" s="3" customFormat="1" ht="20.399999999999999" x14ac:dyDescent="0.3">
      <c r="A133" s="25"/>
      <c r="B133" s="26" t="s">
        <v>2552</v>
      </c>
      <c r="C133" s="419" t="s">
        <v>2553</v>
      </c>
      <c r="D133" s="419"/>
      <c r="E133" s="419"/>
      <c r="F133" s="27" t="s">
        <v>70</v>
      </c>
      <c r="G133" s="22" t="s">
        <v>2554</v>
      </c>
      <c r="H133" s="58"/>
      <c r="I133" s="28"/>
      <c r="J133" s="28"/>
      <c r="K133" s="29"/>
      <c r="BC133" s="14"/>
      <c r="BD133" s="15"/>
      <c r="BE133" s="21"/>
      <c r="BF133" s="43"/>
      <c r="BG133" s="12" t="s">
        <v>2553</v>
      </c>
      <c r="BH133" s="12"/>
    </row>
    <row r="134" spans="1:60" s="3" customFormat="1" ht="20.399999999999999" x14ac:dyDescent="0.3">
      <c r="A134" s="37" t="s">
        <v>143</v>
      </c>
      <c r="B134" s="38" t="s">
        <v>288</v>
      </c>
      <c r="C134" s="430" t="s">
        <v>289</v>
      </c>
      <c r="D134" s="430"/>
      <c r="E134" s="430"/>
      <c r="F134" s="39" t="s">
        <v>70</v>
      </c>
      <c r="G134" s="40" t="s">
        <v>2555</v>
      </c>
      <c r="H134" s="100"/>
      <c r="I134" s="41"/>
      <c r="J134" s="41"/>
      <c r="K134" s="42"/>
      <c r="BC134" s="14"/>
      <c r="BD134" s="15"/>
      <c r="BE134" s="21"/>
      <c r="BF134" s="43" t="s">
        <v>289</v>
      </c>
      <c r="BG134" s="12"/>
      <c r="BH134" s="12"/>
    </row>
    <row r="135" spans="1:60" s="3" customFormat="1" ht="31.8" x14ac:dyDescent="0.3">
      <c r="A135" s="25" t="s">
        <v>129</v>
      </c>
      <c r="B135" s="26" t="s">
        <v>2556</v>
      </c>
      <c r="C135" s="419" t="s">
        <v>2557</v>
      </c>
      <c r="D135" s="419"/>
      <c r="E135" s="419"/>
      <c r="F135" s="27" t="s">
        <v>158</v>
      </c>
      <c r="G135" s="22" t="s">
        <v>2558</v>
      </c>
      <c r="H135" s="58"/>
      <c r="I135" s="28"/>
      <c r="J135" s="28"/>
      <c r="K135" s="29"/>
      <c r="BC135" s="14"/>
      <c r="BD135" s="15"/>
      <c r="BE135" s="21"/>
      <c r="BF135" s="43"/>
      <c r="BG135" s="12"/>
      <c r="BH135" s="12" t="s">
        <v>2557</v>
      </c>
    </row>
    <row r="136" spans="1:60" s="3" customFormat="1" ht="15" customHeight="1" x14ac:dyDescent="0.3">
      <c r="A136" s="454" t="s">
        <v>2559</v>
      </c>
      <c r="B136" s="455"/>
      <c r="C136" s="455"/>
      <c r="D136" s="455"/>
      <c r="E136" s="455"/>
      <c r="F136" s="455"/>
      <c r="G136" s="455"/>
      <c r="H136" s="296"/>
      <c r="I136" s="296"/>
      <c r="J136" s="296"/>
      <c r="K136" s="297"/>
      <c r="BC136" s="14"/>
      <c r="BD136" s="15" t="s">
        <v>2559</v>
      </c>
      <c r="BE136" s="21"/>
      <c r="BF136" s="43"/>
      <c r="BG136" s="12"/>
      <c r="BH136" s="12"/>
    </row>
    <row r="137" spans="1:60" s="3" customFormat="1" ht="21.6" x14ac:dyDescent="0.3">
      <c r="A137" s="16" t="s">
        <v>186</v>
      </c>
      <c r="B137" s="17" t="s">
        <v>2560</v>
      </c>
      <c r="C137" s="405" t="s">
        <v>2561</v>
      </c>
      <c r="D137" s="405"/>
      <c r="E137" s="405"/>
      <c r="F137" s="16" t="s">
        <v>329</v>
      </c>
      <c r="G137" s="30">
        <v>7.0300000000000001E-2</v>
      </c>
      <c r="H137" s="57">
        <f>I137/G137</f>
        <v>3516.0739687055484</v>
      </c>
      <c r="I137" s="19">
        <v>247.18000000000006</v>
      </c>
      <c r="J137" s="19">
        <f>K137/G137</f>
        <v>13204.694167852062</v>
      </c>
      <c r="K137" s="19">
        <v>928.29</v>
      </c>
      <c r="BC137" s="14"/>
      <c r="BD137" s="15"/>
      <c r="BE137" s="21" t="s">
        <v>2561</v>
      </c>
      <c r="BF137" s="43"/>
      <c r="BG137" s="12"/>
      <c r="BH137" s="12"/>
    </row>
    <row r="138" spans="1:60" s="3" customFormat="1" ht="20.399999999999999" x14ac:dyDescent="0.3">
      <c r="A138" s="25"/>
      <c r="B138" s="26" t="s">
        <v>2189</v>
      </c>
      <c r="C138" s="419" t="s">
        <v>2190</v>
      </c>
      <c r="D138" s="419"/>
      <c r="E138" s="419"/>
      <c r="F138" s="27" t="s">
        <v>158</v>
      </c>
      <c r="G138" s="22" t="s">
        <v>2562</v>
      </c>
      <c r="H138" s="58"/>
      <c r="I138" s="28"/>
      <c r="J138" s="28"/>
      <c r="K138" s="29"/>
      <c r="BC138" s="14"/>
      <c r="BD138" s="15"/>
      <c r="BE138" s="21"/>
      <c r="BF138" s="43"/>
      <c r="BG138" s="12" t="s">
        <v>2190</v>
      </c>
      <c r="BH138" s="12"/>
    </row>
    <row r="139" spans="1:60" s="3" customFormat="1" ht="15" customHeight="1" x14ac:dyDescent="0.3">
      <c r="A139" s="454" t="s">
        <v>2563</v>
      </c>
      <c r="B139" s="455"/>
      <c r="C139" s="455"/>
      <c r="D139" s="455"/>
      <c r="E139" s="455"/>
      <c r="F139" s="455"/>
      <c r="G139" s="455"/>
      <c r="H139" s="296"/>
      <c r="I139" s="296"/>
      <c r="J139" s="296"/>
      <c r="K139" s="297"/>
      <c r="BC139" s="14"/>
      <c r="BD139" s="15" t="s">
        <v>2563</v>
      </c>
      <c r="BE139" s="21"/>
      <c r="BF139" s="43"/>
      <c r="BG139" s="12"/>
      <c r="BH139" s="12"/>
    </row>
    <row r="140" spans="1:60" s="3" customFormat="1" ht="31.8" x14ac:dyDescent="0.3">
      <c r="A140" s="16" t="s">
        <v>192</v>
      </c>
      <c r="B140" s="17" t="s">
        <v>2564</v>
      </c>
      <c r="C140" s="405" t="s">
        <v>2565</v>
      </c>
      <c r="D140" s="405"/>
      <c r="E140" s="405"/>
      <c r="F140" s="16" t="s">
        <v>329</v>
      </c>
      <c r="G140" s="30">
        <v>7.0300000000000001E-2</v>
      </c>
      <c r="H140" s="57">
        <f>I140/G140</f>
        <v>29230.014224751078</v>
      </c>
      <c r="I140" s="19">
        <v>2054.8700000000008</v>
      </c>
      <c r="J140" s="19">
        <f>K140/G140</f>
        <v>208616.78520625888</v>
      </c>
      <c r="K140" s="19">
        <v>14665.76</v>
      </c>
      <c r="BC140" s="14"/>
      <c r="BD140" s="15"/>
      <c r="BE140" s="21" t="s">
        <v>2565</v>
      </c>
      <c r="BF140" s="43"/>
      <c r="BG140" s="12"/>
      <c r="BH140" s="12"/>
    </row>
    <row r="141" spans="1:60" s="3" customFormat="1" ht="21.6" x14ac:dyDescent="0.3">
      <c r="A141" s="37" t="s">
        <v>143</v>
      </c>
      <c r="B141" s="38" t="s">
        <v>2566</v>
      </c>
      <c r="C141" s="430" t="s">
        <v>2567</v>
      </c>
      <c r="D141" s="430"/>
      <c r="E141" s="430"/>
      <c r="F141" s="39" t="s">
        <v>158</v>
      </c>
      <c r="G141" s="40" t="s">
        <v>2568</v>
      </c>
      <c r="H141" s="100"/>
      <c r="I141" s="41"/>
      <c r="J141" s="41"/>
      <c r="K141" s="42"/>
      <c r="BC141" s="14"/>
      <c r="BD141" s="15"/>
      <c r="BE141" s="21"/>
      <c r="BF141" s="43" t="s">
        <v>2567</v>
      </c>
      <c r="BG141" s="12"/>
      <c r="BH141" s="12"/>
    </row>
    <row r="142" spans="1:60" s="3" customFormat="1" ht="21.6" x14ac:dyDescent="0.3">
      <c r="A142" s="25" t="s">
        <v>129</v>
      </c>
      <c r="B142" s="26" t="s">
        <v>2569</v>
      </c>
      <c r="C142" s="419" t="s">
        <v>2570</v>
      </c>
      <c r="D142" s="419"/>
      <c r="E142" s="419"/>
      <c r="F142" s="27" t="s">
        <v>46</v>
      </c>
      <c r="G142" s="22" t="s">
        <v>2571</v>
      </c>
      <c r="H142" s="58"/>
      <c r="I142" s="28"/>
      <c r="J142" s="28"/>
      <c r="K142" s="29"/>
      <c r="BC142" s="14"/>
      <c r="BD142" s="15"/>
      <c r="BE142" s="21"/>
      <c r="BF142" s="43"/>
      <c r="BG142" s="12"/>
      <c r="BH142" s="12" t="s">
        <v>2570</v>
      </c>
    </row>
    <row r="143" spans="1:60" s="3" customFormat="1" ht="15" customHeight="1" x14ac:dyDescent="0.3">
      <c r="A143" s="454" t="s">
        <v>2572</v>
      </c>
      <c r="B143" s="455"/>
      <c r="C143" s="455"/>
      <c r="D143" s="455"/>
      <c r="E143" s="455"/>
      <c r="F143" s="455"/>
      <c r="G143" s="455"/>
      <c r="H143" s="296"/>
      <c r="I143" s="296"/>
      <c r="J143" s="296"/>
      <c r="K143" s="297"/>
      <c r="BC143" s="14"/>
      <c r="BD143" s="15" t="s">
        <v>2572</v>
      </c>
      <c r="BE143" s="21"/>
      <c r="BF143" s="43"/>
      <c r="BG143" s="12"/>
      <c r="BH143" s="12"/>
    </row>
    <row r="144" spans="1:60" s="3" customFormat="1" ht="21.6" x14ac:dyDescent="0.3">
      <c r="A144" s="16" t="s">
        <v>196</v>
      </c>
      <c r="B144" s="17" t="s">
        <v>2573</v>
      </c>
      <c r="C144" s="405" t="s">
        <v>2574</v>
      </c>
      <c r="D144" s="405"/>
      <c r="E144" s="405"/>
      <c r="F144" s="16" t="s">
        <v>67</v>
      </c>
      <c r="G144" s="30">
        <v>8.2100000000000006E-2</v>
      </c>
      <c r="H144" s="57">
        <f>I144/G144</f>
        <v>33245.06699147381</v>
      </c>
      <c r="I144" s="19">
        <v>2729.42</v>
      </c>
      <c r="J144" s="19">
        <f>K144/G144</f>
        <v>9257.3690621193655</v>
      </c>
      <c r="K144" s="19">
        <v>760.03</v>
      </c>
      <c r="BC144" s="14"/>
      <c r="BD144" s="15"/>
      <c r="BE144" s="21" t="s">
        <v>2574</v>
      </c>
      <c r="BF144" s="43"/>
      <c r="BG144" s="12"/>
      <c r="BH144" s="12"/>
    </row>
    <row r="145" spans="1:60" s="3" customFormat="1" ht="20.399999999999999" x14ac:dyDescent="0.3">
      <c r="A145" s="25"/>
      <c r="B145" s="26" t="s">
        <v>154</v>
      </c>
      <c r="C145" s="419" t="s">
        <v>155</v>
      </c>
      <c r="D145" s="419"/>
      <c r="E145" s="419"/>
      <c r="F145" s="27" t="s">
        <v>46</v>
      </c>
      <c r="G145" s="22" t="s">
        <v>2575</v>
      </c>
      <c r="H145" s="58"/>
      <c r="I145" s="28"/>
      <c r="J145" s="28"/>
      <c r="K145" s="29"/>
      <c r="BC145" s="14"/>
      <c r="BD145" s="15"/>
      <c r="BE145" s="21"/>
      <c r="BF145" s="43"/>
      <c r="BG145" s="12" t="s">
        <v>155</v>
      </c>
      <c r="BH145" s="12"/>
    </row>
    <row r="146" spans="1:60" s="3" customFormat="1" ht="20.399999999999999" x14ac:dyDescent="0.3">
      <c r="A146" s="25"/>
      <c r="B146" s="26" t="s">
        <v>2576</v>
      </c>
      <c r="C146" s="419" t="s">
        <v>2577</v>
      </c>
      <c r="D146" s="419"/>
      <c r="E146" s="419"/>
      <c r="F146" s="27" t="s">
        <v>2578</v>
      </c>
      <c r="G146" s="22" t="s">
        <v>2579</v>
      </c>
      <c r="H146" s="58"/>
      <c r="I146" s="28"/>
      <c r="J146" s="28"/>
      <c r="K146" s="29"/>
      <c r="BC146" s="14"/>
      <c r="BD146" s="15"/>
      <c r="BE146" s="21"/>
      <c r="BF146" s="43"/>
      <c r="BG146" s="12" t="s">
        <v>2577</v>
      </c>
      <c r="BH146" s="12"/>
    </row>
    <row r="147" spans="1:60" s="3" customFormat="1" ht="20.399999999999999" x14ac:dyDescent="0.3">
      <c r="A147" s="37" t="s">
        <v>143</v>
      </c>
      <c r="B147" s="38" t="s">
        <v>2580</v>
      </c>
      <c r="C147" s="430" t="s">
        <v>2581</v>
      </c>
      <c r="D147" s="430"/>
      <c r="E147" s="430"/>
      <c r="F147" s="39" t="s">
        <v>70</v>
      </c>
      <c r="G147" s="40" t="s">
        <v>2575</v>
      </c>
      <c r="H147" s="100"/>
      <c r="I147" s="41"/>
      <c r="J147" s="41"/>
      <c r="K147" s="42"/>
      <c r="BC147" s="14"/>
      <c r="BD147" s="15"/>
      <c r="BE147" s="21"/>
      <c r="BF147" s="43" t="s">
        <v>2581</v>
      </c>
      <c r="BG147" s="12"/>
      <c r="BH147" s="12"/>
    </row>
    <row r="148" spans="1:60" s="3" customFormat="1" ht="20.399999999999999" x14ac:dyDescent="0.3">
      <c r="A148" s="37" t="s">
        <v>143</v>
      </c>
      <c r="B148" s="38" t="s">
        <v>2518</v>
      </c>
      <c r="C148" s="430" t="s">
        <v>2582</v>
      </c>
      <c r="D148" s="430"/>
      <c r="E148" s="430"/>
      <c r="F148" s="39" t="s">
        <v>158</v>
      </c>
      <c r="G148" s="40" t="s">
        <v>2583</v>
      </c>
      <c r="H148" s="100"/>
      <c r="I148" s="41"/>
      <c r="J148" s="41"/>
      <c r="K148" s="42"/>
      <c r="BC148" s="14"/>
      <c r="BD148" s="15"/>
      <c r="BE148" s="21"/>
      <c r="BF148" s="43" t="s">
        <v>2582</v>
      </c>
      <c r="BG148" s="12"/>
      <c r="BH148" s="12"/>
    </row>
    <row r="149" spans="1:60" s="3" customFormat="1" ht="20.399999999999999" x14ac:dyDescent="0.3">
      <c r="A149" s="37" t="s">
        <v>143</v>
      </c>
      <c r="B149" s="38" t="s">
        <v>2524</v>
      </c>
      <c r="C149" s="430" t="s">
        <v>2525</v>
      </c>
      <c r="D149" s="430"/>
      <c r="E149" s="430"/>
      <c r="F149" s="39" t="s">
        <v>70</v>
      </c>
      <c r="G149" s="40" t="s">
        <v>2584</v>
      </c>
      <c r="H149" s="100"/>
      <c r="I149" s="41"/>
      <c r="J149" s="41"/>
      <c r="K149" s="42"/>
      <c r="BC149" s="14"/>
      <c r="BD149" s="15"/>
      <c r="BE149" s="21"/>
      <c r="BF149" s="43" t="s">
        <v>2525</v>
      </c>
      <c r="BG149" s="12"/>
      <c r="BH149" s="12"/>
    </row>
    <row r="150" spans="1:60" s="3" customFormat="1" ht="31.8" x14ac:dyDescent="0.3">
      <c r="A150" s="25" t="s">
        <v>129</v>
      </c>
      <c r="B150" s="26" t="s">
        <v>2585</v>
      </c>
      <c r="C150" s="419" t="s">
        <v>2516</v>
      </c>
      <c r="D150" s="419"/>
      <c r="E150" s="419"/>
      <c r="F150" s="27" t="s">
        <v>70</v>
      </c>
      <c r="G150" s="22" t="s">
        <v>2575</v>
      </c>
      <c r="H150" s="58"/>
      <c r="I150" s="28"/>
      <c r="J150" s="28"/>
      <c r="K150" s="29"/>
      <c r="BC150" s="14"/>
      <c r="BD150" s="15"/>
      <c r="BE150" s="21"/>
      <c r="BF150" s="43"/>
      <c r="BG150" s="12"/>
      <c r="BH150" s="12" t="s">
        <v>2516</v>
      </c>
    </row>
    <row r="151" spans="1:60" s="3" customFormat="1" ht="21.6" x14ac:dyDescent="0.3">
      <c r="A151" s="25" t="s">
        <v>129</v>
      </c>
      <c r="B151" s="26" t="s">
        <v>2529</v>
      </c>
      <c r="C151" s="419" t="s">
        <v>2530</v>
      </c>
      <c r="D151" s="419"/>
      <c r="E151" s="419"/>
      <c r="F151" s="27" t="s">
        <v>158</v>
      </c>
      <c r="G151" s="22" t="s">
        <v>2586</v>
      </c>
      <c r="H151" s="58"/>
      <c r="I151" s="28"/>
      <c r="J151" s="28"/>
      <c r="K151" s="29"/>
      <c r="BC151" s="14"/>
      <c r="BD151" s="15"/>
      <c r="BE151" s="21"/>
      <c r="BF151" s="43"/>
      <c r="BG151" s="12"/>
      <c r="BH151" s="12" t="s">
        <v>2530</v>
      </c>
    </row>
    <row r="152" spans="1:60" s="3" customFormat="1" ht="20.399999999999999" x14ac:dyDescent="0.3">
      <c r="A152" s="25" t="s">
        <v>129</v>
      </c>
      <c r="B152" s="26" t="s">
        <v>2531</v>
      </c>
      <c r="C152" s="419" t="s">
        <v>2532</v>
      </c>
      <c r="D152" s="419"/>
      <c r="E152" s="419"/>
      <c r="F152" s="27" t="s">
        <v>70</v>
      </c>
      <c r="G152" s="22" t="s">
        <v>2584</v>
      </c>
      <c r="H152" s="58"/>
      <c r="I152" s="28"/>
      <c r="J152" s="28"/>
      <c r="K152" s="29"/>
      <c r="BC152" s="14"/>
      <c r="BD152" s="15"/>
      <c r="BE152" s="21"/>
      <c r="BF152" s="43"/>
      <c r="BG152" s="12"/>
      <c r="BH152" s="12" t="s">
        <v>2532</v>
      </c>
    </row>
    <row r="153" spans="1:60" s="3" customFormat="1" ht="14.4" x14ac:dyDescent="0.3">
      <c r="A153" s="454" t="s">
        <v>2587</v>
      </c>
      <c r="B153" s="455"/>
      <c r="C153" s="455"/>
      <c r="D153" s="455"/>
      <c r="E153" s="455"/>
      <c r="F153" s="455"/>
      <c r="G153" s="455"/>
      <c r="H153" s="296"/>
      <c r="I153" s="296"/>
      <c r="J153" s="296"/>
      <c r="K153" s="297"/>
      <c r="BC153" s="14"/>
      <c r="BD153" s="15" t="s">
        <v>2587</v>
      </c>
      <c r="BE153" s="21"/>
      <c r="BF153" s="43"/>
      <c r="BG153" s="12"/>
      <c r="BH153" s="12"/>
    </row>
    <row r="154" spans="1:60" s="3" customFormat="1" ht="15" customHeight="1" x14ac:dyDescent="0.3">
      <c r="A154" s="454" t="s">
        <v>2511</v>
      </c>
      <c r="B154" s="455"/>
      <c r="C154" s="455"/>
      <c r="D154" s="455"/>
      <c r="E154" s="455"/>
      <c r="F154" s="455"/>
      <c r="G154" s="455"/>
      <c r="H154" s="296"/>
      <c r="I154" s="296"/>
      <c r="J154" s="296"/>
      <c r="K154" s="297"/>
      <c r="BC154" s="14"/>
      <c r="BD154" s="15" t="s">
        <v>2511</v>
      </c>
      <c r="BE154" s="21"/>
      <c r="BF154" s="43"/>
      <c r="BG154" s="12"/>
      <c r="BH154" s="12"/>
    </row>
    <row r="155" spans="1:60" s="3" customFormat="1" ht="21.6" x14ac:dyDescent="0.3">
      <c r="A155" s="16" t="s">
        <v>198</v>
      </c>
      <c r="B155" s="17" t="s">
        <v>2512</v>
      </c>
      <c r="C155" s="405" t="s">
        <v>2513</v>
      </c>
      <c r="D155" s="405"/>
      <c r="E155" s="405"/>
      <c r="F155" s="16" t="s">
        <v>329</v>
      </c>
      <c r="G155" s="30">
        <v>3.9199999999999999E-2</v>
      </c>
      <c r="H155" s="57">
        <f>I155/G155</f>
        <v>322557.65306122456</v>
      </c>
      <c r="I155" s="19">
        <v>12644.260000000002</v>
      </c>
      <c r="J155" s="19">
        <f>K155/G155</f>
        <v>175247.19387755101</v>
      </c>
      <c r="K155" s="19">
        <v>6869.69</v>
      </c>
      <c r="BC155" s="14"/>
      <c r="BD155" s="15"/>
      <c r="BE155" s="21" t="s">
        <v>2513</v>
      </c>
      <c r="BF155" s="43"/>
      <c r="BG155" s="12"/>
      <c r="BH155" s="12"/>
    </row>
    <row r="156" spans="1:60" s="3" customFormat="1" ht="20.399999999999999" x14ac:dyDescent="0.3">
      <c r="A156" s="25"/>
      <c r="B156" s="26" t="s">
        <v>154</v>
      </c>
      <c r="C156" s="419" t="s">
        <v>155</v>
      </c>
      <c r="D156" s="419"/>
      <c r="E156" s="419"/>
      <c r="F156" s="27" t="s">
        <v>46</v>
      </c>
      <c r="G156" s="22" t="s">
        <v>2588</v>
      </c>
      <c r="H156" s="58"/>
      <c r="I156" s="28"/>
      <c r="J156" s="28"/>
      <c r="K156" s="29"/>
      <c r="BC156" s="14"/>
      <c r="BD156" s="15"/>
      <c r="BE156" s="21"/>
      <c r="BF156" s="43"/>
      <c r="BG156" s="12" t="s">
        <v>155</v>
      </c>
      <c r="BH156" s="12"/>
    </row>
    <row r="157" spans="1:60" s="3" customFormat="1" ht="31.8" x14ac:dyDescent="0.3">
      <c r="A157" s="25"/>
      <c r="B157" s="26" t="s">
        <v>2515</v>
      </c>
      <c r="C157" s="419" t="s">
        <v>2516</v>
      </c>
      <c r="D157" s="419"/>
      <c r="E157" s="419"/>
      <c r="F157" s="27" t="s">
        <v>70</v>
      </c>
      <c r="G157" s="22" t="s">
        <v>2589</v>
      </c>
      <c r="H157" s="58"/>
      <c r="I157" s="28"/>
      <c r="J157" s="28"/>
      <c r="K157" s="29"/>
      <c r="BC157" s="14"/>
      <c r="BD157" s="15"/>
      <c r="BE157" s="21"/>
      <c r="BF157" s="43"/>
      <c r="BG157" s="12" t="s">
        <v>2516</v>
      </c>
      <c r="BH157" s="12"/>
    </row>
    <row r="158" spans="1:60" s="3" customFormat="1" ht="20.399999999999999" x14ac:dyDescent="0.3">
      <c r="A158" s="37" t="s">
        <v>143</v>
      </c>
      <c r="B158" s="38" t="s">
        <v>2518</v>
      </c>
      <c r="C158" s="430" t="s">
        <v>2519</v>
      </c>
      <c r="D158" s="430"/>
      <c r="E158" s="430"/>
      <c r="F158" s="39" t="s">
        <v>158</v>
      </c>
      <c r="G158" s="40" t="s">
        <v>2590</v>
      </c>
      <c r="H158" s="100"/>
      <c r="I158" s="41"/>
      <c r="J158" s="41"/>
      <c r="K158" s="42"/>
      <c r="BC158" s="14"/>
      <c r="BD158" s="15"/>
      <c r="BE158" s="21"/>
      <c r="BF158" s="43" t="s">
        <v>2519</v>
      </c>
      <c r="BG158" s="12"/>
      <c r="BH158" s="12"/>
    </row>
    <row r="159" spans="1:60" s="3" customFormat="1" ht="20.399999999999999" x14ac:dyDescent="0.3">
      <c r="A159" s="37" t="s">
        <v>143</v>
      </c>
      <c r="B159" s="38" t="s">
        <v>2521</v>
      </c>
      <c r="C159" s="430" t="s">
        <v>2522</v>
      </c>
      <c r="D159" s="430"/>
      <c r="E159" s="430"/>
      <c r="F159" s="39" t="s">
        <v>46</v>
      </c>
      <c r="G159" s="40" t="s">
        <v>2591</v>
      </c>
      <c r="H159" s="100"/>
      <c r="I159" s="41"/>
      <c r="J159" s="41"/>
      <c r="K159" s="42"/>
      <c r="BC159" s="14"/>
      <c r="BD159" s="15"/>
      <c r="BE159" s="21"/>
      <c r="BF159" s="43" t="s">
        <v>2522</v>
      </c>
      <c r="BG159" s="12"/>
      <c r="BH159" s="12"/>
    </row>
    <row r="160" spans="1:60" s="3" customFormat="1" ht="20.399999999999999" x14ac:dyDescent="0.3">
      <c r="A160" s="37" t="s">
        <v>143</v>
      </c>
      <c r="B160" s="38" t="s">
        <v>2524</v>
      </c>
      <c r="C160" s="430" t="s">
        <v>2525</v>
      </c>
      <c r="D160" s="430"/>
      <c r="E160" s="430"/>
      <c r="F160" s="39" t="s">
        <v>70</v>
      </c>
      <c r="G160" s="40" t="s">
        <v>2592</v>
      </c>
      <c r="H160" s="100"/>
      <c r="I160" s="41"/>
      <c r="J160" s="41"/>
      <c r="K160" s="42"/>
      <c r="BC160" s="14"/>
      <c r="BD160" s="15"/>
      <c r="BE160" s="21"/>
      <c r="BF160" s="43" t="s">
        <v>2525</v>
      </c>
      <c r="BG160" s="12"/>
      <c r="BH160" s="12"/>
    </row>
    <row r="161" spans="1:60" s="3" customFormat="1" ht="20.399999999999999" x14ac:dyDescent="0.3">
      <c r="A161" s="37" t="s">
        <v>78</v>
      </c>
      <c r="B161" s="38" t="s">
        <v>2527</v>
      </c>
      <c r="C161" s="430" t="s">
        <v>2528</v>
      </c>
      <c r="D161" s="430"/>
      <c r="E161" s="430"/>
      <c r="F161" s="39" t="s">
        <v>70</v>
      </c>
      <c r="G161" s="40" t="s">
        <v>33</v>
      </c>
      <c r="H161" s="100"/>
      <c r="I161" s="41"/>
      <c r="J161" s="41"/>
      <c r="K161" s="42"/>
      <c r="BC161" s="14"/>
      <c r="BD161" s="15"/>
      <c r="BE161" s="21"/>
      <c r="BF161" s="43" t="s">
        <v>2528</v>
      </c>
      <c r="BG161" s="12"/>
      <c r="BH161" s="12"/>
    </row>
    <row r="162" spans="1:60" s="3" customFormat="1" ht="21.6" x14ac:dyDescent="0.3">
      <c r="A162" s="25" t="s">
        <v>129</v>
      </c>
      <c r="B162" s="26" t="s">
        <v>2529</v>
      </c>
      <c r="C162" s="419" t="s">
        <v>2530</v>
      </c>
      <c r="D162" s="419"/>
      <c r="E162" s="419"/>
      <c r="F162" s="27" t="s">
        <v>158</v>
      </c>
      <c r="G162" s="22" t="s">
        <v>2590</v>
      </c>
      <c r="H162" s="58"/>
      <c r="I162" s="28"/>
      <c r="J162" s="28"/>
      <c r="K162" s="29"/>
      <c r="BC162" s="14"/>
      <c r="BD162" s="15"/>
      <c r="BE162" s="21"/>
      <c r="BF162" s="43"/>
      <c r="BG162" s="12"/>
      <c r="BH162" s="12" t="s">
        <v>2530</v>
      </c>
    </row>
    <row r="163" spans="1:60" s="3" customFormat="1" ht="20.399999999999999" x14ac:dyDescent="0.3">
      <c r="A163" s="25" t="s">
        <v>129</v>
      </c>
      <c r="B163" s="26" t="s">
        <v>2531</v>
      </c>
      <c r="C163" s="419" t="s">
        <v>2532</v>
      </c>
      <c r="D163" s="419"/>
      <c r="E163" s="419"/>
      <c r="F163" s="27" t="s">
        <v>70</v>
      </c>
      <c r="G163" s="22" t="s">
        <v>2592</v>
      </c>
      <c r="H163" s="58"/>
      <c r="I163" s="28"/>
      <c r="J163" s="28"/>
      <c r="K163" s="29"/>
      <c r="BC163" s="14"/>
      <c r="BD163" s="15"/>
      <c r="BE163" s="21"/>
      <c r="BF163" s="43"/>
      <c r="BG163" s="12"/>
      <c r="BH163" s="12" t="s">
        <v>2532</v>
      </c>
    </row>
    <row r="164" spans="1:60" s="3" customFormat="1" ht="20.399999999999999" x14ac:dyDescent="0.3">
      <c r="A164" s="25" t="s">
        <v>129</v>
      </c>
      <c r="B164" s="26" t="s">
        <v>2533</v>
      </c>
      <c r="C164" s="419" t="s">
        <v>2534</v>
      </c>
      <c r="D164" s="419"/>
      <c r="E164" s="419"/>
      <c r="F164" s="27" t="s">
        <v>46</v>
      </c>
      <c r="G164" s="22" t="s">
        <v>2591</v>
      </c>
      <c r="H164" s="58"/>
      <c r="I164" s="28"/>
      <c r="J164" s="28"/>
      <c r="K164" s="29"/>
      <c r="BC164" s="14"/>
      <c r="BD164" s="15"/>
      <c r="BE164" s="21"/>
      <c r="BF164" s="43"/>
      <c r="BG164" s="12"/>
      <c r="BH164" s="12" t="s">
        <v>2534</v>
      </c>
    </row>
    <row r="165" spans="1:60" s="3" customFormat="1" ht="20.399999999999999" x14ac:dyDescent="0.3">
      <c r="A165" s="25" t="s">
        <v>129</v>
      </c>
      <c r="B165" s="26" t="s">
        <v>2535</v>
      </c>
      <c r="C165" s="419" t="s">
        <v>2536</v>
      </c>
      <c r="D165" s="419"/>
      <c r="E165" s="419"/>
      <c r="F165" s="27" t="s">
        <v>75</v>
      </c>
      <c r="G165" s="22" t="s">
        <v>2593</v>
      </c>
      <c r="H165" s="58"/>
      <c r="I165" s="28"/>
      <c r="J165" s="28"/>
      <c r="K165" s="29"/>
      <c r="BC165" s="14"/>
      <c r="BD165" s="15"/>
      <c r="BE165" s="21"/>
      <c r="BF165" s="43"/>
      <c r="BG165" s="12"/>
      <c r="BH165" s="12" t="s">
        <v>2536</v>
      </c>
    </row>
    <row r="166" spans="1:60" s="3" customFormat="1" ht="15" customHeight="1" x14ac:dyDescent="0.3">
      <c r="A166" s="454" t="s">
        <v>2594</v>
      </c>
      <c r="B166" s="455"/>
      <c r="C166" s="455"/>
      <c r="D166" s="455"/>
      <c r="E166" s="455"/>
      <c r="F166" s="455"/>
      <c r="G166" s="455"/>
      <c r="H166" s="296"/>
      <c r="I166" s="296"/>
      <c r="J166" s="296"/>
      <c r="K166" s="297"/>
      <c r="BC166" s="14"/>
      <c r="BD166" s="15" t="s">
        <v>2594</v>
      </c>
      <c r="BE166" s="21"/>
      <c r="BF166" s="43"/>
      <c r="BG166" s="12"/>
      <c r="BH166" s="12"/>
    </row>
    <row r="167" spans="1:60" s="3" customFormat="1" ht="21.6" x14ac:dyDescent="0.3">
      <c r="A167" s="16" t="s">
        <v>201</v>
      </c>
      <c r="B167" s="17" t="s">
        <v>2595</v>
      </c>
      <c r="C167" s="405" t="s">
        <v>2596</v>
      </c>
      <c r="D167" s="405"/>
      <c r="E167" s="405"/>
      <c r="F167" s="16" t="s">
        <v>329</v>
      </c>
      <c r="G167" s="30">
        <v>6.4600000000000005E-2</v>
      </c>
      <c r="H167" s="57">
        <f>I167/G167</f>
        <v>33992.1052631579</v>
      </c>
      <c r="I167" s="19">
        <v>2195.8900000000003</v>
      </c>
      <c r="J167" s="19">
        <f>K167/G167</f>
        <v>6132.8173374612998</v>
      </c>
      <c r="K167" s="19">
        <v>396.18</v>
      </c>
      <c r="BC167" s="14"/>
      <c r="BD167" s="15"/>
      <c r="BE167" s="21" t="s">
        <v>2596</v>
      </c>
      <c r="BF167" s="43"/>
      <c r="BG167" s="12"/>
      <c r="BH167" s="12"/>
    </row>
    <row r="168" spans="1:60" s="3" customFormat="1" ht="20.399999999999999" x14ac:dyDescent="0.3">
      <c r="A168" s="25"/>
      <c r="B168" s="26" t="s">
        <v>2597</v>
      </c>
      <c r="C168" s="419" t="s">
        <v>2598</v>
      </c>
      <c r="D168" s="419"/>
      <c r="E168" s="419"/>
      <c r="F168" s="27" t="s">
        <v>70</v>
      </c>
      <c r="G168" s="22" t="s">
        <v>2599</v>
      </c>
      <c r="H168" s="58"/>
      <c r="I168" s="28"/>
      <c r="J168" s="28"/>
      <c r="K168" s="29"/>
      <c r="BC168" s="14"/>
      <c r="BD168" s="15"/>
      <c r="BE168" s="21"/>
      <c r="BF168" s="43"/>
      <c r="BG168" s="12" t="s">
        <v>2598</v>
      </c>
      <c r="BH168" s="12"/>
    </row>
    <row r="169" spans="1:60" s="3" customFormat="1" ht="20.399999999999999" x14ac:dyDescent="0.3">
      <c r="A169" s="25"/>
      <c r="B169" s="26" t="s">
        <v>2600</v>
      </c>
      <c r="C169" s="419" t="s">
        <v>2601</v>
      </c>
      <c r="D169" s="419"/>
      <c r="E169" s="419"/>
      <c r="F169" s="27" t="s">
        <v>70</v>
      </c>
      <c r="G169" s="22" t="s">
        <v>2602</v>
      </c>
      <c r="H169" s="58"/>
      <c r="I169" s="28"/>
      <c r="J169" s="28"/>
      <c r="K169" s="29"/>
      <c r="BC169" s="14"/>
      <c r="BD169" s="15"/>
      <c r="BE169" s="21"/>
      <c r="BF169" s="43"/>
      <c r="BG169" s="12" t="s">
        <v>2601</v>
      </c>
      <c r="BH169" s="12"/>
    </row>
    <row r="170" spans="1:60" s="3" customFormat="1" ht="20.399999999999999" x14ac:dyDescent="0.3">
      <c r="A170" s="25"/>
      <c r="B170" s="26" t="s">
        <v>1262</v>
      </c>
      <c r="C170" s="419" t="s">
        <v>1263</v>
      </c>
      <c r="D170" s="419"/>
      <c r="E170" s="419"/>
      <c r="F170" s="27" t="s">
        <v>70</v>
      </c>
      <c r="G170" s="22" t="s">
        <v>2603</v>
      </c>
      <c r="H170" s="58"/>
      <c r="I170" s="28"/>
      <c r="J170" s="28"/>
      <c r="K170" s="29"/>
      <c r="BC170" s="14"/>
      <c r="BD170" s="15"/>
      <c r="BE170" s="21"/>
      <c r="BF170" s="43"/>
      <c r="BG170" s="12" t="s">
        <v>1263</v>
      </c>
      <c r="BH170" s="12"/>
    </row>
    <row r="171" spans="1:60" s="3" customFormat="1" ht="20.399999999999999" x14ac:dyDescent="0.3">
      <c r="A171" s="25"/>
      <c r="B171" s="26" t="s">
        <v>2604</v>
      </c>
      <c r="C171" s="419" t="s">
        <v>2605</v>
      </c>
      <c r="D171" s="419"/>
      <c r="E171" s="419"/>
      <c r="F171" s="27" t="s">
        <v>75</v>
      </c>
      <c r="G171" s="22" t="s">
        <v>2606</v>
      </c>
      <c r="H171" s="58"/>
      <c r="I171" s="28"/>
      <c r="J171" s="28"/>
      <c r="K171" s="29"/>
      <c r="BC171" s="14"/>
      <c r="BD171" s="15"/>
      <c r="BE171" s="21"/>
      <c r="BF171" s="43"/>
      <c r="BG171" s="12" t="s">
        <v>2605</v>
      </c>
      <c r="BH171" s="12"/>
    </row>
    <row r="172" spans="1:60" s="3" customFormat="1" ht="20.399999999999999" x14ac:dyDescent="0.3">
      <c r="A172" s="25"/>
      <c r="B172" s="26" t="s">
        <v>2607</v>
      </c>
      <c r="C172" s="419" t="s">
        <v>2608</v>
      </c>
      <c r="D172" s="419"/>
      <c r="E172" s="419"/>
      <c r="F172" s="27" t="s">
        <v>70</v>
      </c>
      <c r="G172" s="22" t="s">
        <v>2609</v>
      </c>
      <c r="H172" s="58"/>
      <c r="I172" s="28"/>
      <c r="J172" s="28"/>
      <c r="K172" s="29"/>
      <c r="BC172" s="14"/>
      <c r="BD172" s="15"/>
      <c r="BE172" s="21"/>
      <c r="BF172" s="43"/>
      <c r="BG172" s="12" t="s">
        <v>2608</v>
      </c>
      <c r="BH172" s="12"/>
    </row>
    <row r="173" spans="1:60" s="3" customFormat="1" ht="20.399999999999999" x14ac:dyDescent="0.3">
      <c r="A173" s="25"/>
      <c r="B173" s="26" t="s">
        <v>339</v>
      </c>
      <c r="C173" s="419" t="s">
        <v>340</v>
      </c>
      <c r="D173" s="419"/>
      <c r="E173" s="419"/>
      <c r="F173" s="27" t="s">
        <v>75</v>
      </c>
      <c r="G173" s="22" t="s">
        <v>2610</v>
      </c>
      <c r="H173" s="58"/>
      <c r="I173" s="28"/>
      <c r="J173" s="28"/>
      <c r="K173" s="29"/>
      <c r="BC173" s="14"/>
      <c r="BD173" s="15"/>
      <c r="BE173" s="21"/>
      <c r="BF173" s="43"/>
      <c r="BG173" s="12" t="s">
        <v>340</v>
      </c>
      <c r="BH173" s="12"/>
    </row>
    <row r="174" spans="1:60" s="3" customFormat="1" ht="15" customHeight="1" x14ac:dyDescent="0.3">
      <c r="A174" s="454" t="s">
        <v>2538</v>
      </c>
      <c r="B174" s="455"/>
      <c r="C174" s="455"/>
      <c r="D174" s="455"/>
      <c r="E174" s="455"/>
      <c r="F174" s="455"/>
      <c r="G174" s="455"/>
      <c r="H174" s="296"/>
      <c r="I174" s="296"/>
      <c r="J174" s="296"/>
      <c r="K174" s="297"/>
      <c r="BC174" s="14"/>
      <c r="BD174" s="15" t="s">
        <v>2538</v>
      </c>
      <c r="BE174" s="21"/>
      <c r="BF174" s="43"/>
      <c r="BG174" s="12"/>
      <c r="BH174" s="12"/>
    </row>
    <row r="175" spans="1:60" s="3" customFormat="1" ht="21.6" x14ac:dyDescent="0.3">
      <c r="A175" s="16" t="s">
        <v>219</v>
      </c>
      <c r="B175" s="17" t="s">
        <v>2539</v>
      </c>
      <c r="C175" s="405" t="s">
        <v>2540</v>
      </c>
      <c r="D175" s="405"/>
      <c r="E175" s="405"/>
      <c r="F175" s="16" t="s">
        <v>329</v>
      </c>
      <c r="G175" s="30">
        <v>5.2200000000000003E-2</v>
      </c>
      <c r="H175" s="57">
        <f>I175/G175</f>
        <v>35324.137931034486</v>
      </c>
      <c r="I175" s="19">
        <v>1843.92</v>
      </c>
      <c r="J175" s="19">
        <f>K175/G175</f>
        <v>9974.5210727969334</v>
      </c>
      <c r="K175" s="19">
        <v>520.66999999999996</v>
      </c>
      <c r="BC175" s="14"/>
      <c r="BD175" s="15"/>
      <c r="BE175" s="21" t="s">
        <v>2540</v>
      </c>
      <c r="BF175" s="43"/>
      <c r="BG175" s="12"/>
      <c r="BH175" s="12"/>
    </row>
    <row r="176" spans="1:60" s="3" customFormat="1" ht="20.399999999999999" x14ac:dyDescent="0.3">
      <c r="A176" s="25"/>
      <c r="B176" s="26" t="s">
        <v>154</v>
      </c>
      <c r="C176" s="419" t="s">
        <v>155</v>
      </c>
      <c r="D176" s="419"/>
      <c r="E176" s="419"/>
      <c r="F176" s="27" t="s">
        <v>46</v>
      </c>
      <c r="G176" s="22" t="s">
        <v>2611</v>
      </c>
      <c r="H176" s="58"/>
      <c r="I176" s="28"/>
      <c r="J176" s="28"/>
      <c r="K176" s="29"/>
      <c r="BC176" s="14"/>
      <c r="BD176" s="15"/>
      <c r="BE176" s="21"/>
      <c r="BF176" s="43"/>
      <c r="BG176" s="12" t="s">
        <v>155</v>
      </c>
      <c r="BH176" s="12"/>
    </row>
    <row r="177" spans="1:60" s="3" customFormat="1" ht="21.6" x14ac:dyDescent="0.3">
      <c r="A177" s="37" t="s">
        <v>143</v>
      </c>
      <c r="B177" s="38" t="s">
        <v>2542</v>
      </c>
      <c r="C177" s="430" t="s">
        <v>2543</v>
      </c>
      <c r="D177" s="430"/>
      <c r="E177" s="430"/>
      <c r="F177" s="39" t="s">
        <v>46</v>
      </c>
      <c r="G177" s="40" t="s">
        <v>2612</v>
      </c>
      <c r="H177" s="100"/>
      <c r="I177" s="41"/>
      <c r="J177" s="41"/>
      <c r="K177" s="42"/>
      <c r="BC177" s="14"/>
      <c r="BD177" s="15"/>
      <c r="BE177" s="21"/>
      <c r="BF177" s="43" t="s">
        <v>2543</v>
      </c>
      <c r="BG177" s="12"/>
      <c r="BH177" s="12"/>
    </row>
    <row r="178" spans="1:60" s="3" customFormat="1" ht="20.399999999999999" x14ac:dyDescent="0.3">
      <c r="A178" s="25" t="s">
        <v>129</v>
      </c>
      <c r="B178" s="26" t="s">
        <v>2545</v>
      </c>
      <c r="C178" s="419" t="s">
        <v>84</v>
      </c>
      <c r="D178" s="419"/>
      <c r="E178" s="419"/>
      <c r="F178" s="27" t="s">
        <v>46</v>
      </c>
      <c r="G178" s="22" t="s">
        <v>2612</v>
      </c>
      <c r="H178" s="58"/>
      <c r="I178" s="28"/>
      <c r="J178" s="28"/>
      <c r="K178" s="29"/>
      <c r="BC178" s="14"/>
      <c r="BD178" s="15"/>
      <c r="BE178" s="21"/>
      <c r="BF178" s="43"/>
      <c r="BG178" s="12"/>
      <c r="BH178" s="12" t="s">
        <v>84</v>
      </c>
    </row>
    <row r="179" spans="1:60" s="3" customFormat="1" ht="31.8" x14ac:dyDescent="0.3">
      <c r="A179" s="16" t="s">
        <v>222</v>
      </c>
      <c r="B179" s="17" t="s">
        <v>2546</v>
      </c>
      <c r="C179" s="405" t="s">
        <v>2547</v>
      </c>
      <c r="D179" s="405"/>
      <c r="E179" s="405"/>
      <c r="F179" s="16" t="s">
        <v>329</v>
      </c>
      <c r="G179" s="30">
        <v>5.2200000000000003E-2</v>
      </c>
      <c r="H179" s="57">
        <f>I179/G179</f>
        <v>3653.4482758620693</v>
      </c>
      <c r="I179" s="19">
        <v>190.71000000000004</v>
      </c>
      <c r="J179" s="19">
        <f>K179/G179</f>
        <v>49495.019157088114</v>
      </c>
      <c r="K179" s="19">
        <v>2583.64</v>
      </c>
      <c r="BC179" s="14"/>
      <c r="BD179" s="15"/>
      <c r="BE179" s="21" t="s">
        <v>2547</v>
      </c>
      <c r="BF179" s="43"/>
      <c r="BG179" s="12"/>
      <c r="BH179" s="12"/>
    </row>
    <row r="180" spans="1:60" s="3" customFormat="1" ht="21.6" x14ac:dyDescent="0.3">
      <c r="A180" s="37" t="s">
        <v>143</v>
      </c>
      <c r="B180" s="38" t="s">
        <v>2542</v>
      </c>
      <c r="C180" s="430" t="s">
        <v>2543</v>
      </c>
      <c r="D180" s="430"/>
      <c r="E180" s="430"/>
      <c r="F180" s="39" t="s">
        <v>46</v>
      </c>
      <c r="G180" s="40" t="s">
        <v>2613</v>
      </c>
      <c r="H180" s="100"/>
      <c r="I180" s="41"/>
      <c r="J180" s="41"/>
      <c r="K180" s="42"/>
      <c r="BC180" s="14"/>
      <c r="BD180" s="15"/>
      <c r="BE180" s="21"/>
      <c r="BF180" s="43" t="s">
        <v>2543</v>
      </c>
      <c r="BG180" s="12"/>
      <c r="BH180" s="12"/>
    </row>
    <row r="181" spans="1:60" s="3" customFormat="1" ht="20.399999999999999" x14ac:dyDescent="0.3">
      <c r="A181" s="25" t="s">
        <v>129</v>
      </c>
      <c r="B181" s="26" t="s">
        <v>2545</v>
      </c>
      <c r="C181" s="419" t="s">
        <v>84</v>
      </c>
      <c r="D181" s="419"/>
      <c r="E181" s="419"/>
      <c r="F181" s="27" t="s">
        <v>46</v>
      </c>
      <c r="G181" s="22" t="s">
        <v>2614</v>
      </c>
      <c r="H181" s="58"/>
      <c r="I181" s="28"/>
      <c r="J181" s="28"/>
      <c r="K181" s="29"/>
      <c r="BC181" s="14"/>
      <c r="BD181" s="15"/>
      <c r="BE181" s="21"/>
      <c r="BF181" s="43"/>
      <c r="BG181" s="12"/>
      <c r="BH181" s="12" t="s">
        <v>84</v>
      </c>
    </row>
    <row r="182" spans="1:60" s="3" customFormat="1" ht="21.6" x14ac:dyDescent="0.3">
      <c r="A182" s="16" t="s">
        <v>225</v>
      </c>
      <c r="B182" s="17" t="s">
        <v>2550</v>
      </c>
      <c r="C182" s="405" t="s">
        <v>2551</v>
      </c>
      <c r="D182" s="405"/>
      <c r="E182" s="405"/>
      <c r="F182" s="16" t="s">
        <v>70</v>
      </c>
      <c r="G182" s="46">
        <v>1.6181999999999998E-2</v>
      </c>
      <c r="H182" s="57">
        <f>I182/G182</f>
        <v>12124.5828698554</v>
      </c>
      <c r="I182" s="19">
        <v>196.20000000000005</v>
      </c>
      <c r="J182" s="19">
        <f>K182/G182</f>
        <v>70358.422939068099</v>
      </c>
      <c r="K182" s="19">
        <v>1138.54</v>
      </c>
      <c r="BC182" s="14"/>
      <c r="BD182" s="15"/>
      <c r="BE182" s="21" t="s">
        <v>2551</v>
      </c>
      <c r="BF182" s="43"/>
      <c r="BG182" s="12"/>
      <c r="BH182" s="12"/>
    </row>
    <row r="183" spans="1:60" s="3" customFormat="1" ht="20.399999999999999" x14ac:dyDescent="0.3">
      <c r="A183" s="25"/>
      <c r="B183" s="26" t="s">
        <v>2552</v>
      </c>
      <c r="C183" s="419" t="s">
        <v>2553</v>
      </c>
      <c r="D183" s="419"/>
      <c r="E183" s="419"/>
      <c r="F183" s="27" t="s">
        <v>70</v>
      </c>
      <c r="G183" s="22" t="s">
        <v>2615</v>
      </c>
      <c r="H183" s="58"/>
      <c r="I183" s="28"/>
      <c r="J183" s="28"/>
      <c r="K183" s="29"/>
      <c r="BC183" s="14"/>
      <c r="BD183" s="15"/>
      <c r="BE183" s="21"/>
      <c r="BF183" s="43"/>
      <c r="BG183" s="12" t="s">
        <v>2553</v>
      </c>
      <c r="BH183" s="12"/>
    </row>
    <row r="184" spans="1:60" s="3" customFormat="1" ht="20.399999999999999" x14ac:dyDescent="0.3">
      <c r="A184" s="37" t="s">
        <v>143</v>
      </c>
      <c r="B184" s="38" t="s">
        <v>288</v>
      </c>
      <c r="C184" s="430" t="s">
        <v>289</v>
      </c>
      <c r="D184" s="430"/>
      <c r="E184" s="430"/>
      <c r="F184" s="39" t="s">
        <v>70</v>
      </c>
      <c r="G184" s="40" t="s">
        <v>2616</v>
      </c>
      <c r="H184" s="100"/>
      <c r="I184" s="41"/>
      <c r="J184" s="41"/>
      <c r="K184" s="42"/>
      <c r="BC184" s="14"/>
      <c r="BD184" s="15"/>
      <c r="BE184" s="21"/>
      <c r="BF184" s="43" t="s">
        <v>289</v>
      </c>
      <c r="BG184" s="12"/>
      <c r="BH184" s="12"/>
    </row>
    <row r="185" spans="1:60" s="3" customFormat="1" ht="31.8" x14ac:dyDescent="0.3">
      <c r="A185" s="25" t="s">
        <v>129</v>
      </c>
      <c r="B185" s="26" t="s">
        <v>2556</v>
      </c>
      <c r="C185" s="419" t="s">
        <v>2557</v>
      </c>
      <c r="D185" s="419"/>
      <c r="E185" s="419"/>
      <c r="F185" s="27" t="s">
        <v>158</v>
      </c>
      <c r="G185" s="22" t="s">
        <v>2617</v>
      </c>
      <c r="H185" s="58"/>
      <c r="I185" s="28"/>
      <c r="J185" s="28"/>
      <c r="K185" s="29"/>
      <c r="BC185" s="14"/>
      <c r="BD185" s="15"/>
      <c r="BE185" s="21"/>
      <c r="BF185" s="43"/>
      <c r="BG185" s="12"/>
      <c r="BH185" s="12" t="s">
        <v>2557</v>
      </c>
    </row>
    <row r="186" spans="1:60" s="3" customFormat="1" ht="15" customHeight="1" x14ac:dyDescent="0.3">
      <c r="A186" s="454" t="s">
        <v>2559</v>
      </c>
      <c r="B186" s="455"/>
      <c r="C186" s="455"/>
      <c r="D186" s="455"/>
      <c r="E186" s="455"/>
      <c r="F186" s="455"/>
      <c r="G186" s="455"/>
      <c r="H186" s="296"/>
      <c r="I186" s="296"/>
      <c r="J186" s="296"/>
      <c r="K186" s="297"/>
      <c r="BC186" s="14"/>
      <c r="BD186" s="15" t="s">
        <v>2559</v>
      </c>
      <c r="BE186" s="21"/>
      <c r="BF186" s="43"/>
      <c r="BG186" s="12"/>
      <c r="BH186" s="12"/>
    </row>
    <row r="187" spans="1:60" s="3" customFormat="1" ht="21.6" x14ac:dyDescent="0.3">
      <c r="A187" s="16" t="s">
        <v>227</v>
      </c>
      <c r="B187" s="17" t="s">
        <v>2560</v>
      </c>
      <c r="C187" s="405" t="s">
        <v>2561</v>
      </c>
      <c r="D187" s="405"/>
      <c r="E187" s="405"/>
      <c r="F187" s="16" t="s">
        <v>329</v>
      </c>
      <c r="G187" s="30">
        <v>5.2200000000000003E-2</v>
      </c>
      <c r="H187" s="57">
        <f>I187/G187</f>
        <v>3516.0919540229897</v>
      </c>
      <c r="I187" s="19">
        <v>183.54000000000008</v>
      </c>
      <c r="J187" s="19">
        <f>K187/G187</f>
        <v>13204.78927203065</v>
      </c>
      <c r="K187" s="19">
        <v>689.29</v>
      </c>
      <c r="BC187" s="14"/>
      <c r="BD187" s="15"/>
      <c r="BE187" s="21" t="s">
        <v>2561</v>
      </c>
      <c r="BF187" s="43"/>
      <c r="BG187" s="12"/>
      <c r="BH187" s="12"/>
    </row>
    <row r="188" spans="1:60" s="3" customFormat="1" ht="20.399999999999999" x14ac:dyDescent="0.3">
      <c r="A188" s="25"/>
      <c r="B188" s="26" t="s">
        <v>2189</v>
      </c>
      <c r="C188" s="419" t="s">
        <v>2190</v>
      </c>
      <c r="D188" s="419"/>
      <c r="E188" s="419"/>
      <c r="F188" s="27" t="s">
        <v>158</v>
      </c>
      <c r="G188" s="22" t="s">
        <v>2618</v>
      </c>
      <c r="H188" s="58"/>
      <c r="I188" s="28"/>
      <c r="J188" s="28"/>
      <c r="K188" s="29"/>
      <c r="BC188" s="14"/>
      <c r="BD188" s="15"/>
      <c r="BE188" s="21"/>
      <c r="BF188" s="43"/>
      <c r="BG188" s="12" t="s">
        <v>2190</v>
      </c>
      <c r="BH188" s="12"/>
    </row>
    <row r="189" spans="1:60" s="3" customFormat="1" ht="15" customHeight="1" x14ac:dyDescent="0.3">
      <c r="A189" s="454" t="s">
        <v>2563</v>
      </c>
      <c r="B189" s="455"/>
      <c r="C189" s="455"/>
      <c r="D189" s="455"/>
      <c r="E189" s="455"/>
      <c r="F189" s="455"/>
      <c r="G189" s="455"/>
      <c r="H189" s="296"/>
      <c r="I189" s="296"/>
      <c r="J189" s="296"/>
      <c r="K189" s="297"/>
      <c r="BC189" s="14"/>
      <c r="BD189" s="15" t="s">
        <v>2563</v>
      </c>
      <c r="BE189" s="21"/>
      <c r="BF189" s="43"/>
      <c r="BG189" s="12"/>
      <c r="BH189" s="12"/>
    </row>
    <row r="190" spans="1:60" s="3" customFormat="1" ht="31.8" x14ac:dyDescent="0.3">
      <c r="A190" s="16" t="s">
        <v>230</v>
      </c>
      <c r="B190" s="17" t="s">
        <v>2564</v>
      </c>
      <c r="C190" s="405" t="s">
        <v>2565</v>
      </c>
      <c r="D190" s="405"/>
      <c r="E190" s="405"/>
      <c r="F190" s="16" t="s">
        <v>329</v>
      </c>
      <c r="G190" s="30">
        <v>5.2200000000000003E-2</v>
      </c>
      <c r="H190" s="57">
        <f>I190/G190</f>
        <v>29229.885057471285</v>
      </c>
      <c r="I190" s="19">
        <v>1525.8000000000011</v>
      </c>
      <c r="J190" s="19">
        <f>K190/G190</f>
        <v>208616.85823754786</v>
      </c>
      <c r="K190" s="19">
        <v>10889.8</v>
      </c>
      <c r="BC190" s="14"/>
      <c r="BD190" s="15"/>
      <c r="BE190" s="21" t="s">
        <v>2565</v>
      </c>
      <c r="BF190" s="43"/>
      <c r="BG190" s="12"/>
      <c r="BH190" s="12"/>
    </row>
    <row r="191" spans="1:60" s="3" customFormat="1" ht="21.6" x14ac:dyDescent="0.3">
      <c r="A191" s="37" t="s">
        <v>143</v>
      </c>
      <c r="B191" s="38" t="s">
        <v>2566</v>
      </c>
      <c r="C191" s="430" t="s">
        <v>2567</v>
      </c>
      <c r="D191" s="430"/>
      <c r="E191" s="430"/>
      <c r="F191" s="39" t="s">
        <v>158</v>
      </c>
      <c r="G191" s="40" t="s">
        <v>2619</v>
      </c>
      <c r="H191" s="100"/>
      <c r="I191" s="41"/>
      <c r="J191" s="41"/>
      <c r="K191" s="42"/>
      <c r="BC191" s="14"/>
      <c r="BD191" s="15"/>
      <c r="BE191" s="21"/>
      <c r="BF191" s="43" t="s">
        <v>2567</v>
      </c>
      <c r="BG191" s="12"/>
      <c r="BH191" s="12"/>
    </row>
    <row r="192" spans="1:60" s="3" customFormat="1" ht="21.6" x14ac:dyDescent="0.3">
      <c r="A192" s="25" t="s">
        <v>129</v>
      </c>
      <c r="B192" s="26" t="s">
        <v>2569</v>
      </c>
      <c r="C192" s="419" t="s">
        <v>2570</v>
      </c>
      <c r="D192" s="419"/>
      <c r="E192" s="419"/>
      <c r="F192" s="27" t="s">
        <v>46</v>
      </c>
      <c r="G192" s="22" t="s">
        <v>2620</v>
      </c>
      <c r="H192" s="58"/>
      <c r="I192" s="28"/>
      <c r="J192" s="28"/>
      <c r="K192" s="29"/>
      <c r="BC192" s="14"/>
      <c r="BD192" s="15"/>
      <c r="BE192" s="21"/>
      <c r="BF192" s="43"/>
      <c r="BG192" s="12"/>
      <c r="BH192" s="12" t="s">
        <v>2570</v>
      </c>
    </row>
    <row r="193" spans="1:60" s="3" customFormat="1" ht="14.4" x14ac:dyDescent="0.3">
      <c r="A193" s="454" t="s">
        <v>2621</v>
      </c>
      <c r="B193" s="455"/>
      <c r="C193" s="455"/>
      <c r="D193" s="455"/>
      <c r="E193" s="455"/>
      <c r="F193" s="455"/>
      <c r="G193" s="455"/>
      <c r="H193" s="296"/>
      <c r="I193" s="296"/>
      <c r="J193" s="296"/>
      <c r="K193" s="297"/>
      <c r="BC193" s="14"/>
      <c r="BD193" s="15" t="s">
        <v>2621</v>
      </c>
      <c r="BE193" s="21"/>
      <c r="BF193" s="43"/>
      <c r="BG193" s="12"/>
      <c r="BH193" s="12"/>
    </row>
    <row r="194" spans="1:60" s="3" customFormat="1" ht="31.8" x14ac:dyDescent="0.3">
      <c r="A194" s="16" t="s">
        <v>233</v>
      </c>
      <c r="B194" s="17" t="s">
        <v>2622</v>
      </c>
      <c r="C194" s="405" t="s">
        <v>2623</v>
      </c>
      <c r="D194" s="405"/>
      <c r="E194" s="405"/>
      <c r="F194" s="16" t="s">
        <v>67</v>
      </c>
      <c r="G194" s="30">
        <v>8.3400000000000002E-2</v>
      </c>
      <c r="H194" s="57">
        <f>I194/G194</f>
        <v>7313.6690647481992</v>
      </c>
      <c r="I194" s="19">
        <v>609.95999999999981</v>
      </c>
      <c r="J194" s="19">
        <f>K194/G194</f>
        <v>19676.618705035969</v>
      </c>
      <c r="K194" s="19">
        <v>1641.03</v>
      </c>
      <c r="BC194" s="14"/>
      <c r="BD194" s="15"/>
      <c r="BE194" s="21" t="s">
        <v>2623</v>
      </c>
      <c r="BF194" s="43"/>
      <c r="BG194" s="12"/>
      <c r="BH194" s="12"/>
    </row>
    <row r="195" spans="1:60" s="3" customFormat="1" ht="21.6" x14ac:dyDescent="0.3">
      <c r="A195" s="25"/>
      <c r="B195" s="26" t="s">
        <v>2624</v>
      </c>
      <c r="C195" s="419" t="s">
        <v>2625</v>
      </c>
      <c r="D195" s="419"/>
      <c r="E195" s="419"/>
      <c r="F195" s="27" t="s">
        <v>142</v>
      </c>
      <c r="G195" s="22" t="s">
        <v>2626</v>
      </c>
      <c r="H195" s="58"/>
      <c r="I195" s="28"/>
      <c r="J195" s="28"/>
      <c r="K195" s="29"/>
      <c r="BC195" s="14"/>
      <c r="BD195" s="15"/>
      <c r="BE195" s="21"/>
      <c r="BF195" s="43"/>
      <c r="BG195" s="12" t="s">
        <v>2625</v>
      </c>
      <c r="BH195" s="12"/>
    </row>
    <row r="196" spans="1:60" s="3" customFormat="1" ht="21.6" x14ac:dyDescent="0.3">
      <c r="A196" s="25"/>
      <c r="B196" s="26" t="s">
        <v>2627</v>
      </c>
      <c r="C196" s="419" t="s">
        <v>2628</v>
      </c>
      <c r="D196" s="419"/>
      <c r="E196" s="419"/>
      <c r="F196" s="27" t="s">
        <v>1086</v>
      </c>
      <c r="G196" s="22" t="s">
        <v>2629</v>
      </c>
      <c r="H196" s="58"/>
      <c r="I196" s="28"/>
      <c r="J196" s="28"/>
      <c r="K196" s="29"/>
      <c r="BC196" s="14"/>
      <c r="BD196" s="15"/>
      <c r="BE196" s="21"/>
      <c r="BF196" s="43"/>
      <c r="BG196" s="12" t="s">
        <v>2628</v>
      </c>
      <c r="BH196" s="12"/>
    </row>
    <row r="197" spans="1:60" s="3" customFormat="1" ht="20.399999999999999" x14ac:dyDescent="0.3">
      <c r="A197" s="37" t="s">
        <v>143</v>
      </c>
      <c r="B197" s="38" t="s">
        <v>2630</v>
      </c>
      <c r="C197" s="430" t="s">
        <v>2631</v>
      </c>
      <c r="D197" s="430"/>
      <c r="E197" s="430"/>
      <c r="F197" s="39" t="s">
        <v>115</v>
      </c>
      <c r="G197" s="40" t="s">
        <v>2632</v>
      </c>
      <c r="H197" s="100"/>
      <c r="I197" s="41"/>
      <c r="J197" s="41"/>
      <c r="K197" s="42"/>
      <c r="BC197" s="14"/>
      <c r="BD197" s="15"/>
      <c r="BE197" s="21"/>
      <c r="BF197" s="43" t="s">
        <v>2631</v>
      </c>
      <c r="BG197" s="12"/>
      <c r="BH197" s="12"/>
    </row>
    <row r="198" spans="1:60" s="3" customFormat="1" ht="21.6" x14ac:dyDescent="0.3">
      <c r="A198" s="25"/>
      <c r="B198" s="26" t="s">
        <v>2633</v>
      </c>
      <c r="C198" s="419" t="s">
        <v>2634</v>
      </c>
      <c r="D198" s="419"/>
      <c r="E198" s="419"/>
      <c r="F198" s="27" t="s">
        <v>142</v>
      </c>
      <c r="G198" s="22" t="s">
        <v>2635</v>
      </c>
      <c r="H198" s="58"/>
      <c r="I198" s="28"/>
      <c r="J198" s="28"/>
      <c r="K198" s="29"/>
      <c r="BC198" s="14"/>
      <c r="BD198" s="15"/>
      <c r="BE198" s="21"/>
      <c r="BF198" s="43"/>
      <c r="BG198" s="12" t="s">
        <v>2634</v>
      </c>
      <c r="BH198" s="12"/>
    </row>
    <row r="199" spans="1:60" s="3" customFormat="1" ht="21.6" x14ac:dyDescent="0.3">
      <c r="A199" s="25"/>
      <c r="B199" s="26" t="s">
        <v>2636</v>
      </c>
      <c r="C199" s="419" t="s">
        <v>2637</v>
      </c>
      <c r="D199" s="419"/>
      <c r="E199" s="419"/>
      <c r="F199" s="27" t="s">
        <v>142</v>
      </c>
      <c r="G199" s="22" t="s">
        <v>2635</v>
      </c>
      <c r="H199" s="58"/>
      <c r="I199" s="28"/>
      <c r="J199" s="28"/>
      <c r="K199" s="29"/>
      <c r="BC199" s="14"/>
      <c r="BD199" s="15"/>
      <c r="BE199" s="21"/>
      <c r="BF199" s="43"/>
      <c r="BG199" s="12" t="s">
        <v>2637</v>
      </c>
      <c r="BH199" s="12"/>
    </row>
    <row r="200" spans="1:60" s="3" customFormat="1" ht="21.6" x14ac:dyDescent="0.3">
      <c r="A200" s="25"/>
      <c r="B200" s="26" t="s">
        <v>2638</v>
      </c>
      <c r="C200" s="419" t="s">
        <v>2639</v>
      </c>
      <c r="D200" s="419"/>
      <c r="E200" s="419"/>
      <c r="F200" s="27" t="s">
        <v>142</v>
      </c>
      <c r="G200" s="22" t="s">
        <v>2640</v>
      </c>
      <c r="H200" s="58"/>
      <c r="I200" s="28"/>
      <c r="J200" s="28"/>
      <c r="K200" s="29"/>
      <c r="BC200" s="14"/>
      <c r="BD200" s="15"/>
      <c r="BE200" s="21"/>
      <c r="BF200" s="43"/>
      <c r="BG200" s="12" t="s">
        <v>2639</v>
      </c>
      <c r="BH200" s="12"/>
    </row>
    <row r="201" spans="1:60" s="3" customFormat="1" ht="21.6" x14ac:dyDescent="0.3">
      <c r="A201" s="25"/>
      <c r="B201" s="26" t="s">
        <v>2641</v>
      </c>
      <c r="C201" s="419" t="s">
        <v>2642</v>
      </c>
      <c r="D201" s="419"/>
      <c r="E201" s="419"/>
      <c r="F201" s="27" t="s">
        <v>142</v>
      </c>
      <c r="G201" s="22" t="s">
        <v>2643</v>
      </c>
      <c r="H201" s="58"/>
      <c r="I201" s="28"/>
      <c r="J201" s="28"/>
      <c r="K201" s="29"/>
      <c r="BC201" s="14"/>
      <c r="BD201" s="15"/>
      <c r="BE201" s="21"/>
      <c r="BF201" s="43"/>
      <c r="BG201" s="12" t="s">
        <v>2642</v>
      </c>
      <c r="BH201" s="12"/>
    </row>
    <row r="202" spans="1:60" s="3" customFormat="1" ht="21.6" x14ac:dyDescent="0.3">
      <c r="A202" s="25"/>
      <c r="B202" s="26" t="s">
        <v>2644</v>
      </c>
      <c r="C202" s="419" t="s">
        <v>2645</v>
      </c>
      <c r="D202" s="419"/>
      <c r="E202" s="419"/>
      <c r="F202" s="27" t="s">
        <v>142</v>
      </c>
      <c r="G202" s="22" t="s">
        <v>2643</v>
      </c>
      <c r="H202" s="58"/>
      <c r="I202" s="28"/>
      <c r="J202" s="28"/>
      <c r="K202" s="29"/>
      <c r="BC202" s="14"/>
      <c r="BD202" s="15"/>
      <c r="BE202" s="21"/>
      <c r="BF202" s="43"/>
      <c r="BG202" s="12" t="s">
        <v>2645</v>
      </c>
      <c r="BH202" s="12"/>
    </row>
    <row r="203" spans="1:60" s="3" customFormat="1" ht="21.6" x14ac:dyDescent="0.3">
      <c r="A203" s="25" t="s">
        <v>129</v>
      </c>
      <c r="B203" s="26" t="s">
        <v>2646</v>
      </c>
      <c r="C203" s="419" t="s">
        <v>2647</v>
      </c>
      <c r="D203" s="419"/>
      <c r="E203" s="419"/>
      <c r="F203" s="27" t="s">
        <v>115</v>
      </c>
      <c r="G203" s="22" t="s">
        <v>2632</v>
      </c>
      <c r="H203" s="58"/>
      <c r="I203" s="28"/>
      <c r="J203" s="28"/>
      <c r="K203" s="29"/>
      <c r="BC203" s="14"/>
      <c r="BD203" s="15"/>
      <c r="BE203" s="21"/>
      <c r="BF203" s="43"/>
      <c r="BG203" s="12"/>
      <c r="BH203" s="12" t="s">
        <v>2647</v>
      </c>
    </row>
    <row r="204" spans="1:60" s="3" customFormat="1" ht="14.4" x14ac:dyDescent="0.3">
      <c r="A204" s="454" t="s">
        <v>2648</v>
      </c>
      <c r="B204" s="455"/>
      <c r="C204" s="455"/>
      <c r="D204" s="455"/>
      <c r="E204" s="455"/>
      <c r="F204" s="455"/>
      <c r="G204" s="455"/>
      <c r="H204" s="296"/>
      <c r="I204" s="296"/>
      <c r="J204" s="296"/>
      <c r="K204" s="297"/>
      <c r="BC204" s="14"/>
      <c r="BD204" s="15" t="s">
        <v>2648</v>
      </c>
      <c r="BE204" s="21"/>
      <c r="BF204" s="43"/>
      <c r="BG204" s="12"/>
      <c r="BH204" s="12"/>
    </row>
    <row r="205" spans="1:60" s="3" customFormat="1" ht="15" customHeight="1" x14ac:dyDescent="0.3">
      <c r="A205" s="454" t="s">
        <v>2649</v>
      </c>
      <c r="B205" s="455"/>
      <c r="C205" s="455"/>
      <c r="D205" s="455"/>
      <c r="E205" s="455"/>
      <c r="F205" s="455"/>
      <c r="G205" s="455"/>
      <c r="H205" s="296"/>
      <c r="I205" s="296"/>
      <c r="J205" s="296"/>
      <c r="K205" s="297"/>
      <c r="BC205" s="14"/>
      <c r="BD205" s="15" t="s">
        <v>2649</v>
      </c>
      <c r="BE205" s="21"/>
      <c r="BF205" s="43"/>
      <c r="BG205" s="12"/>
      <c r="BH205" s="12"/>
    </row>
    <row r="206" spans="1:60" s="3" customFormat="1" ht="21.6" x14ac:dyDescent="0.3">
      <c r="A206" s="16" t="s">
        <v>235</v>
      </c>
      <c r="B206" s="17" t="s">
        <v>2650</v>
      </c>
      <c r="C206" s="405" t="s">
        <v>2651</v>
      </c>
      <c r="D206" s="405"/>
      <c r="E206" s="405"/>
      <c r="F206" s="16" t="s">
        <v>329</v>
      </c>
      <c r="G206" s="30">
        <v>0.17469999999999999</v>
      </c>
      <c r="H206" s="57">
        <f>I206/G206</f>
        <v>38940.183171150537</v>
      </c>
      <c r="I206" s="19">
        <v>6802.8499999999985</v>
      </c>
      <c r="J206" s="19">
        <f>K206/G206</f>
        <v>248042.24384659418</v>
      </c>
      <c r="K206" s="19">
        <v>43332.98</v>
      </c>
      <c r="BC206" s="14"/>
      <c r="BD206" s="15"/>
      <c r="BE206" s="21" t="s">
        <v>2651</v>
      </c>
      <c r="BF206" s="43"/>
      <c r="BG206" s="12"/>
      <c r="BH206" s="12"/>
    </row>
    <row r="207" spans="1:60" s="3" customFormat="1" ht="20.399999999999999" x14ac:dyDescent="0.3">
      <c r="A207" s="37" t="s">
        <v>143</v>
      </c>
      <c r="B207" s="38" t="s">
        <v>2652</v>
      </c>
      <c r="C207" s="430" t="s">
        <v>2653</v>
      </c>
      <c r="D207" s="430"/>
      <c r="E207" s="430"/>
      <c r="F207" s="39" t="s">
        <v>158</v>
      </c>
      <c r="G207" s="40" t="s">
        <v>2654</v>
      </c>
      <c r="H207" s="100"/>
      <c r="I207" s="41"/>
      <c r="J207" s="41"/>
      <c r="K207" s="42"/>
      <c r="BC207" s="14"/>
      <c r="BD207" s="15"/>
      <c r="BE207" s="21"/>
      <c r="BF207" s="43" t="s">
        <v>2653</v>
      </c>
      <c r="BG207" s="12"/>
      <c r="BH207" s="12"/>
    </row>
    <row r="208" spans="1:60" s="3" customFormat="1" ht="20.399999999999999" x14ac:dyDescent="0.3">
      <c r="A208" s="25"/>
      <c r="B208" s="26" t="s">
        <v>339</v>
      </c>
      <c r="C208" s="419" t="s">
        <v>340</v>
      </c>
      <c r="D208" s="419"/>
      <c r="E208" s="419"/>
      <c r="F208" s="27" t="s">
        <v>75</v>
      </c>
      <c r="G208" s="22" t="s">
        <v>2655</v>
      </c>
      <c r="H208" s="58"/>
      <c r="I208" s="28"/>
      <c r="J208" s="28"/>
      <c r="K208" s="29"/>
      <c r="BC208" s="14"/>
      <c r="BD208" s="15"/>
      <c r="BE208" s="21"/>
      <c r="BF208" s="43"/>
      <c r="BG208" s="12" t="s">
        <v>340</v>
      </c>
      <c r="BH208" s="12"/>
    </row>
    <row r="209" spans="1:60" s="3" customFormat="1" ht="20.399999999999999" x14ac:dyDescent="0.3">
      <c r="A209" s="37" t="s">
        <v>143</v>
      </c>
      <c r="B209" s="38" t="s">
        <v>2656</v>
      </c>
      <c r="C209" s="430" t="s">
        <v>2657</v>
      </c>
      <c r="D209" s="430"/>
      <c r="E209" s="430"/>
      <c r="F209" s="39" t="s">
        <v>75</v>
      </c>
      <c r="G209" s="40" t="s">
        <v>2658</v>
      </c>
      <c r="H209" s="100"/>
      <c r="I209" s="41"/>
      <c r="J209" s="41"/>
      <c r="K209" s="42"/>
      <c r="BC209" s="14"/>
      <c r="BD209" s="15"/>
      <c r="BE209" s="21"/>
      <c r="BF209" s="43" t="s">
        <v>2657</v>
      </c>
      <c r="BG209" s="12"/>
      <c r="BH209" s="12"/>
    </row>
    <row r="210" spans="1:60" s="3" customFormat="1" ht="20.399999999999999" x14ac:dyDescent="0.3">
      <c r="A210" s="25" t="s">
        <v>129</v>
      </c>
      <c r="B210" s="26" t="s">
        <v>2659</v>
      </c>
      <c r="C210" s="419" t="s">
        <v>2660</v>
      </c>
      <c r="D210" s="419"/>
      <c r="E210" s="419"/>
      <c r="F210" s="27" t="s">
        <v>70</v>
      </c>
      <c r="G210" s="22" t="s">
        <v>2661</v>
      </c>
      <c r="H210" s="58"/>
      <c r="I210" s="28"/>
      <c r="J210" s="28"/>
      <c r="K210" s="29"/>
      <c r="BC210" s="14"/>
      <c r="BD210" s="15"/>
      <c r="BE210" s="21"/>
      <c r="BF210" s="43"/>
      <c r="BG210" s="12"/>
      <c r="BH210" s="12" t="s">
        <v>2660</v>
      </c>
    </row>
    <row r="211" spans="1:60" s="3" customFormat="1" ht="42" x14ac:dyDescent="0.3">
      <c r="A211" s="25" t="s">
        <v>129</v>
      </c>
      <c r="B211" s="26" t="s">
        <v>2662</v>
      </c>
      <c r="C211" s="419" t="s">
        <v>2663</v>
      </c>
      <c r="D211" s="419"/>
      <c r="E211" s="419"/>
      <c r="F211" s="27" t="s">
        <v>158</v>
      </c>
      <c r="G211" s="22" t="s">
        <v>2654</v>
      </c>
      <c r="H211" s="58"/>
      <c r="I211" s="28"/>
      <c r="J211" s="28"/>
      <c r="K211" s="29"/>
      <c r="BC211" s="14"/>
      <c r="BD211" s="15"/>
      <c r="BE211" s="21"/>
      <c r="BF211" s="43"/>
      <c r="BG211" s="12"/>
      <c r="BH211" s="12" t="s">
        <v>2663</v>
      </c>
    </row>
    <row r="212" spans="1:60" s="3" customFormat="1" ht="15" customHeight="1" x14ac:dyDescent="0.3">
      <c r="A212" s="454" t="s">
        <v>2664</v>
      </c>
      <c r="B212" s="455"/>
      <c r="C212" s="455"/>
      <c r="D212" s="455"/>
      <c r="E212" s="455"/>
      <c r="F212" s="455"/>
      <c r="G212" s="455"/>
      <c r="H212" s="296"/>
      <c r="I212" s="296"/>
      <c r="J212" s="296"/>
      <c r="K212" s="297"/>
      <c r="BC212" s="14"/>
      <c r="BD212" s="15" t="s">
        <v>2664</v>
      </c>
      <c r="BE212" s="21"/>
      <c r="BF212" s="43"/>
      <c r="BG212" s="12"/>
      <c r="BH212" s="12"/>
    </row>
    <row r="213" spans="1:60" s="3" customFormat="1" ht="21.6" x14ac:dyDescent="0.3">
      <c r="A213" s="16" t="s">
        <v>237</v>
      </c>
      <c r="B213" s="17" t="s">
        <v>2539</v>
      </c>
      <c r="C213" s="405" t="s">
        <v>2540</v>
      </c>
      <c r="D213" s="405"/>
      <c r="E213" s="405"/>
      <c r="F213" s="16" t="s">
        <v>329</v>
      </c>
      <c r="G213" s="30">
        <v>0.17469999999999999</v>
      </c>
      <c r="H213" s="57">
        <f>I213/G213</f>
        <v>35324.212936462507</v>
      </c>
      <c r="I213" s="19">
        <v>6171.1399999999994</v>
      </c>
      <c r="J213" s="19">
        <f>K213/G213</f>
        <v>9974.5850028620498</v>
      </c>
      <c r="K213" s="19">
        <v>1742.56</v>
      </c>
      <c r="BC213" s="14"/>
      <c r="BD213" s="15"/>
      <c r="BE213" s="21" t="s">
        <v>2540</v>
      </c>
      <c r="BF213" s="43"/>
      <c r="BG213" s="12"/>
      <c r="BH213" s="12"/>
    </row>
    <row r="214" spans="1:60" s="3" customFormat="1" ht="20.399999999999999" x14ac:dyDescent="0.3">
      <c r="A214" s="25"/>
      <c r="B214" s="26" t="s">
        <v>154</v>
      </c>
      <c r="C214" s="419" t="s">
        <v>155</v>
      </c>
      <c r="D214" s="419"/>
      <c r="E214" s="419"/>
      <c r="F214" s="27" t="s">
        <v>46</v>
      </c>
      <c r="G214" s="22" t="s">
        <v>2665</v>
      </c>
      <c r="H214" s="58"/>
      <c r="I214" s="28"/>
      <c r="J214" s="28"/>
      <c r="K214" s="29"/>
      <c r="BC214" s="14"/>
      <c r="BD214" s="15"/>
      <c r="BE214" s="21"/>
      <c r="BF214" s="43"/>
      <c r="BG214" s="12" t="s">
        <v>155</v>
      </c>
      <c r="BH214" s="12"/>
    </row>
    <row r="215" spans="1:60" s="3" customFormat="1" ht="21.6" x14ac:dyDescent="0.3">
      <c r="A215" s="37" t="s">
        <v>143</v>
      </c>
      <c r="B215" s="38" t="s">
        <v>2542</v>
      </c>
      <c r="C215" s="430" t="s">
        <v>2543</v>
      </c>
      <c r="D215" s="430"/>
      <c r="E215" s="430"/>
      <c r="F215" s="39" t="s">
        <v>46</v>
      </c>
      <c r="G215" s="40" t="s">
        <v>2666</v>
      </c>
      <c r="H215" s="100"/>
      <c r="I215" s="41"/>
      <c r="J215" s="41"/>
      <c r="K215" s="42"/>
      <c r="BC215" s="14"/>
      <c r="BD215" s="15"/>
      <c r="BE215" s="21"/>
      <c r="BF215" s="43" t="s">
        <v>2543</v>
      </c>
      <c r="BG215" s="12"/>
      <c r="BH215" s="12"/>
    </row>
    <row r="216" spans="1:60" s="3" customFormat="1" ht="20.399999999999999" x14ac:dyDescent="0.3">
      <c r="A216" s="25" t="s">
        <v>129</v>
      </c>
      <c r="B216" s="26" t="s">
        <v>2545</v>
      </c>
      <c r="C216" s="419" t="s">
        <v>84</v>
      </c>
      <c r="D216" s="419"/>
      <c r="E216" s="419"/>
      <c r="F216" s="27" t="s">
        <v>46</v>
      </c>
      <c r="G216" s="22" t="s">
        <v>2666</v>
      </c>
      <c r="H216" s="58"/>
      <c r="I216" s="28"/>
      <c r="J216" s="28"/>
      <c r="K216" s="29"/>
      <c r="BC216" s="14"/>
      <c r="BD216" s="15"/>
      <c r="BE216" s="21"/>
      <c r="BF216" s="43"/>
      <c r="BG216" s="12"/>
      <c r="BH216" s="12" t="s">
        <v>84</v>
      </c>
    </row>
    <row r="217" spans="1:60" s="3" customFormat="1" ht="31.8" x14ac:dyDescent="0.3">
      <c r="A217" s="16" t="s">
        <v>243</v>
      </c>
      <c r="B217" s="17" t="s">
        <v>2546</v>
      </c>
      <c r="C217" s="405" t="s">
        <v>2547</v>
      </c>
      <c r="D217" s="405"/>
      <c r="E217" s="405"/>
      <c r="F217" s="16" t="s">
        <v>329</v>
      </c>
      <c r="G217" s="30">
        <v>0.17469999999999999</v>
      </c>
      <c r="H217" s="57">
        <f>I217/G217</f>
        <v>5114.4247281053222</v>
      </c>
      <c r="I217" s="19">
        <v>893.48999999999978</v>
      </c>
      <c r="J217" s="19">
        <f>K217/G217</f>
        <v>69292.959358900975</v>
      </c>
      <c r="K217" s="19">
        <v>12105.48</v>
      </c>
      <c r="BC217" s="14"/>
      <c r="BD217" s="15"/>
      <c r="BE217" s="21" t="s">
        <v>2547</v>
      </c>
      <c r="BF217" s="43"/>
      <c r="BG217" s="12"/>
      <c r="BH217" s="12"/>
    </row>
    <row r="218" spans="1:60" s="3" customFormat="1" ht="21.6" x14ac:dyDescent="0.3">
      <c r="A218" s="37" t="s">
        <v>143</v>
      </c>
      <c r="B218" s="38" t="s">
        <v>2542</v>
      </c>
      <c r="C218" s="430" t="s">
        <v>2543</v>
      </c>
      <c r="D218" s="430"/>
      <c r="E218" s="430"/>
      <c r="F218" s="39" t="s">
        <v>46</v>
      </c>
      <c r="G218" s="40" t="s">
        <v>2667</v>
      </c>
      <c r="H218" s="100"/>
      <c r="I218" s="41"/>
      <c r="J218" s="41"/>
      <c r="K218" s="42"/>
      <c r="BC218" s="14"/>
      <c r="BD218" s="15"/>
      <c r="BE218" s="21"/>
      <c r="BF218" s="43" t="s">
        <v>2543</v>
      </c>
      <c r="BG218" s="12"/>
      <c r="BH218" s="12"/>
    </row>
    <row r="219" spans="1:60" s="3" customFormat="1" ht="20.399999999999999" x14ac:dyDescent="0.3">
      <c r="A219" s="25" t="s">
        <v>129</v>
      </c>
      <c r="B219" s="26" t="s">
        <v>2545</v>
      </c>
      <c r="C219" s="419" t="s">
        <v>84</v>
      </c>
      <c r="D219" s="419"/>
      <c r="E219" s="419"/>
      <c r="F219" s="27" t="s">
        <v>46</v>
      </c>
      <c r="G219" s="22" t="s">
        <v>2668</v>
      </c>
      <c r="H219" s="58"/>
      <c r="I219" s="28"/>
      <c r="J219" s="28"/>
      <c r="K219" s="29"/>
      <c r="BC219" s="14"/>
      <c r="BD219" s="15"/>
      <c r="BE219" s="21"/>
      <c r="BF219" s="43"/>
      <c r="BG219" s="12"/>
      <c r="BH219" s="12" t="s">
        <v>84</v>
      </c>
    </row>
    <row r="220" spans="1:60" s="3" customFormat="1" ht="21.6" x14ac:dyDescent="0.3">
      <c r="A220" s="16" t="s">
        <v>244</v>
      </c>
      <c r="B220" s="17" t="s">
        <v>2550</v>
      </c>
      <c r="C220" s="405" t="s">
        <v>2551</v>
      </c>
      <c r="D220" s="405"/>
      <c r="E220" s="405"/>
      <c r="F220" s="16" t="s">
        <v>70</v>
      </c>
      <c r="G220" s="46">
        <v>5.4156999999999997E-2</v>
      </c>
      <c r="H220" s="57">
        <f>I220/G220</f>
        <v>12123.455878279812</v>
      </c>
      <c r="I220" s="19">
        <v>656.56999999999971</v>
      </c>
      <c r="J220" s="19">
        <f>K220/G220</f>
        <v>70358.58707092343</v>
      </c>
      <c r="K220" s="19">
        <v>3810.41</v>
      </c>
      <c r="BC220" s="14"/>
      <c r="BD220" s="15"/>
      <c r="BE220" s="21" t="s">
        <v>2551</v>
      </c>
      <c r="BF220" s="43"/>
      <c r="BG220" s="12"/>
      <c r="BH220" s="12"/>
    </row>
    <row r="221" spans="1:60" s="3" customFormat="1" ht="20.399999999999999" x14ac:dyDescent="0.3">
      <c r="A221" s="25"/>
      <c r="B221" s="26" t="s">
        <v>2552</v>
      </c>
      <c r="C221" s="419" t="s">
        <v>2553</v>
      </c>
      <c r="D221" s="419"/>
      <c r="E221" s="419"/>
      <c r="F221" s="27" t="s">
        <v>70</v>
      </c>
      <c r="G221" s="22" t="s">
        <v>2669</v>
      </c>
      <c r="H221" s="58"/>
      <c r="I221" s="28"/>
      <c r="J221" s="28"/>
      <c r="K221" s="29"/>
      <c r="BC221" s="14"/>
      <c r="BD221" s="15"/>
      <c r="BE221" s="21"/>
      <c r="BF221" s="43"/>
      <c r="BG221" s="12" t="s">
        <v>2553</v>
      </c>
      <c r="BH221" s="12"/>
    </row>
    <row r="222" spans="1:60" s="3" customFormat="1" ht="20.399999999999999" x14ac:dyDescent="0.3">
      <c r="A222" s="37" t="s">
        <v>143</v>
      </c>
      <c r="B222" s="38" t="s">
        <v>288</v>
      </c>
      <c r="C222" s="430" t="s">
        <v>289</v>
      </c>
      <c r="D222" s="430"/>
      <c r="E222" s="430"/>
      <c r="F222" s="39" t="s">
        <v>70</v>
      </c>
      <c r="G222" s="40" t="s">
        <v>2670</v>
      </c>
      <c r="H222" s="100"/>
      <c r="I222" s="41"/>
      <c r="J222" s="41"/>
      <c r="K222" s="42"/>
      <c r="BC222" s="14"/>
      <c r="BD222" s="15"/>
      <c r="BE222" s="21"/>
      <c r="BF222" s="43" t="s">
        <v>289</v>
      </c>
      <c r="BG222" s="12"/>
      <c r="BH222" s="12"/>
    </row>
    <row r="223" spans="1:60" s="3" customFormat="1" ht="31.8" x14ac:dyDescent="0.3">
      <c r="A223" s="25" t="s">
        <v>129</v>
      </c>
      <c r="B223" s="26" t="s">
        <v>2556</v>
      </c>
      <c r="C223" s="419" t="s">
        <v>2557</v>
      </c>
      <c r="D223" s="419"/>
      <c r="E223" s="419"/>
      <c r="F223" s="27" t="s">
        <v>158</v>
      </c>
      <c r="G223" s="22" t="s">
        <v>2671</v>
      </c>
      <c r="H223" s="58"/>
      <c r="I223" s="28"/>
      <c r="J223" s="28"/>
      <c r="K223" s="29"/>
      <c r="BC223" s="14"/>
      <c r="BD223" s="15"/>
      <c r="BE223" s="21"/>
      <c r="BF223" s="43"/>
      <c r="BG223" s="12"/>
      <c r="BH223" s="12" t="s">
        <v>2557</v>
      </c>
    </row>
    <row r="224" spans="1:60" s="3" customFormat="1" ht="15" customHeight="1" x14ac:dyDescent="0.3">
      <c r="A224" s="454" t="s">
        <v>2559</v>
      </c>
      <c r="B224" s="455"/>
      <c r="C224" s="455"/>
      <c r="D224" s="455"/>
      <c r="E224" s="455"/>
      <c r="F224" s="455"/>
      <c r="G224" s="455"/>
      <c r="H224" s="296"/>
      <c r="I224" s="296"/>
      <c r="J224" s="296"/>
      <c r="K224" s="297"/>
      <c r="BC224" s="14"/>
      <c r="BD224" s="15" t="s">
        <v>2559</v>
      </c>
      <c r="BE224" s="21"/>
      <c r="BF224" s="43"/>
      <c r="BG224" s="12"/>
      <c r="BH224" s="12"/>
    </row>
    <row r="225" spans="1:60" s="3" customFormat="1" ht="21.6" x14ac:dyDescent="0.3">
      <c r="A225" s="16" t="s">
        <v>246</v>
      </c>
      <c r="B225" s="17" t="s">
        <v>2560</v>
      </c>
      <c r="C225" s="405" t="s">
        <v>2561</v>
      </c>
      <c r="D225" s="405"/>
      <c r="E225" s="405"/>
      <c r="F225" s="16" t="s">
        <v>329</v>
      </c>
      <c r="G225" s="30">
        <v>0.17469999999999999</v>
      </c>
      <c r="H225" s="57">
        <f>I225/G225</f>
        <v>3516.2564396107614</v>
      </c>
      <c r="I225" s="19">
        <v>614.29</v>
      </c>
      <c r="J225" s="19">
        <f>K225/G225</f>
        <v>13204.75100171723</v>
      </c>
      <c r="K225" s="19">
        <v>2306.87</v>
      </c>
      <c r="BC225" s="14"/>
      <c r="BD225" s="15"/>
      <c r="BE225" s="21" t="s">
        <v>2561</v>
      </c>
      <c r="BF225" s="43"/>
      <c r="BG225" s="12"/>
      <c r="BH225" s="12"/>
    </row>
    <row r="226" spans="1:60" s="3" customFormat="1" ht="20.399999999999999" x14ac:dyDescent="0.3">
      <c r="A226" s="25"/>
      <c r="B226" s="26" t="s">
        <v>2189</v>
      </c>
      <c r="C226" s="419" t="s">
        <v>2190</v>
      </c>
      <c r="D226" s="419"/>
      <c r="E226" s="419"/>
      <c r="F226" s="27" t="s">
        <v>158</v>
      </c>
      <c r="G226" s="22" t="s">
        <v>2672</v>
      </c>
      <c r="H226" s="58"/>
      <c r="I226" s="28"/>
      <c r="J226" s="28"/>
      <c r="K226" s="29"/>
      <c r="BC226" s="14"/>
      <c r="BD226" s="15"/>
      <c r="BE226" s="21"/>
      <c r="BF226" s="43"/>
      <c r="BG226" s="12" t="s">
        <v>2190</v>
      </c>
      <c r="BH226" s="12"/>
    </row>
    <row r="227" spans="1:60" s="3" customFormat="1" ht="15" customHeight="1" x14ac:dyDescent="0.3">
      <c r="A227" s="454" t="s">
        <v>2563</v>
      </c>
      <c r="B227" s="455"/>
      <c r="C227" s="455"/>
      <c r="D227" s="455"/>
      <c r="E227" s="455"/>
      <c r="F227" s="455"/>
      <c r="G227" s="455"/>
      <c r="H227" s="296"/>
      <c r="I227" s="296"/>
      <c r="J227" s="296"/>
      <c r="K227" s="297"/>
      <c r="BC227" s="14"/>
      <c r="BD227" s="15" t="s">
        <v>2563</v>
      </c>
      <c r="BE227" s="21"/>
      <c r="BF227" s="43"/>
      <c r="BG227" s="12"/>
      <c r="BH227" s="12"/>
    </row>
    <row r="228" spans="1:60" s="3" customFormat="1" ht="31.8" x14ac:dyDescent="0.3">
      <c r="A228" s="16" t="s">
        <v>247</v>
      </c>
      <c r="B228" s="17" t="s">
        <v>2564</v>
      </c>
      <c r="C228" s="405" t="s">
        <v>2565</v>
      </c>
      <c r="D228" s="405"/>
      <c r="E228" s="405"/>
      <c r="F228" s="16" t="s">
        <v>329</v>
      </c>
      <c r="G228" s="30">
        <v>0.17469999999999999</v>
      </c>
      <c r="H228" s="57">
        <f>I228/G228</f>
        <v>29230.223239839706</v>
      </c>
      <c r="I228" s="19">
        <v>5106.5199999999968</v>
      </c>
      <c r="J228" s="19">
        <f>K228/G228</f>
        <v>208616.82884945621</v>
      </c>
      <c r="K228" s="19">
        <v>36445.360000000001</v>
      </c>
      <c r="BC228" s="14"/>
      <c r="BD228" s="15"/>
      <c r="BE228" s="21" t="s">
        <v>2565</v>
      </c>
      <c r="BF228" s="43"/>
      <c r="BG228" s="12"/>
      <c r="BH228" s="12"/>
    </row>
    <row r="229" spans="1:60" s="3" customFormat="1" ht="21.6" x14ac:dyDescent="0.3">
      <c r="A229" s="37" t="s">
        <v>143</v>
      </c>
      <c r="B229" s="38" t="s">
        <v>2566</v>
      </c>
      <c r="C229" s="430" t="s">
        <v>2567</v>
      </c>
      <c r="D229" s="430"/>
      <c r="E229" s="430"/>
      <c r="F229" s="39" t="s">
        <v>158</v>
      </c>
      <c r="G229" s="40" t="s">
        <v>2673</v>
      </c>
      <c r="H229" s="100"/>
      <c r="I229" s="41"/>
      <c r="J229" s="41"/>
      <c r="K229" s="42"/>
      <c r="BC229" s="14"/>
      <c r="BD229" s="15"/>
      <c r="BE229" s="21"/>
      <c r="BF229" s="43" t="s">
        <v>2567</v>
      </c>
      <c r="BG229" s="12"/>
      <c r="BH229" s="12"/>
    </row>
    <row r="230" spans="1:60" s="3" customFormat="1" ht="21.6" x14ac:dyDescent="0.3">
      <c r="A230" s="25" t="s">
        <v>129</v>
      </c>
      <c r="B230" s="26" t="s">
        <v>2569</v>
      </c>
      <c r="C230" s="419" t="s">
        <v>2570</v>
      </c>
      <c r="D230" s="419"/>
      <c r="E230" s="419"/>
      <c r="F230" s="27" t="s">
        <v>46</v>
      </c>
      <c r="G230" s="22" t="s">
        <v>2674</v>
      </c>
      <c r="H230" s="58"/>
      <c r="I230" s="28"/>
      <c r="J230" s="28"/>
      <c r="K230" s="29"/>
      <c r="BC230" s="14"/>
      <c r="BD230" s="15"/>
      <c r="BE230" s="21"/>
      <c r="BF230" s="43"/>
      <c r="BG230" s="12"/>
      <c r="BH230" s="12" t="s">
        <v>2570</v>
      </c>
    </row>
    <row r="231" spans="1:60" s="3" customFormat="1" ht="14.4" x14ac:dyDescent="0.3">
      <c r="A231" s="454" t="s">
        <v>2621</v>
      </c>
      <c r="B231" s="455"/>
      <c r="C231" s="455"/>
      <c r="D231" s="455"/>
      <c r="E231" s="455"/>
      <c r="F231" s="455"/>
      <c r="G231" s="455"/>
      <c r="H231" s="296"/>
      <c r="I231" s="296"/>
      <c r="J231" s="296"/>
      <c r="K231" s="297"/>
      <c r="BC231" s="14"/>
      <c r="BD231" s="15" t="s">
        <v>2621</v>
      </c>
      <c r="BE231" s="21"/>
      <c r="BF231" s="43"/>
      <c r="BG231" s="12"/>
      <c r="BH231" s="12"/>
    </row>
    <row r="232" spans="1:60" s="3" customFormat="1" ht="31.8" x14ac:dyDescent="0.3">
      <c r="A232" s="16" t="s">
        <v>531</v>
      </c>
      <c r="B232" s="17" t="s">
        <v>2622</v>
      </c>
      <c r="C232" s="405" t="s">
        <v>2623</v>
      </c>
      <c r="D232" s="405"/>
      <c r="E232" s="405"/>
      <c r="F232" s="16" t="s">
        <v>67</v>
      </c>
      <c r="G232" s="30">
        <v>0.21859999999999999</v>
      </c>
      <c r="H232" s="57">
        <f>I232/G232</f>
        <v>7313.6322049405317</v>
      </c>
      <c r="I232" s="19">
        <v>1598.7600000000002</v>
      </c>
      <c r="J232" s="19">
        <f>K232/G232</f>
        <v>19676.578225068621</v>
      </c>
      <c r="K232" s="19">
        <v>4301.3</v>
      </c>
      <c r="BC232" s="14"/>
      <c r="BD232" s="15"/>
      <c r="BE232" s="21" t="s">
        <v>2623</v>
      </c>
      <c r="BF232" s="43"/>
      <c r="BG232" s="12"/>
      <c r="BH232" s="12"/>
    </row>
    <row r="233" spans="1:60" s="3" customFormat="1" ht="21.6" x14ac:dyDescent="0.3">
      <c r="A233" s="25"/>
      <c r="B233" s="26" t="s">
        <v>2624</v>
      </c>
      <c r="C233" s="419" t="s">
        <v>2625</v>
      </c>
      <c r="D233" s="419"/>
      <c r="E233" s="419"/>
      <c r="F233" s="27" t="s">
        <v>142</v>
      </c>
      <c r="G233" s="22" t="s">
        <v>2675</v>
      </c>
      <c r="H233" s="58"/>
      <c r="I233" s="28"/>
      <c r="J233" s="28"/>
      <c r="K233" s="29"/>
      <c r="BC233" s="14"/>
      <c r="BD233" s="15"/>
      <c r="BE233" s="21"/>
      <c r="BF233" s="43"/>
      <c r="BG233" s="12" t="s">
        <v>2625</v>
      </c>
      <c r="BH233" s="12"/>
    </row>
    <row r="234" spans="1:60" s="3" customFormat="1" ht="21.6" x14ac:dyDescent="0.3">
      <c r="A234" s="25"/>
      <c r="B234" s="26" t="s">
        <v>2627</v>
      </c>
      <c r="C234" s="419" t="s">
        <v>2628</v>
      </c>
      <c r="D234" s="419"/>
      <c r="E234" s="419"/>
      <c r="F234" s="27" t="s">
        <v>1086</v>
      </c>
      <c r="G234" s="22" t="s">
        <v>2676</v>
      </c>
      <c r="H234" s="58"/>
      <c r="I234" s="28"/>
      <c r="J234" s="28"/>
      <c r="K234" s="29"/>
      <c r="BC234" s="14"/>
      <c r="BD234" s="15"/>
      <c r="BE234" s="21"/>
      <c r="BF234" s="43"/>
      <c r="BG234" s="12" t="s">
        <v>2628</v>
      </c>
      <c r="BH234" s="12"/>
    </row>
    <row r="235" spans="1:60" s="3" customFormat="1" ht="20.399999999999999" x14ac:dyDescent="0.3">
      <c r="A235" s="37" t="s">
        <v>143</v>
      </c>
      <c r="B235" s="38" t="s">
        <v>2630</v>
      </c>
      <c r="C235" s="430" t="s">
        <v>2631</v>
      </c>
      <c r="D235" s="430"/>
      <c r="E235" s="430"/>
      <c r="F235" s="39" t="s">
        <v>115</v>
      </c>
      <c r="G235" s="40" t="s">
        <v>2677</v>
      </c>
      <c r="H235" s="100"/>
      <c r="I235" s="41"/>
      <c r="J235" s="41"/>
      <c r="K235" s="42"/>
      <c r="BC235" s="14"/>
      <c r="BD235" s="15"/>
      <c r="BE235" s="21"/>
      <c r="BF235" s="43" t="s">
        <v>2631</v>
      </c>
      <c r="BG235" s="12"/>
      <c r="BH235" s="12"/>
    </row>
    <row r="236" spans="1:60" s="3" customFormat="1" ht="21.6" x14ac:dyDescent="0.3">
      <c r="A236" s="25"/>
      <c r="B236" s="26" t="s">
        <v>2633</v>
      </c>
      <c r="C236" s="419" t="s">
        <v>2634</v>
      </c>
      <c r="D236" s="419"/>
      <c r="E236" s="419"/>
      <c r="F236" s="27" t="s">
        <v>142</v>
      </c>
      <c r="G236" s="22" t="s">
        <v>2678</v>
      </c>
      <c r="H236" s="58"/>
      <c r="I236" s="28"/>
      <c r="J236" s="28"/>
      <c r="K236" s="29"/>
      <c r="BC236" s="14"/>
      <c r="BD236" s="15"/>
      <c r="BE236" s="21"/>
      <c r="BF236" s="43"/>
      <c r="BG236" s="12" t="s">
        <v>2634</v>
      </c>
      <c r="BH236" s="12"/>
    </row>
    <row r="237" spans="1:60" s="3" customFormat="1" ht="21.6" x14ac:dyDescent="0.3">
      <c r="A237" s="25"/>
      <c r="B237" s="26" t="s">
        <v>2636</v>
      </c>
      <c r="C237" s="419" t="s">
        <v>2637</v>
      </c>
      <c r="D237" s="419"/>
      <c r="E237" s="419"/>
      <c r="F237" s="27" t="s">
        <v>142</v>
      </c>
      <c r="G237" s="22" t="s">
        <v>2678</v>
      </c>
      <c r="H237" s="58"/>
      <c r="I237" s="28"/>
      <c r="J237" s="28"/>
      <c r="K237" s="29"/>
      <c r="BC237" s="14"/>
      <c r="BD237" s="15"/>
      <c r="BE237" s="21"/>
      <c r="BF237" s="43"/>
      <c r="BG237" s="12" t="s">
        <v>2637</v>
      </c>
      <c r="BH237" s="12"/>
    </row>
    <row r="238" spans="1:60" s="3" customFormat="1" ht="21.6" x14ac:dyDescent="0.3">
      <c r="A238" s="25"/>
      <c r="B238" s="26" t="s">
        <v>2638</v>
      </c>
      <c r="C238" s="419" t="s">
        <v>2639</v>
      </c>
      <c r="D238" s="419"/>
      <c r="E238" s="419"/>
      <c r="F238" s="27" t="s">
        <v>142</v>
      </c>
      <c r="G238" s="22" t="s">
        <v>2679</v>
      </c>
      <c r="H238" s="58"/>
      <c r="I238" s="28"/>
      <c r="J238" s="28"/>
      <c r="K238" s="29"/>
      <c r="BC238" s="14"/>
      <c r="BD238" s="15"/>
      <c r="BE238" s="21"/>
      <c r="BF238" s="43"/>
      <c r="BG238" s="12" t="s">
        <v>2639</v>
      </c>
      <c r="BH238" s="12"/>
    </row>
    <row r="239" spans="1:60" s="3" customFormat="1" ht="21.6" x14ac:dyDescent="0.3">
      <c r="A239" s="25"/>
      <c r="B239" s="26" t="s">
        <v>2641</v>
      </c>
      <c r="C239" s="419" t="s">
        <v>2642</v>
      </c>
      <c r="D239" s="419"/>
      <c r="E239" s="419"/>
      <c r="F239" s="27" t="s">
        <v>142</v>
      </c>
      <c r="G239" s="22" t="s">
        <v>2680</v>
      </c>
      <c r="H239" s="58"/>
      <c r="I239" s="28"/>
      <c r="J239" s="28"/>
      <c r="K239" s="29"/>
      <c r="BC239" s="14"/>
      <c r="BD239" s="15"/>
      <c r="BE239" s="21"/>
      <c r="BF239" s="43"/>
      <c r="BG239" s="12" t="s">
        <v>2642</v>
      </c>
      <c r="BH239" s="12"/>
    </row>
    <row r="240" spans="1:60" s="3" customFormat="1" ht="21.6" x14ac:dyDescent="0.3">
      <c r="A240" s="25"/>
      <c r="B240" s="26" t="s">
        <v>2644</v>
      </c>
      <c r="C240" s="419" t="s">
        <v>2645</v>
      </c>
      <c r="D240" s="419"/>
      <c r="E240" s="419"/>
      <c r="F240" s="27" t="s">
        <v>142</v>
      </c>
      <c r="G240" s="22" t="s">
        <v>2680</v>
      </c>
      <c r="H240" s="58"/>
      <c r="I240" s="28"/>
      <c r="J240" s="28"/>
      <c r="K240" s="29"/>
      <c r="BC240" s="14"/>
      <c r="BD240" s="15"/>
      <c r="BE240" s="21"/>
      <c r="BF240" s="43"/>
      <c r="BG240" s="12" t="s">
        <v>2645</v>
      </c>
      <c r="BH240" s="12"/>
    </row>
    <row r="241" spans="1:60" s="3" customFormat="1" ht="21.6" x14ac:dyDescent="0.3">
      <c r="A241" s="25" t="s">
        <v>129</v>
      </c>
      <c r="B241" s="26" t="s">
        <v>2646</v>
      </c>
      <c r="C241" s="419" t="s">
        <v>2647</v>
      </c>
      <c r="D241" s="419"/>
      <c r="E241" s="419"/>
      <c r="F241" s="27" t="s">
        <v>115</v>
      </c>
      <c r="G241" s="22" t="s">
        <v>2677</v>
      </c>
      <c r="H241" s="58"/>
      <c r="I241" s="28"/>
      <c r="J241" s="28"/>
      <c r="K241" s="29"/>
      <c r="BC241" s="14"/>
      <c r="BD241" s="15"/>
      <c r="BE241" s="21"/>
      <c r="BF241" s="43"/>
      <c r="BG241" s="12"/>
      <c r="BH241" s="12" t="s">
        <v>2647</v>
      </c>
    </row>
    <row r="242" spans="1:60" s="3" customFormat="1" ht="14.4" x14ac:dyDescent="0.3">
      <c r="A242" s="454" t="s">
        <v>2681</v>
      </c>
      <c r="B242" s="455"/>
      <c r="C242" s="455"/>
      <c r="D242" s="455"/>
      <c r="E242" s="455"/>
      <c r="F242" s="455"/>
      <c r="G242" s="455"/>
      <c r="H242" s="296"/>
      <c r="I242" s="296"/>
      <c r="J242" s="296"/>
      <c r="K242" s="297"/>
      <c r="BC242" s="14"/>
      <c r="BD242" s="15" t="s">
        <v>2681</v>
      </c>
      <c r="BE242" s="21"/>
      <c r="BF242" s="43"/>
      <c r="BG242" s="12"/>
      <c r="BH242" s="12"/>
    </row>
    <row r="243" spans="1:60" s="3" customFormat="1" ht="15" customHeight="1" x14ac:dyDescent="0.3">
      <c r="A243" s="454" t="s">
        <v>2682</v>
      </c>
      <c r="B243" s="455"/>
      <c r="C243" s="455"/>
      <c r="D243" s="455"/>
      <c r="E243" s="455"/>
      <c r="F243" s="455"/>
      <c r="G243" s="455"/>
      <c r="H243" s="296"/>
      <c r="I243" s="296"/>
      <c r="J243" s="296"/>
      <c r="K243" s="297"/>
      <c r="BC243" s="14"/>
      <c r="BD243" s="15" t="s">
        <v>2682</v>
      </c>
      <c r="BE243" s="21"/>
      <c r="BF243" s="43"/>
      <c r="BG243" s="12"/>
      <c r="BH243" s="12"/>
    </row>
    <row r="244" spans="1:60" s="3" customFormat="1" ht="31.8" x14ac:dyDescent="0.3">
      <c r="A244" s="16" t="s">
        <v>533</v>
      </c>
      <c r="B244" s="17" t="s">
        <v>2683</v>
      </c>
      <c r="C244" s="405" t="s">
        <v>2684</v>
      </c>
      <c r="D244" s="405"/>
      <c r="E244" s="405"/>
      <c r="F244" s="16" t="s">
        <v>329</v>
      </c>
      <c r="G244" s="18">
        <v>1.7999999999999999E-2</v>
      </c>
      <c r="H244" s="57">
        <f>I244/G244</f>
        <v>5766.666666666667</v>
      </c>
      <c r="I244" s="19">
        <v>103.8</v>
      </c>
      <c r="J244" s="19">
        <f>K244/G244</f>
        <v>853.33333333333337</v>
      </c>
      <c r="K244" s="19">
        <v>15.36</v>
      </c>
      <c r="BC244" s="14"/>
      <c r="BD244" s="15"/>
      <c r="BE244" s="21" t="s">
        <v>2684</v>
      </c>
      <c r="BF244" s="43"/>
      <c r="BG244" s="12"/>
      <c r="BH244" s="12"/>
    </row>
    <row r="245" spans="1:60" s="3" customFormat="1" ht="20.399999999999999" x14ac:dyDescent="0.3">
      <c r="A245" s="25"/>
      <c r="B245" s="26" t="s">
        <v>350</v>
      </c>
      <c r="C245" s="419" t="s">
        <v>351</v>
      </c>
      <c r="D245" s="419"/>
      <c r="E245" s="419"/>
      <c r="F245" s="27" t="s">
        <v>70</v>
      </c>
      <c r="G245" s="22" t="s">
        <v>2685</v>
      </c>
      <c r="H245" s="58"/>
      <c r="I245" s="28"/>
      <c r="J245" s="28"/>
      <c r="K245" s="29"/>
      <c r="BC245" s="14"/>
      <c r="BD245" s="15"/>
      <c r="BE245" s="21"/>
      <c r="BF245" s="43"/>
      <c r="BG245" s="12" t="s">
        <v>351</v>
      </c>
      <c r="BH245" s="12"/>
    </row>
    <row r="246" spans="1:60" s="3" customFormat="1" ht="20.399999999999999" x14ac:dyDescent="0.3">
      <c r="A246" s="25"/>
      <c r="B246" s="26" t="s">
        <v>353</v>
      </c>
      <c r="C246" s="419" t="s">
        <v>354</v>
      </c>
      <c r="D246" s="419"/>
      <c r="E246" s="419"/>
      <c r="F246" s="27" t="s">
        <v>75</v>
      </c>
      <c r="G246" s="22" t="s">
        <v>2686</v>
      </c>
      <c r="H246" s="58"/>
      <c r="I246" s="28"/>
      <c r="J246" s="28"/>
      <c r="K246" s="29"/>
      <c r="BC246" s="14"/>
      <c r="BD246" s="15"/>
      <c r="BE246" s="21"/>
      <c r="BF246" s="43"/>
      <c r="BG246" s="12" t="s">
        <v>354</v>
      </c>
      <c r="BH246" s="12"/>
    </row>
    <row r="247" spans="1:60" s="3" customFormat="1" ht="15" customHeight="1" x14ac:dyDescent="0.3">
      <c r="A247" s="454" t="s">
        <v>2687</v>
      </c>
      <c r="B247" s="455"/>
      <c r="C247" s="455"/>
      <c r="D247" s="455"/>
      <c r="E247" s="455"/>
      <c r="F247" s="455"/>
      <c r="G247" s="455"/>
      <c r="H247" s="296"/>
      <c r="I247" s="296"/>
      <c r="J247" s="296"/>
      <c r="K247" s="297"/>
      <c r="BC247" s="14"/>
      <c r="BD247" s="15" t="s">
        <v>2687</v>
      </c>
      <c r="BE247" s="21"/>
      <c r="BF247" s="43"/>
      <c r="BG247" s="12"/>
      <c r="BH247" s="12"/>
    </row>
    <row r="248" spans="1:60" s="3" customFormat="1" ht="21.6" x14ac:dyDescent="0.3">
      <c r="A248" s="16" t="s">
        <v>539</v>
      </c>
      <c r="B248" s="17" t="s">
        <v>2539</v>
      </c>
      <c r="C248" s="405" t="s">
        <v>2540</v>
      </c>
      <c r="D248" s="405"/>
      <c r="E248" s="405"/>
      <c r="F248" s="16" t="s">
        <v>329</v>
      </c>
      <c r="G248" s="18">
        <v>1.7999999999999999E-2</v>
      </c>
      <c r="H248" s="57">
        <f>I248/G248</f>
        <v>35323.333333333336</v>
      </c>
      <c r="I248" s="19">
        <v>635.82000000000005</v>
      </c>
      <c r="J248" s="19">
        <f>K248/G248</f>
        <v>9974.4444444444453</v>
      </c>
      <c r="K248" s="19">
        <v>179.54</v>
      </c>
      <c r="BC248" s="14"/>
      <c r="BD248" s="15"/>
      <c r="BE248" s="21" t="s">
        <v>2540</v>
      </c>
      <c r="BF248" s="43"/>
      <c r="BG248" s="12"/>
      <c r="BH248" s="12"/>
    </row>
    <row r="249" spans="1:60" s="3" customFormat="1" ht="20.399999999999999" x14ac:dyDescent="0.3">
      <c r="A249" s="25"/>
      <c r="B249" s="26" t="s">
        <v>154</v>
      </c>
      <c r="C249" s="419" t="s">
        <v>155</v>
      </c>
      <c r="D249" s="419"/>
      <c r="E249" s="419"/>
      <c r="F249" s="27" t="s">
        <v>46</v>
      </c>
      <c r="G249" s="22" t="s">
        <v>2688</v>
      </c>
      <c r="H249" s="58"/>
      <c r="I249" s="28"/>
      <c r="J249" s="28"/>
      <c r="K249" s="29"/>
      <c r="BC249" s="14"/>
      <c r="BD249" s="15"/>
      <c r="BE249" s="21"/>
      <c r="BF249" s="43"/>
      <c r="BG249" s="12" t="s">
        <v>155</v>
      </c>
      <c r="BH249" s="12"/>
    </row>
    <row r="250" spans="1:60" s="3" customFormat="1" ht="21.6" x14ac:dyDescent="0.3">
      <c r="A250" s="37" t="s">
        <v>143</v>
      </c>
      <c r="B250" s="38" t="s">
        <v>2542</v>
      </c>
      <c r="C250" s="430" t="s">
        <v>2543</v>
      </c>
      <c r="D250" s="430"/>
      <c r="E250" s="430"/>
      <c r="F250" s="39" t="s">
        <v>46</v>
      </c>
      <c r="G250" s="40" t="s">
        <v>2689</v>
      </c>
      <c r="H250" s="100"/>
      <c r="I250" s="41"/>
      <c r="J250" s="41"/>
      <c r="K250" s="42"/>
      <c r="BC250" s="14"/>
      <c r="BD250" s="15"/>
      <c r="BE250" s="21"/>
      <c r="BF250" s="43" t="s">
        <v>2543</v>
      </c>
      <c r="BG250" s="12"/>
      <c r="BH250" s="12"/>
    </row>
    <row r="251" spans="1:60" s="3" customFormat="1" ht="20.399999999999999" x14ac:dyDescent="0.3">
      <c r="A251" s="25" t="s">
        <v>129</v>
      </c>
      <c r="B251" s="26" t="s">
        <v>2545</v>
      </c>
      <c r="C251" s="419" t="s">
        <v>84</v>
      </c>
      <c r="D251" s="419"/>
      <c r="E251" s="419"/>
      <c r="F251" s="27" t="s">
        <v>46</v>
      </c>
      <c r="G251" s="22" t="s">
        <v>2689</v>
      </c>
      <c r="H251" s="58"/>
      <c r="I251" s="28"/>
      <c r="J251" s="28"/>
      <c r="K251" s="29"/>
      <c r="BC251" s="14"/>
      <c r="BD251" s="15"/>
      <c r="BE251" s="21"/>
      <c r="BF251" s="43"/>
      <c r="BG251" s="12"/>
      <c r="BH251" s="12" t="s">
        <v>84</v>
      </c>
    </row>
    <row r="252" spans="1:60" s="3" customFormat="1" ht="31.8" x14ac:dyDescent="0.3">
      <c r="A252" s="16" t="s">
        <v>542</v>
      </c>
      <c r="B252" s="17" t="s">
        <v>2546</v>
      </c>
      <c r="C252" s="405" t="s">
        <v>2547</v>
      </c>
      <c r="D252" s="405"/>
      <c r="E252" s="405"/>
      <c r="F252" s="16" t="s">
        <v>329</v>
      </c>
      <c r="G252" s="18">
        <v>1.7999999999999999E-2</v>
      </c>
      <c r="H252" s="57">
        <f>I252/G252</f>
        <v>5845.0000000000027</v>
      </c>
      <c r="I252" s="19">
        <v>105.21000000000004</v>
      </c>
      <c r="J252" s="19">
        <f>K252/G252</f>
        <v>79191.666666666672</v>
      </c>
      <c r="K252" s="19">
        <v>1425.45</v>
      </c>
      <c r="BC252" s="14"/>
      <c r="BD252" s="15"/>
      <c r="BE252" s="21" t="s">
        <v>2547</v>
      </c>
      <c r="BF252" s="43"/>
      <c r="BG252" s="12"/>
      <c r="BH252" s="12"/>
    </row>
    <row r="253" spans="1:60" s="3" customFormat="1" ht="21.6" x14ac:dyDescent="0.3">
      <c r="A253" s="37" t="s">
        <v>143</v>
      </c>
      <c r="B253" s="38" t="s">
        <v>2542</v>
      </c>
      <c r="C253" s="430" t="s">
        <v>2543</v>
      </c>
      <c r="D253" s="430"/>
      <c r="E253" s="430"/>
      <c r="F253" s="39" t="s">
        <v>46</v>
      </c>
      <c r="G253" s="40" t="s">
        <v>2690</v>
      </c>
      <c r="H253" s="100"/>
      <c r="I253" s="41"/>
      <c r="J253" s="41"/>
      <c r="K253" s="42"/>
      <c r="BC253" s="14"/>
      <c r="BD253" s="15"/>
      <c r="BE253" s="21"/>
      <c r="BF253" s="43" t="s">
        <v>2543</v>
      </c>
      <c r="BG253" s="12"/>
      <c r="BH253" s="12"/>
    </row>
    <row r="254" spans="1:60" s="3" customFormat="1" ht="20.399999999999999" x14ac:dyDescent="0.3">
      <c r="A254" s="25" t="s">
        <v>129</v>
      </c>
      <c r="B254" s="26" t="s">
        <v>2545</v>
      </c>
      <c r="C254" s="419" t="s">
        <v>84</v>
      </c>
      <c r="D254" s="419"/>
      <c r="E254" s="419"/>
      <c r="F254" s="27" t="s">
        <v>46</v>
      </c>
      <c r="G254" s="22" t="s">
        <v>2691</v>
      </c>
      <c r="H254" s="58"/>
      <c r="I254" s="28"/>
      <c r="J254" s="28"/>
      <c r="K254" s="29"/>
      <c r="BC254" s="14"/>
      <c r="BD254" s="15"/>
      <c r="BE254" s="21"/>
      <c r="BF254" s="43"/>
      <c r="BG254" s="12"/>
      <c r="BH254" s="12" t="s">
        <v>84</v>
      </c>
    </row>
    <row r="255" spans="1:60" s="3" customFormat="1" ht="21.6" x14ac:dyDescent="0.3">
      <c r="A255" s="16" t="s">
        <v>547</v>
      </c>
      <c r="B255" s="17" t="s">
        <v>2550</v>
      </c>
      <c r="C255" s="405" t="s">
        <v>2551</v>
      </c>
      <c r="D255" s="405"/>
      <c r="E255" s="405"/>
      <c r="F255" s="16" t="s">
        <v>70</v>
      </c>
      <c r="G255" s="44">
        <v>5.5799999999999999E-3</v>
      </c>
      <c r="H255" s="57">
        <f>I255/G255</f>
        <v>12125.448028673829</v>
      </c>
      <c r="I255" s="19">
        <v>67.659999999999968</v>
      </c>
      <c r="J255" s="19">
        <f>K255/G255</f>
        <v>70358.422939068099</v>
      </c>
      <c r="K255" s="19">
        <v>392.6</v>
      </c>
      <c r="BC255" s="14"/>
      <c r="BD255" s="15"/>
      <c r="BE255" s="21" t="s">
        <v>2551</v>
      </c>
      <c r="BF255" s="43"/>
      <c r="BG255" s="12"/>
      <c r="BH255" s="12"/>
    </row>
    <row r="256" spans="1:60" s="3" customFormat="1" ht="20.399999999999999" x14ac:dyDescent="0.3">
      <c r="A256" s="25"/>
      <c r="B256" s="26" t="s">
        <v>2552</v>
      </c>
      <c r="C256" s="419" t="s">
        <v>2553</v>
      </c>
      <c r="D256" s="419"/>
      <c r="E256" s="419"/>
      <c r="F256" s="27" t="s">
        <v>70</v>
      </c>
      <c r="G256" s="22" t="s">
        <v>2692</v>
      </c>
      <c r="H256" s="58"/>
      <c r="I256" s="28"/>
      <c r="J256" s="28"/>
      <c r="K256" s="29"/>
      <c r="BC256" s="14"/>
      <c r="BD256" s="15"/>
      <c r="BE256" s="21"/>
      <c r="BF256" s="43"/>
      <c r="BG256" s="12" t="s">
        <v>2553</v>
      </c>
      <c r="BH256" s="12"/>
    </row>
    <row r="257" spans="1:60" s="3" customFormat="1" ht="20.399999999999999" x14ac:dyDescent="0.3">
      <c r="A257" s="37" t="s">
        <v>143</v>
      </c>
      <c r="B257" s="38" t="s">
        <v>288</v>
      </c>
      <c r="C257" s="430" t="s">
        <v>289</v>
      </c>
      <c r="D257" s="430"/>
      <c r="E257" s="430"/>
      <c r="F257" s="39" t="s">
        <v>70</v>
      </c>
      <c r="G257" s="40" t="s">
        <v>2693</v>
      </c>
      <c r="H257" s="100"/>
      <c r="I257" s="41"/>
      <c r="J257" s="41"/>
      <c r="K257" s="42"/>
      <c r="BC257" s="14"/>
      <c r="BD257" s="15"/>
      <c r="BE257" s="21"/>
      <c r="BF257" s="43" t="s">
        <v>289</v>
      </c>
      <c r="BG257" s="12"/>
      <c r="BH257" s="12"/>
    </row>
    <row r="258" spans="1:60" s="3" customFormat="1" ht="31.8" x14ac:dyDescent="0.3">
      <c r="A258" s="25" t="s">
        <v>129</v>
      </c>
      <c r="B258" s="26" t="s">
        <v>2556</v>
      </c>
      <c r="C258" s="419" t="s">
        <v>2557</v>
      </c>
      <c r="D258" s="419"/>
      <c r="E258" s="419"/>
      <c r="F258" s="27" t="s">
        <v>158</v>
      </c>
      <c r="G258" s="22" t="s">
        <v>2694</v>
      </c>
      <c r="H258" s="58"/>
      <c r="I258" s="28"/>
      <c r="J258" s="28"/>
      <c r="K258" s="29"/>
      <c r="BC258" s="14"/>
      <c r="BD258" s="15"/>
      <c r="BE258" s="21"/>
      <c r="BF258" s="43"/>
      <c r="BG258" s="12"/>
      <c r="BH258" s="12" t="s">
        <v>2557</v>
      </c>
    </row>
    <row r="259" spans="1:60" s="3" customFormat="1" ht="15" customHeight="1" x14ac:dyDescent="0.3">
      <c r="A259" s="454" t="s">
        <v>2559</v>
      </c>
      <c r="B259" s="455"/>
      <c r="C259" s="455"/>
      <c r="D259" s="455"/>
      <c r="E259" s="455"/>
      <c r="F259" s="455"/>
      <c r="G259" s="455"/>
      <c r="H259" s="296"/>
      <c r="I259" s="296"/>
      <c r="J259" s="296"/>
      <c r="K259" s="297"/>
      <c r="BC259" s="14"/>
      <c r="BD259" s="15" t="s">
        <v>2559</v>
      </c>
      <c r="BE259" s="21"/>
      <c r="BF259" s="43"/>
      <c r="BG259" s="12"/>
      <c r="BH259" s="12"/>
    </row>
    <row r="260" spans="1:60" s="3" customFormat="1" ht="21.6" x14ac:dyDescent="0.3">
      <c r="A260" s="16" t="s">
        <v>549</v>
      </c>
      <c r="B260" s="17" t="s">
        <v>2560</v>
      </c>
      <c r="C260" s="405" t="s">
        <v>2561</v>
      </c>
      <c r="D260" s="405"/>
      <c r="E260" s="405"/>
      <c r="F260" s="16" t="s">
        <v>329</v>
      </c>
      <c r="G260" s="18">
        <v>1.7999999999999999E-2</v>
      </c>
      <c r="H260" s="57">
        <f>I260/G260</f>
        <v>3516.6666666666674</v>
      </c>
      <c r="I260" s="19">
        <v>63.300000000000011</v>
      </c>
      <c r="J260" s="19">
        <f>K260/G260</f>
        <v>13205</v>
      </c>
      <c r="K260" s="19">
        <v>237.69</v>
      </c>
      <c r="BC260" s="14"/>
      <c r="BD260" s="15"/>
      <c r="BE260" s="21" t="s">
        <v>2561</v>
      </c>
      <c r="BF260" s="43"/>
      <c r="BG260" s="12"/>
      <c r="BH260" s="12"/>
    </row>
    <row r="261" spans="1:60" s="3" customFormat="1" ht="20.399999999999999" x14ac:dyDescent="0.3">
      <c r="A261" s="25"/>
      <c r="B261" s="26" t="s">
        <v>2189</v>
      </c>
      <c r="C261" s="419" t="s">
        <v>2190</v>
      </c>
      <c r="D261" s="419"/>
      <c r="E261" s="419"/>
      <c r="F261" s="27" t="s">
        <v>158</v>
      </c>
      <c r="G261" s="22" t="s">
        <v>2695</v>
      </c>
      <c r="H261" s="58"/>
      <c r="I261" s="28"/>
      <c r="J261" s="28"/>
      <c r="K261" s="29"/>
      <c r="BC261" s="14"/>
      <c r="BD261" s="15"/>
      <c r="BE261" s="21"/>
      <c r="BF261" s="43"/>
      <c r="BG261" s="12" t="s">
        <v>2190</v>
      </c>
      <c r="BH261" s="12"/>
    </row>
    <row r="262" spans="1:60" s="3" customFormat="1" ht="15" customHeight="1" x14ac:dyDescent="0.3">
      <c r="A262" s="454" t="s">
        <v>2563</v>
      </c>
      <c r="B262" s="455"/>
      <c r="C262" s="455"/>
      <c r="D262" s="455"/>
      <c r="E262" s="455"/>
      <c r="F262" s="455"/>
      <c r="G262" s="455"/>
      <c r="H262" s="296"/>
      <c r="I262" s="296"/>
      <c r="J262" s="296"/>
      <c r="K262" s="297"/>
      <c r="BC262" s="14"/>
      <c r="BD262" s="15" t="s">
        <v>2563</v>
      </c>
      <c r="BE262" s="21"/>
      <c r="BF262" s="43"/>
      <c r="BG262" s="12"/>
      <c r="BH262" s="12"/>
    </row>
    <row r="263" spans="1:60" s="3" customFormat="1" ht="31.8" x14ac:dyDescent="0.3">
      <c r="A263" s="16" t="s">
        <v>570</v>
      </c>
      <c r="B263" s="17" t="s">
        <v>2564</v>
      </c>
      <c r="C263" s="405" t="s">
        <v>2565</v>
      </c>
      <c r="D263" s="405"/>
      <c r="E263" s="405"/>
      <c r="F263" s="16" t="s">
        <v>329</v>
      </c>
      <c r="G263" s="18">
        <v>1.7999999999999999E-2</v>
      </c>
      <c r="H263" s="57">
        <f>I263/G263</f>
        <v>29229.999999999996</v>
      </c>
      <c r="I263" s="19">
        <v>526.13999999999987</v>
      </c>
      <c r="J263" s="19">
        <f>K263/G263</f>
        <v>208616.66666666669</v>
      </c>
      <c r="K263" s="19">
        <v>3755.1</v>
      </c>
      <c r="BC263" s="14"/>
      <c r="BD263" s="15"/>
      <c r="BE263" s="21" t="s">
        <v>2565</v>
      </c>
      <c r="BF263" s="43"/>
      <c r="BG263" s="12"/>
      <c r="BH263" s="12"/>
    </row>
    <row r="264" spans="1:60" s="3" customFormat="1" ht="21.6" x14ac:dyDescent="0.3">
      <c r="A264" s="37" t="s">
        <v>143</v>
      </c>
      <c r="B264" s="38" t="s">
        <v>2566</v>
      </c>
      <c r="C264" s="430" t="s">
        <v>2567</v>
      </c>
      <c r="D264" s="430"/>
      <c r="E264" s="430"/>
      <c r="F264" s="39" t="s">
        <v>158</v>
      </c>
      <c r="G264" s="40" t="s">
        <v>2696</v>
      </c>
      <c r="H264" s="100"/>
      <c r="I264" s="41"/>
      <c r="J264" s="41"/>
      <c r="K264" s="42"/>
      <c r="BC264" s="14"/>
      <c r="BD264" s="15"/>
      <c r="BE264" s="21"/>
      <c r="BF264" s="43" t="s">
        <v>2567</v>
      </c>
      <c r="BG264" s="12"/>
      <c r="BH264" s="12"/>
    </row>
    <row r="265" spans="1:60" s="3" customFormat="1" ht="21.6" x14ac:dyDescent="0.3">
      <c r="A265" s="25" t="s">
        <v>129</v>
      </c>
      <c r="B265" s="26" t="s">
        <v>2569</v>
      </c>
      <c r="C265" s="419" t="s">
        <v>2570</v>
      </c>
      <c r="D265" s="419"/>
      <c r="E265" s="419"/>
      <c r="F265" s="27" t="s">
        <v>46</v>
      </c>
      <c r="G265" s="22" t="s">
        <v>2697</v>
      </c>
      <c r="H265" s="58"/>
      <c r="I265" s="28"/>
      <c r="J265" s="28"/>
      <c r="K265" s="29"/>
      <c r="BC265" s="14"/>
      <c r="BD265" s="15"/>
      <c r="BE265" s="21"/>
      <c r="BF265" s="43"/>
      <c r="BG265" s="12"/>
      <c r="BH265" s="12" t="s">
        <v>2570</v>
      </c>
    </row>
    <row r="266" spans="1:60" s="3" customFormat="1" ht="14.4" x14ac:dyDescent="0.3">
      <c r="A266" s="454" t="s">
        <v>2698</v>
      </c>
      <c r="B266" s="455"/>
      <c r="C266" s="455"/>
      <c r="D266" s="455"/>
      <c r="E266" s="455"/>
      <c r="F266" s="455"/>
      <c r="G266" s="455"/>
      <c r="H266" s="296"/>
      <c r="I266" s="296"/>
      <c r="J266" s="296"/>
      <c r="K266" s="297"/>
      <c r="BC266" s="14"/>
      <c r="BD266" s="15" t="s">
        <v>2698</v>
      </c>
      <c r="BE266" s="21"/>
      <c r="BF266" s="43"/>
      <c r="BG266" s="12"/>
      <c r="BH266" s="12"/>
    </row>
    <row r="267" spans="1:60" s="3" customFormat="1" ht="15" customHeight="1" x14ac:dyDescent="0.3">
      <c r="A267" s="454" t="s">
        <v>2682</v>
      </c>
      <c r="B267" s="455"/>
      <c r="C267" s="455"/>
      <c r="D267" s="455"/>
      <c r="E267" s="455"/>
      <c r="F267" s="455"/>
      <c r="G267" s="455"/>
      <c r="H267" s="296"/>
      <c r="I267" s="296"/>
      <c r="J267" s="296"/>
      <c r="K267" s="297"/>
      <c r="BC267" s="14"/>
      <c r="BD267" s="15" t="s">
        <v>2682</v>
      </c>
      <c r="BE267" s="21"/>
      <c r="BF267" s="43"/>
      <c r="BG267" s="12"/>
      <c r="BH267" s="12"/>
    </row>
    <row r="268" spans="1:60" s="3" customFormat="1" ht="31.8" x14ac:dyDescent="0.3">
      <c r="A268" s="16" t="s">
        <v>584</v>
      </c>
      <c r="B268" s="17" t="s">
        <v>2683</v>
      </c>
      <c r="C268" s="405" t="s">
        <v>2684</v>
      </c>
      <c r="D268" s="405"/>
      <c r="E268" s="405"/>
      <c r="F268" s="16" t="s">
        <v>329</v>
      </c>
      <c r="G268" s="30">
        <v>1.0200000000000001E-2</v>
      </c>
      <c r="H268" s="57">
        <f>I268/G268</f>
        <v>5767.6470588235288</v>
      </c>
      <c r="I268" s="19">
        <v>58.83</v>
      </c>
      <c r="J268" s="19">
        <f>K268/G268</f>
        <v>852.94117647058806</v>
      </c>
      <c r="K268" s="19">
        <v>8.6999999999999993</v>
      </c>
      <c r="BC268" s="14"/>
      <c r="BD268" s="15"/>
      <c r="BE268" s="21" t="s">
        <v>2684</v>
      </c>
      <c r="BF268" s="43"/>
      <c r="BG268" s="12"/>
      <c r="BH268" s="12"/>
    </row>
    <row r="269" spans="1:60" s="3" customFormat="1" ht="20.399999999999999" x14ac:dyDescent="0.3">
      <c r="A269" s="25"/>
      <c r="B269" s="26" t="s">
        <v>350</v>
      </c>
      <c r="C269" s="419" t="s">
        <v>351</v>
      </c>
      <c r="D269" s="419"/>
      <c r="E269" s="419"/>
      <c r="F269" s="27" t="s">
        <v>70</v>
      </c>
      <c r="G269" s="22" t="s">
        <v>2699</v>
      </c>
      <c r="H269" s="58"/>
      <c r="I269" s="28"/>
      <c r="J269" s="28"/>
      <c r="K269" s="29"/>
      <c r="BC269" s="14"/>
      <c r="BD269" s="15"/>
      <c r="BE269" s="21"/>
      <c r="BF269" s="43"/>
      <c r="BG269" s="12" t="s">
        <v>351</v>
      </c>
      <c r="BH269" s="12"/>
    </row>
    <row r="270" spans="1:60" s="3" customFormat="1" ht="20.399999999999999" x14ac:dyDescent="0.3">
      <c r="A270" s="25"/>
      <c r="B270" s="26" t="s">
        <v>353</v>
      </c>
      <c r="C270" s="419" t="s">
        <v>354</v>
      </c>
      <c r="D270" s="419"/>
      <c r="E270" s="419"/>
      <c r="F270" s="27" t="s">
        <v>75</v>
      </c>
      <c r="G270" s="22" t="s">
        <v>2700</v>
      </c>
      <c r="H270" s="58"/>
      <c r="I270" s="28"/>
      <c r="J270" s="28"/>
      <c r="K270" s="29"/>
      <c r="BC270" s="14"/>
      <c r="BD270" s="15"/>
      <c r="BE270" s="21"/>
      <c r="BF270" s="43"/>
      <c r="BG270" s="12" t="s">
        <v>354</v>
      </c>
      <c r="BH270" s="12"/>
    </row>
    <row r="271" spans="1:60" s="3" customFormat="1" ht="15" customHeight="1" x14ac:dyDescent="0.3">
      <c r="A271" s="454" t="s">
        <v>2687</v>
      </c>
      <c r="B271" s="455"/>
      <c r="C271" s="455"/>
      <c r="D271" s="455"/>
      <c r="E271" s="455"/>
      <c r="F271" s="455"/>
      <c r="G271" s="455"/>
      <c r="H271" s="296"/>
      <c r="I271" s="296"/>
      <c r="J271" s="296"/>
      <c r="K271" s="297"/>
      <c r="BC271" s="14"/>
      <c r="BD271" s="15" t="s">
        <v>2687</v>
      </c>
      <c r="BE271" s="21"/>
      <c r="BF271" s="43"/>
      <c r="BG271" s="12"/>
      <c r="BH271" s="12"/>
    </row>
    <row r="272" spans="1:60" s="3" customFormat="1" ht="21.6" x14ac:dyDescent="0.3">
      <c r="A272" s="16" t="s">
        <v>585</v>
      </c>
      <c r="B272" s="17" t="s">
        <v>2539</v>
      </c>
      <c r="C272" s="405" t="s">
        <v>2540</v>
      </c>
      <c r="D272" s="405"/>
      <c r="E272" s="405"/>
      <c r="F272" s="16" t="s">
        <v>329</v>
      </c>
      <c r="G272" s="30">
        <v>1.0200000000000001E-2</v>
      </c>
      <c r="H272" s="57">
        <f>I272/G272</f>
        <v>35324.509803921566</v>
      </c>
      <c r="I272" s="19">
        <v>360.31</v>
      </c>
      <c r="J272" s="19">
        <f>K272/G272</f>
        <v>9974.5098039215682</v>
      </c>
      <c r="K272" s="19">
        <v>101.74</v>
      </c>
      <c r="BC272" s="14"/>
      <c r="BD272" s="15"/>
      <c r="BE272" s="21" t="s">
        <v>2540</v>
      </c>
      <c r="BF272" s="43"/>
      <c r="BG272" s="12"/>
      <c r="BH272" s="12"/>
    </row>
    <row r="273" spans="1:60" s="3" customFormat="1" ht="20.399999999999999" x14ac:dyDescent="0.3">
      <c r="A273" s="25"/>
      <c r="B273" s="26" t="s">
        <v>154</v>
      </c>
      <c r="C273" s="419" t="s">
        <v>155</v>
      </c>
      <c r="D273" s="419"/>
      <c r="E273" s="419"/>
      <c r="F273" s="27" t="s">
        <v>46</v>
      </c>
      <c r="G273" s="22" t="s">
        <v>2701</v>
      </c>
      <c r="H273" s="58"/>
      <c r="I273" s="28"/>
      <c r="J273" s="28"/>
      <c r="K273" s="29"/>
      <c r="BC273" s="14"/>
      <c r="BD273" s="15"/>
      <c r="BE273" s="21"/>
      <c r="BF273" s="43"/>
      <c r="BG273" s="12" t="s">
        <v>155</v>
      </c>
      <c r="BH273" s="12"/>
    </row>
    <row r="274" spans="1:60" s="3" customFormat="1" ht="21.6" x14ac:dyDescent="0.3">
      <c r="A274" s="37" t="s">
        <v>143</v>
      </c>
      <c r="B274" s="38" t="s">
        <v>2542</v>
      </c>
      <c r="C274" s="430" t="s">
        <v>2543</v>
      </c>
      <c r="D274" s="430"/>
      <c r="E274" s="430"/>
      <c r="F274" s="39" t="s">
        <v>46</v>
      </c>
      <c r="G274" s="40" t="s">
        <v>2702</v>
      </c>
      <c r="H274" s="100"/>
      <c r="I274" s="41"/>
      <c r="J274" s="41"/>
      <c r="K274" s="42"/>
      <c r="BC274" s="14"/>
      <c r="BD274" s="15"/>
      <c r="BE274" s="21"/>
      <c r="BF274" s="43" t="s">
        <v>2543</v>
      </c>
      <c r="BG274" s="12"/>
      <c r="BH274" s="12"/>
    </row>
    <row r="275" spans="1:60" s="3" customFormat="1" ht="20.399999999999999" x14ac:dyDescent="0.3">
      <c r="A275" s="25" t="s">
        <v>129</v>
      </c>
      <c r="B275" s="26" t="s">
        <v>2545</v>
      </c>
      <c r="C275" s="419" t="s">
        <v>84</v>
      </c>
      <c r="D275" s="419"/>
      <c r="E275" s="419"/>
      <c r="F275" s="27" t="s">
        <v>46</v>
      </c>
      <c r="G275" s="22" t="s">
        <v>2702</v>
      </c>
      <c r="H275" s="58"/>
      <c r="I275" s="28"/>
      <c r="J275" s="28"/>
      <c r="K275" s="29"/>
      <c r="BC275" s="14"/>
      <c r="BD275" s="15"/>
      <c r="BE275" s="21"/>
      <c r="BF275" s="43"/>
      <c r="BG275" s="12"/>
      <c r="BH275" s="12" t="s">
        <v>84</v>
      </c>
    </row>
    <row r="276" spans="1:60" s="3" customFormat="1" ht="31.8" x14ac:dyDescent="0.3">
      <c r="A276" s="16" t="s">
        <v>2137</v>
      </c>
      <c r="B276" s="17" t="s">
        <v>2546</v>
      </c>
      <c r="C276" s="405" t="s">
        <v>2547</v>
      </c>
      <c r="D276" s="405"/>
      <c r="E276" s="405"/>
      <c r="F276" s="16" t="s">
        <v>329</v>
      </c>
      <c r="G276" s="30">
        <v>1.0200000000000001E-2</v>
      </c>
      <c r="H276" s="57">
        <f>I276/G276</f>
        <v>5846.078431372548</v>
      </c>
      <c r="I276" s="19">
        <v>59.629999999999995</v>
      </c>
      <c r="J276" s="19">
        <f>K276/G276</f>
        <v>79192.156862745091</v>
      </c>
      <c r="K276" s="19">
        <v>807.76</v>
      </c>
      <c r="BC276" s="14"/>
      <c r="BD276" s="15"/>
      <c r="BE276" s="21" t="s">
        <v>2547</v>
      </c>
      <c r="BF276" s="43"/>
      <c r="BG276" s="12"/>
      <c r="BH276" s="12"/>
    </row>
    <row r="277" spans="1:60" s="3" customFormat="1" ht="21.6" x14ac:dyDescent="0.3">
      <c r="A277" s="37" t="s">
        <v>143</v>
      </c>
      <c r="B277" s="38" t="s">
        <v>2542</v>
      </c>
      <c r="C277" s="430" t="s">
        <v>2543</v>
      </c>
      <c r="D277" s="430"/>
      <c r="E277" s="430"/>
      <c r="F277" s="39" t="s">
        <v>46</v>
      </c>
      <c r="G277" s="40" t="s">
        <v>2703</v>
      </c>
      <c r="H277" s="100"/>
      <c r="I277" s="41"/>
      <c r="J277" s="41"/>
      <c r="K277" s="42"/>
      <c r="BC277" s="14"/>
      <c r="BD277" s="15"/>
      <c r="BE277" s="21"/>
      <c r="BF277" s="43" t="s">
        <v>2543</v>
      </c>
      <c r="BG277" s="12"/>
      <c r="BH277" s="12"/>
    </row>
    <row r="278" spans="1:60" s="3" customFormat="1" ht="20.399999999999999" x14ac:dyDescent="0.3">
      <c r="A278" s="25" t="s">
        <v>129</v>
      </c>
      <c r="B278" s="26" t="s">
        <v>2545</v>
      </c>
      <c r="C278" s="419" t="s">
        <v>84</v>
      </c>
      <c r="D278" s="419"/>
      <c r="E278" s="419"/>
      <c r="F278" s="27" t="s">
        <v>46</v>
      </c>
      <c r="G278" s="22" t="s">
        <v>2704</v>
      </c>
      <c r="H278" s="58"/>
      <c r="I278" s="28"/>
      <c r="J278" s="28"/>
      <c r="K278" s="29"/>
      <c r="BC278" s="14"/>
      <c r="BD278" s="15"/>
      <c r="BE278" s="21"/>
      <c r="BF278" s="43"/>
      <c r="BG278" s="12"/>
      <c r="BH278" s="12" t="s">
        <v>84</v>
      </c>
    </row>
    <row r="279" spans="1:60" s="3" customFormat="1" ht="21.6" x14ac:dyDescent="0.3">
      <c r="A279" s="16" t="s">
        <v>2138</v>
      </c>
      <c r="B279" s="17" t="s">
        <v>2550</v>
      </c>
      <c r="C279" s="405" t="s">
        <v>2551</v>
      </c>
      <c r="D279" s="405"/>
      <c r="E279" s="405"/>
      <c r="F279" s="16" t="s">
        <v>70</v>
      </c>
      <c r="G279" s="46">
        <v>3.1619999999999999E-3</v>
      </c>
      <c r="H279" s="57">
        <f>I279/G279</f>
        <v>12125.237191650855</v>
      </c>
      <c r="I279" s="19">
        <v>38.340000000000003</v>
      </c>
      <c r="J279" s="19">
        <f>K279/G279</f>
        <v>70357.368753953197</v>
      </c>
      <c r="K279" s="19">
        <v>222.47</v>
      </c>
      <c r="BC279" s="14"/>
      <c r="BD279" s="15"/>
      <c r="BE279" s="21" t="s">
        <v>2551</v>
      </c>
      <c r="BF279" s="43"/>
      <c r="BG279" s="12"/>
      <c r="BH279" s="12"/>
    </row>
    <row r="280" spans="1:60" s="3" customFormat="1" ht="20.399999999999999" x14ac:dyDescent="0.3">
      <c r="A280" s="25"/>
      <c r="B280" s="26" t="s">
        <v>2552</v>
      </c>
      <c r="C280" s="419" t="s">
        <v>2553</v>
      </c>
      <c r="D280" s="419"/>
      <c r="E280" s="419"/>
      <c r="F280" s="27" t="s">
        <v>70</v>
      </c>
      <c r="G280" s="22" t="s">
        <v>2705</v>
      </c>
      <c r="H280" s="58"/>
      <c r="I280" s="28"/>
      <c r="J280" s="28"/>
      <c r="K280" s="29"/>
      <c r="BC280" s="14"/>
      <c r="BD280" s="15"/>
      <c r="BE280" s="21"/>
      <c r="BF280" s="43"/>
      <c r="BG280" s="12" t="s">
        <v>2553</v>
      </c>
      <c r="BH280" s="12"/>
    </row>
    <row r="281" spans="1:60" s="3" customFormat="1" ht="20.399999999999999" x14ac:dyDescent="0.3">
      <c r="A281" s="37" t="s">
        <v>143</v>
      </c>
      <c r="B281" s="38" t="s">
        <v>288</v>
      </c>
      <c r="C281" s="430" t="s">
        <v>289</v>
      </c>
      <c r="D281" s="430"/>
      <c r="E281" s="430"/>
      <c r="F281" s="39" t="s">
        <v>70</v>
      </c>
      <c r="G281" s="40" t="s">
        <v>2706</v>
      </c>
      <c r="H281" s="100"/>
      <c r="I281" s="41"/>
      <c r="J281" s="41"/>
      <c r="K281" s="42"/>
      <c r="BC281" s="14"/>
      <c r="BD281" s="15"/>
      <c r="BE281" s="21"/>
      <c r="BF281" s="43" t="s">
        <v>289</v>
      </c>
      <c r="BG281" s="12"/>
      <c r="BH281" s="12"/>
    </row>
    <row r="282" spans="1:60" s="3" customFormat="1" ht="31.8" x14ac:dyDescent="0.3">
      <c r="A282" s="25" t="s">
        <v>129</v>
      </c>
      <c r="B282" s="26" t="s">
        <v>2556</v>
      </c>
      <c r="C282" s="419" t="s">
        <v>2557</v>
      </c>
      <c r="D282" s="419"/>
      <c r="E282" s="419"/>
      <c r="F282" s="27" t="s">
        <v>158</v>
      </c>
      <c r="G282" s="22" t="s">
        <v>2707</v>
      </c>
      <c r="H282" s="58"/>
      <c r="I282" s="28"/>
      <c r="J282" s="28"/>
      <c r="K282" s="29"/>
      <c r="BC282" s="14"/>
      <c r="BD282" s="15"/>
      <c r="BE282" s="21"/>
      <c r="BF282" s="43"/>
      <c r="BG282" s="12"/>
      <c r="BH282" s="12" t="s">
        <v>2557</v>
      </c>
    </row>
    <row r="283" spans="1:60" s="3" customFormat="1" ht="14.4" x14ac:dyDescent="0.3">
      <c r="A283" s="454" t="s">
        <v>2708</v>
      </c>
      <c r="B283" s="455"/>
      <c r="C283" s="455"/>
      <c r="D283" s="455"/>
      <c r="E283" s="455"/>
      <c r="F283" s="455"/>
      <c r="G283" s="455"/>
      <c r="H283" s="296"/>
      <c r="I283" s="296"/>
      <c r="J283" s="296"/>
      <c r="K283" s="297"/>
      <c r="BC283" s="14"/>
      <c r="BD283" s="15" t="s">
        <v>2708</v>
      </c>
      <c r="BE283" s="21"/>
      <c r="BF283" s="43"/>
      <c r="BG283" s="12"/>
      <c r="BH283" s="12"/>
    </row>
    <row r="284" spans="1:60" s="3" customFormat="1" ht="15" customHeight="1" x14ac:dyDescent="0.3">
      <c r="A284" s="454" t="s">
        <v>2682</v>
      </c>
      <c r="B284" s="455"/>
      <c r="C284" s="455"/>
      <c r="D284" s="455"/>
      <c r="E284" s="455"/>
      <c r="F284" s="455"/>
      <c r="G284" s="455"/>
      <c r="H284" s="296"/>
      <c r="I284" s="296"/>
      <c r="J284" s="296"/>
      <c r="K284" s="297"/>
      <c r="BC284" s="14"/>
      <c r="BD284" s="15" t="s">
        <v>2682</v>
      </c>
      <c r="BE284" s="21"/>
      <c r="BF284" s="43"/>
      <c r="BG284" s="12"/>
      <c r="BH284" s="12"/>
    </row>
    <row r="285" spans="1:60" s="3" customFormat="1" ht="31.8" x14ac:dyDescent="0.3">
      <c r="A285" s="16" t="s">
        <v>2139</v>
      </c>
      <c r="B285" s="17" t="s">
        <v>2683</v>
      </c>
      <c r="C285" s="405" t="s">
        <v>2684</v>
      </c>
      <c r="D285" s="405"/>
      <c r="E285" s="405"/>
      <c r="F285" s="16" t="s">
        <v>329</v>
      </c>
      <c r="G285" s="30">
        <v>4.9299999999999997E-2</v>
      </c>
      <c r="H285" s="57">
        <f>I285/G285</f>
        <v>5766.5314401622727</v>
      </c>
      <c r="I285" s="19">
        <v>284.29000000000002</v>
      </c>
      <c r="J285" s="19">
        <f>K285/G285</f>
        <v>853.1440162271806</v>
      </c>
      <c r="K285" s="19">
        <v>42.06</v>
      </c>
      <c r="BC285" s="14"/>
      <c r="BD285" s="15"/>
      <c r="BE285" s="21" t="s">
        <v>2684</v>
      </c>
      <c r="BF285" s="43"/>
      <c r="BG285" s="12"/>
      <c r="BH285" s="12"/>
    </row>
    <row r="286" spans="1:60" s="3" customFormat="1" ht="20.399999999999999" x14ac:dyDescent="0.3">
      <c r="A286" s="25"/>
      <c r="B286" s="26" t="s">
        <v>350</v>
      </c>
      <c r="C286" s="419" t="s">
        <v>351</v>
      </c>
      <c r="D286" s="419"/>
      <c r="E286" s="419"/>
      <c r="F286" s="27" t="s">
        <v>70</v>
      </c>
      <c r="G286" s="22" t="s">
        <v>2709</v>
      </c>
      <c r="H286" s="58"/>
      <c r="I286" s="28"/>
      <c r="J286" s="28"/>
      <c r="K286" s="29"/>
      <c r="BC286" s="14"/>
      <c r="BD286" s="15"/>
      <c r="BE286" s="21"/>
      <c r="BF286" s="43"/>
      <c r="BG286" s="12" t="s">
        <v>351</v>
      </c>
      <c r="BH286" s="12"/>
    </row>
    <row r="287" spans="1:60" s="3" customFormat="1" ht="20.399999999999999" x14ac:dyDescent="0.3">
      <c r="A287" s="25"/>
      <c r="B287" s="26" t="s">
        <v>353</v>
      </c>
      <c r="C287" s="419" t="s">
        <v>354</v>
      </c>
      <c r="D287" s="419"/>
      <c r="E287" s="419"/>
      <c r="F287" s="27" t="s">
        <v>75</v>
      </c>
      <c r="G287" s="22" t="s">
        <v>2710</v>
      </c>
      <c r="H287" s="58"/>
      <c r="I287" s="28"/>
      <c r="J287" s="28"/>
      <c r="K287" s="29"/>
      <c r="BC287" s="14"/>
      <c r="BD287" s="15"/>
      <c r="BE287" s="21"/>
      <c r="BF287" s="43"/>
      <c r="BG287" s="12" t="s">
        <v>354</v>
      </c>
      <c r="BH287" s="12"/>
    </row>
    <row r="288" spans="1:60" s="3" customFormat="1" ht="15" customHeight="1" x14ac:dyDescent="0.3">
      <c r="A288" s="435" t="s">
        <v>2711</v>
      </c>
      <c r="B288" s="436"/>
      <c r="C288" s="436"/>
      <c r="D288" s="436"/>
      <c r="E288" s="436"/>
      <c r="F288" s="436"/>
      <c r="G288" s="436"/>
      <c r="H288" s="103"/>
      <c r="I288" s="103"/>
      <c r="J288" s="103"/>
      <c r="K288" s="104"/>
      <c r="BC288" s="14" t="s">
        <v>2711</v>
      </c>
      <c r="BD288" s="15"/>
      <c r="BE288" s="21"/>
      <c r="BF288" s="43"/>
      <c r="BG288" s="12"/>
      <c r="BH288" s="12"/>
    </row>
    <row r="289" spans="1:60" s="3" customFormat="1" ht="24.75" customHeight="1" x14ac:dyDescent="0.3">
      <c r="A289" s="454" t="s">
        <v>2712</v>
      </c>
      <c r="B289" s="455"/>
      <c r="C289" s="455"/>
      <c r="D289" s="455"/>
      <c r="E289" s="455"/>
      <c r="F289" s="455"/>
      <c r="G289" s="455"/>
      <c r="H289" s="296"/>
      <c r="I289" s="296"/>
      <c r="J289" s="296"/>
      <c r="K289" s="297"/>
      <c r="BC289" s="14"/>
      <c r="BD289" s="15" t="s">
        <v>2712</v>
      </c>
      <c r="BE289" s="21"/>
      <c r="BF289" s="43"/>
      <c r="BG289" s="12"/>
      <c r="BH289" s="12"/>
    </row>
    <row r="290" spans="1:60" s="3" customFormat="1" ht="42" x14ac:dyDescent="0.3">
      <c r="A290" s="16" t="s">
        <v>2144</v>
      </c>
      <c r="B290" s="17" t="s">
        <v>2713</v>
      </c>
      <c r="C290" s="405" t="s">
        <v>2714</v>
      </c>
      <c r="D290" s="405"/>
      <c r="E290" s="405"/>
      <c r="F290" s="16" t="s">
        <v>329</v>
      </c>
      <c r="G290" s="30">
        <v>0.1197</v>
      </c>
      <c r="H290" s="57">
        <f>I290/G290</f>
        <v>141497.32664995827</v>
      </c>
      <c r="I290" s="19">
        <v>16937.230000000003</v>
      </c>
      <c r="J290" s="19">
        <f>K290/G290</f>
        <v>142233.24979114454</v>
      </c>
      <c r="K290" s="19">
        <v>17025.32</v>
      </c>
      <c r="BC290" s="14"/>
      <c r="BD290" s="15"/>
      <c r="BE290" s="21" t="s">
        <v>2714</v>
      </c>
      <c r="BF290" s="43"/>
      <c r="BG290" s="12"/>
      <c r="BH290" s="12"/>
    </row>
    <row r="291" spans="1:60" s="3" customFormat="1" ht="20.399999999999999" x14ac:dyDescent="0.3">
      <c r="A291" s="37" t="s">
        <v>143</v>
      </c>
      <c r="B291" s="38" t="s">
        <v>2715</v>
      </c>
      <c r="C291" s="430" t="s">
        <v>2716</v>
      </c>
      <c r="D291" s="430"/>
      <c r="E291" s="430"/>
      <c r="F291" s="39" t="s">
        <v>158</v>
      </c>
      <c r="G291" s="40" t="s">
        <v>2717</v>
      </c>
      <c r="H291" s="100"/>
      <c r="I291" s="41"/>
      <c r="J291" s="41"/>
      <c r="K291" s="42"/>
      <c r="BC291" s="14"/>
      <c r="BD291" s="15"/>
      <c r="BE291" s="21"/>
      <c r="BF291" s="43" t="s">
        <v>2716</v>
      </c>
      <c r="BG291" s="12"/>
      <c r="BH291" s="12"/>
    </row>
    <row r="292" spans="1:60" s="3" customFormat="1" ht="20.399999999999999" x14ac:dyDescent="0.3">
      <c r="A292" s="25"/>
      <c r="B292" s="26" t="s">
        <v>154</v>
      </c>
      <c r="C292" s="419" t="s">
        <v>155</v>
      </c>
      <c r="D292" s="419"/>
      <c r="E292" s="419"/>
      <c r="F292" s="27" t="s">
        <v>46</v>
      </c>
      <c r="G292" s="22" t="s">
        <v>2718</v>
      </c>
      <c r="H292" s="58"/>
      <c r="I292" s="28"/>
      <c r="J292" s="28"/>
      <c r="K292" s="29"/>
      <c r="BC292" s="14"/>
      <c r="BD292" s="15"/>
      <c r="BE292" s="21"/>
      <c r="BF292" s="43"/>
      <c r="BG292" s="12" t="s">
        <v>155</v>
      </c>
      <c r="BH292" s="12"/>
    </row>
    <row r="293" spans="1:60" s="3" customFormat="1" ht="21.6" x14ac:dyDescent="0.3">
      <c r="A293" s="25"/>
      <c r="B293" s="26" t="s">
        <v>2719</v>
      </c>
      <c r="C293" s="419" t="s">
        <v>2720</v>
      </c>
      <c r="D293" s="419"/>
      <c r="E293" s="419"/>
      <c r="F293" s="27" t="s">
        <v>115</v>
      </c>
      <c r="G293" s="22" t="s">
        <v>2721</v>
      </c>
      <c r="H293" s="58"/>
      <c r="I293" s="28"/>
      <c r="J293" s="28"/>
      <c r="K293" s="29"/>
      <c r="BC293" s="14"/>
      <c r="BD293" s="15"/>
      <c r="BE293" s="21"/>
      <c r="BF293" s="43"/>
      <c r="BG293" s="12" t="s">
        <v>2720</v>
      </c>
      <c r="BH293" s="12"/>
    </row>
    <row r="294" spans="1:60" s="3" customFormat="1" ht="21.6" x14ac:dyDescent="0.3">
      <c r="A294" s="25"/>
      <c r="B294" s="26" t="s">
        <v>2722</v>
      </c>
      <c r="C294" s="419" t="s">
        <v>2723</v>
      </c>
      <c r="D294" s="419"/>
      <c r="E294" s="419"/>
      <c r="F294" s="27" t="s">
        <v>115</v>
      </c>
      <c r="G294" s="22" t="s">
        <v>2724</v>
      </c>
      <c r="H294" s="58"/>
      <c r="I294" s="28"/>
      <c r="J294" s="28"/>
      <c r="K294" s="29"/>
      <c r="BC294" s="14"/>
      <c r="BD294" s="15"/>
      <c r="BE294" s="21"/>
      <c r="BF294" s="43"/>
      <c r="BG294" s="12" t="s">
        <v>2723</v>
      </c>
      <c r="BH294" s="12"/>
    </row>
    <row r="295" spans="1:60" s="3" customFormat="1" ht="21.6" x14ac:dyDescent="0.3">
      <c r="A295" s="25"/>
      <c r="B295" s="26" t="s">
        <v>2725</v>
      </c>
      <c r="C295" s="419" t="s">
        <v>2726</v>
      </c>
      <c r="D295" s="419"/>
      <c r="E295" s="419"/>
      <c r="F295" s="27" t="s">
        <v>67</v>
      </c>
      <c r="G295" s="22" t="s">
        <v>2727</v>
      </c>
      <c r="H295" s="58"/>
      <c r="I295" s="28"/>
      <c r="J295" s="28"/>
      <c r="K295" s="29"/>
      <c r="BC295" s="14"/>
      <c r="BD295" s="15"/>
      <c r="BE295" s="21"/>
      <c r="BF295" s="43"/>
      <c r="BG295" s="12" t="s">
        <v>2726</v>
      </c>
      <c r="BH295" s="12"/>
    </row>
    <row r="296" spans="1:60" s="3" customFormat="1" ht="20.399999999999999" x14ac:dyDescent="0.3">
      <c r="A296" s="25"/>
      <c r="B296" s="26" t="s">
        <v>2728</v>
      </c>
      <c r="C296" s="419" t="s">
        <v>2729</v>
      </c>
      <c r="D296" s="419"/>
      <c r="E296" s="419"/>
      <c r="F296" s="27" t="s">
        <v>142</v>
      </c>
      <c r="G296" s="22" t="s">
        <v>2730</v>
      </c>
      <c r="H296" s="58"/>
      <c r="I296" s="28"/>
      <c r="J296" s="28"/>
      <c r="K296" s="29"/>
      <c r="BC296" s="14"/>
      <c r="BD296" s="15"/>
      <c r="BE296" s="21"/>
      <c r="BF296" s="43"/>
      <c r="BG296" s="12" t="s">
        <v>2729</v>
      </c>
      <c r="BH296" s="12"/>
    </row>
    <row r="297" spans="1:60" s="3" customFormat="1" ht="20.399999999999999" x14ac:dyDescent="0.3">
      <c r="A297" s="25"/>
      <c r="B297" s="26" t="s">
        <v>1613</v>
      </c>
      <c r="C297" s="419" t="s">
        <v>1614</v>
      </c>
      <c r="D297" s="419"/>
      <c r="E297" s="419"/>
      <c r="F297" s="27" t="s">
        <v>142</v>
      </c>
      <c r="G297" s="22" t="s">
        <v>2731</v>
      </c>
      <c r="H297" s="58"/>
      <c r="I297" s="28"/>
      <c r="J297" s="28"/>
      <c r="K297" s="29"/>
      <c r="BC297" s="14"/>
      <c r="BD297" s="15"/>
      <c r="BE297" s="21"/>
      <c r="BF297" s="43"/>
      <c r="BG297" s="12" t="s">
        <v>1614</v>
      </c>
      <c r="BH297" s="12"/>
    </row>
    <row r="298" spans="1:60" s="3" customFormat="1" ht="42" x14ac:dyDescent="0.3">
      <c r="A298" s="25"/>
      <c r="B298" s="26" t="s">
        <v>2732</v>
      </c>
      <c r="C298" s="419" t="s">
        <v>2733</v>
      </c>
      <c r="D298" s="419"/>
      <c r="E298" s="419"/>
      <c r="F298" s="27" t="s">
        <v>142</v>
      </c>
      <c r="G298" s="22" t="s">
        <v>2734</v>
      </c>
      <c r="H298" s="58"/>
      <c r="I298" s="28"/>
      <c r="J298" s="28"/>
      <c r="K298" s="29"/>
      <c r="BC298" s="14"/>
      <c r="BD298" s="15"/>
      <c r="BE298" s="21"/>
      <c r="BF298" s="43"/>
      <c r="BG298" s="12" t="s">
        <v>2733</v>
      </c>
      <c r="BH298" s="12"/>
    </row>
    <row r="299" spans="1:60" s="3" customFormat="1" ht="42" x14ac:dyDescent="0.3">
      <c r="A299" s="25"/>
      <c r="B299" s="26" t="s">
        <v>2735</v>
      </c>
      <c r="C299" s="419" t="s">
        <v>2736</v>
      </c>
      <c r="D299" s="419"/>
      <c r="E299" s="419"/>
      <c r="F299" s="27" t="s">
        <v>142</v>
      </c>
      <c r="G299" s="22" t="s">
        <v>2737</v>
      </c>
      <c r="H299" s="58"/>
      <c r="I299" s="28"/>
      <c r="J299" s="28"/>
      <c r="K299" s="29"/>
      <c r="BC299" s="14"/>
      <c r="BD299" s="15"/>
      <c r="BE299" s="21"/>
      <c r="BF299" s="43"/>
      <c r="BG299" s="12" t="s">
        <v>2736</v>
      </c>
      <c r="BH299" s="12"/>
    </row>
    <row r="300" spans="1:60" s="3" customFormat="1" ht="42" x14ac:dyDescent="0.3">
      <c r="A300" s="25"/>
      <c r="B300" s="26" t="s">
        <v>2738</v>
      </c>
      <c r="C300" s="419" t="s">
        <v>2739</v>
      </c>
      <c r="D300" s="419"/>
      <c r="E300" s="419"/>
      <c r="F300" s="27" t="s">
        <v>115</v>
      </c>
      <c r="G300" s="22" t="s">
        <v>2740</v>
      </c>
      <c r="H300" s="58"/>
      <c r="I300" s="28"/>
      <c r="J300" s="28"/>
      <c r="K300" s="29"/>
      <c r="BC300" s="14"/>
      <c r="BD300" s="15"/>
      <c r="BE300" s="21"/>
      <c r="BF300" s="43"/>
      <c r="BG300" s="12" t="s">
        <v>2739</v>
      </c>
      <c r="BH300" s="12"/>
    </row>
    <row r="301" spans="1:60" s="3" customFormat="1" ht="31.8" x14ac:dyDescent="0.3">
      <c r="A301" s="25"/>
      <c r="B301" s="26" t="s">
        <v>2741</v>
      </c>
      <c r="C301" s="419" t="s">
        <v>2742</v>
      </c>
      <c r="D301" s="419"/>
      <c r="E301" s="419"/>
      <c r="F301" s="27" t="s">
        <v>115</v>
      </c>
      <c r="G301" s="22" t="s">
        <v>2743</v>
      </c>
      <c r="H301" s="58"/>
      <c r="I301" s="28"/>
      <c r="J301" s="28"/>
      <c r="K301" s="29"/>
      <c r="BC301" s="14"/>
      <c r="BD301" s="15"/>
      <c r="BE301" s="21"/>
      <c r="BF301" s="43"/>
      <c r="BG301" s="12" t="s">
        <v>2742</v>
      </c>
      <c r="BH301" s="12"/>
    </row>
    <row r="302" spans="1:60" s="3" customFormat="1" ht="21.6" x14ac:dyDescent="0.3">
      <c r="A302" s="25"/>
      <c r="B302" s="26" t="s">
        <v>2744</v>
      </c>
      <c r="C302" s="419" t="s">
        <v>2745</v>
      </c>
      <c r="D302" s="419"/>
      <c r="E302" s="419"/>
      <c r="F302" s="27" t="s">
        <v>142</v>
      </c>
      <c r="G302" s="22" t="s">
        <v>2746</v>
      </c>
      <c r="H302" s="58"/>
      <c r="I302" s="28"/>
      <c r="J302" s="28"/>
      <c r="K302" s="29"/>
      <c r="BC302" s="14"/>
      <c r="BD302" s="15"/>
      <c r="BE302" s="21"/>
      <c r="BF302" s="43"/>
      <c r="BG302" s="12" t="s">
        <v>2745</v>
      </c>
      <c r="BH302" s="12"/>
    </row>
    <row r="303" spans="1:60" s="3" customFormat="1" ht="21.6" x14ac:dyDescent="0.3">
      <c r="A303" s="25"/>
      <c r="B303" s="26" t="s">
        <v>2747</v>
      </c>
      <c r="C303" s="419" t="s">
        <v>2748</v>
      </c>
      <c r="D303" s="419"/>
      <c r="E303" s="419"/>
      <c r="F303" s="27" t="s">
        <v>142</v>
      </c>
      <c r="G303" s="22" t="s">
        <v>2746</v>
      </c>
      <c r="H303" s="58"/>
      <c r="I303" s="28"/>
      <c r="J303" s="28"/>
      <c r="K303" s="29"/>
      <c r="BC303" s="14"/>
      <c r="BD303" s="15"/>
      <c r="BE303" s="21"/>
      <c r="BF303" s="43"/>
      <c r="BG303" s="12" t="s">
        <v>2748</v>
      </c>
      <c r="BH303" s="12"/>
    </row>
    <row r="304" spans="1:60" s="3" customFormat="1" ht="20.399999999999999" x14ac:dyDescent="0.3">
      <c r="A304" s="25"/>
      <c r="B304" s="26" t="s">
        <v>2749</v>
      </c>
      <c r="C304" s="419" t="s">
        <v>2750</v>
      </c>
      <c r="D304" s="419"/>
      <c r="E304" s="419"/>
      <c r="F304" s="27" t="s">
        <v>46</v>
      </c>
      <c r="G304" s="22" t="s">
        <v>2751</v>
      </c>
      <c r="H304" s="58"/>
      <c r="I304" s="28"/>
      <c r="J304" s="28"/>
      <c r="K304" s="29"/>
      <c r="BC304" s="14"/>
      <c r="BD304" s="15"/>
      <c r="BE304" s="21"/>
      <c r="BF304" s="43"/>
      <c r="BG304" s="12" t="s">
        <v>2750</v>
      </c>
      <c r="BH304" s="12"/>
    </row>
    <row r="305" spans="1:60" s="3" customFormat="1" ht="21.6" x14ac:dyDescent="0.3">
      <c r="A305" s="37" t="s">
        <v>143</v>
      </c>
      <c r="B305" s="38" t="s">
        <v>2752</v>
      </c>
      <c r="C305" s="430" t="s">
        <v>2753</v>
      </c>
      <c r="D305" s="430"/>
      <c r="E305" s="430"/>
      <c r="F305" s="39" t="s">
        <v>158</v>
      </c>
      <c r="G305" s="40" t="s">
        <v>2754</v>
      </c>
      <c r="H305" s="100"/>
      <c r="I305" s="41"/>
      <c r="J305" s="41"/>
      <c r="K305" s="42"/>
      <c r="BC305" s="14"/>
      <c r="BD305" s="15"/>
      <c r="BE305" s="21"/>
      <c r="BF305" s="43" t="s">
        <v>2753</v>
      </c>
      <c r="BG305" s="12"/>
      <c r="BH305" s="12"/>
    </row>
    <row r="306" spans="1:60" s="3" customFormat="1" ht="31.8" x14ac:dyDescent="0.3">
      <c r="A306" s="25"/>
      <c r="B306" s="26" t="s">
        <v>2755</v>
      </c>
      <c r="C306" s="419" t="s">
        <v>2756</v>
      </c>
      <c r="D306" s="419"/>
      <c r="E306" s="419"/>
      <c r="F306" s="27" t="s">
        <v>75</v>
      </c>
      <c r="G306" s="22" t="s">
        <v>2757</v>
      </c>
      <c r="H306" s="58"/>
      <c r="I306" s="28"/>
      <c r="J306" s="28"/>
      <c r="K306" s="29"/>
      <c r="BC306" s="14"/>
      <c r="BD306" s="15"/>
      <c r="BE306" s="21"/>
      <c r="BF306" s="43"/>
      <c r="BG306" s="12" t="s">
        <v>2756</v>
      </c>
      <c r="BH306" s="12"/>
    </row>
    <row r="307" spans="1:60" s="3" customFormat="1" ht="42" x14ac:dyDescent="0.3">
      <c r="A307" s="25"/>
      <c r="B307" s="26" t="s">
        <v>2758</v>
      </c>
      <c r="C307" s="419" t="s">
        <v>2759</v>
      </c>
      <c r="D307" s="419"/>
      <c r="E307" s="419"/>
      <c r="F307" s="27" t="s">
        <v>75</v>
      </c>
      <c r="G307" s="22" t="s">
        <v>2757</v>
      </c>
      <c r="H307" s="58"/>
      <c r="I307" s="28"/>
      <c r="J307" s="28"/>
      <c r="K307" s="29"/>
      <c r="BC307" s="14"/>
      <c r="BD307" s="15"/>
      <c r="BE307" s="21"/>
      <c r="BF307" s="43"/>
      <c r="BG307" s="12" t="s">
        <v>2759</v>
      </c>
      <c r="BH307" s="12"/>
    </row>
    <row r="308" spans="1:60" s="3" customFormat="1" ht="42" x14ac:dyDescent="0.3">
      <c r="A308" s="25"/>
      <c r="B308" s="26" t="s">
        <v>2760</v>
      </c>
      <c r="C308" s="419" t="s">
        <v>2761</v>
      </c>
      <c r="D308" s="419"/>
      <c r="E308" s="419"/>
      <c r="F308" s="27" t="s">
        <v>75</v>
      </c>
      <c r="G308" s="22" t="s">
        <v>2762</v>
      </c>
      <c r="H308" s="58"/>
      <c r="I308" s="28"/>
      <c r="J308" s="28"/>
      <c r="K308" s="29"/>
      <c r="BC308" s="14"/>
      <c r="BD308" s="15"/>
      <c r="BE308" s="21"/>
      <c r="BF308" s="43"/>
      <c r="BG308" s="12" t="s">
        <v>2761</v>
      </c>
      <c r="BH308" s="12"/>
    </row>
    <row r="309" spans="1:60" s="3" customFormat="1" ht="20.399999999999999" x14ac:dyDescent="0.3">
      <c r="A309" s="25" t="s">
        <v>129</v>
      </c>
      <c r="B309" s="26" t="s">
        <v>2763</v>
      </c>
      <c r="C309" s="419" t="s">
        <v>2764</v>
      </c>
      <c r="D309" s="419"/>
      <c r="E309" s="419"/>
      <c r="F309" s="27" t="s">
        <v>158</v>
      </c>
      <c r="G309" s="22" t="s">
        <v>2717</v>
      </c>
      <c r="H309" s="58"/>
      <c r="I309" s="28"/>
      <c r="J309" s="28"/>
      <c r="K309" s="29"/>
      <c r="BC309" s="14"/>
      <c r="BD309" s="15"/>
      <c r="BE309" s="21"/>
      <c r="BF309" s="43"/>
      <c r="BG309" s="12"/>
      <c r="BH309" s="12" t="s">
        <v>2764</v>
      </c>
    </row>
    <row r="310" spans="1:60" s="3" customFormat="1" ht="31.8" x14ac:dyDescent="0.3">
      <c r="A310" s="25" t="s">
        <v>129</v>
      </c>
      <c r="B310" s="26" t="s">
        <v>2765</v>
      </c>
      <c r="C310" s="419" t="s">
        <v>2766</v>
      </c>
      <c r="D310" s="419"/>
      <c r="E310" s="419"/>
      <c r="F310" s="27" t="s">
        <v>46</v>
      </c>
      <c r="G310" s="22" t="s">
        <v>2767</v>
      </c>
      <c r="H310" s="58"/>
      <c r="I310" s="28"/>
      <c r="J310" s="28"/>
      <c r="K310" s="29"/>
      <c r="BC310" s="14"/>
      <c r="BD310" s="15"/>
      <c r="BE310" s="21"/>
      <c r="BF310" s="43"/>
      <c r="BG310" s="12"/>
      <c r="BH310" s="12" t="s">
        <v>2766</v>
      </c>
    </row>
    <row r="311" spans="1:60" s="3" customFormat="1" ht="24.75" customHeight="1" x14ac:dyDescent="0.3">
      <c r="A311" s="454" t="s">
        <v>2768</v>
      </c>
      <c r="B311" s="455"/>
      <c r="C311" s="455"/>
      <c r="D311" s="455"/>
      <c r="E311" s="455"/>
      <c r="F311" s="455"/>
      <c r="G311" s="455"/>
      <c r="H311" s="296"/>
      <c r="I311" s="296"/>
      <c r="J311" s="296"/>
      <c r="K311" s="297"/>
      <c r="BC311" s="14"/>
      <c r="BD311" s="15" t="s">
        <v>2768</v>
      </c>
      <c r="BE311" s="21"/>
      <c r="BF311" s="43"/>
      <c r="BG311" s="12"/>
      <c r="BH311" s="12"/>
    </row>
    <row r="312" spans="1:60" s="3" customFormat="1" ht="42" x14ac:dyDescent="0.3">
      <c r="A312" s="16" t="s">
        <v>2169</v>
      </c>
      <c r="B312" s="17" t="s">
        <v>2713</v>
      </c>
      <c r="C312" s="405" t="s">
        <v>2714</v>
      </c>
      <c r="D312" s="405"/>
      <c r="E312" s="405"/>
      <c r="F312" s="16" t="s">
        <v>329</v>
      </c>
      <c r="G312" s="30">
        <v>0.13730000000000001</v>
      </c>
      <c r="H312" s="57">
        <f>I312/G312</f>
        <v>141497.15950473413</v>
      </c>
      <c r="I312" s="19">
        <v>19427.559999999998</v>
      </c>
      <c r="J312" s="19">
        <f>K312/G312</f>
        <v>126537.29060451566</v>
      </c>
      <c r="K312" s="19">
        <v>17373.57</v>
      </c>
      <c r="BC312" s="14"/>
      <c r="BD312" s="15"/>
      <c r="BE312" s="21" t="s">
        <v>2714</v>
      </c>
      <c r="BF312" s="43"/>
      <c r="BG312" s="12"/>
      <c r="BH312" s="12"/>
    </row>
    <row r="313" spans="1:60" s="3" customFormat="1" ht="20.399999999999999" x14ac:dyDescent="0.3">
      <c r="A313" s="37" t="s">
        <v>143</v>
      </c>
      <c r="B313" s="38" t="s">
        <v>2715</v>
      </c>
      <c r="C313" s="430" t="s">
        <v>2716</v>
      </c>
      <c r="D313" s="430"/>
      <c r="E313" s="430"/>
      <c r="F313" s="39" t="s">
        <v>158</v>
      </c>
      <c r="G313" s="40" t="s">
        <v>2769</v>
      </c>
      <c r="H313" s="100"/>
      <c r="I313" s="41"/>
      <c r="J313" s="41"/>
      <c r="K313" s="42"/>
      <c r="BC313" s="14"/>
      <c r="BD313" s="15"/>
      <c r="BE313" s="21"/>
      <c r="BF313" s="43" t="s">
        <v>2716</v>
      </c>
      <c r="BG313" s="12"/>
      <c r="BH313" s="12"/>
    </row>
    <row r="314" spans="1:60" s="3" customFormat="1" ht="20.399999999999999" x14ac:dyDescent="0.3">
      <c r="A314" s="25"/>
      <c r="B314" s="26" t="s">
        <v>154</v>
      </c>
      <c r="C314" s="419" t="s">
        <v>155</v>
      </c>
      <c r="D314" s="419"/>
      <c r="E314" s="419"/>
      <c r="F314" s="27" t="s">
        <v>46</v>
      </c>
      <c r="G314" s="22" t="s">
        <v>2770</v>
      </c>
      <c r="H314" s="58"/>
      <c r="I314" s="28"/>
      <c r="J314" s="28"/>
      <c r="K314" s="29"/>
      <c r="BC314" s="14"/>
      <c r="BD314" s="15"/>
      <c r="BE314" s="21"/>
      <c r="BF314" s="43"/>
      <c r="BG314" s="12" t="s">
        <v>155</v>
      </c>
      <c r="BH314" s="12"/>
    </row>
    <row r="315" spans="1:60" s="3" customFormat="1" ht="21.6" x14ac:dyDescent="0.3">
      <c r="A315" s="25"/>
      <c r="B315" s="26" t="s">
        <v>2719</v>
      </c>
      <c r="C315" s="419" t="s">
        <v>2720</v>
      </c>
      <c r="D315" s="419"/>
      <c r="E315" s="419"/>
      <c r="F315" s="27" t="s">
        <v>115</v>
      </c>
      <c r="G315" s="22" t="s">
        <v>2771</v>
      </c>
      <c r="H315" s="58"/>
      <c r="I315" s="28"/>
      <c r="J315" s="28"/>
      <c r="K315" s="29"/>
      <c r="BC315" s="14"/>
      <c r="BD315" s="15"/>
      <c r="BE315" s="21"/>
      <c r="BF315" s="43"/>
      <c r="BG315" s="12" t="s">
        <v>2720</v>
      </c>
      <c r="BH315" s="12"/>
    </row>
    <row r="316" spans="1:60" s="3" customFormat="1" ht="21.6" x14ac:dyDescent="0.3">
      <c r="A316" s="25"/>
      <c r="B316" s="26" t="s">
        <v>2722</v>
      </c>
      <c r="C316" s="419" t="s">
        <v>2723</v>
      </c>
      <c r="D316" s="419"/>
      <c r="E316" s="419"/>
      <c r="F316" s="27" t="s">
        <v>115</v>
      </c>
      <c r="G316" s="22" t="s">
        <v>2772</v>
      </c>
      <c r="H316" s="58"/>
      <c r="I316" s="28"/>
      <c r="J316" s="28"/>
      <c r="K316" s="29"/>
      <c r="BC316" s="14"/>
      <c r="BD316" s="15"/>
      <c r="BE316" s="21"/>
      <c r="BF316" s="43"/>
      <c r="BG316" s="12" t="s">
        <v>2723</v>
      </c>
      <c r="BH316" s="12"/>
    </row>
    <row r="317" spans="1:60" s="3" customFormat="1" ht="21.6" x14ac:dyDescent="0.3">
      <c r="A317" s="25"/>
      <c r="B317" s="26" t="s">
        <v>2725</v>
      </c>
      <c r="C317" s="419" t="s">
        <v>2726</v>
      </c>
      <c r="D317" s="419"/>
      <c r="E317" s="419"/>
      <c r="F317" s="27" t="s">
        <v>67</v>
      </c>
      <c r="G317" s="22" t="s">
        <v>2773</v>
      </c>
      <c r="H317" s="58"/>
      <c r="I317" s="28"/>
      <c r="J317" s="28"/>
      <c r="K317" s="29"/>
      <c r="BC317" s="14"/>
      <c r="BD317" s="15"/>
      <c r="BE317" s="21"/>
      <c r="BF317" s="43"/>
      <c r="BG317" s="12" t="s">
        <v>2726</v>
      </c>
      <c r="BH317" s="12"/>
    </row>
    <row r="318" spans="1:60" s="3" customFormat="1" ht="20.399999999999999" x14ac:dyDescent="0.3">
      <c r="A318" s="25"/>
      <c r="B318" s="26" t="s">
        <v>2728</v>
      </c>
      <c r="C318" s="419" t="s">
        <v>2729</v>
      </c>
      <c r="D318" s="419"/>
      <c r="E318" s="419"/>
      <c r="F318" s="27" t="s">
        <v>142</v>
      </c>
      <c r="G318" s="22" t="s">
        <v>2774</v>
      </c>
      <c r="H318" s="58"/>
      <c r="I318" s="28"/>
      <c r="J318" s="28"/>
      <c r="K318" s="29"/>
      <c r="BC318" s="14"/>
      <c r="BD318" s="15"/>
      <c r="BE318" s="21"/>
      <c r="BF318" s="43"/>
      <c r="BG318" s="12" t="s">
        <v>2729</v>
      </c>
      <c r="BH318" s="12"/>
    </row>
    <row r="319" spans="1:60" s="3" customFormat="1" ht="20.399999999999999" x14ac:dyDescent="0.3">
      <c r="A319" s="25"/>
      <c r="B319" s="26" t="s">
        <v>1613</v>
      </c>
      <c r="C319" s="419" t="s">
        <v>1614</v>
      </c>
      <c r="D319" s="419"/>
      <c r="E319" s="419"/>
      <c r="F319" s="27" t="s">
        <v>142</v>
      </c>
      <c r="G319" s="22" t="s">
        <v>2775</v>
      </c>
      <c r="H319" s="58"/>
      <c r="I319" s="28"/>
      <c r="J319" s="28"/>
      <c r="K319" s="29"/>
      <c r="BC319" s="14"/>
      <c r="BD319" s="15"/>
      <c r="BE319" s="21"/>
      <c r="BF319" s="43"/>
      <c r="BG319" s="12" t="s">
        <v>1614</v>
      </c>
      <c r="BH319" s="12"/>
    </row>
    <row r="320" spans="1:60" s="3" customFormat="1" ht="42" x14ac:dyDescent="0.3">
      <c r="A320" s="25"/>
      <c r="B320" s="26" t="s">
        <v>2732</v>
      </c>
      <c r="C320" s="419" t="s">
        <v>2733</v>
      </c>
      <c r="D320" s="419"/>
      <c r="E320" s="419"/>
      <c r="F320" s="27" t="s">
        <v>142</v>
      </c>
      <c r="G320" s="22" t="s">
        <v>2776</v>
      </c>
      <c r="H320" s="58"/>
      <c r="I320" s="28"/>
      <c r="J320" s="28"/>
      <c r="K320" s="29"/>
      <c r="BC320" s="14"/>
      <c r="BD320" s="15"/>
      <c r="BE320" s="21"/>
      <c r="BF320" s="43"/>
      <c r="BG320" s="12" t="s">
        <v>2733</v>
      </c>
      <c r="BH320" s="12"/>
    </row>
    <row r="321" spans="1:60" s="3" customFormat="1" ht="42" x14ac:dyDescent="0.3">
      <c r="A321" s="25"/>
      <c r="B321" s="26" t="s">
        <v>2735</v>
      </c>
      <c r="C321" s="419" t="s">
        <v>2736</v>
      </c>
      <c r="D321" s="419"/>
      <c r="E321" s="419"/>
      <c r="F321" s="27" t="s">
        <v>142</v>
      </c>
      <c r="G321" s="22" t="s">
        <v>2777</v>
      </c>
      <c r="H321" s="58"/>
      <c r="I321" s="28"/>
      <c r="J321" s="28"/>
      <c r="K321" s="29"/>
      <c r="BC321" s="14"/>
      <c r="BD321" s="15"/>
      <c r="BE321" s="21"/>
      <c r="BF321" s="43"/>
      <c r="BG321" s="12" t="s">
        <v>2736</v>
      </c>
      <c r="BH321" s="12"/>
    </row>
    <row r="322" spans="1:60" s="3" customFormat="1" ht="42" x14ac:dyDescent="0.3">
      <c r="A322" s="25"/>
      <c r="B322" s="26" t="s">
        <v>2738</v>
      </c>
      <c r="C322" s="419" t="s">
        <v>2739</v>
      </c>
      <c r="D322" s="419"/>
      <c r="E322" s="419"/>
      <c r="F322" s="27" t="s">
        <v>115</v>
      </c>
      <c r="G322" s="22" t="s">
        <v>2778</v>
      </c>
      <c r="H322" s="58"/>
      <c r="I322" s="28"/>
      <c r="J322" s="28"/>
      <c r="K322" s="29"/>
      <c r="BC322" s="14"/>
      <c r="BD322" s="15"/>
      <c r="BE322" s="21"/>
      <c r="BF322" s="43"/>
      <c r="BG322" s="12" t="s">
        <v>2739</v>
      </c>
      <c r="BH322" s="12"/>
    </row>
    <row r="323" spans="1:60" s="3" customFormat="1" ht="31.8" x14ac:dyDescent="0.3">
      <c r="A323" s="25"/>
      <c r="B323" s="26" t="s">
        <v>2741</v>
      </c>
      <c r="C323" s="419" t="s">
        <v>2742</v>
      </c>
      <c r="D323" s="419"/>
      <c r="E323" s="419"/>
      <c r="F323" s="27" t="s">
        <v>115</v>
      </c>
      <c r="G323" s="22" t="s">
        <v>2779</v>
      </c>
      <c r="H323" s="58"/>
      <c r="I323" s="28"/>
      <c r="J323" s="28"/>
      <c r="K323" s="29"/>
      <c r="BC323" s="14"/>
      <c r="BD323" s="15"/>
      <c r="BE323" s="21"/>
      <c r="BF323" s="43"/>
      <c r="BG323" s="12" t="s">
        <v>2742</v>
      </c>
      <c r="BH323" s="12"/>
    </row>
    <row r="324" spans="1:60" s="3" customFormat="1" ht="21.6" x14ac:dyDescent="0.3">
      <c r="A324" s="25"/>
      <c r="B324" s="26" t="s">
        <v>2744</v>
      </c>
      <c r="C324" s="419" t="s">
        <v>2745</v>
      </c>
      <c r="D324" s="419"/>
      <c r="E324" s="419"/>
      <c r="F324" s="27" t="s">
        <v>142</v>
      </c>
      <c r="G324" s="22" t="s">
        <v>2780</v>
      </c>
      <c r="H324" s="58"/>
      <c r="I324" s="28"/>
      <c r="J324" s="28"/>
      <c r="K324" s="29"/>
      <c r="BC324" s="14"/>
      <c r="BD324" s="15"/>
      <c r="BE324" s="21"/>
      <c r="BF324" s="43"/>
      <c r="BG324" s="12" t="s">
        <v>2745</v>
      </c>
      <c r="BH324" s="12"/>
    </row>
    <row r="325" spans="1:60" s="3" customFormat="1" ht="21.6" x14ac:dyDescent="0.3">
      <c r="A325" s="25"/>
      <c r="B325" s="26" t="s">
        <v>2747</v>
      </c>
      <c r="C325" s="419" t="s">
        <v>2748</v>
      </c>
      <c r="D325" s="419"/>
      <c r="E325" s="419"/>
      <c r="F325" s="27" t="s">
        <v>142</v>
      </c>
      <c r="G325" s="22" t="s">
        <v>2780</v>
      </c>
      <c r="H325" s="58"/>
      <c r="I325" s="28"/>
      <c r="J325" s="28"/>
      <c r="K325" s="29"/>
      <c r="BC325" s="14"/>
      <c r="BD325" s="15"/>
      <c r="BE325" s="21"/>
      <c r="BF325" s="43"/>
      <c r="BG325" s="12" t="s">
        <v>2748</v>
      </c>
      <c r="BH325" s="12"/>
    </row>
    <row r="326" spans="1:60" s="3" customFormat="1" ht="20.399999999999999" x14ac:dyDescent="0.3">
      <c r="A326" s="25"/>
      <c r="B326" s="26" t="s">
        <v>2749</v>
      </c>
      <c r="C326" s="419" t="s">
        <v>2750</v>
      </c>
      <c r="D326" s="419"/>
      <c r="E326" s="419"/>
      <c r="F326" s="27" t="s">
        <v>46</v>
      </c>
      <c r="G326" s="22" t="s">
        <v>2781</v>
      </c>
      <c r="H326" s="58"/>
      <c r="I326" s="28"/>
      <c r="J326" s="28"/>
      <c r="K326" s="29"/>
      <c r="BC326" s="14"/>
      <c r="BD326" s="15"/>
      <c r="BE326" s="21"/>
      <c r="BF326" s="43"/>
      <c r="BG326" s="12" t="s">
        <v>2750</v>
      </c>
      <c r="BH326" s="12"/>
    </row>
    <row r="327" spans="1:60" s="3" customFormat="1" ht="21.6" x14ac:dyDescent="0.3">
      <c r="A327" s="37" t="s">
        <v>143</v>
      </c>
      <c r="B327" s="38" t="s">
        <v>2752</v>
      </c>
      <c r="C327" s="430" t="s">
        <v>2753</v>
      </c>
      <c r="D327" s="430"/>
      <c r="E327" s="430"/>
      <c r="F327" s="39" t="s">
        <v>158</v>
      </c>
      <c r="G327" s="40" t="s">
        <v>2782</v>
      </c>
      <c r="H327" s="100"/>
      <c r="I327" s="41"/>
      <c r="J327" s="41"/>
      <c r="K327" s="42"/>
      <c r="BC327" s="14"/>
      <c r="BD327" s="15"/>
      <c r="BE327" s="21"/>
      <c r="BF327" s="43" t="s">
        <v>2753</v>
      </c>
      <c r="BG327" s="12"/>
      <c r="BH327" s="12"/>
    </row>
    <row r="328" spans="1:60" s="3" customFormat="1" ht="31.8" x14ac:dyDescent="0.3">
      <c r="A328" s="25"/>
      <c r="B328" s="26" t="s">
        <v>2755</v>
      </c>
      <c r="C328" s="419" t="s">
        <v>2756</v>
      </c>
      <c r="D328" s="419"/>
      <c r="E328" s="419"/>
      <c r="F328" s="27" t="s">
        <v>75</v>
      </c>
      <c r="G328" s="22" t="s">
        <v>2783</v>
      </c>
      <c r="H328" s="58"/>
      <c r="I328" s="28"/>
      <c r="J328" s="28"/>
      <c r="K328" s="29"/>
      <c r="BC328" s="14"/>
      <c r="BD328" s="15"/>
      <c r="BE328" s="21"/>
      <c r="BF328" s="43"/>
      <c r="BG328" s="12" t="s">
        <v>2756</v>
      </c>
      <c r="BH328" s="12"/>
    </row>
    <row r="329" spans="1:60" s="3" customFormat="1" ht="42" x14ac:dyDescent="0.3">
      <c r="A329" s="25"/>
      <c r="B329" s="26" t="s">
        <v>2758</v>
      </c>
      <c r="C329" s="419" t="s">
        <v>2759</v>
      </c>
      <c r="D329" s="419"/>
      <c r="E329" s="419"/>
      <c r="F329" s="27" t="s">
        <v>75</v>
      </c>
      <c r="G329" s="22" t="s">
        <v>2783</v>
      </c>
      <c r="H329" s="58"/>
      <c r="I329" s="28"/>
      <c r="J329" s="28"/>
      <c r="K329" s="29"/>
      <c r="BC329" s="14"/>
      <c r="BD329" s="15"/>
      <c r="BE329" s="21"/>
      <c r="BF329" s="43"/>
      <c r="BG329" s="12" t="s">
        <v>2759</v>
      </c>
      <c r="BH329" s="12"/>
    </row>
    <row r="330" spans="1:60" s="3" customFormat="1" ht="42" x14ac:dyDescent="0.3">
      <c r="A330" s="25"/>
      <c r="B330" s="26" t="s">
        <v>2760</v>
      </c>
      <c r="C330" s="419" t="s">
        <v>2761</v>
      </c>
      <c r="D330" s="419"/>
      <c r="E330" s="419"/>
      <c r="F330" s="27" t="s">
        <v>75</v>
      </c>
      <c r="G330" s="22" t="s">
        <v>2784</v>
      </c>
      <c r="H330" s="58"/>
      <c r="I330" s="28"/>
      <c r="J330" s="28"/>
      <c r="K330" s="29"/>
      <c r="BC330" s="14"/>
      <c r="BD330" s="15"/>
      <c r="BE330" s="21"/>
      <c r="BF330" s="43"/>
      <c r="BG330" s="12" t="s">
        <v>2761</v>
      </c>
      <c r="BH330" s="12"/>
    </row>
    <row r="331" spans="1:60" s="3" customFormat="1" ht="21.6" x14ac:dyDescent="0.3">
      <c r="A331" s="25" t="s">
        <v>129</v>
      </c>
      <c r="B331" s="26" t="s">
        <v>2785</v>
      </c>
      <c r="C331" s="419" t="s">
        <v>2786</v>
      </c>
      <c r="D331" s="419"/>
      <c r="E331" s="419"/>
      <c r="F331" s="27" t="s">
        <v>158</v>
      </c>
      <c r="G331" s="22" t="s">
        <v>2769</v>
      </c>
      <c r="H331" s="58"/>
      <c r="I331" s="28"/>
      <c r="J331" s="28"/>
      <c r="K331" s="29"/>
      <c r="BC331" s="14"/>
      <c r="BD331" s="15"/>
      <c r="BE331" s="21"/>
      <c r="BF331" s="43"/>
      <c r="BG331" s="12"/>
      <c r="BH331" s="12" t="s">
        <v>2786</v>
      </c>
    </row>
    <row r="332" spans="1:60" s="3" customFormat="1" ht="31.8" x14ac:dyDescent="0.3">
      <c r="A332" s="25" t="s">
        <v>129</v>
      </c>
      <c r="B332" s="26" t="s">
        <v>2765</v>
      </c>
      <c r="C332" s="419" t="s">
        <v>2766</v>
      </c>
      <c r="D332" s="419"/>
      <c r="E332" s="419"/>
      <c r="F332" s="27" t="s">
        <v>46</v>
      </c>
      <c r="G332" s="22" t="s">
        <v>2787</v>
      </c>
      <c r="H332" s="58"/>
      <c r="I332" s="28"/>
      <c r="J332" s="28"/>
      <c r="K332" s="29"/>
      <c r="BC332" s="14"/>
      <c r="BD332" s="15"/>
      <c r="BE332" s="21"/>
      <c r="BF332" s="43"/>
      <c r="BG332" s="12"/>
      <c r="BH332" s="12" t="s">
        <v>2766</v>
      </c>
    </row>
    <row r="333" spans="1:60" s="3" customFormat="1" ht="24.75" customHeight="1" x14ac:dyDescent="0.3">
      <c r="A333" s="454" t="s">
        <v>2788</v>
      </c>
      <c r="B333" s="455"/>
      <c r="C333" s="455"/>
      <c r="D333" s="455"/>
      <c r="E333" s="455"/>
      <c r="F333" s="455"/>
      <c r="G333" s="455"/>
      <c r="H333" s="296"/>
      <c r="I333" s="296"/>
      <c r="J333" s="296"/>
      <c r="K333" s="297"/>
      <c r="BC333" s="14"/>
      <c r="BD333" s="15" t="s">
        <v>2788</v>
      </c>
      <c r="BE333" s="21"/>
      <c r="BF333" s="43"/>
      <c r="BG333" s="12"/>
      <c r="BH333" s="12"/>
    </row>
    <row r="334" spans="1:60" s="3" customFormat="1" ht="42" x14ac:dyDescent="0.3">
      <c r="A334" s="16" t="s">
        <v>2179</v>
      </c>
      <c r="B334" s="17" t="s">
        <v>2713</v>
      </c>
      <c r="C334" s="405" t="s">
        <v>2714</v>
      </c>
      <c r="D334" s="405"/>
      <c r="E334" s="405"/>
      <c r="F334" s="16" t="s">
        <v>329</v>
      </c>
      <c r="G334" s="30">
        <v>5.16E-2</v>
      </c>
      <c r="H334" s="57">
        <f>I334/G334</f>
        <v>141497.09302325582</v>
      </c>
      <c r="I334" s="19">
        <v>7301.25</v>
      </c>
      <c r="J334" s="19">
        <f>K334/G334</f>
        <v>163968.99224806202</v>
      </c>
      <c r="K334" s="19">
        <v>8460.7999999999993</v>
      </c>
      <c r="BC334" s="14"/>
      <c r="BD334" s="15"/>
      <c r="BE334" s="21" t="s">
        <v>2714</v>
      </c>
      <c r="BF334" s="43"/>
      <c r="BG334" s="12"/>
      <c r="BH334" s="12"/>
    </row>
    <row r="335" spans="1:60" s="3" customFormat="1" ht="20.399999999999999" x14ac:dyDescent="0.3">
      <c r="A335" s="37" t="s">
        <v>143</v>
      </c>
      <c r="B335" s="38" t="s">
        <v>2715</v>
      </c>
      <c r="C335" s="430" t="s">
        <v>2716</v>
      </c>
      <c r="D335" s="430"/>
      <c r="E335" s="430"/>
      <c r="F335" s="39" t="s">
        <v>158</v>
      </c>
      <c r="G335" s="40" t="s">
        <v>2789</v>
      </c>
      <c r="H335" s="100"/>
      <c r="I335" s="41"/>
      <c r="J335" s="41"/>
      <c r="K335" s="42"/>
      <c r="BC335" s="14"/>
      <c r="BD335" s="15"/>
      <c r="BE335" s="21"/>
      <c r="BF335" s="43" t="s">
        <v>2716</v>
      </c>
      <c r="BG335" s="12"/>
      <c r="BH335" s="12"/>
    </row>
    <row r="336" spans="1:60" s="3" customFormat="1" ht="20.399999999999999" x14ac:dyDescent="0.3">
      <c r="A336" s="25"/>
      <c r="B336" s="26" t="s">
        <v>154</v>
      </c>
      <c r="C336" s="419" t="s">
        <v>155</v>
      </c>
      <c r="D336" s="419"/>
      <c r="E336" s="419"/>
      <c r="F336" s="27" t="s">
        <v>46</v>
      </c>
      <c r="G336" s="22" t="s">
        <v>2790</v>
      </c>
      <c r="H336" s="58"/>
      <c r="I336" s="28"/>
      <c r="J336" s="28"/>
      <c r="K336" s="29"/>
      <c r="BC336" s="14"/>
      <c r="BD336" s="15"/>
      <c r="BE336" s="21"/>
      <c r="BF336" s="43"/>
      <c r="BG336" s="12" t="s">
        <v>155</v>
      </c>
      <c r="BH336" s="12"/>
    </row>
    <row r="337" spans="1:60" s="3" customFormat="1" ht="21.6" x14ac:dyDescent="0.3">
      <c r="A337" s="25"/>
      <c r="B337" s="26" t="s">
        <v>2719</v>
      </c>
      <c r="C337" s="419" t="s">
        <v>2720</v>
      </c>
      <c r="D337" s="419"/>
      <c r="E337" s="419"/>
      <c r="F337" s="27" t="s">
        <v>115</v>
      </c>
      <c r="G337" s="22" t="s">
        <v>2791</v>
      </c>
      <c r="H337" s="58"/>
      <c r="I337" s="28"/>
      <c r="J337" s="28"/>
      <c r="K337" s="29"/>
      <c r="BC337" s="14"/>
      <c r="BD337" s="15"/>
      <c r="BE337" s="21"/>
      <c r="BF337" s="43"/>
      <c r="BG337" s="12" t="s">
        <v>2720</v>
      </c>
      <c r="BH337" s="12"/>
    </row>
    <row r="338" spans="1:60" s="3" customFormat="1" ht="21.6" x14ac:dyDescent="0.3">
      <c r="A338" s="25"/>
      <c r="B338" s="26" t="s">
        <v>2722</v>
      </c>
      <c r="C338" s="419" t="s">
        <v>2723</v>
      </c>
      <c r="D338" s="419"/>
      <c r="E338" s="419"/>
      <c r="F338" s="27" t="s">
        <v>115</v>
      </c>
      <c r="G338" s="22" t="s">
        <v>2792</v>
      </c>
      <c r="H338" s="58"/>
      <c r="I338" s="28"/>
      <c r="J338" s="28"/>
      <c r="K338" s="29"/>
      <c r="BC338" s="14"/>
      <c r="BD338" s="15"/>
      <c r="BE338" s="21"/>
      <c r="BF338" s="43"/>
      <c r="BG338" s="12" t="s">
        <v>2723</v>
      </c>
      <c r="BH338" s="12"/>
    </row>
    <row r="339" spans="1:60" s="3" customFormat="1" ht="21.6" x14ac:dyDescent="0.3">
      <c r="A339" s="25"/>
      <c r="B339" s="26" t="s">
        <v>2725</v>
      </c>
      <c r="C339" s="419" t="s">
        <v>2726</v>
      </c>
      <c r="D339" s="419"/>
      <c r="E339" s="419"/>
      <c r="F339" s="27" t="s">
        <v>67</v>
      </c>
      <c r="G339" s="22" t="s">
        <v>2793</v>
      </c>
      <c r="H339" s="58"/>
      <c r="I339" s="28"/>
      <c r="J339" s="28"/>
      <c r="K339" s="29"/>
      <c r="BC339" s="14"/>
      <c r="BD339" s="15"/>
      <c r="BE339" s="21"/>
      <c r="BF339" s="43"/>
      <c r="BG339" s="12" t="s">
        <v>2726</v>
      </c>
      <c r="BH339" s="12"/>
    </row>
    <row r="340" spans="1:60" s="3" customFormat="1" ht="20.399999999999999" x14ac:dyDescent="0.3">
      <c r="A340" s="25"/>
      <c r="B340" s="26" t="s">
        <v>2728</v>
      </c>
      <c r="C340" s="419" t="s">
        <v>2729</v>
      </c>
      <c r="D340" s="419"/>
      <c r="E340" s="419"/>
      <c r="F340" s="27" t="s">
        <v>142</v>
      </c>
      <c r="G340" s="22" t="s">
        <v>2794</v>
      </c>
      <c r="H340" s="58"/>
      <c r="I340" s="28"/>
      <c r="J340" s="28"/>
      <c r="K340" s="29"/>
      <c r="BC340" s="14"/>
      <c r="BD340" s="15"/>
      <c r="BE340" s="21"/>
      <c r="BF340" s="43"/>
      <c r="BG340" s="12" t="s">
        <v>2729</v>
      </c>
      <c r="BH340" s="12"/>
    </row>
    <row r="341" spans="1:60" s="3" customFormat="1" ht="20.399999999999999" x14ac:dyDescent="0.3">
      <c r="A341" s="25"/>
      <c r="B341" s="26" t="s">
        <v>1613</v>
      </c>
      <c r="C341" s="419" t="s">
        <v>1614</v>
      </c>
      <c r="D341" s="419"/>
      <c r="E341" s="419"/>
      <c r="F341" s="27" t="s">
        <v>142</v>
      </c>
      <c r="G341" s="22" t="s">
        <v>2795</v>
      </c>
      <c r="H341" s="58"/>
      <c r="I341" s="28"/>
      <c r="J341" s="28"/>
      <c r="K341" s="29"/>
      <c r="BC341" s="14"/>
      <c r="BD341" s="15"/>
      <c r="BE341" s="21"/>
      <c r="BF341" s="43"/>
      <c r="BG341" s="12" t="s">
        <v>1614</v>
      </c>
      <c r="BH341" s="12"/>
    </row>
    <row r="342" spans="1:60" s="3" customFormat="1" ht="42" x14ac:dyDescent="0.3">
      <c r="A342" s="25"/>
      <c r="B342" s="26" t="s">
        <v>2732</v>
      </c>
      <c r="C342" s="419" t="s">
        <v>2733</v>
      </c>
      <c r="D342" s="419"/>
      <c r="E342" s="419"/>
      <c r="F342" s="27" t="s">
        <v>142</v>
      </c>
      <c r="G342" s="22" t="s">
        <v>2796</v>
      </c>
      <c r="H342" s="58"/>
      <c r="I342" s="28"/>
      <c r="J342" s="28"/>
      <c r="K342" s="29"/>
      <c r="BC342" s="14"/>
      <c r="BD342" s="15"/>
      <c r="BE342" s="21"/>
      <c r="BF342" s="43"/>
      <c r="BG342" s="12" t="s">
        <v>2733</v>
      </c>
      <c r="BH342" s="12"/>
    </row>
    <row r="343" spans="1:60" s="3" customFormat="1" ht="42" x14ac:dyDescent="0.3">
      <c r="A343" s="25"/>
      <c r="B343" s="26" t="s">
        <v>2735</v>
      </c>
      <c r="C343" s="419" t="s">
        <v>2736</v>
      </c>
      <c r="D343" s="419"/>
      <c r="E343" s="419"/>
      <c r="F343" s="27" t="s">
        <v>142</v>
      </c>
      <c r="G343" s="22" t="s">
        <v>2797</v>
      </c>
      <c r="H343" s="58"/>
      <c r="I343" s="28"/>
      <c r="J343" s="28"/>
      <c r="K343" s="29"/>
      <c r="BC343" s="14"/>
      <c r="BD343" s="15"/>
      <c r="BE343" s="21"/>
      <c r="BF343" s="43"/>
      <c r="BG343" s="12" t="s">
        <v>2736</v>
      </c>
      <c r="BH343" s="12"/>
    </row>
    <row r="344" spans="1:60" s="3" customFormat="1" ht="42" x14ac:dyDescent="0.3">
      <c r="A344" s="25"/>
      <c r="B344" s="26" t="s">
        <v>2738</v>
      </c>
      <c r="C344" s="419" t="s">
        <v>2739</v>
      </c>
      <c r="D344" s="419"/>
      <c r="E344" s="419"/>
      <c r="F344" s="27" t="s">
        <v>115</v>
      </c>
      <c r="G344" s="22" t="s">
        <v>2798</v>
      </c>
      <c r="H344" s="58"/>
      <c r="I344" s="28"/>
      <c r="J344" s="28"/>
      <c r="K344" s="29"/>
      <c r="BC344" s="14"/>
      <c r="BD344" s="15"/>
      <c r="BE344" s="21"/>
      <c r="BF344" s="43"/>
      <c r="BG344" s="12" t="s">
        <v>2739</v>
      </c>
      <c r="BH344" s="12"/>
    </row>
    <row r="345" spans="1:60" s="3" customFormat="1" ht="31.8" x14ac:dyDescent="0.3">
      <c r="A345" s="25"/>
      <c r="B345" s="26" t="s">
        <v>2741</v>
      </c>
      <c r="C345" s="419" t="s">
        <v>2742</v>
      </c>
      <c r="D345" s="419"/>
      <c r="E345" s="419"/>
      <c r="F345" s="27" t="s">
        <v>115</v>
      </c>
      <c r="G345" s="22" t="s">
        <v>2799</v>
      </c>
      <c r="H345" s="58"/>
      <c r="I345" s="28"/>
      <c r="J345" s="28"/>
      <c r="K345" s="29"/>
      <c r="BC345" s="14"/>
      <c r="BD345" s="15"/>
      <c r="BE345" s="21"/>
      <c r="BF345" s="43"/>
      <c r="BG345" s="12" t="s">
        <v>2742</v>
      </c>
      <c r="BH345" s="12"/>
    </row>
    <row r="346" spans="1:60" s="3" customFormat="1" ht="21.6" x14ac:dyDescent="0.3">
      <c r="A346" s="25"/>
      <c r="B346" s="26" t="s">
        <v>2744</v>
      </c>
      <c r="C346" s="419" t="s">
        <v>2745</v>
      </c>
      <c r="D346" s="419"/>
      <c r="E346" s="419"/>
      <c r="F346" s="27" t="s">
        <v>142</v>
      </c>
      <c r="G346" s="22" t="s">
        <v>2800</v>
      </c>
      <c r="H346" s="58"/>
      <c r="I346" s="28"/>
      <c r="J346" s="28"/>
      <c r="K346" s="29"/>
      <c r="BC346" s="14"/>
      <c r="BD346" s="15"/>
      <c r="BE346" s="21"/>
      <c r="BF346" s="43"/>
      <c r="BG346" s="12" t="s">
        <v>2745</v>
      </c>
      <c r="BH346" s="12"/>
    </row>
    <row r="347" spans="1:60" s="3" customFormat="1" ht="21.6" x14ac:dyDescent="0.3">
      <c r="A347" s="25"/>
      <c r="B347" s="26" t="s">
        <v>2747</v>
      </c>
      <c r="C347" s="419" t="s">
        <v>2748</v>
      </c>
      <c r="D347" s="419"/>
      <c r="E347" s="419"/>
      <c r="F347" s="27" t="s">
        <v>142</v>
      </c>
      <c r="G347" s="22" t="s">
        <v>2800</v>
      </c>
      <c r="H347" s="58"/>
      <c r="I347" s="28"/>
      <c r="J347" s="28"/>
      <c r="K347" s="29"/>
      <c r="BC347" s="14"/>
      <c r="BD347" s="15"/>
      <c r="BE347" s="21"/>
      <c r="BF347" s="43"/>
      <c r="BG347" s="12" t="s">
        <v>2748</v>
      </c>
      <c r="BH347" s="12"/>
    </row>
    <row r="348" spans="1:60" s="3" customFormat="1" ht="20.399999999999999" x14ac:dyDescent="0.3">
      <c r="A348" s="25"/>
      <c r="B348" s="26" t="s">
        <v>2749</v>
      </c>
      <c r="C348" s="419" t="s">
        <v>2750</v>
      </c>
      <c r="D348" s="419"/>
      <c r="E348" s="419"/>
      <c r="F348" s="27" t="s">
        <v>46</v>
      </c>
      <c r="G348" s="22" t="s">
        <v>2801</v>
      </c>
      <c r="H348" s="58"/>
      <c r="I348" s="28"/>
      <c r="J348" s="28"/>
      <c r="K348" s="29"/>
      <c r="BC348" s="14"/>
      <c r="BD348" s="15"/>
      <c r="BE348" s="21"/>
      <c r="BF348" s="43"/>
      <c r="BG348" s="12" t="s">
        <v>2750</v>
      </c>
      <c r="BH348" s="12"/>
    </row>
    <row r="349" spans="1:60" s="3" customFormat="1" ht="21.6" x14ac:dyDescent="0.3">
      <c r="A349" s="37" t="s">
        <v>143</v>
      </c>
      <c r="B349" s="38" t="s">
        <v>2752</v>
      </c>
      <c r="C349" s="430" t="s">
        <v>2753</v>
      </c>
      <c r="D349" s="430"/>
      <c r="E349" s="430"/>
      <c r="F349" s="39" t="s">
        <v>158</v>
      </c>
      <c r="G349" s="40" t="s">
        <v>2802</v>
      </c>
      <c r="H349" s="100"/>
      <c r="I349" s="41"/>
      <c r="J349" s="41"/>
      <c r="K349" s="42"/>
      <c r="BC349" s="14"/>
      <c r="BD349" s="15"/>
      <c r="BE349" s="21"/>
      <c r="BF349" s="43" t="s">
        <v>2753</v>
      </c>
      <c r="BG349" s="12"/>
      <c r="BH349" s="12"/>
    </row>
    <row r="350" spans="1:60" s="3" customFormat="1" ht="31.8" x14ac:dyDescent="0.3">
      <c r="A350" s="25"/>
      <c r="B350" s="26" t="s">
        <v>2755</v>
      </c>
      <c r="C350" s="419" t="s">
        <v>2756</v>
      </c>
      <c r="D350" s="419"/>
      <c r="E350" s="419"/>
      <c r="F350" s="27" t="s">
        <v>75</v>
      </c>
      <c r="G350" s="22" t="s">
        <v>2803</v>
      </c>
      <c r="H350" s="58"/>
      <c r="I350" s="28"/>
      <c r="J350" s="28"/>
      <c r="K350" s="29"/>
      <c r="BC350" s="14"/>
      <c r="BD350" s="15"/>
      <c r="BE350" s="21"/>
      <c r="BF350" s="43"/>
      <c r="BG350" s="12" t="s">
        <v>2756</v>
      </c>
      <c r="BH350" s="12"/>
    </row>
    <row r="351" spans="1:60" s="3" customFormat="1" ht="42" x14ac:dyDescent="0.3">
      <c r="A351" s="25"/>
      <c r="B351" s="26" t="s">
        <v>2758</v>
      </c>
      <c r="C351" s="419" t="s">
        <v>2759</v>
      </c>
      <c r="D351" s="419"/>
      <c r="E351" s="419"/>
      <c r="F351" s="27" t="s">
        <v>75</v>
      </c>
      <c r="G351" s="22" t="s">
        <v>2803</v>
      </c>
      <c r="H351" s="58"/>
      <c r="I351" s="28"/>
      <c r="J351" s="28"/>
      <c r="K351" s="29"/>
      <c r="BC351" s="14"/>
      <c r="BD351" s="15"/>
      <c r="BE351" s="21"/>
      <c r="BF351" s="43"/>
      <c r="BG351" s="12" t="s">
        <v>2759</v>
      </c>
      <c r="BH351" s="12"/>
    </row>
    <row r="352" spans="1:60" s="3" customFormat="1" ht="42" x14ac:dyDescent="0.3">
      <c r="A352" s="25"/>
      <c r="B352" s="26" t="s">
        <v>2760</v>
      </c>
      <c r="C352" s="419" t="s">
        <v>2761</v>
      </c>
      <c r="D352" s="419"/>
      <c r="E352" s="419"/>
      <c r="F352" s="27" t="s">
        <v>75</v>
      </c>
      <c r="G352" s="22" t="s">
        <v>2804</v>
      </c>
      <c r="H352" s="58"/>
      <c r="I352" s="28"/>
      <c r="J352" s="28"/>
      <c r="K352" s="29"/>
      <c r="BC352" s="14"/>
      <c r="BD352" s="15"/>
      <c r="BE352" s="21"/>
      <c r="BF352" s="43"/>
      <c r="BG352" s="12" t="s">
        <v>2761</v>
      </c>
      <c r="BH352" s="12"/>
    </row>
    <row r="353" spans="1:60" s="3" customFormat="1" ht="20.399999999999999" x14ac:dyDescent="0.3">
      <c r="A353" s="25" t="s">
        <v>129</v>
      </c>
      <c r="B353" s="26" t="s">
        <v>2805</v>
      </c>
      <c r="C353" s="419" t="s">
        <v>2806</v>
      </c>
      <c r="D353" s="419"/>
      <c r="E353" s="419"/>
      <c r="F353" s="27" t="s">
        <v>158</v>
      </c>
      <c r="G353" s="22" t="s">
        <v>2789</v>
      </c>
      <c r="H353" s="58"/>
      <c r="I353" s="28"/>
      <c r="J353" s="28"/>
      <c r="K353" s="29"/>
      <c r="BC353" s="14"/>
      <c r="BD353" s="15"/>
      <c r="BE353" s="21"/>
      <c r="BF353" s="43"/>
      <c r="BG353" s="12"/>
      <c r="BH353" s="12" t="s">
        <v>2806</v>
      </c>
    </row>
    <row r="354" spans="1:60" s="3" customFormat="1" ht="31.8" x14ac:dyDescent="0.3">
      <c r="A354" s="25" t="s">
        <v>129</v>
      </c>
      <c r="B354" s="26" t="s">
        <v>2765</v>
      </c>
      <c r="C354" s="419" t="s">
        <v>2766</v>
      </c>
      <c r="D354" s="419"/>
      <c r="E354" s="419"/>
      <c r="F354" s="27" t="s">
        <v>46</v>
      </c>
      <c r="G354" s="22" t="s">
        <v>2807</v>
      </c>
      <c r="H354" s="58"/>
      <c r="I354" s="28"/>
      <c r="J354" s="28"/>
      <c r="K354" s="29"/>
      <c r="BC354" s="14"/>
      <c r="BD354" s="15"/>
      <c r="BE354" s="21"/>
      <c r="BF354" s="43"/>
      <c r="BG354" s="12"/>
      <c r="BH354" s="12" t="s">
        <v>2766</v>
      </c>
    </row>
    <row r="355" spans="1:60" s="3" customFormat="1" ht="24.75" customHeight="1" x14ac:dyDescent="0.3">
      <c r="A355" s="454" t="s">
        <v>2808</v>
      </c>
      <c r="B355" s="455"/>
      <c r="C355" s="455"/>
      <c r="D355" s="455"/>
      <c r="E355" s="455"/>
      <c r="F355" s="455"/>
      <c r="G355" s="455"/>
      <c r="H355" s="296"/>
      <c r="I355" s="296"/>
      <c r="J355" s="296"/>
      <c r="K355" s="297"/>
      <c r="BC355" s="14"/>
      <c r="BD355" s="15" t="s">
        <v>2808</v>
      </c>
      <c r="BE355" s="21"/>
      <c r="BF355" s="43"/>
      <c r="BG355" s="12"/>
      <c r="BH355" s="12"/>
    </row>
    <row r="356" spans="1:60" s="3" customFormat="1" ht="42" x14ac:dyDescent="0.3">
      <c r="A356" s="16" t="s">
        <v>2180</v>
      </c>
      <c r="B356" s="17" t="s">
        <v>2713</v>
      </c>
      <c r="C356" s="405" t="s">
        <v>2714</v>
      </c>
      <c r="D356" s="405"/>
      <c r="E356" s="405"/>
      <c r="F356" s="16" t="s">
        <v>329</v>
      </c>
      <c r="G356" s="30">
        <v>0.22550000000000001</v>
      </c>
      <c r="H356" s="57">
        <f>I356/G356</f>
        <v>141497.20620842572</v>
      </c>
      <c r="I356" s="19">
        <v>31907.620000000003</v>
      </c>
      <c r="J356" s="19">
        <f>K356/G356</f>
        <v>34636.053215077605</v>
      </c>
      <c r="K356" s="19">
        <v>7810.43</v>
      </c>
      <c r="BC356" s="14"/>
      <c r="BD356" s="15"/>
      <c r="BE356" s="21" t="s">
        <v>2714</v>
      </c>
      <c r="BF356" s="43"/>
      <c r="BG356" s="12"/>
      <c r="BH356" s="12"/>
    </row>
    <row r="357" spans="1:60" s="3" customFormat="1" ht="20.399999999999999" x14ac:dyDescent="0.3">
      <c r="A357" s="37" t="s">
        <v>143</v>
      </c>
      <c r="B357" s="38" t="s">
        <v>2715</v>
      </c>
      <c r="C357" s="430" t="s">
        <v>2716</v>
      </c>
      <c r="D357" s="430"/>
      <c r="E357" s="430"/>
      <c r="F357" s="39" t="s">
        <v>158</v>
      </c>
      <c r="G357" s="40" t="s">
        <v>2809</v>
      </c>
      <c r="H357" s="100"/>
      <c r="I357" s="41"/>
      <c r="J357" s="41"/>
      <c r="K357" s="42"/>
      <c r="BC357" s="14"/>
      <c r="BD357" s="15"/>
      <c r="BE357" s="21"/>
      <c r="BF357" s="43" t="s">
        <v>2716</v>
      </c>
      <c r="BG357" s="12"/>
      <c r="BH357" s="12"/>
    </row>
    <row r="358" spans="1:60" s="3" customFormat="1" ht="20.399999999999999" x14ac:dyDescent="0.3">
      <c r="A358" s="25"/>
      <c r="B358" s="26" t="s">
        <v>154</v>
      </c>
      <c r="C358" s="419" t="s">
        <v>155</v>
      </c>
      <c r="D358" s="419"/>
      <c r="E358" s="419"/>
      <c r="F358" s="27" t="s">
        <v>46</v>
      </c>
      <c r="G358" s="22" t="s">
        <v>2810</v>
      </c>
      <c r="H358" s="58"/>
      <c r="I358" s="28"/>
      <c r="J358" s="28"/>
      <c r="K358" s="29"/>
      <c r="BC358" s="14"/>
      <c r="BD358" s="15"/>
      <c r="BE358" s="21"/>
      <c r="BF358" s="43"/>
      <c r="BG358" s="12" t="s">
        <v>155</v>
      </c>
      <c r="BH358" s="12"/>
    </row>
    <row r="359" spans="1:60" s="3" customFormat="1" ht="21.6" x14ac:dyDescent="0.3">
      <c r="A359" s="25"/>
      <c r="B359" s="26" t="s">
        <v>2719</v>
      </c>
      <c r="C359" s="419" t="s">
        <v>2720</v>
      </c>
      <c r="D359" s="419"/>
      <c r="E359" s="419"/>
      <c r="F359" s="27" t="s">
        <v>115</v>
      </c>
      <c r="G359" s="22" t="s">
        <v>2811</v>
      </c>
      <c r="H359" s="58"/>
      <c r="I359" s="28"/>
      <c r="J359" s="28"/>
      <c r="K359" s="29"/>
      <c r="BC359" s="14"/>
      <c r="BD359" s="15"/>
      <c r="BE359" s="21"/>
      <c r="BF359" s="43"/>
      <c r="BG359" s="12" t="s">
        <v>2720</v>
      </c>
      <c r="BH359" s="12"/>
    </row>
    <row r="360" spans="1:60" s="3" customFormat="1" ht="21.6" x14ac:dyDescent="0.3">
      <c r="A360" s="25"/>
      <c r="B360" s="26" t="s">
        <v>2722</v>
      </c>
      <c r="C360" s="419" t="s">
        <v>2723</v>
      </c>
      <c r="D360" s="419"/>
      <c r="E360" s="419"/>
      <c r="F360" s="27" t="s">
        <v>115</v>
      </c>
      <c r="G360" s="22" t="s">
        <v>2812</v>
      </c>
      <c r="H360" s="58"/>
      <c r="I360" s="28"/>
      <c r="J360" s="28"/>
      <c r="K360" s="29"/>
      <c r="BC360" s="14"/>
      <c r="BD360" s="15"/>
      <c r="BE360" s="21"/>
      <c r="BF360" s="43"/>
      <c r="BG360" s="12" t="s">
        <v>2723</v>
      </c>
      <c r="BH360" s="12"/>
    </row>
    <row r="361" spans="1:60" s="3" customFormat="1" ht="21.6" x14ac:dyDescent="0.3">
      <c r="A361" s="25"/>
      <c r="B361" s="26" t="s">
        <v>2725</v>
      </c>
      <c r="C361" s="419" t="s">
        <v>2726</v>
      </c>
      <c r="D361" s="419"/>
      <c r="E361" s="419"/>
      <c r="F361" s="27" t="s">
        <v>67</v>
      </c>
      <c r="G361" s="22" t="s">
        <v>2813</v>
      </c>
      <c r="H361" s="58"/>
      <c r="I361" s="28"/>
      <c r="J361" s="28"/>
      <c r="K361" s="29"/>
      <c r="BC361" s="14"/>
      <c r="BD361" s="15"/>
      <c r="BE361" s="21"/>
      <c r="BF361" s="43"/>
      <c r="BG361" s="12" t="s">
        <v>2726</v>
      </c>
      <c r="BH361" s="12"/>
    </row>
    <row r="362" spans="1:60" s="3" customFormat="1" ht="20.399999999999999" x14ac:dyDescent="0.3">
      <c r="A362" s="25"/>
      <c r="B362" s="26" t="s">
        <v>2728</v>
      </c>
      <c r="C362" s="419" t="s">
        <v>2729</v>
      </c>
      <c r="D362" s="419"/>
      <c r="E362" s="419"/>
      <c r="F362" s="27" t="s">
        <v>142</v>
      </c>
      <c r="G362" s="22" t="s">
        <v>2814</v>
      </c>
      <c r="H362" s="58"/>
      <c r="I362" s="28"/>
      <c r="J362" s="28"/>
      <c r="K362" s="29"/>
      <c r="BC362" s="14"/>
      <c r="BD362" s="15"/>
      <c r="BE362" s="21"/>
      <c r="BF362" s="43"/>
      <c r="BG362" s="12" t="s">
        <v>2729</v>
      </c>
      <c r="BH362" s="12"/>
    </row>
    <row r="363" spans="1:60" s="3" customFormat="1" ht="20.399999999999999" x14ac:dyDescent="0.3">
      <c r="A363" s="25"/>
      <c r="B363" s="26" t="s">
        <v>1613</v>
      </c>
      <c r="C363" s="419" t="s">
        <v>1614</v>
      </c>
      <c r="D363" s="419"/>
      <c r="E363" s="419"/>
      <c r="F363" s="27" t="s">
        <v>142</v>
      </c>
      <c r="G363" s="22" t="s">
        <v>2815</v>
      </c>
      <c r="H363" s="58"/>
      <c r="I363" s="28"/>
      <c r="J363" s="28"/>
      <c r="K363" s="29"/>
      <c r="BC363" s="14"/>
      <c r="BD363" s="15"/>
      <c r="BE363" s="21"/>
      <c r="BF363" s="43"/>
      <c r="BG363" s="12" t="s">
        <v>1614</v>
      </c>
      <c r="BH363" s="12"/>
    </row>
    <row r="364" spans="1:60" s="3" customFormat="1" ht="42" x14ac:dyDescent="0.3">
      <c r="A364" s="25"/>
      <c r="B364" s="26" t="s">
        <v>2732</v>
      </c>
      <c r="C364" s="419" t="s">
        <v>2733</v>
      </c>
      <c r="D364" s="419"/>
      <c r="E364" s="419"/>
      <c r="F364" s="27" t="s">
        <v>142</v>
      </c>
      <c r="G364" s="22" t="s">
        <v>2816</v>
      </c>
      <c r="H364" s="58"/>
      <c r="I364" s="28"/>
      <c r="J364" s="28"/>
      <c r="K364" s="29"/>
      <c r="BC364" s="14"/>
      <c r="BD364" s="15"/>
      <c r="BE364" s="21"/>
      <c r="BF364" s="43"/>
      <c r="BG364" s="12" t="s">
        <v>2733</v>
      </c>
      <c r="BH364" s="12"/>
    </row>
    <row r="365" spans="1:60" s="3" customFormat="1" ht="42" x14ac:dyDescent="0.3">
      <c r="A365" s="25"/>
      <c r="B365" s="26" t="s">
        <v>2735</v>
      </c>
      <c r="C365" s="419" t="s">
        <v>2736</v>
      </c>
      <c r="D365" s="419"/>
      <c r="E365" s="419"/>
      <c r="F365" s="27" t="s">
        <v>142</v>
      </c>
      <c r="G365" s="22" t="s">
        <v>2817</v>
      </c>
      <c r="H365" s="58"/>
      <c r="I365" s="28"/>
      <c r="J365" s="28"/>
      <c r="K365" s="29"/>
      <c r="BC365" s="14"/>
      <c r="BD365" s="15"/>
      <c r="BE365" s="21"/>
      <c r="BF365" s="43"/>
      <c r="BG365" s="12" t="s">
        <v>2736</v>
      </c>
      <c r="BH365" s="12"/>
    </row>
    <row r="366" spans="1:60" s="3" customFormat="1" ht="42" x14ac:dyDescent="0.3">
      <c r="A366" s="25"/>
      <c r="B366" s="26" t="s">
        <v>2738</v>
      </c>
      <c r="C366" s="419" t="s">
        <v>2739</v>
      </c>
      <c r="D366" s="419"/>
      <c r="E366" s="419"/>
      <c r="F366" s="27" t="s">
        <v>115</v>
      </c>
      <c r="G366" s="22" t="s">
        <v>2818</v>
      </c>
      <c r="H366" s="58"/>
      <c r="I366" s="28"/>
      <c r="J366" s="28"/>
      <c r="K366" s="29"/>
      <c r="BC366" s="14"/>
      <c r="BD366" s="15"/>
      <c r="BE366" s="21"/>
      <c r="BF366" s="43"/>
      <c r="BG366" s="12" t="s">
        <v>2739</v>
      </c>
      <c r="BH366" s="12"/>
    </row>
    <row r="367" spans="1:60" s="3" customFormat="1" ht="31.8" x14ac:dyDescent="0.3">
      <c r="A367" s="25"/>
      <c r="B367" s="26" t="s">
        <v>2741</v>
      </c>
      <c r="C367" s="419" t="s">
        <v>2742</v>
      </c>
      <c r="D367" s="419"/>
      <c r="E367" s="419"/>
      <c r="F367" s="27" t="s">
        <v>115</v>
      </c>
      <c r="G367" s="22" t="s">
        <v>2819</v>
      </c>
      <c r="H367" s="58"/>
      <c r="I367" s="28"/>
      <c r="J367" s="28"/>
      <c r="K367" s="29"/>
      <c r="BC367" s="14"/>
      <c r="BD367" s="15"/>
      <c r="BE367" s="21"/>
      <c r="BF367" s="43"/>
      <c r="BG367" s="12" t="s">
        <v>2742</v>
      </c>
      <c r="BH367" s="12"/>
    </row>
    <row r="368" spans="1:60" s="3" customFormat="1" ht="21.6" x14ac:dyDescent="0.3">
      <c r="A368" s="25"/>
      <c r="B368" s="26" t="s">
        <v>2744</v>
      </c>
      <c r="C368" s="419" t="s">
        <v>2745</v>
      </c>
      <c r="D368" s="419"/>
      <c r="E368" s="419"/>
      <c r="F368" s="27" t="s">
        <v>142</v>
      </c>
      <c r="G368" s="22" t="s">
        <v>2820</v>
      </c>
      <c r="H368" s="58"/>
      <c r="I368" s="28"/>
      <c r="J368" s="28"/>
      <c r="K368" s="29"/>
      <c r="BC368" s="14"/>
      <c r="BD368" s="15"/>
      <c r="BE368" s="21"/>
      <c r="BF368" s="43"/>
      <c r="BG368" s="12" t="s">
        <v>2745</v>
      </c>
      <c r="BH368" s="12"/>
    </row>
    <row r="369" spans="1:60" s="3" customFormat="1" ht="21.6" x14ac:dyDescent="0.3">
      <c r="A369" s="25"/>
      <c r="B369" s="26" t="s">
        <v>2747</v>
      </c>
      <c r="C369" s="419" t="s">
        <v>2748</v>
      </c>
      <c r="D369" s="419"/>
      <c r="E369" s="419"/>
      <c r="F369" s="27" t="s">
        <v>142</v>
      </c>
      <c r="G369" s="22" t="s">
        <v>2820</v>
      </c>
      <c r="H369" s="58"/>
      <c r="I369" s="28"/>
      <c r="J369" s="28"/>
      <c r="K369" s="29"/>
      <c r="BC369" s="14"/>
      <c r="BD369" s="15"/>
      <c r="BE369" s="21"/>
      <c r="BF369" s="43"/>
      <c r="BG369" s="12" t="s">
        <v>2748</v>
      </c>
      <c r="BH369" s="12"/>
    </row>
    <row r="370" spans="1:60" s="3" customFormat="1" ht="20.399999999999999" x14ac:dyDescent="0.3">
      <c r="A370" s="25"/>
      <c r="B370" s="26" t="s">
        <v>2749</v>
      </c>
      <c r="C370" s="419" t="s">
        <v>2750</v>
      </c>
      <c r="D370" s="419"/>
      <c r="E370" s="419"/>
      <c r="F370" s="27" t="s">
        <v>46</v>
      </c>
      <c r="G370" s="22" t="s">
        <v>2821</v>
      </c>
      <c r="H370" s="58"/>
      <c r="I370" s="28"/>
      <c r="J370" s="28"/>
      <c r="K370" s="29"/>
      <c r="BC370" s="14"/>
      <c r="BD370" s="15"/>
      <c r="BE370" s="21"/>
      <c r="BF370" s="43"/>
      <c r="BG370" s="12" t="s">
        <v>2750</v>
      </c>
      <c r="BH370" s="12"/>
    </row>
    <row r="371" spans="1:60" s="3" customFormat="1" ht="21.6" x14ac:dyDescent="0.3">
      <c r="A371" s="37" t="s">
        <v>143</v>
      </c>
      <c r="B371" s="38" t="s">
        <v>2752</v>
      </c>
      <c r="C371" s="430" t="s">
        <v>2753</v>
      </c>
      <c r="D371" s="430"/>
      <c r="E371" s="430"/>
      <c r="F371" s="39" t="s">
        <v>158</v>
      </c>
      <c r="G371" s="40" t="s">
        <v>2822</v>
      </c>
      <c r="H371" s="100"/>
      <c r="I371" s="41"/>
      <c r="J371" s="41"/>
      <c r="K371" s="42"/>
      <c r="BC371" s="14"/>
      <c r="BD371" s="15"/>
      <c r="BE371" s="21"/>
      <c r="BF371" s="43" t="s">
        <v>2753</v>
      </c>
      <c r="BG371" s="12"/>
      <c r="BH371" s="12"/>
    </row>
    <row r="372" spans="1:60" s="3" customFormat="1" ht="31.8" x14ac:dyDescent="0.3">
      <c r="A372" s="25"/>
      <c r="B372" s="26" t="s">
        <v>2755</v>
      </c>
      <c r="C372" s="419" t="s">
        <v>2756</v>
      </c>
      <c r="D372" s="419"/>
      <c r="E372" s="419"/>
      <c r="F372" s="27" t="s">
        <v>75</v>
      </c>
      <c r="G372" s="22" t="s">
        <v>2823</v>
      </c>
      <c r="H372" s="58"/>
      <c r="I372" s="28"/>
      <c r="J372" s="28"/>
      <c r="K372" s="29"/>
      <c r="BC372" s="14"/>
      <c r="BD372" s="15"/>
      <c r="BE372" s="21"/>
      <c r="BF372" s="43"/>
      <c r="BG372" s="12" t="s">
        <v>2756</v>
      </c>
      <c r="BH372" s="12"/>
    </row>
    <row r="373" spans="1:60" s="3" customFormat="1" ht="42" x14ac:dyDescent="0.3">
      <c r="A373" s="25"/>
      <c r="B373" s="26" t="s">
        <v>2758</v>
      </c>
      <c r="C373" s="419" t="s">
        <v>2759</v>
      </c>
      <c r="D373" s="419"/>
      <c r="E373" s="419"/>
      <c r="F373" s="27" t="s">
        <v>75</v>
      </c>
      <c r="G373" s="22" t="s">
        <v>2823</v>
      </c>
      <c r="H373" s="58"/>
      <c r="I373" s="28"/>
      <c r="J373" s="28"/>
      <c r="K373" s="29"/>
      <c r="BC373" s="14"/>
      <c r="BD373" s="15"/>
      <c r="BE373" s="21"/>
      <c r="BF373" s="43"/>
      <c r="BG373" s="12" t="s">
        <v>2759</v>
      </c>
      <c r="BH373" s="12"/>
    </row>
    <row r="374" spans="1:60" s="3" customFormat="1" ht="42" x14ac:dyDescent="0.3">
      <c r="A374" s="25"/>
      <c r="B374" s="26" t="s">
        <v>2760</v>
      </c>
      <c r="C374" s="419" t="s">
        <v>2761</v>
      </c>
      <c r="D374" s="419"/>
      <c r="E374" s="419"/>
      <c r="F374" s="27" t="s">
        <v>75</v>
      </c>
      <c r="G374" s="22" t="s">
        <v>2824</v>
      </c>
      <c r="H374" s="58"/>
      <c r="I374" s="28"/>
      <c r="J374" s="28"/>
      <c r="K374" s="29"/>
      <c r="BC374" s="14"/>
      <c r="BD374" s="15"/>
      <c r="BE374" s="21"/>
      <c r="BF374" s="43"/>
      <c r="BG374" s="12" t="s">
        <v>2761</v>
      </c>
      <c r="BH374" s="12"/>
    </row>
    <row r="375" spans="1:60" s="3" customFormat="1" ht="21.6" x14ac:dyDescent="0.3">
      <c r="A375" s="16" t="s">
        <v>2183</v>
      </c>
      <c r="B375" s="17" t="s">
        <v>2805</v>
      </c>
      <c r="C375" s="405" t="s">
        <v>2806</v>
      </c>
      <c r="D375" s="405"/>
      <c r="E375" s="405"/>
      <c r="F375" s="16" t="s">
        <v>158</v>
      </c>
      <c r="G375" s="44">
        <v>50.624749999999999</v>
      </c>
      <c r="H375" s="57">
        <f t="shared" ref="H375:H377" si="0">I375/G375</f>
        <v>0</v>
      </c>
      <c r="I375" s="19">
        <v>0</v>
      </c>
      <c r="J375" s="19">
        <f t="shared" ref="J375:J377" si="1">K375/G375</f>
        <v>181.15941313290435</v>
      </c>
      <c r="K375" s="19">
        <v>9171.15</v>
      </c>
      <c r="BC375" s="14"/>
      <c r="BD375" s="15"/>
      <c r="BE375" s="21" t="s">
        <v>2806</v>
      </c>
      <c r="BF375" s="43"/>
      <c r="BG375" s="12"/>
      <c r="BH375" s="12"/>
    </row>
    <row r="376" spans="1:60" s="3" customFormat="1" ht="21.6" x14ac:dyDescent="0.3">
      <c r="A376" s="16" t="s">
        <v>2210</v>
      </c>
      <c r="B376" s="17" t="s">
        <v>2763</v>
      </c>
      <c r="C376" s="405" t="s">
        <v>2764</v>
      </c>
      <c r="D376" s="405"/>
      <c r="E376" s="405"/>
      <c r="F376" s="16" t="s">
        <v>158</v>
      </c>
      <c r="G376" s="44">
        <v>50.624749999999999</v>
      </c>
      <c r="H376" s="57">
        <f t="shared" si="0"/>
        <v>0</v>
      </c>
      <c r="I376" s="19">
        <v>0</v>
      </c>
      <c r="J376" s="19">
        <f t="shared" si="1"/>
        <v>132.75008765475386</v>
      </c>
      <c r="K376" s="19">
        <v>6720.44</v>
      </c>
      <c r="BC376" s="14"/>
      <c r="BD376" s="15"/>
      <c r="BE376" s="21" t="s">
        <v>2764</v>
      </c>
      <c r="BF376" s="43"/>
      <c r="BG376" s="12"/>
      <c r="BH376" s="12"/>
    </row>
    <row r="377" spans="1:60" s="3" customFormat="1" ht="31.8" x14ac:dyDescent="0.3">
      <c r="A377" s="16" t="s">
        <v>2214</v>
      </c>
      <c r="B377" s="17" t="s">
        <v>2765</v>
      </c>
      <c r="C377" s="405" t="s">
        <v>2766</v>
      </c>
      <c r="D377" s="405"/>
      <c r="E377" s="405"/>
      <c r="F377" s="16" t="s">
        <v>46</v>
      </c>
      <c r="G377" s="45">
        <v>1.7419875</v>
      </c>
      <c r="H377" s="57">
        <f t="shared" si="0"/>
        <v>0</v>
      </c>
      <c r="I377" s="19">
        <v>0</v>
      </c>
      <c r="J377" s="19">
        <f t="shared" si="1"/>
        <v>6212.6105956558249</v>
      </c>
      <c r="K377" s="19">
        <v>10822.29</v>
      </c>
      <c r="BC377" s="14"/>
      <c r="BD377" s="15"/>
      <c r="BE377" s="21" t="s">
        <v>2766</v>
      </c>
      <c r="BF377" s="43"/>
      <c r="BG377" s="12"/>
      <c r="BH377" s="12"/>
    </row>
    <row r="378" spans="1:60" s="3" customFormat="1" ht="24.75" customHeight="1" x14ac:dyDescent="0.3">
      <c r="A378" s="454" t="s">
        <v>2825</v>
      </c>
      <c r="B378" s="455"/>
      <c r="C378" s="455"/>
      <c r="D378" s="455"/>
      <c r="E378" s="455"/>
      <c r="F378" s="455"/>
      <c r="G378" s="455"/>
      <c r="H378" s="296"/>
      <c r="I378" s="296"/>
      <c r="J378" s="296"/>
      <c r="K378" s="297"/>
      <c r="BC378" s="14"/>
      <c r="BD378" s="15" t="s">
        <v>2825</v>
      </c>
      <c r="BE378" s="21"/>
      <c r="BF378" s="43"/>
      <c r="BG378" s="12"/>
      <c r="BH378" s="12"/>
    </row>
    <row r="379" spans="1:60" s="3" customFormat="1" ht="42" x14ac:dyDescent="0.3">
      <c r="A379" s="16" t="s">
        <v>2222</v>
      </c>
      <c r="B379" s="17" t="s">
        <v>2826</v>
      </c>
      <c r="C379" s="405" t="s">
        <v>2827</v>
      </c>
      <c r="D379" s="405"/>
      <c r="E379" s="405"/>
      <c r="F379" s="16" t="s">
        <v>329</v>
      </c>
      <c r="G379" s="30">
        <v>8.4599999999999995E-2</v>
      </c>
      <c r="H379" s="57">
        <f>I379/G379</f>
        <v>92066.784869976371</v>
      </c>
      <c r="I379" s="19">
        <v>7788.85</v>
      </c>
      <c r="J379" s="19">
        <f>K379/G379</f>
        <v>70248.345153664312</v>
      </c>
      <c r="K379" s="19">
        <v>5943.01</v>
      </c>
      <c r="BC379" s="14"/>
      <c r="BD379" s="15"/>
      <c r="BE379" s="21" t="s">
        <v>2827</v>
      </c>
      <c r="BF379" s="43"/>
      <c r="BG379" s="12"/>
      <c r="BH379" s="12"/>
    </row>
    <row r="380" spans="1:60" s="3" customFormat="1" ht="20.399999999999999" x14ac:dyDescent="0.3">
      <c r="A380" s="37" t="s">
        <v>143</v>
      </c>
      <c r="B380" s="38" t="s">
        <v>2715</v>
      </c>
      <c r="C380" s="430" t="s">
        <v>2716</v>
      </c>
      <c r="D380" s="430"/>
      <c r="E380" s="430"/>
      <c r="F380" s="39" t="s">
        <v>158</v>
      </c>
      <c r="G380" s="40" t="s">
        <v>2828</v>
      </c>
      <c r="H380" s="100"/>
      <c r="I380" s="41"/>
      <c r="J380" s="41"/>
      <c r="K380" s="42"/>
      <c r="BC380" s="14"/>
      <c r="BD380" s="15"/>
      <c r="BE380" s="21"/>
      <c r="BF380" s="43" t="s">
        <v>2716</v>
      </c>
      <c r="BG380" s="12"/>
      <c r="BH380" s="12"/>
    </row>
    <row r="381" spans="1:60" s="3" customFormat="1" ht="20.399999999999999" x14ac:dyDescent="0.3">
      <c r="A381" s="25"/>
      <c r="B381" s="26" t="s">
        <v>154</v>
      </c>
      <c r="C381" s="419" t="s">
        <v>155</v>
      </c>
      <c r="D381" s="419"/>
      <c r="E381" s="419"/>
      <c r="F381" s="27" t="s">
        <v>46</v>
      </c>
      <c r="G381" s="22" t="s">
        <v>2829</v>
      </c>
      <c r="H381" s="58"/>
      <c r="I381" s="28"/>
      <c r="J381" s="28"/>
      <c r="K381" s="29"/>
      <c r="BC381" s="14"/>
      <c r="BD381" s="15"/>
      <c r="BE381" s="21"/>
      <c r="BF381" s="43"/>
      <c r="BG381" s="12" t="s">
        <v>155</v>
      </c>
      <c r="BH381" s="12"/>
    </row>
    <row r="382" spans="1:60" s="3" customFormat="1" ht="21.6" x14ac:dyDescent="0.3">
      <c r="A382" s="25"/>
      <c r="B382" s="26" t="s">
        <v>2830</v>
      </c>
      <c r="C382" s="419" t="s">
        <v>2831</v>
      </c>
      <c r="D382" s="419"/>
      <c r="E382" s="419"/>
      <c r="F382" s="27" t="s">
        <v>115</v>
      </c>
      <c r="G382" s="22" t="s">
        <v>2832</v>
      </c>
      <c r="H382" s="58"/>
      <c r="I382" s="28"/>
      <c r="J382" s="28"/>
      <c r="K382" s="29"/>
      <c r="BC382" s="14"/>
      <c r="BD382" s="15"/>
      <c r="BE382" s="21"/>
      <c r="BF382" s="43"/>
      <c r="BG382" s="12" t="s">
        <v>2831</v>
      </c>
      <c r="BH382" s="12"/>
    </row>
    <row r="383" spans="1:60" s="3" customFormat="1" ht="21.6" x14ac:dyDescent="0.3">
      <c r="A383" s="25"/>
      <c r="B383" s="26" t="s">
        <v>2722</v>
      </c>
      <c r="C383" s="419" t="s">
        <v>2723</v>
      </c>
      <c r="D383" s="419"/>
      <c r="E383" s="419"/>
      <c r="F383" s="27" t="s">
        <v>115</v>
      </c>
      <c r="G383" s="22" t="s">
        <v>2833</v>
      </c>
      <c r="H383" s="58"/>
      <c r="I383" s="28"/>
      <c r="J383" s="28"/>
      <c r="K383" s="29"/>
      <c r="BC383" s="14"/>
      <c r="BD383" s="15"/>
      <c r="BE383" s="21"/>
      <c r="BF383" s="43"/>
      <c r="BG383" s="12" t="s">
        <v>2723</v>
      </c>
      <c r="BH383" s="12"/>
    </row>
    <row r="384" spans="1:60" s="3" customFormat="1" ht="21.6" x14ac:dyDescent="0.3">
      <c r="A384" s="25"/>
      <c r="B384" s="26" t="s">
        <v>2725</v>
      </c>
      <c r="C384" s="419" t="s">
        <v>2726</v>
      </c>
      <c r="D384" s="419"/>
      <c r="E384" s="419"/>
      <c r="F384" s="27" t="s">
        <v>67</v>
      </c>
      <c r="G384" s="22" t="s">
        <v>2834</v>
      </c>
      <c r="H384" s="58"/>
      <c r="I384" s="28"/>
      <c r="J384" s="28"/>
      <c r="K384" s="29"/>
      <c r="BC384" s="14"/>
      <c r="BD384" s="15"/>
      <c r="BE384" s="21"/>
      <c r="BF384" s="43"/>
      <c r="BG384" s="12" t="s">
        <v>2726</v>
      </c>
      <c r="BH384" s="12"/>
    </row>
    <row r="385" spans="1:60" s="3" customFormat="1" ht="20.399999999999999" x14ac:dyDescent="0.3">
      <c r="A385" s="25"/>
      <c r="B385" s="26" t="s">
        <v>1613</v>
      </c>
      <c r="C385" s="419" t="s">
        <v>1614</v>
      </c>
      <c r="D385" s="419"/>
      <c r="E385" s="419"/>
      <c r="F385" s="27" t="s">
        <v>142</v>
      </c>
      <c r="G385" s="22" t="s">
        <v>2835</v>
      </c>
      <c r="H385" s="58"/>
      <c r="I385" s="28"/>
      <c r="J385" s="28"/>
      <c r="K385" s="29"/>
      <c r="BC385" s="14"/>
      <c r="BD385" s="15"/>
      <c r="BE385" s="21"/>
      <c r="BF385" s="43"/>
      <c r="BG385" s="12" t="s">
        <v>1614</v>
      </c>
      <c r="BH385" s="12"/>
    </row>
    <row r="386" spans="1:60" s="3" customFormat="1" ht="42" x14ac:dyDescent="0.3">
      <c r="A386" s="25"/>
      <c r="B386" s="26" t="s">
        <v>2732</v>
      </c>
      <c r="C386" s="419" t="s">
        <v>2733</v>
      </c>
      <c r="D386" s="419"/>
      <c r="E386" s="419"/>
      <c r="F386" s="27" t="s">
        <v>142</v>
      </c>
      <c r="G386" s="22" t="s">
        <v>2836</v>
      </c>
      <c r="H386" s="58"/>
      <c r="I386" s="28"/>
      <c r="J386" s="28"/>
      <c r="K386" s="29"/>
      <c r="BC386" s="14"/>
      <c r="BD386" s="15"/>
      <c r="BE386" s="21"/>
      <c r="BF386" s="43"/>
      <c r="BG386" s="12" t="s">
        <v>2733</v>
      </c>
      <c r="BH386" s="12"/>
    </row>
    <row r="387" spans="1:60" s="3" customFormat="1" ht="42" x14ac:dyDescent="0.3">
      <c r="A387" s="25"/>
      <c r="B387" s="26" t="s">
        <v>2735</v>
      </c>
      <c r="C387" s="419" t="s">
        <v>2736</v>
      </c>
      <c r="D387" s="419"/>
      <c r="E387" s="419"/>
      <c r="F387" s="27" t="s">
        <v>142</v>
      </c>
      <c r="G387" s="22" t="s">
        <v>2837</v>
      </c>
      <c r="H387" s="58"/>
      <c r="I387" s="28"/>
      <c r="J387" s="28"/>
      <c r="K387" s="29"/>
      <c r="BC387" s="14"/>
      <c r="BD387" s="15"/>
      <c r="BE387" s="21"/>
      <c r="BF387" s="43"/>
      <c r="BG387" s="12" t="s">
        <v>2736</v>
      </c>
      <c r="BH387" s="12"/>
    </row>
    <row r="388" spans="1:60" s="3" customFormat="1" ht="42" x14ac:dyDescent="0.3">
      <c r="A388" s="25"/>
      <c r="B388" s="26" t="s">
        <v>2838</v>
      </c>
      <c r="C388" s="419" t="s">
        <v>2839</v>
      </c>
      <c r="D388" s="419"/>
      <c r="E388" s="419"/>
      <c r="F388" s="27" t="s">
        <v>115</v>
      </c>
      <c r="G388" s="22" t="s">
        <v>2840</v>
      </c>
      <c r="H388" s="58"/>
      <c r="I388" s="28"/>
      <c r="J388" s="28"/>
      <c r="K388" s="29"/>
      <c r="BC388" s="14"/>
      <c r="BD388" s="15"/>
      <c r="BE388" s="21"/>
      <c r="BF388" s="43"/>
      <c r="BG388" s="12" t="s">
        <v>2839</v>
      </c>
      <c r="BH388" s="12"/>
    </row>
    <row r="389" spans="1:60" s="3" customFormat="1" ht="31.8" x14ac:dyDescent="0.3">
      <c r="A389" s="25"/>
      <c r="B389" s="26" t="s">
        <v>2841</v>
      </c>
      <c r="C389" s="419" t="s">
        <v>2842</v>
      </c>
      <c r="D389" s="419"/>
      <c r="E389" s="419"/>
      <c r="F389" s="27" t="s">
        <v>115</v>
      </c>
      <c r="G389" s="22" t="s">
        <v>2843</v>
      </c>
      <c r="H389" s="58"/>
      <c r="I389" s="28"/>
      <c r="J389" s="28"/>
      <c r="K389" s="29"/>
      <c r="BC389" s="14"/>
      <c r="BD389" s="15"/>
      <c r="BE389" s="21"/>
      <c r="BF389" s="43"/>
      <c r="BG389" s="12" t="s">
        <v>2842</v>
      </c>
      <c r="BH389" s="12"/>
    </row>
    <row r="390" spans="1:60" s="3" customFormat="1" ht="21.6" x14ac:dyDescent="0.3">
      <c r="A390" s="25"/>
      <c r="B390" s="26" t="s">
        <v>2844</v>
      </c>
      <c r="C390" s="419" t="s">
        <v>2845</v>
      </c>
      <c r="D390" s="419"/>
      <c r="E390" s="419"/>
      <c r="F390" s="27" t="s">
        <v>115</v>
      </c>
      <c r="G390" s="22" t="s">
        <v>2846</v>
      </c>
      <c r="H390" s="58"/>
      <c r="I390" s="28"/>
      <c r="J390" s="28"/>
      <c r="K390" s="29"/>
      <c r="BC390" s="14"/>
      <c r="BD390" s="15"/>
      <c r="BE390" s="21"/>
      <c r="BF390" s="43"/>
      <c r="BG390" s="12" t="s">
        <v>2845</v>
      </c>
      <c r="BH390" s="12"/>
    </row>
    <row r="391" spans="1:60" s="3" customFormat="1" ht="62.4" x14ac:dyDescent="0.3">
      <c r="A391" s="25"/>
      <c r="B391" s="26" t="s">
        <v>2847</v>
      </c>
      <c r="C391" s="419" t="s">
        <v>2848</v>
      </c>
      <c r="D391" s="419"/>
      <c r="E391" s="419"/>
      <c r="F391" s="27" t="s">
        <v>75</v>
      </c>
      <c r="G391" s="22" t="s">
        <v>2849</v>
      </c>
      <c r="H391" s="58"/>
      <c r="I391" s="28"/>
      <c r="J391" s="28"/>
      <c r="K391" s="29"/>
      <c r="BC391" s="14"/>
      <c r="BD391" s="15"/>
      <c r="BE391" s="21"/>
      <c r="BF391" s="43"/>
      <c r="BG391" s="12" t="s">
        <v>2848</v>
      </c>
      <c r="BH391" s="12"/>
    </row>
    <row r="392" spans="1:60" s="3" customFormat="1" ht="31.8" x14ac:dyDescent="0.3">
      <c r="A392" s="25"/>
      <c r="B392" s="26" t="s">
        <v>2755</v>
      </c>
      <c r="C392" s="419" t="s">
        <v>2756</v>
      </c>
      <c r="D392" s="419"/>
      <c r="E392" s="419"/>
      <c r="F392" s="27" t="s">
        <v>75</v>
      </c>
      <c r="G392" s="22" t="s">
        <v>2850</v>
      </c>
      <c r="H392" s="58"/>
      <c r="I392" s="28"/>
      <c r="J392" s="28"/>
      <c r="K392" s="29"/>
      <c r="BC392" s="14"/>
      <c r="BD392" s="15"/>
      <c r="BE392" s="21"/>
      <c r="BF392" s="43"/>
      <c r="BG392" s="12" t="s">
        <v>2756</v>
      </c>
      <c r="BH392" s="12"/>
    </row>
    <row r="393" spans="1:60" s="3" customFormat="1" ht="20.399999999999999" x14ac:dyDescent="0.3">
      <c r="A393" s="37" t="s">
        <v>143</v>
      </c>
      <c r="B393" s="38" t="s">
        <v>2851</v>
      </c>
      <c r="C393" s="430" t="s">
        <v>2852</v>
      </c>
      <c r="D393" s="430"/>
      <c r="E393" s="430"/>
      <c r="F393" s="39" t="s">
        <v>38</v>
      </c>
      <c r="G393" s="40" t="s">
        <v>2853</v>
      </c>
      <c r="H393" s="100"/>
      <c r="I393" s="41"/>
      <c r="J393" s="41"/>
      <c r="K393" s="42"/>
      <c r="BC393" s="14"/>
      <c r="BD393" s="15"/>
      <c r="BE393" s="21"/>
      <c r="BF393" s="43" t="s">
        <v>2852</v>
      </c>
      <c r="BG393" s="12"/>
      <c r="BH393" s="12"/>
    </row>
    <row r="394" spans="1:60" s="3" customFormat="1" ht="42" x14ac:dyDescent="0.3">
      <c r="A394" s="25"/>
      <c r="B394" s="26" t="s">
        <v>2758</v>
      </c>
      <c r="C394" s="419" t="s">
        <v>2759</v>
      </c>
      <c r="D394" s="419"/>
      <c r="E394" s="419"/>
      <c r="F394" s="27" t="s">
        <v>75</v>
      </c>
      <c r="G394" s="22" t="s">
        <v>2854</v>
      </c>
      <c r="H394" s="58"/>
      <c r="I394" s="28"/>
      <c r="J394" s="28"/>
      <c r="K394" s="29"/>
      <c r="BC394" s="14"/>
      <c r="BD394" s="15"/>
      <c r="BE394" s="21"/>
      <c r="BF394" s="43"/>
      <c r="BG394" s="12" t="s">
        <v>2759</v>
      </c>
      <c r="BH394" s="12"/>
    </row>
    <row r="395" spans="1:60" s="3" customFormat="1" ht="42" x14ac:dyDescent="0.3">
      <c r="A395" s="25"/>
      <c r="B395" s="26" t="s">
        <v>2760</v>
      </c>
      <c r="C395" s="419" t="s">
        <v>2761</v>
      </c>
      <c r="D395" s="419"/>
      <c r="E395" s="419"/>
      <c r="F395" s="27" t="s">
        <v>75</v>
      </c>
      <c r="G395" s="22" t="s">
        <v>2855</v>
      </c>
      <c r="H395" s="58"/>
      <c r="I395" s="28"/>
      <c r="J395" s="28"/>
      <c r="K395" s="29"/>
      <c r="BC395" s="14"/>
      <c r="BD395" s="15"/>
      <c r="BE395" s="21"/>
      <c r="BF395" s="43"/>
      <c r="BG395" s="12" t="s">
        <v>2761</v>
      </c>
      <c r="BH395" s="12"/>
    </row>
    <row r="396" spans="1:60" s="3" customFormat="1" ht="20.399999999999999" x14ac:dyDescent="0.3">
      <c r="A396" s="25" t="s">
        <v>129</v>
      </c>
      <c r="B396" s="26" t="s">
        <v>2805</v>
      </c>
      <c r="C396" s="419" t="s">
        <v>2806</v>
      </c>
      <c r="D396" s="419"/>
      <c r="E396" s="419"/>
      <c r="F396" s="27" t="s">
        <v>158</v>
      </c>
      <c r="G396" s="22" t="s">
        <v>2828</v>
      </c>
      <c r="H396" s="58"/>
      <c r="I396" s="28"/>
      <c r="J396" s="28"/>
      <c r="K396" s="29"/>
      <c r="BC396" s="14"/>
      <c r="BD396" s="15"/>
      <c r="BE396" s="21"/>
      <c r="BF396" s="43"/>
      <c r="BG396" s="12"/>
      <c r="BH396" s="12" t="s">
        <v>2806</v>
      </c>
    </row>
    <row r="397" spans="1:60" s="3" customFormat="1" ht="21.6" x14ac:dyDescent="0.3">
      <c r="A397" s="25" t="s">
        <v>129</v>
      </c>
      <c r="B397" s="26" t="s">
        <v>2856</v>
      </c>
      <c r="C397" s="419" t="s">
        <v>2857</v>
      </c>
      <c r="D397" s="419"/>
      <c r="E397" s="419"/>
      <c r="F397" s="27" t="s">
        <v>430</v>
      </c>
      <c r="G397" s="22" t="s">
        <v>2858</v>
      </c>
      <c r="H397" s="58"/>
      <c r="I397" s="28"/>
      <c r="J397" s="28"/>
      <c r="K397" s="29"/>
      <c r="BC397" s="14"/>
      <c r="BD397" s="15"/>
      <c r="BE397" s="21"/>
      <c r="BF397" s="43"/>
      <c r="BG397" s="12"/>
      <c r="BH397" s="12" t="s">
        <v>2857</v>
      </c>
    </row>
    <row r="398" spans="1:60" s="3" customFormat="1" ht="21.6" x14ac:dyDescent="0.3">
      <c r="A398" s="16" t="s">
        <v>2226</v>
      </c>
      <c r="B398" s="17" t="s">
        <v>2805</v>
      </c>
      <c r="C398" s="405" t="s">
        <v>2806</v>
      </c>
      <c r="D398" s="405"/>
      <c r="E398" s="405"/>
      <c r="F398" s="16" t="s">
        <v>158</v>
      </c>
      <c r="G398" s="30">
        <v>17.935199999999998</v>
      </c>
      <c r="H398" s="57">
        <f t="shared" ref="H398:H399" si="2">I398/G398</f>
        <v>0</v>
      </c>
      <c r="I398" s="19">
        <v>0</v>
      </c>
      <c r="J398" s="19">
        <f t="shared" ref="J398:J399" si="3">K398/G398</f>
        <v>181.15939604799502</v>
      </c>
      <c r="K398" s="19">
        <v>3249.13</v>
      </c>
      <c r="BC398" s="14"/>
      <c r="BD398" s="15"/>
      <c r="BE398" s="21" t="s">
        <v>2806</v>
      </c>
      <c r="BF398" s="43"/>
      <c r="BG398" s="12"/>
      <c r="BH398" s="12"/>
    </row>
    <row r="399" spans="1:60" s="3" customFormat="1" ht="31.8" x14ac:dyDescent="0.3">
      <c r="A399" s="16" t="s">
        <v>2229</v>
      </c>
      <c r="B399" s="17" t="s">
        <v>2856</v>
      </c>
      <c r="C399" s="405" t="s">
        <v>2857</v>
      </c>
      <c r="D399" s="405"/>
      <c r="E399" s="405"/>
      <c r="F399" s="16" t="s">
        <v>430</v>
      </c>
      <c r="G399" s="44">
        <v>0.17766000000000001</v>
      </c>
      <c r="H399" s="57">
        <f t="shared" si="2"/>
        <v>0</v>
      </c>
      <c r="I399" s="19">
        <v>0</v>
      </c>
      <c r="J399" s="19">
        <f t="shared" si="3"/>
        <v>304.45795339412359</v>
      </c>
      <c r="K399" s="19">
        <v>54.09</v>
      </c>
      <c r="BC399" s="14"/>
      <c r="BD399" s="15"/>
      <c r="BE399" s="21" t="s">
        <v>2857</v>
      </c>
      <c r="BF399" s="43"/>
      <c r="BG399" s="12"/>
      <c r="BH399" s="12"/>
    </row>
    <row r="400" spans="1:60" s="3" customFormat="1" ht="15" customHeight="1" x14ac:dyDescent="0.3">
      <c r="A400" s="435" t="s">
        <v>2859</v>
      </c>
      <c r="B400" s="436"/>
      <c r="C400" s="436"/>
      <c r="D400" s="436"/>
      <c r="E400" s="436"/>
      <c r="F400" s="436"/>
      <c r="G400" s="436"/>
      <c r="H400" s="103"/>
      <c r="I400" s="103"/>
      <c r="J400" s="103"/>
      <c r="K400" s="104"/>
      <c r="BC400" s="14" t="s">
        <v>2859</v>
      </c>
      <c r="BD400" s="15"/>
      <c r="BE400" s="21"/>
      <c r="BF400" s="43"/>
      <c r="BG400" s="12"/>
      <c r="BH400" s="12"/>
    </row>
    <row r="401" spans="1:60" s="3" customFormat="1" ht="15" customHeight="1" x14ac:dyDescent="0.3">
      <c r="A401" s="454" t="s">
        <v>2860</v>
      </c>
      <c r="B401" s="455"/>
      <c r="C401" s="455"/>
      <c r="D401" s="455"/>
      <c r="E401" s="455"/>
      <c r="F401" s="455"/>
      <c r="G401" s="455"/>
      <c r="H401" s="296"/>
      <c r="I401" s="296"/>
      <c r="J401" s="296"/>
      <c r="K401" s="297"/>
      <c r="BC401" s="14"/>
      <c r="BD401" s="15" t="s">
        <v>2860</v>
      </c>
      <c r="BE401" s="21"/>
      <c r="BF401" s="43"/>
      <c r="BG401" s="12"/>
      <c r="BH401" s="12"/>
    </row>
    <row r="402" spans="1:60" s="3" customFormat="1" ht="21.6" x14ac:dyDescent="0.3">
      <c r="A402" s="16" t="s">
        <v>2230</v>
      </c>
      <c r="B402" s="17" t="s">
        <v>2861</v>
      </c>
      <c r="C402" s="405" t="s">
        <v>2862</v>
      </c>
      <c r="D402" s="405"/>
      <c r="E402" s="405"/>
      <c r="F402" s="16" t="s">
        <v>329</v>
      </c>
      <c r="G402" s="30">
        <v>0.3911</v>
      </c>
      <c r="H402" s="57">
        <f>I402/G402</f>
        <v>27988.570698031188</v>
      </c>
      <c r="I402" s="19">
        <v>10946.329999999998</v>
      </c>
      <c r="J402" s="19">
        <f>K402/G402</f>
        <v>7748.7854768601383</v>
      </c>
      <c r="K402" s="19">
        <v>3030.55</v>
      </c>
      <c r="BC402" s="14"/>
      <c r="BD402" s="15"/>
      <c r="BE402" s="21" t="s">
        <v>2862</v>
      </c>
      <c r="BF402" s="43"/>
      <c r="BG402" s="12"/>
      <c r="BH402" s="12"/>
    </row>
    <row r="403" spans="1:60" s="3" customFormat="1" ht="20.399999999999999" x14ac:dyDescent="0.3">
      <c r="A403" s="25"/>
      <c r="B403" s="26" t="s">
        <v>154</v>
      </c>
      <c r="C403" s="419" t="s">
        <v>155</v>
      </c>
      <c r="D403" s="419"/>
      <c r="E403" s="419"/>
      <c r="F403" s="27" t="s">
        <v>46</v>
      </c>
      <c r="G403" s="22" t="s">
        <v>2863</v>
      </c>
      <c r="H403" s="58"/>
      <c r="I403" s="28"/>
      <c r="J403" s="28"/>
      <c r="K403" s="29"/>
      <c r="BC403" s="14"/>
      <c r="BD403" s="15"/>
      <c r="BE403" s="21"/>
      <c r="BF403" s="43"/>
      <c r="BG403" s="12" t="s">
        <v>155</v>
      </c>
      <c r="BH403" s="12"/>
    </row>
    <row r="404" spans="1:60" s="3" customFormat="1" ht="21.6" x14ac:dyDescent="0.3">
      <c r="A404" s="37" t="s">
        <v>143</v>
      </c>
      <c r="B404" s="38" t="s">
        <v>2542</v>
      </c>
      <c r="C404" s="430" t="s">
        <v>2543</v>
      </c>
      <c r="D404" s="430"/>
      <c r="E404" s="430"/>
      <c r="F404" s="39" t="s">
        <v>46</v>
      </c>
      <c r="G404" s="40" t="s">
        <v>2864</v>
      </c>
      <c r="H404" s="100"/>
      <c r="I404" s="41"/>
      <c r="J404" s="41"/>
      <c r="K404" s="42"/>
      <c r="BC404" s="14"/>
      <c r="BD404" s="15"/>
      <c r="BE404" s="21"/>
      <c r="BF404" s="43" t="s">
        <v>2543</v>
      </c>
      <c r="BG404" s="12"/>
      <c r="BH404" s="12"/>
    </row>
    <row r="405" spans="1:60" s="3" customFormat="1" ht="20.399999999999999" x14ac:dyDescent="0.3">
      <c r="A405" s="25"/>
      <c r="B405" s="26" t="s">
        <v>2865</v>
      </c>
      <c r="C405" s="419" t="s">
        <v>2866</v>
      </c>
      <c r="D405" s="419"/>
      <c r="E405" s="419"/>
      <c r="F405" s="27" t="s">
        <v>158</v>
      </c>
      <c r="G405" s="22" t="s">
        <v>2867</v>
      </c>
      <c r="H405" s="58"/>
      <c r="I405" s="28"/>
      <c r="J405" s="28"/>
      <c r="K405" s="29"/>
      <c r="BC405" s="14"/>
      <c r="BD405" s="15"/>
      <c r="BE405" s="21"/>
      <c r="BF405" s="43"/>
      <c r="BG405" s="12" t="s">
        <v>2866</v>
      </c>
      <c r="BH405" s="12"/>
    </row>
    <row r="406" spans="1:60" s="3" customFormat="1" ht="20.399999999999999" x14ac:dyDescent="0.3">
      <c r="A406" s="25" t="s">
        <v>129</v>
      </c>
      <c r="B406" s="26" t="s">
        <v>2545</v>
      </c>
      <c r="C406" s="419" t="s">
        <v>84</v>
      </c>
      <c r="D406" s="419"/>
      <c r="E406" s="419"/>
      <c r="F406" s="27" t="s">
        <v>46</v>
      </c>
      <c r="G406" s="22" t="s">
        <v>2864</v>
      </c>
      <c r="H406" s="58"/>
      <c r="I406" s="28"/>
      <c r="J406" s="28"/>
      <c r="K406" s="29"/>
      <c r="BC406" s="14"/>
      <c r="BD406" s="15"/>
      <c r="BE406" s="21"/>
      <c r="BF406" s="43"/>
      <c r="BG406" s="12"/>
      <c r="BH406" s="12" t="s">
        <v>84</v>
      </c>
    </row>
    <row r="407" spans="1:60" s="3" customFormat="1" ht="42" x14ac:dyDescent="0.3">
      <c r="A407" s="16" t="s">
        <v>2232</v>
      </c>
      <c r="B407" s="17" t="s">
        <v>2868</v>
      </c>
      <c r="C407" s="405" t="s">
        <v>2869</v>
      </c>
      <c r="D407" s="405"/>
      <c r="E407" s="405"/>
      <c r="F407" s="16" t="s">
        <v>329</v>
      </c>
      <c r="G407" s="30">
        <v>0.3911</v>
      </c>
      <c r="H407" s="57">
        <f>I407/G407</f>
        <v>46879.084633086168</v>
      </c>
      <c r="I407" s="19">
        <v>18334.41</v>
      </c>
      <c r="J407" s="19">
        <f>K407/G407</f>
        <v>22274.12426489389</v>
      </c>
      <c r="K407" s="19">
        <v>8711.41</v>
      </c>
      <c r="BC407" s="14"/>
      <c r="BD407" s="15"/>
      <c r="BE407" s="21" t="s">
        <v>2869</v>
      </c>
      <c r="BF407" s="43"/>
      <c r="BG407" s="12"/>
      <c r="BH407" s="12"/>
    </row>
    <row r="408" spans="1:60" s="3" customFormat="1" ht="21.6" x14ac:dyDescent="0.3">
      <c r="A408" s="37" t="s">
        <v>143</v>
      </c>
      <c r="B408" s="38" t="s">
        <v>2542</v>
      </c>
      <c r="C408" s="430" t="s">
        <v>2543</v>
      </c>
      <c r="D408" s="430"/>
      <c r="E408" s="430"/>
      <c r="F408" s="39" t="s">
        <v>46</v>
      </c>
      <c r="G408" s="40" t="s">
        <v>2870</v>
      </c>
      <c r="H408" s="100"/>
      <c r="I408" s="41"/>
      <c r="J408" s="41"/>
      <c r="K408" s="42"/>
      <c r="BC408" s="14"/>
      <c r="BD408" s="15"/>
      <c r="BE408" s="21"/>
      <c r="BF408" s="43" t="s">
        <v>2543</v>
      </c>
      <c r="BG408" s="12"/>
      <c r="BH408" s="12"/>
    </row>
    <row r="409" spans="1:60" s="3" customFormat="1" ht="20.399999999999999" x14ac:dyDescent="0.3">
      <c r="A409" s="25" t="s">
        <v>129</v>
      </c>
      <c r="B409" s="26" t="s">
        <v>2545</v>
      </c>
      <c r="C409" s="419" t="s">
        <v>84</v>
      </c>
      <c r="D409" s="419"/>
      <c r="E409" s="419"/>
      <c r="F409" s="27" t="s">
        <v>46</v>
      </c>
      <c r="G409" s="22" t="s">
        <v>2870</v>
      </c>
      <c r="H409" s="58"/>
      <c r="I409" s="28"/>
      <c r="J409" s="28"/>
      <c r="K409" s="29"/>
      <c r="BC409" s="14"/>
      <c r="BD409" s="15"/>
      <c r="BE409" s="21"/>
      <c r="BF409" s="43"/>
      <c r="BG409" s="12"/>
      <c r="BH409" s="12" t="s">
        <v>84</v>
      </c>
    </row>
    <row r="410" spans="1:60" s="3" customFormat="1" ht="15" customHeight="1" x14ac:dyDescent="0.3">
      <c r="A410" s="454" t="s">
        <v>2871</v>
      </c>
      <c r="B410" s="455"/>
      <c r="C410" s="455"/>
      <c r="D410" s="455"/>
      <c r="E410" s="455"/>
      <c r="F410" s="455"/>
      <c r="G410" s="455"/>
      <c r="H410" s="296"/>
      <c r="I410" s="296"/>
      <c r="J410" s="296"/>
      <c r="K410" s="297"/>
      <c r="BC410" s="14"/>
      <c r="BD410" s="15" t="s">
        <v>2871</v>
      </c>
      <c r="BE410" s="21"/>
      <c r="BF410" s="43"/>
      <c r="BG410" s="12"/>
      <c r="BH410" s="12"/>
    </row>
    <row r="411" spans="1:60" s="3" customFormat="1" ht="21.6" x14ac:dyDescent="0.3">
      <c r="A411" s="16" t="s">
        <v>2872</v>
      </c>
      <c r="B411" s="17" t="s">
        <v>2873</v>
      </c>
      <c r="C411" s="405" t="s">
        <v>2874</v>
      </c>
      <c r="D411" s="405"/>
      <c r="E411" s="405"/>
      <c r="F411" s="16" t="s">
        <v>329</v>
      </c>
      <c r="G411" s="30">
        <v>0.3911</v>
      </c>
      <c r="H411" s="57">
        <f>I411/G411</f>
        <v>7493.3265149578119</v>
      </c>
      <c r="I411" s="19">
        <v>2930.6400000000003</v>
      </c>
      <c r="J411" s="19">
        <f>K411/G411</f>
        <v>7535.7709025824588</v>
      </c>
      <c r="K411" s="19">
        <v>2947.24</v>
      </c>
      <c r="BC411" s="14"/>
      <c r="BD411" s="15"/>
      <c r="BE411" s="21" t="s">
        <v>2874</v>
      </c>
      <c r="BF411" s="43"/>
      <c r="BG411" s="12"/>
      <c r="BH411" s="12"/>
    </row>
    <row r="412" spans="1:60" s="3" customFormat="1" ht="20.399999999999999" x14ac:dyDescent="0.3">
      <c r="A412" s="25"/>
      <c r="B412" s="26" t="s">
        <v>2875</v>
      </c>
      <c r="C412" s="419" t="s">
        <v>2876</v>
      </c>
      <c r="D412" s="419"/>
      <c r="E412" s="419"/>
      <c r="F412" s="27" t="s">
        <v>70</v>
      </c>
      <c r="G412" s="22" t="s">
        <v>2877</v>
      </c>
      <c r="H412" s="58"/>
      <c r="I412" s="28"/>
      <c r="J412" s="28"/>
      <c r="K412" s="29"/>
      <c r="BC412" s="14"/>
      <c r="BD412" s="15"/>
      <c r="BE412" s="21"/>
      <c r="BF412" s="43"/>
      <c r="BG412" s="12" t="s">
        <v>2876</v>
      </c>
      <c r="BH412" s="12"/>
    </row>
    <row r="413" spans="1:60" s="3" customFormat="1" ht="20.399999999999999" x14ac:dyDescent="0.3">
      <c r="A413" s="25"/>
      <c r="B413" s="26" t="s">
        <v>2865</v>
      </c>
      <c r="C413" s="419" t="s">
        <v>2866</v>
      </c>
      <c r="D413" s="419"/>
      <c r="E413" s="419"/>
      <c r="F413" s="27" t="s">
        <v>158</v>
      </c>
      <c r="G413" s="22" t="s">
        <v>2878</v>
      </c>
      <c r="H413" s="58"/>
      <c r="I413" s="28"/>
      <c r="J413" s="28"/>
      <c r="K413" s="29"/>
      <c r="BC413" s="14"/>
      <c r="BD413" s="15"/>
      <c r="BE413" s="21"/>
      <c r="BF413" s="43"/>
      <c r="BG413" s="12" t="s">
        <v>2866</v>
      </c>
      <c r="BH413" s="12"/>
    </row>
    <row r="414" spans="1:60" s="3" customFormat="1" ht="15" customHeight="1" x14ac:dyDescent="0.3">
      <c r="A414" s="454" t="s">
        <v>2879</v>
      </c>
      <c r="B414" s="455"/>
      <c r="C414" s="455"/>
      <c r="D414" s="455"/>
      <c r="E414" s="455"/>
      <c r="F414" s="455"/>
      <c r="G414" s="455"/>
      <c r="H414" s="296"/>
      <c r="I414" s="296"/>
      <c r="J414" s="296"/>
      <c r="K414" s="297"/>
      <c r="BC414" s="14"/>
      <c r="BD414" s="15" t="s">
        <v>2879</v>
      </c>
      <c r="BE414" s="21"/>
      <c r="BF414" s="43"/>
      <c r="BG414" s="12"/>
      <c r="BH414" s="12"/>
    </row>
    <row r="415" spans="1:60" s="3" customFormat="1" ht="31.8" x14ac:dyDescent="0.3">
      <c r="A415" s="16" t="s">
        <v>2880</v>
      </c>
      <c r="B415" s="17" t="s">
        <v>2881</v>
      </c>
      <c r="C415" s="405" t="s">
        <v>2882</v>
      </c>
      <c r="D415" s="405"/>
      <c r="E415" s="405"/>
      <c r="F415" s="16" t="s">
        <v>329</v>
      </c>
      <c r="G415" s="30">
        <v>0.3911</v>
      </c>
      <c r="H415" s="57">
        <f>I415/G415</f>
        <v>46019.764766044493</v>
      </c>
      <c r="I415" s="19">
        <v>17998.330000000002</v>
      </c>
      <c r="J415" s="19">
        <f>K415/G415</f>
        <v>169895.39759652261</v>
      </c>
      <c r="K415" s="19">
        <v>66446.09</v>
      </c>
      <c r="BC415" s="14"/>
      <c r="BD415" s="15"/>
      <c r="BE415" s="21" t="s">
        <v>2882</v>
      </c>
      <c r="BF415" s="43"/>
      <c r="BG415" s="12"/>
      <c r="BH415" s="12"/>
    </row>
    <row r="416" spans="1:60" s="3" customFormat="1" ht="21.6" x14ac:dyDescent="0.3">
      <c r="A416" s="25"/>
      <c r="B416" s="26" t="s">
        <v>2883</v>
      </c>
      <c r="C416" s="419" t="s">
        <v>2884</v>
      </c>
      <c r="D416" s="419"/>
      <c r="E416" s="419"/>
      <c r="F416" s="27" t="s">
        <v>70</v>
      </c>
      <c r="G416" s="22" t="s">
        <v>2885</v>
      </c>
      <c r="H416" s="58"/>
      <c r="I416" s="28"/>
      <c r="J416" s="28"/>
      <c r="K416" s="29"/>
      <c r="BC416" s="14"/>
      <c r="BD416" s="15"/>
      <c r="BE416" s="21"/>
      <c r="BF416" s="43"/>
      <c r="BG416" s="12" t="s">
        <v>2884</v>
      </c>
      <c r="BH416" s="12"/>
    </row>
    <row r="417" spans="1:60" s="3" customFormat="1" ht="20.399999999999999" x14ac:dyDescent="0.3">
      <c r="A417" s="25"/>
      <c r="B417" s="26" t="s">
        <v>2875</v>
      </c>
      <c r="C417" s="419" t="s">
        <v>2876</v>
      </c>
      <c r="D417" s="419"/>
      <c r="E417" s="419"/>
      <c r="F417" s="27" t="s">
        <v>70</v>
      </c>
      <c r="G417" s="22" t="s">
        <v>2886</v>
      </c>
      <c r="H417" s="58"/>
      <c r="I417" s="28"/>
      <c r="J417" s="28"/>
      <c r="K417" s="29"/>
      <c r="BC417" s="14"/>
      <c r="BD417" s="15"/>
      <c r="BE417" s="21"/>
      <c r="BF417" s="43"/>
      <c r="BG417" s="12" t="s">
        <v>2876</v>
      </c>
      <c r="BH417" s="12"/>
    </row>
    <row r="418" spans="1:60" s="3" customFormat="1" ht="20.399999999999999" x14ac:dyDescent="0.3">
      <c r="A418" s="25"/>
      <c r="B418" s="26" t="s">
        <v>336</v>
      </c>
      <c r="C418" s="419" t="s">
        <v>337</v>
      </c>
      <c r="D418" s="419"/>
      <c r="E418" s="419"/>
      <c r="F418" s="27" t="s">
        <v>70</v>
      </c>
      <c r="G418" s="22" t="s">
        <v>2887</v>
      </c>
      <c r="H418" s="58"/>
      <c r="I418" s="28"/>
      <c r="J418" s="28"/>
      <c r="K418" s="29"/>
      <c r="BC418" s="14"/>
      <c r="BD418" s="15"/>
      <c r="BE418" s="21"/>
      <c r="BF418" s="43"/>
      <c r="BG418" s="12" t="s">
        <v>337</v>
      </c>
      <c r="BH418" s="12"/>
    </row>
    <row r="419" spans="1:60" s="3" customFormat="1" ht="20.399999999999999" x14ac:dyDescent="0.3">
      <c r="A419" s="37" t="s">
        <v>143</v>
      </c>
      <c r="B419" s="38" t="s">
        <v>2888</v>
      </c>
      <c r="C419" s="430" t="s">
        <v>2889</v>
      </c>
      <c r="D419" s="430"/>
      <c r="E419" s="430"/>
      <c r="F419" s="39" t="s">
        <v>158</v>
      </c>
      <c r="G419" s="40" t="s">
        <v>2890</v>
      </c>
      <c r="H419" s="100"/>
      <c r="I419" s="41"/>
      <c r="J419" s="41"/>
      <c r="K419" s="42"/>
      <c r="BC419" s="14"/>
      <c r="BD419" s="15"/>
      <c r="BE419" s="21"/>
      <c r="BF419" s="43" t="s">
        <v>2889</v>
      </c>
      <c r="BG419" s="12"/>
      <c r="BH419" s="12"/>
    </row>
    <row r="420" spans="1:60" s="3" customFormat="1" ht="21.6" x14ac:dyDescent="0.3">
      <c r="A420" s="25" t="s">
        <v>129</v>
      </c>
      <c r="B420" s="26" t="s">
        <v>2891</v>
      </c>
      <c r="C420" s="419" t="s">
        <v>2892</v>
      </c>
      <c r="D420" s="419"/>
      <c r="E420" s="419"/>
      <c r="F420" s="27" t="s">
        <v>46</v>
      </c>
      <c r="G420" s="22" t="s">
        <v>2893</v>
      </c>
      <c r="H420" s="58"/>
      <c r="I420" s="28"/>
      <c r="J420" s="28"/>
      <c r="K420" s="29"/>
      <c r="BC420" s="14"/>
      <c r="BD420" s="15"/>
      <c r="BE420" s="21"/>
      <c r="BF420" s="43"/>
      <c r="BG420" s="12"/>
      <c r="BH420" s="12" t="s">
        <v>2892</v>
      </c>
    </row>
    <row r="421" spans="1:60" s="3" customFormat="1" ht="15" customHeight="1" x14ac:dyDescent="0.3">
      <c r="A421" s="454" t="s">
        <v>2894</v>
      </c>
      <c r="B421" s="455"/>
      <c r="C421" s="455"/>
      <c r="D421" s="455"/>
      <c r="E421" s="455"/>
      <c r="F421" s="455"/>
      <c r="G421" s="455"/>
      <c r="H421" s="296"/>
      <c r="I421" s="296"/>
      <c r="J421" s="296"/>
      <c r="K421" s="297"/>
      <c r="BC421" s="14"/>
      <c r="BD421" s="15" t="s">
        <v>2894</v>
      </c>
      <c r="BE421" s="21"/>
      <c r="BF421" s="43"/>
      <c r="BG421" s="12"/>
      <c r="BH421" s="12"/>
    </row>
    <row r="422" spans="1:60" s="3" customFormat="1" ht="31.8" x14ac:dyDescent="0.3">
      <c r="A422" s="16" t="s">
        <v>2895</v>
      </c>
      <c r="B422" s="17" t="s">
        <v>2896</v>
      </c>
      <c r="C422" s="405" t="s">
        <v>2897</v>
      </c>
      <c r="D422" s="405"/>
      <c r="E422" s="405"/>
      <c r="F422" s="16" t="s">
        <v>329</v>
      </c>
      <c r="G422" s="30">
        <v>0.3911</v>
      </c>
      <c r="H422" s="57">
        <f>I422/G422</f>
        <v>36112.605471746356</v>
      </c>
      <c r="I422" s="314">
        <v>14123.64</v>
      </c>
      <c r="J422" s="19">
        <f>K422/G422</f>
        <v>6030.2991562260286</v>
      </c>
      <c r="K422" s="314">
        <v>2358.4499999999998</v>
      </c>
      <c r="BC422" s="14"/>
      <c r="BD422" s="15"/>
      <c r="BE422" s="21" t="s">
        <v>2897</v>
      </c>
      <c r="BF422" s="43"/>
      <c r="BG422" s="12"/>
      <c r="BH422" s="12"/>
    </row>
    <row r="423" spans="1:60" s="3" customFormat="1" ht="20.399999999999999" x14ac:dyDescent="0.3">
      <c r="A423" s="25"/>
      <c r="B423" s="26" t="s">
        <v>2875</v>
      </c>
      <c r="C423" s="419" t="s">
        <v>2876</v>
      </c>
      <c r="D423" s="419"/>
      <c r="E423" s="419"/>
      <c r="F423" s="27" t="s">
        <v>70</v>
      </c>
      <c r="G423" s="22" t="s">
        <v>2886</v>
      </c>
      <c r="H423" s="58"/>
      <c r="I423" s="28"/>
      <c r="J423" s="28"/>
      <c r="K423" s="29"/>
      <c r="BC423" s="14"/>
      <c r="BD423" s="15"/>
      <c r="BE423" s="21"/>
      <c r="BF423" s="43"/>
      <c r="BG423" s="12" t="s">
        <v>2876</v>
      </c>
      <c r="BH423" s="12"/>
    </row>
    <row r="424" spans="1:60" s="3" customFormat="1" ht="20.399999999999999" x14ac:dyDescent="0.3">
      <c r="A424" s="37" t="s">
        <v>143</v>
      </c>
      <c r="B424" s="38" t="s">
        <v>2888</v>
      </c>
      <c r="C424" s="430" t="s">
        <v>2889</v>
      </c>
      <c r="D424" s="430"/>
      <c r="E424" s="430"/>
      <c r="F424" s="39" t="s">
        <v>158</v>
      </c>
      <c r="G424" s="40" t="s">
        <v>2890</v>
      </c>
      <c r="H424" s="100"/>
      <c r="I424" s="41"/>
      <c r="J424" s="41"/>
      <c r="K424" s="42"/>
      <c r="BC424" s="14"/>
      <c r="BD424" s="15"/>
      <c r="BE424" s="21"/>
      <c r="BF424" s="43" t="s">
        <v>2889</v>
      </c>
      <c r="BG424" s="12"/>
      <c r="BH424" s="12"/>
    </row>
    <row r="425" spans="1:60" s="3" customFormat="1" ht="21.6" x14ac:dyDescent="0.3">
      <c r="A425" s="25" t="s">
        <v>129</v>
      </c>
      <c r="B425" s="26" t="s">
        <v>2891</v>
      </c>
      <c r="C425" s="419" t="s">
        <v>2892</v>
      </c>
      <c r="D425" s="419"/>
      <c r="E425" s="419"/>
      <c r="F425" s="27" t="s">
        <v>46</v>
      </c>
      <c r="G425" s="22" t="s">
        <v>33</v>
      </c>
      <c r="H425" s="58"/>
      <c r="I425" s="28"/>
      <c r="J425" s="28"/>
      <c r="K425" s="29"/>
      <c r="BC425" s="14"/>
      <c r="BD425" s="15"/>
      <c r="BE425" s="21"/>
      <c r="BF425" s="43"/>
      <c r="BG425" s="12"/>
      <c r="BH425" s="12" t="s">
        <v>2892</v>
      </c>
    </row>
    <row r="426" spans="1:60" s="3" customFormat="1" ht="15" customHeight="1" x14ac:dyDescent="0.3">
      <c r="A426" s="454" t="s">
        <v>2898</v>
      </c>
      <c r="B426" s="455"/>
      <c r="C426" s="455"/>
      <c r="D426" s="455"/>
      <c r="E426" s="455"/>
      <c r="F426" s="455"/>
      <c r="G426" s="455"/>
      <c r="H426" s="296"/>
      <c r="I426" s="296"/>
      <c r="J426" s="296"/>
      <c r="K426" s="297"/>
      <c r="BC426" s="14"/>
      <c r="BD426" s="15" t="s">
        <v>2898</v>
      </c>
      <c r="BE426" s="21"/>
      <c r="BF426" s="43"/>
      <c r="BG426" s="12"/>
      <c r="BH426" s="12"/>
    </row>
    <row r="427" spans="1:60" s="3" customFormat="1" ht="31.8" x14ac:dyDescent="0.3">
      <c r="A427" s="16" t="s">
        <v>2899</v>
      </c>
      <c r="B427" s="17" t="s">
        <v>2900</v>
      </c>
      <c r="C427" s="405" t="s">
        <v>2901</v>
      </c>
      <c r="D427" s="405"/>
      <c r="E427" s="405"/>
      <c r="F427" s="16" t="s">
        <v>329</v>
      </c>
      <c r="G427" s="30">
        <v>0.3911</v>
      </c>
      <c r="H427" s="57">
        <f>I427/G427</f>
        <v>51490.283814881099</v>
      </c>
      <c r="I427" s="19">
        <v>20137.849999999999</v>
      </c>
      <c r="J427" s="19">
        <f>K427/G427</f>
        <v>69818.358476093068</v>
      </c>
      <c r="K427" s="19">
        <v>27305.96</v>
      </c>
      <c r="BC427" s="14"/>
      <c r="BD427" s="15"/>
      <c r="BE427" s="21" t="s">
        <v>2901</v>
      </c>
      <c r="BF427" s="43"/>
      <c r="BG427" s="12"/>
      <c r="BH427" s="12"/>
    </row>
    <row r="428" spans="1:60" s="3" customFormat="1" ht="21.6" x14ac:dyDescent="0.3">
      <c r="A428" s="25"/>
      <c r="B428" s="26" t="s">
        <v>2902</v>
      </c>
      <c r="C428" s="419" t="s">
        <v>2903</v>
      </c>
      <c r="D428" s="419"/>
      <c r="E428" s="419"/>
      <c r="F428" s="27" t="s">
        <v>158</v>
      </c>
      <c r="G428" s="22" t="s">
        <v>2904</v>
      </c>
      <c r="H428" s="58"/>
      <c r="I428" s="28"/>
      <c r="J428" s="28"/>
      <c r="K428" s="29"/>
      <c r="BC428" s="14"/>
      <c r="BD428" s="15"/>
      <c r="BE428" s="21"/>
      <c r="BF428" s="43"/>
      <c r="BG428" s="12" t="s">
        <v>2903</v>
      </c>
      <c r="BH428" s="12"/>
    </row>
    <row r="429" spans="1:60" s="3" customFormat="1" ht="20.399999999999999" x14ac:dyDescent="0.3">
      <c r="A429" s="25"/>
      <c r="B429" s="26" t="s">
        <v>2875</v>
      </c>
      <c r="C429" s="419" t="s">
        <v>2876</v>
      </c>
      <c r="D429" s="419"/>
      <c r="E429" s="419"/>
      <c r="F429" s="27" t="s">
        <v>70</v>
      </c>
      <c r="G429" s="22" t="s">
        <v>2905</v>
      </c>
      <c r="H429" s="58"/>
      <c r="I429" s="28"/>
      <c r="J429" s="28"/>
      <c r="K429" s="29"/>
      <c r="BC429" s="14"/>
      <c r="BD429" s="15"/>
      <c r="BE429" s="21"/>
      <c r="BF429" s="43"/>
      <c r="BG429" s="12" t="s">
        <v>2876</v>
      </c>
      <c r="BH429" s="12"/>
    </row>
    <row r="430" spans="1:60" s="3" customFormat="1" ht="20.399999999999999" x14ac:dyDescent="0.3">
      <c r="A430" s="25"/>
      <c r="B430" s="26" t="s">
        <v>2906</v>
      </c>
      <c r="C430" s="419" t="s">
        <v>2907</v>
      </c>
      <c r="D430" s="419"/>
      <c r="E430" s="419"/>
      <c r="F430" s="27" t="s">
        <v>70</v>
      </c>
      <c r="G430" s="22" t="s">
        <v>2908</v>
      </c>
      <c r="H430" s="58"/>
      <c r="I430" s="28"/>
      <c r="J430" s="28"/>
      <c r="K430" s="29"/>
      <c r="BC430" s="14"/>
      <c r="BD430" s="15"/>
      <c r="BE430" s="21"/>
      <c r="BF430" s="43"/>
      <c r="BG430" s="12" t="s">
        <v>2907</v>
      </c>
      <c r="BH430" s="12"/>
    </row>
    <row r="431" spans="1:60" s="3" customFormat="1" ht="20.399999999999999" x14ac:dyDescent="0.3">
      <c r="A431" s="25"/>
      <c r="B431" s="26" t="s">
        <v>2909</v>
      </c>
      <c r="C431" s="419" t="s">
        <v>2910</v>
      </c>
      <c r="D431" s="419"/>
      <c r="E431" s="419"/>
      <c r="F431" s="27" t="s">
        <v>70</v>
      </c>
      <c r="G431" s="22" t="s">
        <v>2911</v>
      </c>
      <c r="H431" s="58"/>
      <c r="I431" s="28"/>
      <c r="J431" s="28"/>
      <c r="K431" s="29"/>
      <c r="BC431" s="14"/>
      <c r="BD431" s="15"/>
      <c r="BE431" s="21"/>
      <c r="BF431" s="43"/>
      <c r="BG431" s="12" t="s">
        <v>2910</v>
      </c>
      <c r="BH431" s="12"/>
    </row>
    <row r="432" spans="1:60" s="3" customFormat="1" ht="21.6" x14ac:dyDescent="0.3">
      <c r="A432" s="25"/>
      <c r="B432" s="26" t="s">
        <v>2912</v>
      </c>
      <c r="C432" s="419" t="s">
        <v>2913</v>
      </c>
      <c r="D432" s="419"/>
      <c r="E432" s="419"/>
      <c r="F432" s="27" t="s">
        <v>158</v>
      </c>
      <c r="G432" s="22" t="s">
        <v>2914</v>
      </c>
      <c r="H432" s="58"/>
      <c r="I432" s="28"/>
      <c r="J432" s="28"/>
      <c r="K432" s="29"/>
      <c r="BC432" s="14"/>
      <c r="BD432" s="15"/>
      <c r="BE432" s="21"/>
      <c r="BF432" s="43"/>
      <c r="BG432" s="12" t="s">
        <v>2913</v>
      </c>
      <c r="BH432" s="12"/>
    </row>
    <row r="433" spans="1:60" s="3" customFormat="1" ht="15" customHeight="1" x14ac:dyDescent="0.3">
      <c r="A433" s="454" t="s">
        <v>2915</v>
      </c>
      <c r="B433" s="455"/>
      <c r="C433" s="455"/>
      <c r="D433" s="455"/>
      <c r="E433" s="455"/>
      <c r="F433" s="455"/>
      <c r="G433" s="455"/>
      <c r="H433" s="296"/>
      <c r="I433" s="296"/>
      <c r="J433" s="296"/>
      <c r="K433" s="297"/>
      <c r="BC433" s="14"/>
      <c r="BD433" s="15" t="s">
        <v>2915</v>
      </c>
      <c r="BE433" s="21"/>
      <c r="BF433" s="43"/>
      <c r="BG433" s="12"/>
      <c r="BH433" s="12"/>
    </row>
    <row r="434" spans="1:60" s="3" customFormat="1" ht="31.8" x14ac:dyDescent="0.3">
      <c r="A434" s="16" t="s">
        <v>2916</v>
      </c>
      <c r="B434" s="17" t="s">
        <v>2488</v>
      </c>
      <c r="C434" s="405" t="s">
        <v>2489</v>
      </c>
      <c r="D434" s="405"/>
      <c r="E434" s="405"/>
      <c r="F434" s="16" t="s">
        <v>67</v>
      </c>
      <c r="G434" s="30">
        <v>0.1764</v>
      </c>
      <c r="H434" s="57">
        <f>I434/G434</f>
        <v>5707.1995464852607</v>
      </c>
      <c r="I434" s="19">
        <v>1006.75</v>
      </c>
      <c r="J434" s="19">
        <f>K434/G434</f>
        <v>13389.229024943312</v>
      </c>
      <c r="K434" s="19">
        <v>2361.86</v>
      </c>
      <c r="BC434" s="14"/>
      <c r="BD434" s="15"/>
      <c r="BE434" s="21" t="s">
        <v>2489</v>
      </c>
      <c r="BF434" s="43"/>
      <c r="BG434" s="12"/>
      <c r="BH434" s="12"/>
    </row>
    <row r="435" spans="1:60" s="3" customFormat="1" ht="42" x14ac:dyDescent="0.3">
      <c r="A435" s="25"/>
      <c r="B435" s="26" t="s">
        <v>2490</v>
      </c>
      <c r="C435" s="419" t="s">
        <v>2491</v>
      </c>
      <c r="D435" s="419"/>
      <c r="E435" s="419"/>
      <c r="F435" s="27" t="s">
        <v>46</v>
      </c>
      <c r="G435" s="22" t="s">
        <v>2917</v>
      </c>
      <c r="H435" s="58"/>
      <c r="I435" s="28"/>
      <c r="J435" s="28"/>
      <c r="K435" s="29"/>
      <c r="BC435" s="14"/>
      <c r="BD435" s="15"/>
      <c r="BE435" s="21"/>
      <c r="BF435" s="43"/>
      <c r="BG435" s="12" t="s">
        <v>2491</v>
      </c>
      <c r="BH435" s="12"/>
    </row>
    <row r="436" spans="1:60" s="3" customFormat="1" ht="20.399999999999999" x14ac:dyDescent="0.3">
      <c r="A436" s="25"/>
      <c r="B436" s="26" t="s">
        <v>2493</v>
      </c>
      <c r="C436" s="419" t="s">
        <v>2494</v>
      </c>
      <c r="D436" s="419"/>
      <c r="E436" s="419"/>
      <c r="F436" s="27" t="s">
        <v>70</v>
      </c>
      <c r="G436" s="22" t="s">
        <v>2918</v>
      </c>
      <c r="H436" s="58"/>
      <c r="I436" s="28"/>
      <c r="J436" s="28"/>
      <c r="K436" s="29"/>
      <c r="BC436" s="14"/>
      <c r="BD436" s="15"/>
      <c r="BE436" s="21"/>
      <c r="BF436" s="43"/>
      <c r="BG436" s="12" t="s">
        <v>2494</v>
      </c>
      <c r="BH436" s="12"/>
    </row>
    <row r="437" spans="1:60" s="3" customFormat="1" ht="15" customHeight="1" x14ac:dyDescent="0.3">
      <c r="A437" s="454" t="s">
        <v>2919</v>
      </c>
      <c r="B437" s="455"/>
      <c r="C437" s="455"/>
      <c r="D437" s="455"/>
      <c r="E437" s="455"/>
      <c r="F437" s="455"/>
      <c r="G437" s="455"/>
      <c r="H437" s="296"/>
      <c r="I437" s="296"/>
      <c r="J437" s="296"/>
      <c r="K437" s="297"/>
      <c r="BC437" s="14"/>
      <c r="BD437" s="15" t="s">
        <v>2919</v>
      </c>
      <c r="BE437" s="21"/>
      <c r="BF437" s="43"/>
      <c r="BG437" s="12"/>
      <c r="BH437" s="12"/>
    </row>
    <row r="438" spans="1:60" s="3" customFormat="1" ht="15" customHeight="1" x14ac:dyDescent="0.3">
      <c r="A438" s="454" t="s">
        <v>2920</v>
      </c>
      <c r="B438" s="455"/>
      <c r="C438" s="455"/>
      <c r="D438" s="455"/>
      <c r="E438" s="455"/>
      <c r="F438" s="455"/>
      <c r="G438" s="455"/>
      <c r="H438" s="296"/>
      <c r="I438" s="296"/>
      <c r="J438" s="296"/>
      <c r="K438" s="297"/>
      <c r="BC438" s="14"/>
      <c r="BD438" s="15" t="s">
        <v>2920</v>
      </c>
      <c r="BE438" s="21"/>
      <c r="BF438" s="43"/>
      <c r="BG438" s="12"/>
      <c r="BH438" s="12"/>
    </row>
    <row r="439" spans="1:60" s="3" customFormat="1" ht="30.6" x14ac:dyDescent="0.3">
      <c r="A439" s="16" t="s">
        <v>2921</v>
      </c>
      <c r="B439" s="17" t="s">
        <v>2922</v>
      </c>
      <c r="C439" s="405" t="s">
        <v>2923</v>
      </c>
      <c r="D439" s="405"/>
      <c r="E439" s="405"/>
      <c r="F439" s="16" t="s">
        <v>329</v>
      </c>
      <c r="G439" s="30">
        <v>0.43230000000000002</v>
      </c>
      <c r="H439" s="57">
        <f>I439/G439</f>
        <v>9344.7605829285203</v>
      </c>
      <c r="I439" s="19">
        <v>4039.74</v>
      </c>
      <c r="J439" s="19">
        <f>K439/G439</f>
        <v>30960.744853111264</v>
      </c>
      <c r="K439" s="19">
        <v>13384.33</v>
      </c>
      <c r="BC439" s="14"/>
      <c r="BD439" s="15"/>
      <c r="BE439" s="21" t="s">
        <v>2923</v>
      </c>
      <c r="BF439" s="43"/>
      <c r="BG439" s="12"/>
      <c r="BH439" s="12"/>
    </row>
    <row r="440" spans="1:60" s="3" customFormat="1" ht="20.399999999999999" x14ac:dyDescent="0.3">
      <c r="A440" s="25"/>
      <c r="B440" s="26" t="s">
        <v>387</v>
      </c>
      <c r="C440" s="419" t="s">
        <v>388</v>
      </c>
      <c r="D440" s="419"/>
      <c r="E440" s="419"/>
      <c r="F440" s="27" t="s">
        <v>75</v>
      </c>
      <c r="G440" s="22" t="s">
        <v>2924</v>
      </c>
      <c r="H440" s="58"/>
      <c r="I440" s="28"/>
      <c r="J440" s="28"/>
      <c r="K440" s="29"/>
      <c r="BC440" s="14"/>
      <c r="BD440" s="15"/>
      <c r="BE440" s="21"/>
      <c r="BF440" s="43"/>
      <c r="BG440" s="12" t="s">
        <v>388</v>
      </c>
      <c r="BH440" s="12"/>
    </row>
    <row r="441" spans="1:60" s="3" customFormat="1" ht="21.6" x14ac:dyDescent="0.3">
      <c r="A441" s="37" t="s">
        <v>143</v>
      </c>
      <c r="B441" s="38" t="s">
        <v>2003</v>
      </c>
      <c r="C441" s="430" t="s">
        <v>2925</v>
      </c>
      <c r="D441" s="430"/>
      <c r="E441" s="430"/>
      <c r="F441" s="39" t="s">
        <v>158</v>
      </c>
      <c r="G441" s="40" t="s">
        <v>2926</v>
      </c>
      <c r="H441" s="100"/>
      <c r="I441" s="41"/>
      <c r="J441" s="41"/>
      <c r="K441" s="42"/>
      <c r="BC441" s="14"/>
      <c r="BD441" s="15"/>
      <c r="BE441" s="21"/>
      <c r="BF441" s="43" t="s">
        <v>2925</v>
      </c>
      <c r="BG441" s="12"/>
      <c r="BH441" s="12"/>
    </row>
    <row r="442" spans="1:60" s="3" customFormat="1" ht="20.399999999999999" x14ac:dyDescent="0.3">
      <c r="A442" s="25" t="s">
        <v>129</v>
      </c>
      <c r="B442" s="26" t="s">
        <v>2927</v>
      </c>
      <c r="C442" s="419" t="s">
        <v>2928</v>
      </c>
      <c r="D442" s="419"/>
      <c r="E442" s="419"/>
      <c r="F442" s="27" t="s">
        <v>158</v>
      </c>
      <c r="G442" s="22" t="s">
        <v>2926</v>
      </c>
      <c r="H442" s="58"/>
      <c r="I442" s="28"/>
      <c r="J442" s="28"/>
      <c r="K442" s="29"/>
      <c r="BC442" s="14"/>
      <c r="BD442" s="15"/>
      <c r="BE442" s="21"/>
      <c r="BF442" s="43"/>
      <c r="BG442" s="12"/>
      <c r="BH442" s="12" t="s">
        <v>2928</v>
      </c>
    </row>
    <row r="443" spans="1:60" s="3" customFormat="1" ht="15" customHeight="1" x14ac:dyDescent="0.3">
      <c r="A443" s="454" t="s">
        <v>2929</v>
      </c>
      <c r="B443" s="455"/>
      <c r="C443" s="455"/>
      <c r="D443" s="455"/>
      <c r="E443" s="455"/>
      <c r="F443" s="455"/>
      <c r="G443" s="455"/>
      <c r="H443" s="296"/>
      <c r="I443" s="296"/>
      <c r="J443" s="296"/>
      <c r="K443" s="297"/>
      <c r="BC443" s="14"/>
      <c r="BD443" s="15" t="s">
        <v>2929</v>
      </c>
      <c r="BE443" s="21"/>
      <c r="BF443" s="43"/>
      <c r="BG443" s="12"/>
      <c r="BH443" s="12"/>
    </row>
    <row r="444" spans="1:60" s="3" customFormat="1" ht="21.6" x14ac:dyDescent="0.3">
      <c r="A444" s="16" t="s">
        <v>2930</v>
      </c>
      <c r="B444" s="17" t="s">
        <v>2931</v>
      </c>
      <c r="C444" s="405" t="s">
        <v>2932</v>
      </c>
      <c r="D444" s="405"/>
      <c r="E444" s="405"/>
      <c r="F444" s="16" t="s">
        <v>329</v>
      </c>
      <c r="G444" s="30">
        <v>0.43230000000000002</v>
      </c>
      <c r="H444" s="57">
        <f>I444/G444</f>
        <v>15933.425861670137</v>
      </c>
      <c r="I444" s="19">
        <v>6888.02</v>
      </c>
      <c r="J444" s="19">
        <f>K444/G444</f>
        <v>56926.833217672909</v>
      </c>
      <c r="K444" s="19">
        <v>24609.47</v>
      </c>
      <c r="BC444" s="14"/>
      <c r="BD444" s="15"/>
      <c r="BE444" s="21" t="s">
        <v>2932</v>
      </c>
      <c r="BF444" s="43"/>
      <c r="BG444" s="12"/>
      <c r="BH444" s="12"/>
    </row>
    <row r="445" spans="1:60" s="3" customFormat="1" ht="20.399999999999999" x14ac:dyDescent="0.3">
      <c r="A445" s="25"/>
      <c r="B445" s="26" t="s">
        <v>387</v>
      </c>
      <c r="C445" s="419" t="s">
        <v>388</v>
      </c>
      <c r="D445" s="419"/>
      <c r="E445" s="419"/>
      <c r="F445" s="27" t="s">
        <v>75</v>
      </c>
      <c r="G445" s="22" t="s">
        <v>2933</v>
      </c>
      <c r="H445" s="58"/>
      <c r="I445" s="28"/>
      <c r="J445" s="28"/>
      <c r="K445" s="29"/>
      <c r="BC445" s="14"/>
      <c r="BD445" s="15"/>
      <c r="BE445" s="21"/>
      <c r="BF445" s="43"/>
      <c r="BG445" s="12" t="s">
        <v>388</v>
      </c>
      <c r="BH445" s="12"/>
    </row>
    <row r="446" spans="1:60" s="3" customFormat="1" ht="21.6" x14ac:dyDescent="0.3">
      <c r="A446" s="37" t="s">
        <v>143</v>
      </c>
      <c r="B446" s="38" t="s">
        <v>2003</v>
      </c>
      <c r="C446" s="430" t="s">
        <v>2925</v>
      </c>
      <c r="D446" s="430"/>
      <c r="E446" s="430"/>
      <c r="F446" s="39" t="s">
        <v>158</v>
      </c>
      <c r="G446" s="40" t="s">
        <v>2934</v>
      </c>
      <c r="H446" s="100"/>
      <c r="I446" s="41"/>
      <c r="J446" s="41"/>
      <c r="K446" s="42"/>
      <c r="BC446" s="14"/>
      <c r="BD446" s="15"/>
      <c r="BE446" s="21"/>
      <c r="BF446" s="43" t="s">
        <v>2925</v>
      </c>
      <c r="BG446" s="12"/>
      <c r="BH446" s="12"/>
    </row>
    <row r="447" spans="1:60" s="3" customFormat="1" ht="21.6" x14ac:dyDescent="0.3">
      <c r="A447" s="37" t="s">
        <v>143</v>
      </c>
      <c r="B447" s="38" t="s">
        <v>2003</v>
      </c>
      <c r="C447" s="430" t="s">
        <v>2935</v>
      </c>
      <c r="D447" s="430"/>
      <c r="E447" s="430"/>
      <c r="F447" s="39" t="s">
        <v>158</v>
      </c>
      <c r="G447" s="40" t="s">
        <v>2926</v>
      </c>
      <c r="H447" s="100"/>
      <c r="I447" s="41"/>
      <c r="J447" s="41"/>
      <c r="K447" s="42"/>
      <c r="BC447" s="14"/>
      <c r="BD447" s="15"/>
      <c r="BE447" s="21"/>
      <c r="BF447" s="43" t="s">
        <v>2935</v>
      </c>
      <c r="BG447" s="12"/>
      <c r="BH447" s="12"/>
    </row>
    <row r="448" spans="1:60" s="3" customFormat="1" ht="72.599999999999994" x14ac:dyDescent="0.3">
      <c r="A448" s="25" t="s">
        <v>129</v>
      </c>
      <c r="B448" s="26" t="s">
        <v>2936</v>
      </c>
      <c r="C448" s="419" t="s">
        <v>2937</v>
      </c>
      <c r="D448" s="419"/>
      <c r="E448" s="419"/>
      <c r="F448" s="27" t="s">
        <v>158</v>
      </c>
      <c r="G448" s="22" t="s">
        <v>2934</v>
      </c>
      <c r="H448" s="58"/>
      <c r="I448" s="28"/>
      <c r="J448" s="28"/>
      <c r="K448" s="29"/>
      <c r="BC448" s="14"/>
      <c r="BD448" s="15"/>
      <c r="BE448" s="21"/>
      <c r="BF448" s="43"/>
      <c r="BG448" s="12"/>
      <c r="BH448" s="12" t="s">
        <v>2937</v>
      </c>
    </row>
    <row r="449" spans="1:60" s="3" customFormat="1" ht="20.399999999999999" x14ac:dyDescent="0.3">
      <c r="A449" s="25" t="s">
        <v>129</v>
      </c>
      <c r="B449" s="26" t="s">
        <v>2927</v>
      </c>
      <c r="C449" s="419" t="s">
        <v>2928</v>
      </c>
      <c r="D449" s="419"/>
      <c r="E449" s="419"/>
      <c r="F449" s="27" t="s">
        <v>158</v>
      </c>
      <c r="G449" s="22" t="s">
        <v>2926</v>
      </c>
      <c r="H449" s="58"/>
      <c r="I449" s="28"/>
      <c r="J449" s="28"/>
      <c r="K449" s="29"/>
      <c r="BC449" s="14"/>
      <c r="BD449" s="15"/>
      <c r="BE449" s="21"/>
      <c r="BF449" s="43"/>
      <c r="BG449" s="12"/>
      <c r="BH449" s="12" t="s">
        <v>2928</v>
      </c>
    </row>
    <row r="450" spans="1:60" s="3" customFormat="1" ht="15" customHeight="1" x14ac:dyDescent="0.3">
      <c r="A450" s="454" t="s">
        <v>2938</v>
      </c>
      <c r="B450" s="455"/>
      <c r="C450" s="455"/>
      <c r="D450" s="455"/>
      <c r="E450" s="455"/>
      <c r="F450" s="455"/>
      <c r="G450" s="455"/>
      <c r="H450" s="296"/>
      <c r="I450" s="296"/>
      <c r="J450" s="296"/>
      <c r="K450" s="297"/>
      <c r="BC450" s="14"/>
      <c r="BD450" s="15" t="s">
        <v>2938</v>
      </c>
      <c r="BE450" s="21"/>
      <c r="BF450" s="43"/>
      <c r="BG450" s="12"/>
      <c r="BH450" s="12"/>
    </row>
    <row r="451" spans="1:60" s="3" customFormat="1" ht="31.8" x14ac:dyDescent="0.3">
      <c r="A451" s="16" t="s">
        <v>2939</v>
      </c>
      <c r="B451" s="17" t="s">
        <v>2881</v>
      </c>
      <c r="C451" s="405" t="s">
        <v>2882</v>
      </c>
      <c r="D451" s="405"/>
      <c r="E451" s="405"/>
      <c r="F451" s="16" t="s">
        <v>329</v>
      </c>
      <c r="G451" s="30">
        <v>5.2699999999999997E-2</v>
      </c>
      <c r="H451" s="57">
        <f>I451/G451</f>
        <v>46019.544592030361</v>
      </c>
      <c r="I451" s="19">
        <v>2425.23</v>
      </c>
      <c r="J451" s="19">
        <f>K451/G451</f>
        <v>65626.75521821632</v>
      </c>
      <c r="K451" s="19">
        <v>3458.53</v>
      </c>
      <c r="BC451" s="14"/>
      <c r="BD451" s="15"/>
      <c r="BE451" s="21" t="s">
        <v>2882</v>
      </c>
      <c r="BF451" s="43"/>
      <c r="BG451" s="12"/>
      <c r="BH451" s="12"/>
    </row>
    <row r="452" spans="1:60" s="3" customFormat="1" ht="21.6" x14ac:dyDescent="0.3">
      <c r="A452" s="25"/>
      <c r="B452" s="26" t="s">
        <v>2883</v>
      </c>
      <c r="C452" s="419" t="s">
        <v>2884</v>
      </c>
      <c r="D452" s="419"/>
      <c r="E452" s="419"/>
      <c r="F452" s="27" t="s">
        <v>70</v>
      </c>
      <c r="G452" s="22" t="s">
        <v>2940</v>
      </c>
      <c r="H452" s="58"/>
      <c r="I452" s="28"/>
      <c r="J452" s="28"/>
      <c r="K452" s="29"/>
      <c r="BC452" s="14"/>
      <c r="BD452" s="15"/>
      <c r="BE452" s="21"/>
      <c r="BF452" s="43"/>
      <c r="BG452" s="12" t="s">
        <v>2884</v>
      </c>
      <c r="BH452" s="12"/>
    </row>
    <row r="453" spans="1:60" s="3" customFormat="1" ht="20.399999999999999" x14ac:dyDescent="0.3">
      <c r="A453" s="25"/>
      <c r="B453" s="26" t="s">
        <v>2875</v>
      </c>
      <c r="C453" s="419" t="s">
        <v>2876</v>
      </c>
      <c r="D453" s="419"/>
      <c r="E453" s="419"/>
      <c r="F453" s="27" t="s">
        <v>70</v>
      </c>
      <c r="G453" s="22" t="s">
        <v>2941</v>
      </c>
      <c r="H453" s="58"/>
      <c r="I453" s="28"/>
      <c r="J453" s="28"/>
      <c r="K453" s="29"/>
      <c r="BC453" s="14"/>
      <c r="BD453" s="15"/>
      <c r="BE453" s="21"/>
      <c r="BF453" s="43"/>
      <c r="BG453" s="12" t="s">
        <v>2876</v>
      </c>
      <c r="BH453" s="12"/>
    </row>
    <row r="454" spans="1:60" s="3" customFormat="1" ht="20.399999999999999" x14ac:dyDescent="0.3">
      <c r="A454" s="25"/>
      <c r="B454" s="26" t="s">
        <v>336</v>
      </c>
      <c r="C454" s="419" t="s">
        <v>337</v>
      </c>
      <c r="D454" s="419"/>
      <c r="E454" s="419"/>
      <c r="F454" s="27" t="s">
        <v>70</v>
      </c>
      <c r="G454" s="22" t="s">
        <v>2942</v>
      </c>
      <c r="H454" s="58"/>
      <c r="I454" s="28"/>
      <c r="J454" s="28"/>
      <c r="K454" s="29"/>
      <c r="BC454" s="14"/>
      <c r="BD454" s="15"/>
      <c r="BE454" s="21"/>
      <c r="BF454" s="43"/>
      <c r="BG454" s="12" t="s">
        <v>337</v>
      </c>
      <c r="BH454" s="12"/>
    </row>
    <row r="455" spans="1:60" s="3" customFormat="1" ht="20.399999999999999" x14ac:dyDescent="0.3">
      <c r="A455" s="37" t="s">
        <v>143</v>
      </c>
      <c r="B455" s="38" t="s">
        <v>2888</v>
      </c>
      <c r="C455" s="430" t="s">
        <v>2889</v>
      </c>
      <c r="D455" s="430"/>
      <c r="E455" s="430"/>
      <c r="F455" s="39" t="s">
        <v>158</v>
      </c>
      <c r="G455" s="40" t="s">
        <v>2943</v>
      </c>
      <c r="H455" s="100"/>
      <c r="I455" s="41"/>
      <c r="J455" s="41"/>
      <c r="K455" s="42"/>
      <c r="BC455" s="14"/>
      <c r="BD455" s="15"/>
      <c r="BE455" s="21"/>
      <c r="BF455" s="43" t="s">
        <v>2889</v>
      </c>
      <c r="BG455" s="12"/>
      <c r="BH455" s="12"/>
    </row>
    <row r="456" spans="1:60" s="3" customFormat="1" ht="31.8" x14ac:dyDescent="0.3">
      <c r="A456" s="25" t="s">
        <v>129</v>
      </c>
      <c r="B456" s="26" t="s">
        <v>2382</v>
      </c>
      <c r="C456" s="419" t="s">
        <v>2383</v>
      </c>
      <c r="D456" s="419"/>
      <c r="E456" s="419"/>
      <c r="F456" s="27" t="s">
        <v>46</v>
      </c>
      <c r="G456" s="22" t="s">
        <v>2944</v>
      </c>
      <c r="H456" s="58"/>
      <c r="I456" s="28"/>
      <c r="J456" s="28"/>
      <c r="K456" s="29"/>
      <c r="BC456" s="14"/>
      <c r="BD456" s="15"/>
      <c r="BE456" s="21"/>
      <c r="BF456" s="43"/>
      <c r="BG456" s="12"/>
      <c r="BH456" s="12" t="s">
        <v>2383</v>
      </c>
    </row>
    <row r="457" spans="1:60" s="3" customFormat="1" ht="15" customHeight="1" x14ac:dyDescent="0.3">
      <c r="A457" s="454" t="s">
        <v>2945</v>
      </c>
      <c r="B457" s="455"/>
      <c r="C457" s="455"/>
      <c r="D457" s="455"/>
      <c r="E457" s="455"/>
      <c r="F457" s="455"/>
      <c r="G457" s="455"/>
      <c r="H457" s="296"/>
      <c r="I457" s="296"/>
      <c r="J457" s="296"/>
      <c r="K457" s="297"/>
      <c r="BC457" s="14"/>
      <c r="BD457" s="15" t="s">
        <v>2945</v>
      </c>
      <c r="BE457" s="21"/>
      <c r="BF457" s="43"/>
      <c r="BG457" s="12"/>
      <c r="BH457" s="12"/>
    </row>
    <row r="458" spans="1:60" s="3" customFormat="1" ht="31.8" x14ac:dyDescent="0.3">
      <c r="A458" s="16" t="s">
        <v>2946</v>
      </c>
      <c r="B458" s="17" t="s">
        <v>2900</v>
      </c>
      <c r="C458" s="405" t="s">
        <v>2901</v>
      </c>
      <c r="D458" s="405"/>
      <c r="E458" s="405"/>
      <c r="F458" s="16" t="s">
        <v>329</v>
      </c>
      <c r="G458" s="30">
        <v>5.5199999999999999E-2</v>
      </c>
      <c r="H458" s="57">
        <f>I458/G458</f>
        <v>25745.108695652172</v>
      </c>
      <c r="I458" s="19">
        <v>1421.1299999999999</v>
      </c>
      <c r="J458" s="19">
        <f>K458/G458</f>
        <v>34909.239130434784</v>
      </c>
      <c r="K458" s="19">
        <v>1926.99</v>
      </c>
      <c r="BC458" s="14"/>
      <c r="BD458" s="15"/>
      <c r="BE458" s="21" t="s">
        <v>2901</v>
      </c>
      <c r="BF458" s="43"/>
      <c r="BG458" s="12"/>
      <c r="BH458" s="12"/>
    </row>
    <row r="459" spans="1:60" s="3" customFormat="1" ht="21.6" x14ac:dyDescent="0.3">
      <c r="A459" s="25"/>
      <c r="B459" s="26" t="s">
        <v>2902</v>
      </c>
      <c r="C459" s="419" t="s">
        <v>2903</v>
      </c>
      <c r="D459" s="419"/>
      <c r="E459" s="419"/>
      <c r="F459" s="27" t="s">
        <v>158</v>
      </c>
      <c r="G459" s="22" t="s">
        <v>2947</v>
      </c>
      <c r="H459" s="58"/>
      <c r="I459" s="28"/>
      <c r="J459" s="28"/>
      <c r="K459" s="29"/>
      <c r="BC459" s="14"/>
      <c r="BD459" s="15"/>
      <c r="BE459" s="21"/>
      <c r="BF459" s="43"/>
      <c r="BG459" s="12" t="s">
        <v>2903</v>
      </c>
      <c r="BH459" s="12"/>
    </row>
    <row r="460" spans="1:60" s="3" customFormat="1" ht="20.399999999999999" x14ac:dyDescent="0.3">
      <c r="A460" s="25"/>
      <c r="B460" s="26" t="s">
        <v>2875</v>
      </c>
      <c r="C460" s="419" t="s">
        <v>2876</v>
      </c>
      <c r="D460" s="419"/>
      <c r="E460" s="419"/>
      <c r="F460" s="27" t="s">
        <v>70</v>
      </c>
      <c r="G460" s="22" t="s">
        <v>2948</v>
      </c>
      <c r="H460" s="58"/>
      <c r="I460" s="28"/>
      <c r="J460" s="28"/>
      <c r="K460" s="29"/>
      <c r="BC460" s="14"/>
      <c r="BD460" s="15"/>
      <c r="BE460" s="21"/>
      <c r="BF460" s="43"/>
      <c r="BG460" s="12" t="s">
        <v>2876</v>
      </c>
      <c r="BH460" s="12"/>
    </row>
    <row r="461" spans="1:60" s="3" customFormat="1" ht="20.399999999999999" x14ac:dyDescent="0.3">
      <c r="A461" s="25"/>
      <c r="B461" s="26" t="s">
        <v>2906</v>
      </c>
      <c r="C461" s="419" t="s">
        <v>2907</v>
      </c>
      <c r="D461" s="419"/>
      <c r="E461" s="419"/>
      <c r="F461" s="27" t="s">
        <v>70</v>
      </c>
      <c r="G461" s="22" t="s">
        <v>2949</v>
      </c>
      <c r="H461" s="58"/>
      <c r="I461" s="28"/>
      <c r="J461" s="28"/>
      <c r="K461" s="29"/>
      <c r="BC461" s="14"/>
      <c r="BD461" s="15"/>
      <c r="BE461" s="21"/>
      <c r="BF461" s="43"/>
      <c r="BG461" s="12" t="s">
        <v>2907</v>
      </c>
      <c r="BH461" s="12"/>
    </row>
    <row r="462" spans="1:60" s="3" customFormat="1" ht="20.399999999999999" x14ac:dyDescent="0.3">
      <c r="A462" s="25"/>
      <c r="B462" s="26" t="s">
        <v>2909</v>
      </c>
      <c r="C462" s="419" t="s">
        <v>2910</v>
      </c>
      <c r="D462" s="419"/>
      <c r="E462" s="419"/>
      <c r="F462" s="27" t="s">
        <v>70</v>
      </c>
      <c r="G462" s="22" t="s">
        <v>2950</v>
      </c>
      <c r="H462" s="58"/>
      <c r="I462" s="28"/>
      <c r="J462" s="28"/>
      <c r="K462" s="29"/>
      <c r="BC462" s="14"/>
      <c r="BD462" s="15"/>
      <c r="BE462" s="21"/>
      <c r="BF462" s="43"/>
      <c r="BG462" s="12" t="s">
        <v>2910</v>
      </c>
      <c r="BH462" s="12"/>
    </row>
    <row r="463" spans="1:60" s="3" customFormat="1" ht="21.6" x14ac:dyDescent="0.3">
      <c r="A463" s="25"/>
      <c r="B463" s="26" t="s">
        <v>2912</v>
      </c>
      <c r="C463" s="419" t="s">
        <v>2913</v>
      </c>
      <c r="D463" s="419"/>
      <c r="E463" s="419"/>
      <c r="F463" s="27" t="s">
        <v>158</v>
      </c>
      <c r="G463" s="22" t="s">
        <v>2951</v>
      </c>
      <c r="H463" s="58"/>
      <c r="I463" s="28"/>
      <c r="J463" s="28"/>
      <c r="K463" s="29"/>
      <c r="BC463" s="14"/>
      <c r="BD463" s="15"/>
      <c r="BE463" s="21"/>
      <c r="BF463" s="43"/>
      <c r="BG463" s="12" t="s">
        <v>2913</v>
      </c>
      <c r="BH463" s="12"/>
    </row>
    <row r="464" spans="1:60" s="3" customFormat="1" ht="15" customHeight="1" x14ac:dyDescent="0.3">
      <c r="A464" s="454" t="s">
        <v>2952</v>
      </c>
      <c r="B464" s="455"/>
      <c r="C464" s="455"/>
      <c r="D464" s="455"/>
      <c r="E464" s="455"/>
      <c r="F464" s="455"/>
      <c r="G464" s="455"/>
      <c r="H464" s="296"/>
      <c r="I464" s="296"/>
      <c r="J464" s="296"/>
      <c r="K464" s="297"/>
      <c r="BC464" s="14"/>
      <c r="BD464" s="15" t="s">
        <v>2952</v>
      </c>
      <c r="BE464" s="21"/>
      <c r="BF464" s="43"/>
      <c r="BG464" s="12"/>
      <c r="BH464" s="12"/>
    </row>
    <row r="465" spans="1:60" s="3" customFormat="1" ht="21.6" x14ac:dyDescent="0.3">
      <c r="A465" s="16" t="s">
        <v>2953</v>
      </c>
      <c r="B465" s="17" t="s">
        <v>2954</v>
      </c>
      <c r="C465" s="405" t="s">
        <v>2955</v>
      </c>
      <c r="D465" s="405"/>
      <c r="E465" s="405"/>
      <c r="F465" s="16" t="s">
        <v>142</v>
      </c>
      <c r="G465" s="31">
        <v>0.45</v>
      </c>
      <c r="H465" s="57">
        <f>I465/G465</f>
        <v>11798.222222222221</v>
      </c>
      <c r="I465" s="19">
        <v>5309.2</v>
      </c>
      <c r="J465" s="19">
        <f>K465/G465</f>
        <v>627.20000000000005</v>
      </c>
      <c r="K465" s="19">
        <v>282.24</v>
      </c>
      <c r="BC465" s="14"/>
      <c r="BD465" s="15"/>
      <c r="BE465" s="21" t="s">
        <v>2955</v>
      </c>
      <c r="BF465" s="43"/>
      <c r="BG465" s="12"/>
      <c r="BH465" s="12"/>
    </row>
    <row r="466" spans="1:60" s="3" customFormat="1" ht="20.399999999999999" x14ac:dyDescent="0.3">
      <c r="A466" s="37" t="s">
        <v>78</v>
      </c>
      <c r="B466" s="38" t="s">
        <v>391</v>
      </c>
      <c r="C466" s="430" t="s">
        <v>392</v>
      </c>
      <c r="D466" s="430"/>
      <c r="E466" s="430"/>
      <c r="F466" s="39" t="s">
        <v>75</v>
      </c>
      <c r="G466" s="40" t="s">
        <v>33</v>
      </c>
      <c r="H466" s="100"/>
      <c r="I466" s="41"/>
      <c r="J466" s="41"/>
      <c r="K466" s="42"/>
      <c r="BC466" s="14"/>
      <c r="BD466" s="15"/>
      <c r="BE466" s="21"/>
      <c r="BF466" s="43" t="s">
        <v>392</v>
      </c>
      <c r="BG466" s="12"/>
      <c r="BH466" s="12"/>
    </row>
    <row r="467" spans="1:60" s="3" customFormat="1" ht="21.6" x14ac:dyDescent="0.3">
      <c r="A467" s="25" t="s">
        <v>129</v>
      </c>
      <c r="B467" s="26" t="s">
        <v>2384</v>
      </c>
      <c r="C467" s="419" t="s">
        <v>2385</v>
      </c>
      <c r="D467" s="419"/>
      <c r="E467" s="419"/>
      <c r="F467" s="27" t="s">
        <v>142</v>
      </c>
      <c r="G467" s="22" t="s">
        <v>2956</v>
      </c>
      <c r="H467" s="58"/>
      <c r="I467" s="28"/>
      <c r="J467" s="28"/>
      <c r="K467" s="29"/>
      <c r="BC467" s="14"/>
      <c r="BD467" s="15"/>
      <c r="BE467" s="21"/>
      <c r="BF467" s="43"/>
      <c r="BG467" s="12"/>
      <c r="BH467" s="12" t="s">
        <v>2385</v>
      </c>
    </row>
    <row r="468" spans="1:60" s="3" customFormat="1" ht="15" customHeight="1" x14ac:dyDescent="0.3">
      <c r="A468" s="454" t="s">
        <v>2957</v>
      </c>
      <c r="B468" s="455"/>
      <c r="C468" s="455"/>
      <c r="D468" s="455"/>
      <c r="E468" s="455"/>
      <c r="F468" s="455"/>
      <c r="G468" s="455"/>
      <c r="H468" s="296"/>
      <c r="I468" s="296"/>
      <c r="J468" s="296"/>
      <c r="K468" s="297"/>
      <c r="BC468" s="14"/>
      <c r="BD468" s="15" t="s">
        <v>2957</v>
      </c>
      <c r="BE468" s="21"/>
      <c r="BF468" s="43"/>
      <c r="BG468" s="12"/>
      <c r="BH468" s="12"/>
    </row>
    <row r="469" spans="1:60" s="3" customFormat="1" ht="31.8" x14ac:dyDescent="0.3">
      <c r="A469" s="16" t="s">
        <v>2958</v>
      </c>
      <c r="B469" s="17" t="s">
        <v>2959</v>
      </c>
      <c r="C469" s="405" t="s">
        <v>2960</v>
      </c>
      <c r="D469" s="405"/>
      <c r="E469" s="405"/>
      <c r="F469" s="16" t="s">
        <v>329</v>
      </c>
      <c r="G469" s="18">
        <v>3.0000000000000001E-3</v>
      </c>
      <c r="H469" s="57">
        <f>I469/G469</f>
        <v>63316.666666666664</v>
      </c>
      <c r="I469" s="19">
        <v>189.95</v>
      </c>
      <c r="J469" s="19">
        <f>K469/G469</f>
        <v>36453.333333333336</v>
      </c>
      <c r="K469" s="19">
        <v>109.36</v>
      </c>
      <c r="BC469" s="14"/>
      <c r="BD469" s="15"/>
      <c r="BE469" s="21" t="s">
        <v>2960</v>
      </c>
      <c r="BF469" s="43"/>
      <c r="BG469" s="12"/>
      <c r="BH469" s="12"/>
    </row>
    <row r="470" spans="1:60" s="3" customFormat="1" ht="20.399999999999999" x14ac:dyDescent="0.3">
      <c r="A470" s="25"/>
      <c r="B470" s="26" t="s">
        <v>2604</v>
      </c>
      <c r="C470" s="419" t="s">
        <v>2605</v>
      </c>
      <c r="D470" s="419"/>
      <c r="E470" s="419"/>
      <c r="F470" s="27" t="s">
        <v>75</v>
      </c>
      <c r="G470" s="22" t="s">
        <v>2961</v>
      </c>
      <c r="H470" s="58"/>
      <c r="I470" s="28"/>
      <c r="J470" s="28"/>
      <c r="K470" s="29"/>
      <c r="BC470" s="14"/>
      <c r="BD470" s="15"/>
      <c r="BE470" s="21"/>
      <c r="BF470" s="43"/>
      <c r="BG470" s="12" t="s">
        <v>2605</v>
      </c>
      <c r="BH470" s="12"/>
    </row>
    <row r="471" spans="1:60" s="3" customFormat="1" ht="20.399999999999999" x14ac:dyDescent="0.3">
      <c r="A471" s="25"/>
      <c r="B471" s="26" t="s">
        <v>387</v>
      </c>
      <c r="C471" s="419" t="s">
        <v>388</v>
      </c>
      <c r="D471" s="419"/>
      <c r="E471" s="419"/>
      <c r="F471" s="27" t="s">
        <v>75</v>
      </c>
      <c r="G471" s="22" t="s">
        <v>2962</v>
      </c>
      <c r="H471" s="58"/>
      <c r="I471" s="28"/>
      <c r="J471" s="28"/>
      <c r="K471" s="29"/>
      <c r="BC471" s="14"/>
      <c r="BD471" s="15"/>
      <c r="BE471" s="21"/>
      <c r="BF471" s="43"/>
      <c r="BG471" s="12" t="s">
        <v>388</v>
      </c>
      <c r="BH471" s="12"/>
    </row>
    <row r="472" spans="1:60" s="3" customFormat="1" ht="31.8" x14ac:dyDescent="0.3">
      <c r="A472" s="25"/>
      <c r="B472" s="26" t="s">
        <v>2963</v>
      </c>
      <c r="C472" s="419" t="s">
        <v>2964</v>
      </c>
      <c r="D472" s="419"/>
      <c r="E472" s="419"/>
      <c r="F472" s="27" t="s">
        <v>70</v>
      </c>
      <c r="G472" s="22" t="s">
        <v>2965</v>
      </c>
      <c r="H472" s="58"/>
      <c r="I472" s="28"/>
      <c r="J472" s="28"/>
      <c r="K472" s="29"/>
      <c r="BC472" s="14"/>
      <c r="BD472" s="15"/>
      <c r="BE472" s="21"/>
      <c r="BF472" s="43"/>
      <c r="BG472" s="12" t="s">
        <v>2964</v>
      </c>
      <c r="BH472" s="12"/>
    </row>
    <row r="473" spans="1:60" s="3" customFormat="1" ht="20.399999999999999" x14ac:dyDescent="0.3">
      <c r="A473" s="25"/>
      <c r="B473" s="26" t="s">
        <v>339</v>
      </c>
      <c r="C473" s="419" t="s">
        <v>340</v>
      </c>
      <c r="D473" s="419"/>
      <c r="E473" s="419"/>
      <c r="F473" s="27" t="s">
        <v>75</v>
      </c>
      <c r="G473" s="22" t="s">
        <v>2966</v>
      </c>
      <c r="H473" s="58"/>
      <c r="I473" s="28"/>
      <c r="J473" s="28"/>
      <c r="K473" s="29"/>
      <c r="BC473" s="14"/>
      <c r="BD473" s="15"/>
      <c r="BE473" s="21"/>
      <c r="BF473" s="43"/>
      <c r="BG473" s="12" t="s">
        <v>340</v>
      </c>
      <c r="BH473" s="12"/>
    </row>
    <row r="474" spans="1:60" s="3" customFormat="1" ht="20.399999999999999" x14ac:dyDescent="0.3">
      <c r="A474" s="25"/>
      <c r="B474" s="26" t="s">
        <v>2909</v>
      </c>
      <c r="C474" s="419" t="s">
        <v>2910</v>
      </c>
      <c r="D474" s="419"/>
      <c r="E474" s="419"/>
      <c r="F474" s="27" t="s">
        <v>70</v>
      </c>
      <c r="G474" s="22" t="s">
        <v>2967</v>
      </c>
      <c r="H474" s="58"/>
      <c r="I474" s="28"/>
      <c r="J474" s="28"/>
      <c r="K474" s="29"/>
      <c r="BC474" s="14"/>
      <c r="BD474" s="15"/>
      <c r="BE474" s="21"/>
      <c r="BF474" s="43"/>
      <c r="BG474" s="12" t="s">
        <v>2910</v>
      </c>
      <c r="BH474" s="12"/>
    </row>
    <row r="475" spans="1:60" s="3" customFormat="1" ht="20.399999999999999" x14ac:dyDescent="0.3">
      <c r="A475" s="37" t="s">
        <v>143</v>
      </c>
      <c r="B475" s="38" t="s">
        <v>2003</v>
      </c>
      <c r="C475" s="430" t="s">
        <v>2968</v>
      </c>
      <c r="D475" s="430"/>
      <c r="E475" s="430"/>
      <c r="F475" s="39" t="s">
        <v>158</v>
      </c>
      <c r="G475" s="40" t="s">
        <v>2969</v>
      </c>
      <c r="H475" s="100"/>
      <c r="I475" s="41"/>
      <c r="J475" s="41"/>
      <c r="K475" s="42"/>
      <c r="BC475" s="14"/>
      <c r="BD475" s="15"/>
      <c r="BE475" s="21"/>
      <c r="BF475" s="43" t="s">
        <v>2968</v>
      </c>
      <c r="BG475" s="12"/>
      <c r="BH475" s="12"/>
    </row>
    <row r="476" spans="1:60" s="3" customFormat="1" ht="20.399999999999999" x14ac:dyDescent="0.3">
      <c r="A476" s="37" t="s">
        <v>143</v>
      </c>
      <c r="B476" s="38" t="s">
        <v>2970</v>
      </c>
      <c r="C476" s="430" t="s">
        <v>2971</v>
      </c>
      <c r="D476" s="430"/>
      <c r="E476" s="430"/>
      <c r="F476" s="39" t="s">
        <v>75</v>
      </c>
      <c r="G476" s="40" t="s">
        <v>2972</v>
      </c>
      <c r="H476" s="100"/>
      <c r="I476" s="41"/>
      <c r="J476" s="41"/>
      <c r="K476" s="42"/>
      <c r="BC476" s="14"/>
      <c r="BD476" s="15"/>
      <c r="BE476" s="21"/>
      <c r="BF476" s="43" t="s">
        <v>2971</v>
      </c>
      <c r="BG476" s="12"/>
      <c r="BH476" s="12"/>
    </row>
    <row r="477" spans="1:60" s="3" customFormat="1" ht="20.399999999999999" x14ac:dyDescent="0.3">
      <c r="A477" s="25" t="s">
        <v>129</v>
      </c>
      <c r="B477" s="26" t="s">
        <v>2973</v>
      </c>
      <c r="C477" s="419" t="s">
        <v>2974</v>
      </c>
      <c r="D477" s="419"/>
      <c r="E477" s="419"/>
      <c r="F477" s="27" t="s">
        <v>70</v>
      </c>
      <c r="G477" s="22" t="s">
        <v>2975</v>
      </c>
      <c r="H477" s="58"/>
      <c r="I477" s="28"/>
      <c r="J477" s="28"/>
      <c r="K477" s="29"/>
      <c r="BC477" s="14"/>
      <c r="BD477" s="15"/>
      <c r="BE477" s="21"/>
      <c r="BF477" s="43"/>
      <c r="BG477" s="12"/>
      <c r="BH477" s="12" t="s">
        <v>2974</v>
      </c>
    </row>
    <row r="478" spans="1:60" s="3" customFormat="1" ht="72.599999999999994" x14ac:dyDescent="0.3">
      <c r="A478" s="25" t="s">
        <v>129</v>
      </c>
      <c r="B478" s="26" t="s">
        <v>2936</v>
      </c>
      <c r="C478" s="419" t="s">
        <v>2937</v>
      </c>
      <c r="D478" s="419"/>
      <c r="E478" s="419"/>
      <c r="F478" s="27" t="s">
        <v>158</v>
      </c>
      <c r="G478" s="22" t="s">
        <v>2969</v>
      </c>
      <c r="H478" s="58"/>
      <c r="I478" s="28"/>
      <c r="J478" s="28"/>
      <c r="K478" s="29"/>
      <c r="BC478" s="14"/>
      <c r="BD478" s="15"/>
      <c r="BE478" s="21"/>
      <c r="BF478" s="43"/>
      <c r="BG478" s="12"/>
      <c r="BH478" s="12" t="s">
        <v>2937</v>
      </c>
    </row>
    <row r="479" spans="1:60" s="3" customFormat="1" ht="15" customHeight="1" x14ac:dyDescent="0.3">
      <c r="A479" s="454" t="s">
        <v>2976</v>
      </c>
      <c r="B479" s="455"/>
      <c r="C479" s="455"/>
      <c r="D479" s="455"/>
      <c r="E479" s="455"/>
      <c r="F479" s="455"/>
      <c r="G479" s="455"/>
      <c r="H479" s="296"/>
      <c r="I479" s="296"/>
      <c r="J479" s="296"/>
      <c r="K479" s="297"/>
      <c r="BC479" s="14"/>
      <c r="BD479" s="15" t="s">
        <v>2976</v>
      </c>
      <c r="BE479" s="21"/>
      <c r="BF479" s="43"/>
      <c r="BG479" s="12"/>
      <c r="BH479" s="12"/>
    </row>
    <row r="480" spans="1:60" s="3" customFormat="1" ht="15" customHeight="1" x14ac:dyDescent="0.3">
      <c r="A480" s="454" t="s">
        <v>2977</v>
      </c>
      <c r="B480" s="455"/>
      <c r="C480" s="455"/>
      <c r="D480" s="455"/>
      <c r="E480" s="455"/>
      <c r="F480" s="455"/>
      <c r="G480" s="455"/>
      <c r="H480" s="296"/>
      <c r="I480" s="296"/>
      <c r="J480" s="296"/>
      <c r="K480" s="297"/>
      <c r="BC480" s="14"/>
      <c r="BD480" s="15" t="s">
        <v>2977</v>
      </c>
      <c r="BE480" s="21"/>
      <c r="BF480" s="43"/>
      <c r="BG480" s="12"/>
      <c r="BH480" s="12"/>
    </row>
    <row r="481" spans="1:60" s="3" customFormat="1" ht="21.6" x14ac:dyDescent="0.3">
      <c r="A481" s="16" t="s">
        <v>2978</v>
      </c>
      <c r="B481" s="17" t="s">
        <v>2979</v>
      </c>
      <c r="C481" s="405" t="s">
        <v>2980</v>
      </c>
      <c r="D481" s="405"/>
      <c r="E481" s="405"/>
      <c r="F481" s="16" t="s">
        <v>115</v>
      </c>
      <c r="G481" s="24">
        <v>7.9</v>
      </c>
      <c r="H481" s="57">
        <f>I481/G481</f>
        <v>130.61898734177231</v>
      </c>
      <c r="I481" s="19">
        <v>1031.8900000000012</v>
      </c>
      <c r="J481" s="19">
        <f>K481/G481</f>
        <v>1753.3620253164556</v>
      </c>
      <c r="K481" s="19">
        <v>13851.56</v>
      </c>
      <c r="BC481" s="14"/>
      <c r="BD481" s="15"/>
      <c r="BE481" s="21" t="s">
        <v>2980</v>
      </c>
      <c r="BF481" s="43"/>
      <c r="BG481" s="12"/>
      <c r="BH481" s="12"/>
    </row>
    <row r="482" spans="1:60" s="3" customFormat="1" ht="21.6" x14ac:dyDescent="0.3">
      <c r="A482" s="25"/>
      <c r="B482" s="26" t="s">
        <v>2981</v>
      </c>
      <c r="C482" s="419" t="s">
        <v>2982</v>
      </c>
      <c r="D482" s="419"/>
      <c r="E482" s="419"/>
      <c r="F482" s="27" t="s">
        <v>142</v>
      </c>
      <c r="G482" s="22" t="s">
        <v>2983</v>
      </c>
      <c r="H482" s="58"/>
      <c r="I482" s="28"/>
      <c r="J482" s="28"/>
      <c r="K482" s="29"/>
      <c r="BC482" s="14"/>
      <c r="BD482" s="15"/>
      <c r="BE482" s="21"/>
      <c r="BF482" s="43"/>
      <c r="BG482" s="12" t="s">
        <v>2982</v>
      </c>
      <c r="BH482" s="12"/>
    </row>
    <row r="483" spans="1:60" s="3" customFormat="1" ht="20.399999999999999" x14ac:dyDescent="0.3">
      <c r="A483" s="37" t="s">
        <v>143</v>
      </c>
      <c r="B483" s="38" t="s">
        <v>2984</v>
      </c>
      <c r="C483" s="430" t="s">
        <v>2985</v>
      </c>
      <c r="D483" s="430"/>
      <c r="E483" s="430"/>
      <c r="F483" s="39" t="s">
        <v>115</v>
      </c>
      <c r="G483" s="40" t="s">
        <v>2986</v>
      </c>
      <c r="H483" s="100"/>
      <c r="I483" s="41"/>
      <c r="J483" s="41"/>
      <c r="K483" s="42"/>
      <c r="BC483" s="14"/>
      <c r="BD483" s="15"/>
      <c r="BE483" s="21"/>
      <c r="BF483" s="43" t="s">
        <v>2985</v>
      </c>
      <c r="BG483" s="12"/>
      <c r="BH483" s="12"/>
    </row>
    <row r="484" spans="1:60" s="3" customFormat="1" ht="20.399999999999999" x14ac:dyDescent="0.3">
      <c r="A484" s="37" t="s">
        <v>143</v>
      </c>
      <c r="B484" s="38" t="s">
        <v>2987</v>
      </c>
      <c r="C484" s="430" t="s">
        <v>2988</v>
      </c>
      <c r="D484" s="430"/>
      <c r="E484" s="430"/>
      <c r="F484" s="39" t="s">
        <v>38</v>
      </c>
      <c r="G484" s="40" t="s">
        <v>2989</v>
      </c>
      <c r="H484" s="100"/>
      <c r="I484" s="41"/>
      <c r="J484" s="41"/>
      <c r="K484" s="42"/>
      <c r="BC484" s="14"/>
      <c r="BD484" s="15"/>
      <c r="BE484" s="21"/>
      <c r="BF484" s="43" t="s">
        <v>2988</v>
      </c>
      <c r="BG484" s="12"/>
      <c r="BH484" s="12"/>
    </row>
    <row r="485" spans="1:60" s="3" customFormat="1" ht="21.6" x14ac:dyDescent="0.3">
      <c r="A485" s="25" t="s">
        <v>129</v>
      </c>
      <c r="B485" s="26" t="s">
        <v>2990</v>
      </c>
      <c r="C485" s="419" t="s">
        <v>2991</v>
      </c>
      <c r="D485" s="419"/>
      <c r="E485" s="419"/>
      <c r="F485" s="27" t="s">
        <v>38</v>
      </c>
      <c r="G485" s="22" t="s">
        <v>2992</v>
      </c>
      <c r="H485" s="58"/>
      <c r="I485" s="28"/>
      <c r="J485" s="28"/>
      <c r="K485" s="29"/>
      <c r="BC485" s="14"/>
      <c r="BD485" s="15"/>
      <c r="BE485" s="21"/>
      <c r="BF485" s="43"/>
      <c r="BG485" s="12"/>
      <c r="BH485" s="12" t="s">
        <v>2991</v>
      </c>
    </row>
    <row r="486" spans="1:60" s="3" customFormat="1" ht="31.8" x14ac:dyDescent="0.3">
      <c r="A486" s="25" t="s">
        <v>129</v>
      </c>
      <c r="B486" s="26" t="s">
        <v>2993</v>
      </c>
      <c r="C486" s="419" t="s">
        <v>2994</v>
      </c>
      <c r="D486" s="419"/>
      <c r="E486" s="419"/>
      <c r="F486" s="27" t="s">
        <v>38</v>
      </c>
      <c r="G486" s="22" t="s">
        <v>2995</v>
      </c>
      <c r="H486" s="58"/>
      <c r="I486" s="28"/>
      <c r="J486" s="28"/>
      <c r="K486" s="29"/>
      <c r="BC486" s="14"/>
      <c r="BD486" s="15"/>
      <c r="BE486" s="21"/>
      <c r="BF486" s="43"/>
      <c r="BG486" s="12"/>
      <c r="BH486" s="12" t="s">
        <v>2994</v>
      </c>
    </row>
    <row r="487" spans="1:60" s="3" customFormat="1" ht="31.8" x14ac:dyDescent="0.3">
      <c r="A487" s="25" t="s">
        <v>129</v>
      </c>
      <c r="B487" s="26" t="s">
        <v>2996</v>
      </c>
      <c r="C487" s="419" t="s">
        <v>2997</v>
      </c>
      <c r="D487" s="419"/>
      <c r="E487" s="419"/>
      <c r="F487" s="27" t="s">
        <v>38</v>
      </c>
      <c r="G487" s="22" t="s">
        <v>2998</v>
      </c>
      <c r="H487" s="58"/>
      <c r="I487" s="28"/>
      <c r="J487" s="28"/>
      <c r="K487" s="29"/>
      <c r="BC487" s="14"/>
      <c r="BD487" s="15"/>
      <c r="BE487" s="21"/>
      <c r="BF487" s="43"/>
      <c r="BG487" s="12"/>
      <c r="BH487" s="12" t="s">
        <v>2997</v>
      </c>
    </row>
    <row r="488" spans="1:60" s="3" customFormat="1" ht="31.8" x14ac:dyDescent="0.3">
      <c r="A488" s="25" t="s">
        <v>129</v>
      </c>
      <c r="B488" s="26" t="s">
        <v>2999</v>
      </c>
      <c r="C488" s="419" t="s">
        <v>3000</v>
      </c>
      <c r="D488" s="419"/>
      <c r="E488" s="419"/>
      <c r="F488" s="27" t="s">
        <v>38</v>
      </c>
      <c r="G488" s="22" t="s">
        <v>2998</v>
      </c>
      <c r="H488" s="58"/>
      <c r="I488" s="28"/>
      <c r="J488" s="28"/>
      <c r="K488" s="29"/>
      <c r="BC488" s="14"/>
      <c r="BD488" s="15"/>
      <c r="BE488" s="21"/>
      <c r="BF488" s="43"/>
      <c r="BG488" s="12"/>
      <c r="BH488" s="12" t="s">
        <v>3000</v>
      </c>
    </row>
    <row r="489" spans="1:60" s="3" customFormat="1" ht="15" customHeight="1" x14ac:dyDescent="0.3">
      <c r="A489" s="454" t="s">
        <v>3001</v>
      </c>
      <c r="B489" s="455"/>
      <c r="C489" s="455"/>
      <c r="D489" s="455"/>
      <c r="E489" s="455"/>
      <c r="F489" s="455"/>
      <c r="G489" s="455"/>
      <c r="H489" s="296"/>
      <c r="I489" s="296"/>
      <c r="J489" s="296"/>
      <c r="K489" s="297"/>
      <c r="BC489" s="14"/>
      <c r="BD489" s="15" t="s">
        <v>3001</v>
      </c>
      <c r="BE489" s="21"/>
      <c r="BF489" s="43"/>
      <c r="BG489" s="12"/>
      <c r="BH489" s="12"/>
    </row>
    <row r="490" spans="1:60" s="3" customFormat="1" ht="21.6" x14ac:dyDescent="0.3">
      <c r="A490" s="16" t="s">
        <v>3002</v>
      </c>
      <c r="B490" s="17" t="s">
        <v>3003</v>
      </c>
      <c r="C490" s="405" t="s">
        <v>3004</v>
      </c>
      <c r="D490" s="405"/>
      <c r="E490" s="405"/>
      <c r="F490" s="16" t="s">
        <v>38</v>
      </c>
      <c r="G490" s="23">
        <v>1</v>
      </c>
      <c r="H490" s="57">
        <f>I490/G490</f>
        <v>196.5</v>
      </c>
      <c r="I490" s="19">
        <v>196.5</v>
      </c>
      <c r="J490" s="19">
        <f>K490/G490</f>
        <v>3166.53</v>
      </c>
      <c r="K490" s="19">
        <v>3166.53</v>
      </c>
      <c r="BC490" s="14"/>
      <c r="BD490" s="15"/>
      <c r="BE490" s="21" t="s">
        <v>3004</v>
      </c>
      <c r="BF490" s="43"/>
      <c r="BG490" s="12"/>
      <c r="BH490" s="12"/>
    </row>
    <row r="491" spans="1:60" s="3" customFormat="1" ht="20.399999999999999" x14ac:dyDescent="0.3">
      <c r="A491" s="37" t="s">
        <v>143</v>
      </c>
      <c r="B491" s="38" t="s">
        <v>2987</v>
      </c>
      <c r="C491" s="430" t="s">
        <v>2988</v>
      </c>
      <c r="D491" s="430"/>
      <c r="E491" s="430"/>
      <c r="F491" s="39" t="s">
        <v>38</v>
      </c>
      <c r="G491" s="40" t="s">
        <v>1179</v>
      </c>
      <c r="H491" s="100"/>
      <c r="I491" s="41"/>
      <c r="J491" s="41"/>
      <c r="K491" s="42"/>
      <c r="BC491" s="14"/>
      <c r="BD491" s="15"/>
      <c r="BE491" s="21"/>
      <c r="BF491" s="43" t="s">
        <v>2988</v>
      </c>
      <c r="BG491" s="12"/>
      <c r="BH491" s="12"/>
    </row>
    <row r="492" spans="1:60" s="3" customFormat="1" ht="31.8" x14ac:dyDescent="0.3">
      <c r="A492" s="25" t="s">
        <v>129</v>
      </c>
      <c r="B492" s="26" t="s">
        <v>3005</v>
      </c>
      <c r="C492" s="419" t="s">
        <v>3006</v>
      </c>
      <c r="D492" s="419"/>
      <c r="E492" s="419"/>
      <c r="F492" s="27" t="s">
        <v>38</v>
      </c>
      <c r="G492" s="22" t="s">
        <v>1179</v>
      </c>
      <c r="H492" s="58"/>
      <c r="I492" s="28"/>
      <c r="J492" s="28"/>
      <c r="K492" s="29"/>
      <c r="BC492" s="14"/>
      <c r="BD492" s="15"/>
      <c r="BE492" s="21"/>
      <c r="BF492" s="43"/>
      <c r="BG492" s="12"/>
      <c r="BH492" s="12" t="s">
        <v>3006</v>
      </c>
    </row>
    <row r="493" spans="1:60" s="3" customFormat="1" ht="15" customHeight="1" x14ac:dyDescent="0.3">
      <c r="A493" s="454" t="s">
        <v>3007</v>
      </c>
      <c r="B493" s="455"/>
      <c r="C493" s="455"/>
      <c r="D493" s="455"/>
      <c r="E493" s="455"/>
      <c r="F493" s="455"/>
      <c r="G493" s="455"/>
      <c r="H493" s="296"/>
      <c r="I493" s="296"/>
      <c r="J493" s="296"/>
      <c r="K493" s="297"/>
      <c r="BC493" s="14"/>
      <c r="BD493" s="15" t="s">
        <v>3007</v>
      </c>
      <c r="BE493" s="21"/>
      <c r="BF493" s="43"/>
      <c r="BG493" s="12"/>
      <c r="BH493" s="12"/>
    </row>
    <row r="494" spans="1:60" s="3" customFormat="1" ht="21.6" x14ac:dyDescent="0.3">
      <c r="A494" s="16" t="s">
        <v>3008</v>
      </c>
      <c r="B494" s="17" t="s">
        <v>2979</v>
      </c>
      <c r="C494" s="405" t="s">
        <v>2980</v>
      </c>
      <c r="D494" s="405"/>
      <c r="E494" s="405"/>
      <c r="F494" s="16" t="s">
        <v>115</v>
      </c>
      <c r="G494" s="23">
        <v>4</v>
      </c>
      <c r="H494" s="57">
        <f>I494/G494</f>
        <v>130.62</v>
      </c>
      <c r="I494" s="19">
        <v>522.48</v>
      </c>
      <c r="J494" s="19">
        <f>K494/G494</f>
        <v>69.03</v>
      </c>
      <c r="K494" s="19">
        <v>276.12</v>
      </c>
      <c r="BC494" s="14"/>
      <c r="BD494" s="15"/>
      <c r="BE494" s="21" t="s">
        <v>2980</v>
      </c>
      <c r="BF494" s="43"/>
      <c r="BG494" s="12"/>
      <c r="BH494" s="12"/>
    </row>
    <row r="495" spans="1:60" s="3" customFormat="1" ht="21.6" x14ac:dyDescent="0.3">
      <c r="A495" s="25"/>
      <c r="B495" s="26" t="s">
        <v>2981</v>
      </c>
      <c r="C495" s="419" t="s">
        <v>2982</v>
      </c>
      <c r="D495" s="419"/>
      <c r="E495" s="419"/>
      <c r="F495" s="27" t="s">
        <v>142</v>
      </c>
      <c r="G495" s="22" t="s">
        <v>3009</v>
      </c>
      <c r="H495" s="58"/>
      <c r="I495" s="28"/>
      <c r="J495" s="28"/>
      <c r="K495" s="29"/>
      <c r="BC495" s="14"/>
      <c r="BD495" s="15"/>
      <c r="BE495" s="21"/>
      <c r="BF495" s="43"/>
      <c r="BG495" s="12" t="s">
        <v>2982</v>
      </c>
      <c r="BH495" s="12"/>
    </row>
    <row r="496" spans="1:60" s="3" customFormat="1" ht="20.399999999999999" x14ac:dyDescent="0.3">
      <c r="A496" s="37" t="s">
        <v>143</v>
      </c>
      <c r="B496" s="38" t="s">
        <v>2984</v>
      </c>
      <c r="C496" s="430" t="s">
        <v>2985</v>
      </c>
      <c r="D496" s="430"/>
      <c r="E496" s="430"/>
      <c r="F496" s="39" t="s">
        <v>115</v>
      </c>
      <c r="G496" s="40" t="s">
        <v>3010</v>
      </c>
      <c r="H496" s="100"/>
      <c r="I496" s="41"/>
      <c r="J496" s="41"/>
      <c r="K496" s="42"/>
      <c r="BC496" s="14"/>
      <c r="BD496" s="15"/>
      <c r="BE496" s="21"/>
      <c r="BF496" s="43" t="s">
        <v>2985</v>
      </c>
      <c r="BG496" s="12"/>
      <c r="BH496" s="12"/>
    </row>
    <row r="497" spans="1:60" s="3" customFormat="1" ht="20.399999999999999" x14ac:dyDescent="0.3">
      <c r="A497" s="37" t="s">
        <v>143</v>
      </c>
      <c r="B497" s="38" t="s">
        <v>2987</v>
      </c>
      <c r="C497" s="430" t="s">
        <v>2988</v>
      </c>
      <c r="D497" s="430"/>
      <c r="E497" s="430"/>
      <c r="F497" s="39" t="s">
        <v>38</v>
      </c>
      <c r="G497" s="40" t="s">
        <v>3011</v>
      </c>
      <c r="H497" s="100"/>
      <c r="I497" s="41"/>
      <c r="J497" s="41"/>
      <c r="K497" s="42"/>
      <c r="BC497" s="14"/>
      <c r="BD497" s="15"/>
      <c r="BE497" s="21"/>
      <c r="BF497" s="43" t="s">
        <v>2988</v>
      </c>
      <c r="BG497" s="12"/>
      <c r="BH497" s="12"/>
    </row>
    <row r="498" spans="1:60" s="3" customFormat="1" ht="31.8" x14ac:dyDescent="0.3">
      <c r="A498" s="16" t="s">
        <v>3012</v>
      </c>
      <c r="B498" s="17" t="s">
        <v>3013</v>
      </c>
      <c r="C498" s="405" t="s">
        <v>3014</v>
      </c>
      <c r="D498" s="405"/>
      <c r="E498" s="405"/>
      <c r="F498" s="16" t="s">
        <v>38</v>
      </c>
      <c r="G498" s="23">
        <v>2</v>
      </c>
      <c r="H498" s="57">
        <f t="shared" ref="H498:H502" si="4">I498/G498</f>
        <v>0</v>
      </c>
      <c r="I498" s="19">
        <v>0</v>
      </c>
      <c r="J498" s="19">
        <f t="shared" ref="J498:J502" si="5">K498/G498</f>
        <v>1823.1</v>
      </c>
      <c r="K498" s="19">
        <v>3646.2</v>
      </c>
      <c r="BC498" s="14"/>
      <c r="BD498" s="15"/>
      <c r="BE498" s="21" t="s">
        <v>3014</v>
      </c>
      <c r="BF498" s="43"/>
      <c r="BG498" s="12"/>
      <c r="BH498" s="12"/>
    </row>
    <row r="499" spans="1:60" s="3" customFormat="1" ht="31.8" x14ac:dyDescent="0.3">
      <c r="A499" s="16" t="s">
        <v>3015</v>
      </c>
      <c r="B499" s="17" t="s">
        <v>2999</v>
      </c>
      <c r="C499" s="405" t="s">
        <v>3000</v>
      </c>
      <c r="D499" s="405"/>
      <c r="E499" s="405"/>
      <c r="F499" s="16" t="s">
        <v>38</v>
      </c>
      <c r="G499" s="23">
        <v>2</v>
      </c>
      <c r="H499" s="57">
        <f t="shared" si="4"/>
        <v>0</v>
      </c>
      <c r="I499" s="19">
        <v>0</v>
      </c>
      <c r="J499" s="19">
        <f t="shared" si="5"/>
        <v>415.77499999999998</v>
      </c>
      <c r="K499" s="19">
        <v>831.55</v>
      </c>
      <c r="BC499" s="14"/>
      <c r="BD499" s="15"/>
      <c r="BE499" s="21" t="s">
        <v>3000</v>
      </c>
      <c r="BF499" s="43"/>
      <c r="BG499" s="12"/>
      <c r="BH499" s="12"/>
    </row>
    <row r="500" spans="1:60" s="3" customFormat="1" ht="21.6" x14ac:dyDescent="0.3">
      <c r="A500" s="16" t="s">
        <v>3016</v>
      </c>
      <c r="B500" s="17" t="s">
        <v>3017</v>
      </c>
      <c r="C500" s="405" t="s">
        <v>3018</v>
      </c>
      <c r="D500" s="405"/>
      <c r="E500" s="405"/>
      <c r="F500" s="16" t="s">
        <v>38</v>
      </c>
      <c r="G500" s="23">
        <v>6</v>
      </c>
      <c r="H500" s="57">
        <f t="shared" si="4"/>
        <v>0</v>
      </c>
      <c r="I500" s="19">
        <v>0</v>
      </c>
      <c r="J500" s="19">
        <f t="shared" si="5"/>
        <v>1023.5033333333334</v>
      </c>
      <c r="K500" s="19">
        <v>6141.02</v>
      </c>
      <c r="BC500" s="14"/>
      <c r="BD500" s="15"/>
      <c r="BE500" s="21" t="s">
        <v>3018</v>
      </c>
      <c r="BF500" s="43"/>
      <c r="BG500" s="12"/>
      <c r="BH500" s="12"/>
    </row>
    <row r="501" spans="1:60" s="3" customFormat="1" ht="31.8" x14ac:dyDescent="0.3">
      <c r="A501" s="16" t="s">
        <v>3019</v>
      </c>
      <c r="B501" s="17" t="s">
        <v>3020</v>
      </c>
      <c r="C501" s="405" t="s">
        <v>3021</v>
      </c>
      <c r="D501" s="405"/>
      <c r="E501" s="405"/>
      <c r="F501" s="16" t="s">
        <v>38</v>
      </c>
      <c r="G501" s="23">
        <v>2</v>
      </c>
      <c r="H501" s="57">
        <f t="shared" si="4"/>
        <v>0</v>
      </c>
      <c r="I501" s="19">
        <v>0</v>
      </c>
      <c r="J501" s="19">
        <f t="shared" si="5"/>
        <v>815.70500000000004</v>
      </c>
      <c r="K501" s="19">
        <v>1631.41</v>
      </c>
      <c r="BC501" s="14"/>
      <c r="BD501" s="15"/>
      <c r="BE501" s="21" t="s">
        <v>3021</v>
      </c>
      <c r="BF501" s="43"/>
      <c r="BG501" s="12"/>
      <c r="BH501" s="12"/>
    </row>
    <row r="502" spans="1:60" s="3" customFormat="1" ht="31.8" x14ac:dyDescent="0.3">
      <c r="A502" s="16" t="s">
        <v>3022</v>
      </c>
      <c r="B502" s="17" t="s">
        <v>3023</v>
      </c>
      <c r="C502" s="405" t="s">
        <v>3024</v>
      </c>
      <c r="D502" s="405"/>
      <c r="E502" s="405"/>
      <c r="F502" s="16" t="s">
        <v>38</v>
      </c>
      <c r="G502" s="23">
        <v>1</v>
      </c>
      <c r="H502" s="57">
        <f t="shared" si="4"/>
        <v>0</v>
      </c>
      <c r="I502" s="19">
        <v>0</v>
      </c>
      <c r="J502" s="19">
        <f t="shared" si="5"/>
        <v>735.61</v>
      </c>
      <c r="K502" s="19">
        <v>735.61</v>
      </c>
      <c r="BC502" s="14"/>
      <c r="BD502" s="15"/>
      <c r="BE502" s="21" t="s">
        <v>3024</v>
      </c>
      <c r="BF502" s="43"/>
      <c r="BG502" s="12"/>
      <c r="BH502" s="12"/>
    </row>
    <row r="503" spans="1:60" s="3" customFormat="1" ht="15" customHeight="1" x14ac:dyDescent="0.3">
      <c r="A503" s="435" t="s">
        <v>3025</v>
      </c>
      <c r="B503" s="436"/>
      <c r="C503" s="436"/>
      <c r="D503" s="436"/>
      <c r="E503" s="436"/>
      <c r="F503" s="436"/>
      <c r="G503" s="436"/>
      <c r="H503" s="103"/>
      <c r="I503" s="103"/>
      <c r="J503" s="103"/>
      <c r="K503" s="104"/>
      <c r="BC503" s="14" t="s">
        <v>3025</v>
      </c>
      <c r="BD503" s="15"/>
      <c r="BE503" s="21"/>
      <c r="BF503" s="43"/>
      <c r="BG503" s="12"/>
      <c r="BH503" s="12"/>
    </row>
    <row r="504" spans="1:60" s="3" customFormat="1" ht="14.4" x14ac:dyDescent="0.3">
      <c r="A504" s="454" t="s">
        <v>3026</v>
      </c>
      <c r="B504" s="455"/>
      <c r="C504" s="455"/>
      <c r="D504" s="455"/>
      <c r="E504" s="455"/>
      <c r="F504" s="455"/>
      <c r="G504" s="455"/>
      <c r="H504" s="296"/>
      <c r="I504" s="296"/>
      <c r="J504" s="296"/>
      <c r="K504" s="297"/>
      <c r="BC504" s="14"/>
      <c r="BD504" s="15" t="s">
        <v>3026</v>
      </c>
      <c r="BE504" s="21"/>
      <c r="BF504" s="43"/>
      <c r="BG504" s="12"/>
      <c r="BH504" s="12"/>
    </row>
    <row r="505" spans="1:60" s="3" customFormat="1" ht="62.4" x14ac:dyDescent="0.3">
      <c r="A505" s="16" t="s">
        <v>3027</v>
      </c>
      <c r="B505" s="17" t="s">
        <v>3028</v>
      </c>
      <c r="C505" s="405" t="s">
        <v>3029</v>
      </c>
      <c r="D505" s="405"/>
      <c r="E505" s="405"/>
      <c r="F505" s="16" t="s">
        <v>329</v>
      </c>
      <c r="G505" s="18">
        <v>8.1000000000000003E-2</v>
      </c>
      <c r="H505" s="57">
        <f>I505/G505</f>
        <v>148997.40740740715</v>
      </c>
      <c r="I505" s="19">
        <v>12068.789999999979</v>
      </c>
      <c r="J505" s="19">
        <f>K505/G505</f>
        <v>2441833.0864197533</v>
      </c>
      <c r="K505" s="19">
        <v>197788.48</v>
      </c>
      <c r="BC505" s="14"/>
      <c r="BD505" s="15"/>
      <c r="BE505" s="21" t="s">
        <v>3029</v>
      </c>
      <c r="BF505" s="43"/>
      <c r="BG505" s="12"/>
      <c r="BH505" s="12"/>
    </row>
    <row r="506" spans="1:60" s="3" customFormat="1" ht="20.399999999999999" x14ac:dyDescent="0.3">
      <c r="A506" s="25"/>
      <c r="B506" s="26" t="s">
        <v>3030</v>
      </c>
      <c r="C506" s="419" t="s">
        <v>3031</v>
      </c>
      <c r="D506" s="419"/>
      <c r="E506" s="419"/>
      <c r="F506" s="27" t="s">
        <v>115</v>
      </c>
      <c r="G506" s="22" t="s">
        <v>3032</v>
      </c>
      <c r="H506" s="58"/>
      <c r="I506" s="28"/>
      <c r="J506" s="28"/>
      <c r="K506" s="29"/>
      <c r="BC506" s="14"/>
      <c r="BD506" s="15"/>
      <c r="BE506" s="21"/>
      <c r="BF506" s="43"/>
      <c r="BG506" s="12" t="s">
        <v>3031</v>
      </c>
      <c r="BH506" s="12"/>
    </row>
    <row r="507" spans="1:60" s="3" customFormat="1" ht="20.399999999999999" x14ac:dyDescent="0.3">
      <c r="A507" s="25"/>
      <c r="B507" s="26" t="s">
        <v>3033</v>
      </c>
      <c r="C507" s="419" t="s">
        <v>3034</v>
      </c>
      <c r="D507" s="419"/>
      <c r="E507" s="419"/>
      <c r="F507" s="27" t="s">
        <v>115</v>
      </c>
      <c r="G507" s="22" t="s">
        <v>3035</v>
      </c>
      <c r="H507" s="58"/>
      <c r="I507" s="28"/>
      <c r="J507" s="28"/>
      <c r="K507" s="29"/>
      <c r="BC507" s="14"/>
      <c r="BD507" s="15"/>
      <c r="BE507" s="21"/>
      <c r="BF507" s="43"/>
      <c r="BG507" s="12" t="s">
        <v>3034</v>
      </c>
      <c r="BH507" s="12"/>
    </row>
    <row r="508" spans="1:60" s="3" customFormat="1" ht="20.399999999999999" x14ac:dyDescent="0.3">
      <c r="A508" s="25"/>
      <c r="B508" s="26" t="s">
        <v>3036</v>
      </c>
      <c r="C508" s="419" t="s">
        <v>3037</v>
      </c>
      <c r="D508" s="419"/>
      <c r="E508" s="419"/>
      <c r="F508" s="27" t="s">
        <v>406</v>
      </c>
      <c r="G508" s="22" t="s">
        <v>3038</v>
      </c>
      <c r="H508" s="58"/>
      <c r="I508" s="28"/>
      <c r="J508" s="28"/>
      <c r="K508" s="29"/>
      <c r="BC508" s="14"/>
      <c r="BD508" s="15"/>
      <c r="BE508" s="21"/>
      <c r="BF508" s="43"/>
      <c r="BG508" s="12" t="s">
        <v>3037</v>
      </c>
      <c r="BH508" s="12"/>
    </row>
    <row r="509" spans="1:60" s="3" customFormat="1" ht="21.6" x14ac:dyDescent="0.3">
      <c r="A509" s="25"/>
      <c r="B509" s="26" t="s">
        <v>3039</v>
      </c>
      <c r="C509" s="419" t="s">
        <v>3040</v>
      </c>
      <c r="D509" s="419"/>
      <c r="E509" s="419"/>
      <c r="F509" s="27" t="s">
        <v>1261</v>
      </c>
      <c r="G509" s="22" t="s">
        <v>3041</v>
      </c>
      <c r="H509" s="58"/>
      <c r="I509" s="28"/>
      <c r="J509" s="28"/>
      <c r="K509" s="29"/>
      <c r="BC509" s="14"/>
      <c r="BD509" s="15"/>
      <c r="BE509" s="21"/>
      <c r="BF509" s="43"/>
      <c r="BG509" s="12" t="s">
        <v>3040</v>
      </c>
      <c r="BH509" s="12"/>
    </row>
    <row r="510" spans="1:60" s="3" customFormat="1" ht="20.399999999999999" x14ac:dyDescent="0.3">
      <c r="A510" s="37" t="s">
        <v>143</v>
      </c>
      <c r="B510" s="38" t="s">
        <v>3042</v>
      </c>
      <c r="C510" s="430" t="s">
        <v>3043</v>
      </c>
      <c r="D510" s="430"/>
      <c r="E510" s="430"/>
      <c r="F510" s="39" t="s">
        <v>158</v>
      </c>
      <c r="G510" s="40" t="s">
        <v>3044</v>
      </c>
      <c r="H510" s="100"/>
      <c r="I510" s="41"/>
      <c r="J510" s="41"/>
      <c r="K510" s="42"/>
      <c r="BC510" s="14"/>
      <c r="BD510" s="15"/>
      <c r="BE510" s="21"/>
      <c r="BF510" s="43" t="s">
        <v>3043</v>
      </c>
      <c r="BG510" s="12"/>
      <c r="BH510" s="12"/>
    </row>
    <row r="511" spans="1:60" s="3" customFormat="1" ht="20.399999999999999" x14ac:dyDescent="0.3">
      <c r="A511" s="25"/>
      <c r="B511" s="26" t="s">
        <v>442</v>
      </c>
      <c r="C511" s="419" t="s">
        <v>443</v>
      </c>
      <c r="D511" s="419"/>
      <c r="E511" s="419"/>
      <c r="F511" s="27" t="s">
        <v>142</v>
      </c>
      <c r="G511" s="22" t="s">
        <v>3045</v>
      </c>
      <c r="H511" s="58"/>
      <c r="I511" s="28"/>
      <c r="J511" s="28"/>
      <c r="K511" s="29"/>
      <c r="BC511" s="14"/>
      <c r="BD511" s="15"/>
      <c r="BE511" s="21"/>
      <c r="BF511" s="43"/>
      <c r="BG511" s="12" t="s">
        <v>443</v>
      </c>
      <c r="BH511" s="12"/>
    </row>
    <row r="512" spans="1:60" s="3" customFormat="1" ht="20.399999999999999" x14ac:dyDescent="0.3">
      <c r="A512" s="25"/>
      <c r="B512" s="26" t="s">
        <v>1423</v>
      </c>
      <c r="C512" s="419" t="s">
        <v>1424</v>
      </c>
      <c r="D512" s="419"/>
      <c r="E512" s="419"/>
      <c r="F512" s="27" t="s">
        <v>430</v>
      </c>
      <c r="G512" s="22" t="s">
        <v>3046</v>
      </c>
      <c r="H512" s="58"/>
      <c r="I512" s="28"/>
      <c r="J512" s="28"/>
      <c r="K512" s="29"/>
      <c r="BC512" s="14"/>
      <c r="BD512" s="15"/>
      <c r="BE512" s="21"/>
      <c r="BF512" s="43"/>
      <c r="BG512" s="12" t="s">
        <v>1424</v>
      </c>
      <c r="BH512" s="12"/>
    </row>
    <row r="513" spans="1:60" s="3" customFormat="1" ht="42" x14ac:dyDescent="0.3">
      <c r="A513" s="25" t="s">
        <v>129</v>
      </c>
      <c r="B513" s="26" t="s">
        <v>3047</v>
      </c>
      <c r="C513" s="419" t="s">
        <v>3048</v>
      </c>
      <c r="D513" s="419"/>
      <c r="E513" s="419"/>
      <c r="F513" s="27" t="s">
        <v>158</v>
      </c>
      <c r="G513" s="22" t="s">
        <v>3044</v>
      </c>
      <c r="H513" s="58"/>
      <c r="I513" s="28"/>
      <c r="J513" s="28"/>
      <c r="K513" s="29"/>
      <c r="BC513" s="14"/>
      <c r="BD513" s="15"/>
      <c r="BE513" s="21"/>
      <c r="BF513" s="43"/>
      <c r="BG513" s="12"/>
      <c r="BH513" s="12" t="s">
        <v>3048</v>
      </c>
    </row>
    <row r="514" spans="1:60" s="3" customFormat="1" ht="14.4" x14ac:dyDescent="0.3">
      <c r="A514" s="454" t="s">
        <v>3049</v>
      </c>
      <c r="B514" s="455"/>
      <c r="C514" s="455"/>
      <c r="D514" s="455"/>
      <c r="E514" s="455"/>
      <c r="F514" s="455"/>
      <c r="G514" s="455"/>
      <c r="H514" s="296"/>
      <c r="I514" s="296"/>
      <c r="J514" s="296"/>
      <c r="K514" s="297"/>
      <c r="BC514" s="14"/>
      <c r="BD514" s="15" t="s">
        <v>3049</v>
      </c>
      <c r="BE514" s="21"/>
      <c r="BF514" s="43"/>
      <c r="BG514" s="12"/>
      <c r="BH514" s="12"/>
    </row>
    <row r="515" spans="1:60" s="3" customFormat="1" ht="62.4" x14ac:dyDescent="0.3">
      <c r="A515" s="16" t="s">
        <v>3050</v>
      </c>
      <c r="B515" s="17" t="s">
        <v>3028</v>
      </c>
      <c r="C515" s="405" t="s">
        <v>3029</v>
      </c>
      <c r="D515" s="405"/>
      <c r="E515" s="405"/>
      <c r="F515" s="16" t="s">
        <v>329</v>
      </c>
      <c r="G515" s="30">
        <v>2.1600000000000001E-2</v>
      </c>
      <c r="H515" s="57">
        <f>I515/G515</f>
        <v>148998.14814814818</v>
      </c>
      <c r="I515" s="19">
        <v>3218.3600000000006</v>
      </c>
      <c r="J515" s="19">
        <f>K515/G515</f>
        <v>2665844.444444444</v>
      </c>
      <c r="K515" s="19">
        <v>57582.239999999998</v>
      </c>
      <c r="BC515" s="14"/>
      <c r="BD515" s="15"/>
      <c r="BE515" s="21" t="s">
        <v>3029</v>
      </c>
      <c r="BF515" s="43"/>
      <c r="BG515" s="12"/>
      <c r="BH515" s="12"/>
    </row>
    <row r="516" spans="1:60" s="3" customFormat="1" ht="20.399999999999999" x14ac:dyDescent="0.3">
      <c r="A516" s="25"/>
      <c r="B516" s="26" t="s">
        <v>3030</v>
      </c>
      <c r="C516" s="419" t="s">
        <v>3031</v>
      </c>
      <c r="D516" s="419"/>
      <c r="E516" s="419"/>
      <c r="F516" s="27" t="s">
        <v>115</v>
      </c>
      <c r="G516" s="22" t="s">
        <v>3051</v>
      </c>
      <c r="H516" s="58"/>
      <c r="I516" s="28"/>
      <c r="J516" s="28"/>
      <c r="K516" s="29"/>
      <c r="BC516" s="14"/>
      <c r="BD516" s="15"/>
      <c r="BE516" s="21"/>
      <c r="BF516" s="43"/>
      <c r="BG516" s="12" t="s">
        <v>3031</v>
      </c>
      <c r="BH516" s="12"/>
    </row>
    <row r="517" spans="1:60" s="3" customFormat="1" ht="20.399999999999999" x14ac:dyDescent="0.3">
      <c r="A517" s="25"/>
      <c r="B517" s="26" t="s">
        <v>3033</v>
      </c>
      <c r="C517" s="419" t="s">
        <v>3034</v>
      </c>
      <c r="D517" s="419"/>
      <c r="E517" s="419"/>
      <c r="F517" s="27" t="s">
        <v>115</v>
      </c>
      <c r="G517" s="22" t="s">
        <v>3052</v>
      </c>
      <c r="H517" s="58"/>
      <c r="I517" s="28"/>
      <c r="J517" s="28"/>
      <c r="K517" s="29"/>
      <c r="BC517" s="14"/>
      <c r="BD517" s="15"/>
      <c r="BE517" s="21"/>
      <c r="BF517" s="43"/>
      <c r="BG517" s="12" t="s">
        <v>3034</v>
      </c>
      <c r="BH517" s="12"/>
    </row>
    <row r="518" spans="1:60" s="3" customFormat="1" ht="20.399999999999999" x14ac:dyDescent="0.3">
      <c r="A518" s="25"/>
      <c r="B518" s="26" t="s">
        <v>3036</v>
      </c>
      <c r="C518" s="419" t="s">
        <v>3037</v>
      </c>
      <c r="D518" s="419"/>
      <c r="E518" s="419"/>
      <c r="F518" s="27" t="s">
        <v>406</v>
      </c>
      <c r="G518" s="22" t="s">
        <v>3053</v>
      </c>
      <c r="H518" s="58"/>
      <c r="I518" s="28"/>
      <c r="J518" s="28"/>
      <c r="K518" s="29"/>
      <c r="BC518" s="14"/>
      <c r="BD518" s="15"/>
      <c r="BE518" s="21"/>
      <c r="BF518" s="43"/>
      <c r="BG518" s="12" t="s">
        <v>3037</v>
      </c>
      <c r="BH518" s="12"/>
    </row>
    <row r="519" spans="1:60" s="3" customFormat="1" ht="21.6" x14ac:dyDescent="0.3">
      <c r="A519" s="25"/>
      <c r="B519" s="26" t="s">
        <v>3039</v>
      </c>
      <c r="C519" s="419" t="s">
        <v>3040</v>
      </c>
      <c r="D519" s="419"/>
      <c r="E519" s="419"/>
      <c r="F519" s="27" t="s">
        <v>1261</v>
      </c>
      <c r="G519" s="22" t="s">
        <v>3054</v>
      </c>
      <c r="H519" s="58"/>
      <c r="I519" s="28"/>
      <c r="J519" s="28"/>
      <c r="K519" s="29"/>
      <c r="BC519" s="14"/>
      <c r="BD519" s="15"/>
      <c r="BE519" s="21"/>
      <c r="BF519" s="43"/>
      <c r="BG519" s="12" t="s">
        <v>3040</v>
      </c>
      <c r="BH519" s="12"/>
    </row>
    <row r="520" spans="1:60" s="3" customFormat="1" ht="20.399999999999999" x14ac:dyDescent="0.3">
      <c r="A520" s="37" t="s">
        <v>143</v>
      </c>
      <c r="B520" s="38" t="s">
        <v>3042</v>
      </c>
      <c r="C520" s="430" t="s">
        <v>3043</v>
      </c>
      <c r="D520" s="430"/>
      <c r="E520" s="430"/>
      <c r="F520" s="39" t="s">
        <v>158</v>
      </c>
      <c r="G520" s="40" t="s">
        <v>3055</v>
      </c>
      <c r="H520" s="100"/>
      <c r="I520" s="41"/>
      <c r="J520" s="41"/>
      <c r="K520" s="42"/>
      <c r="BC520" s="14"/>
      <c r="BD520" s="15"/>
      <c r="BE520" s="21"/>
      <c r="BF520" s="43" t="s">
        <v>3043</v>
      </c>
      <c r="BG520" s="12"/>
      <c r="BH520" s="12"/>
    </row>
    <row r="521" spans="1:60" s="3" customFormat="1" ht="20.399999999999999" x14ac:dyDescent="0.3">
      <c r="A521" s="25"/>
      <c r="B521" s="26" t="s">
        <v>442</v>
      </c>
      <c r="C521" s="419" t="s">
        <v>443</v>
      </c>
      <c r="D521" s="419"/>
      <c r="E521" s="419"/>
      <c r="F521" s="27" t="s">
        <v>142</v>
      </c>
      <c r="G521" s="22" t="s">
        <v>3056</v>
      </c>
      <c r="H521" s="58"/>
      <c r="I521" s="28"/>
      <c r="J521" s="28"/>
      <c r="K521" s="29"/>
      <c r="BC521" s="14"/>
      <c r="BD521" s="15"/>
      <c r="BE521" s="21"/>
      <c r="BF521" s="43"/>
      <c r="BG521" s="12" t="s">
        <v>443</v>
      </c>
      <c r="BH521" s="12"/>
    </row>
    <row r="522" spans="1:60" s="3" customFormat="1" ht="20.399999999999999" x14ac:dyDescent="0.3">
      <c r="A522" s="25"/>
      <c r="B522" s="26" t="s">
        <v>1423</v>
      </c>
      <c r="C522" s="419" t="s">
        <v>1424</v>
      </c>
      <c r="D522" s="419"/>
      <c r="E522" s="419"/>
      <c r="F522" s="27" t="s">
        <v>430</v>
      </c>
      <c r="G522" s="22" t="s">
        <v>3057</v>
      </c>
      <c r="H522" s="58"/>
      <c r="I522" s="28"/>
      <c r="J522" s="28"/>
      <c r="K522" s="29"/>
      <c r="BC522" s="14"/>
      <c r="BD522" s="15"/>
      <c r="BE522" s="21"/>
      <c r="BF522" s="43"/>
      <c r="BG522" s="12" t="s">
        <v>1424</v>
      </c>
      <c r="BH522" s="12"/>
    </row>
    <row r="523" spans="1:60" s="3" customFormat="1" ht="42" x14ac:dyDescent="0.3">
      <c r="A523" s="25" t="s">
        <v>129</v>
      </c>
      <c r="B523" s="26" t="s">
        <v>3058</v>
      </c>
      <c r="C523" s="419" t="s">
        <v>3059</v>
      </c>
      <c r="D523" s="419"/>
      <c r="E523" s="419"/>
      <c r="F523" s="27" t="s">
        <v>158</v>
      </c>
      <c r="G523" s="22" t="s">
        <v>3055</v>
      </c>
      <c r="H523" s="58"/>
      <c r="I523" s="28"/>
      <c r="J523" s="28"/>
      <c r="K523" s="29"/>
      <c r="BC523" s="14"/>
      <c r="BD523" s="15"/>
      <c r="BE523" s="21"/>
      <c r="BF523" s="43"/>
      <c r="BG523" s="12"/>
      <c r="BH523" s="12" t="s">
        <v>3059</v>
      </c>
    </row>
    <row r="524" spans="1:60" s="3" customFormat="1" ht="15" customHeight="1" x14ac:dyDescent="0.3">
      <c r="A524" s="435" t="s">
        <v>3060</v>
      </c>
      <c r="B524" s="436"/>
      <c r="C524" s="436"/>
      <c r="D524" s="436"/>
      <c r="E524" s="436"/>
      <c r="F524" s="436"/>
      <c r="G524" s="436"/>
      <c r="H524" s="103"/>
      <c r="I524" s="103"/>
      <c r="J524" s="103"/>
      <c r="K524" s="104"/>
      <c r="BC524" s="14" t="s">
        <v>3060</v>
      </c>
      <c r="BD524" s="15"/>
      <c r="BE524" s="21"/>
      <c r="BF524" s="43"/>
      <c r="BG524" s="12"/>
      <c r="BH524" s="12"/>
    </row>
    <row r="525" spans="1:60" s="3" customFormat="1" ht="15" customHeight="1" x14ac:dyDescent="0.3">
      <c r="A525" s="454" t="s">
        <v>3061</v>
      </c>
      <c r="B525" s="455"/>
      <c r="C525" s="455"/>
      <c r="D525" s="455"/>
      <c r="E525" s="455"/>
      <c r="F525" s="455"/>
      <c r="G525" s="455"/>
      <c r="H525" s="296"/>
      <c r="I525" s="296"/>
      <c r="J525" s="296"/>
      <c r="K525" s="297"/>
      <c r="BC525" s="14"/>
      <c r="BD525" s="15" t="s">
        <v>3061</v>
      </c>
      <c r="BE525" s="21"/>
      <c r="BF525" s="43"/>
      <c r="BG525" s="12"/>
      <c r="BH525" s="12"/>
    </row>
    <row r="526" spans="1:60" s="3" customFormat="1" ht="24.75" customHeight="1" x14ac:dyDescent="0.3">
      <c r="A526" s="454" t="s">
        <v>3062</v>
      </c>
      <c r="B526" s="455"/>
      <c r="C526" s="455"/>
      <c r="D526" s="455"/>
      <c r="E526" s="455"/>
      <c r="F526" s="455"/>
      <c r="G526" s="455"/>
      <c r="H526" s="296"/>
      <c r="I526" s="296"/>
      <c r="J526" s="296"/>
      <c r="K526" s="297"/>
      <c r="BC526" s="14"/>
      <c r="BD526" s="15" t="s">
        <v>3062</v>
      </c>
      <c r="BE526" s="21"/>
      <c r="BF526" s="43"/>
      <c r="BG526" s="12"/>
      <c r="BH526" s="12"/>
    </row>
    <row r="527" spans="1:60" s="3" customFormat="1" ht="21.6" x14ac:dyDescent="0.3">
      <c r="A527" s="16" t="s">
        <v>3063</v>
      </c>
      <c r="B527" s="17" t="s">
        <v>3064</v>
      </c>
      <c r="C527" s="405" t="s">
        <v>3065</v>
      </c>
      <c r="D527" s="405"/>
      <c r="E527" s="405"/>
      <c r="F527" s="16" t="s">
        <v>158</v>
      </c>
      <c r="G527" s="31">
        <v>1.85</v>
      </c>
      <c r="H527" s="57">
        <f>I527/G527</f>
        <v>2919.6324324324301</v>
      </c>
      <c r="I527" s="19">
        <v>5401.3199999999961</v>
      </c>
      <c r="J527" s="19">
        <f>K527/G527</f>
        <v>16150.010810810811</v>
      </c>
      <c r="K527" s="19">
        <v>29877.52</v>
      </c>
      <c r="BC527" s="14"/>
      <c r="BD527" s="15"/>
      <c r="BE527" s="21" t="s">
        <v>3065</v>
      </c>
      <c r="BF527" s="43"/>
      <c r="BG527" s="12"/>
      <c r="BH527" s="12"/>
    </row>
    <row r="528" spans="1:60" s="3" customFormat="1" ht="20.399999999999999" x14ac:dyDescent="0.3">
      <c r="A528" s="37" t="s">
        <v>78</v>
      </c>
      <c r="B528" s="38" t="s">
        <v>3066</v>
      </c>
      <c r="C528" s="430" t="s">
        <v>3067</v>
      </c>
      <c r="D528" s="430"/>
      <c r="E528" s="430"/>
      <c r="F528" s="39" t="s">
        <v>25</v>
      </c>
      <c r="G528" s="40" t="s">
        <v>33</v>
      </c>
      <c r="H528" s="100"/>
      <c r="I528" s="41"/>
      <c r="J528" s="41"/>
      <c r="K528" s="42"/>
      <c r="BC528" s="14"/>
      <c r="BD528" s="15"/>
      <c r="BE528" s="21"/>
      <c r="BF528" s="43" t="s">
        <v>3067</v>
      </c>
      <c r="BG528" s="12"/>
      <c r="BH528" s="12"/>
    </row>
    <row r="529" spans="1:60" s="3" customFormat="1" ht="20.399999999999999" x14ac:dyDescent="0.3">
      <c r="A529" s="25"/>
      <c r="B529" s="26" t="s">
        <v>277</v>
      </c>
      <c r="C529" s="419" t="s">
        <v>278</v>
      </c>
      <c r="D529" s="419"/>
      <c r="E529" s="419"/>
      <c r="F529" s="27" t="s">
        <v>70</v>
      </c>
      <c r="G529" s="22" t="s">
        <v>3068</v>
      </c>
      <c r="H529" s="58"/>
      <c r="I529" s="28"/>
      <c r="J529" s="28"/>
      <c r="K529" s="29"/>
      <c r="BC529" s="14"/>
      <c r="BD529" s="15"/>
      <c r="BE529" s="21"/>
      <c r="BF529" s="43"/>
      <c r="BG529" s="12" t="s">
        <v>278</v>
      </c>
      <c r="BH529" s="12"/>
    </row>
    <row r="530" spans="1:60" s="3" customFormat="1" ht="20.399999999999999" x14ac:dyDescent="0.3">
      <c r="A530" s="37" t="s">
        <v>143</v>
      </c>
      <c r="B530" s="38" t="s">
        <v>3069</v>
      </c>
      <c r="C530" s="430" t="s">
        <v>3070</v>
      </c>
      <c r="D530" s="430"/>
      <c r="E530" s="430"/>
      <c r="F530" s="39" t="s">
        <v>158</v>
      </c>
      <c r="G530" s="40" t="s">
        <v>3071</v>
      </c>
      <c r="H530" s="100"/>
      <c r="I530" s="41"/>
      <c r="J530" s="41"/>
      <c r="K530" s="42"/>
      <c r="BC530" s="14"/>
      <c r="BD530" s="15"/>
      <c r="BE530" s="21"/>
      <c r="BF530" s="43" t="s">
        <v>3070</v>
      </c>
      <c r="BG530" s="12"/>
      <c r="BH530" s="12"/>
    </row>
    <row r="531" spans="1:60" s="3" customFormat="1" ht="31.8" x14ac:dyDescent="0.3">
      <c r="A531" s="25"/>
      <c r="B531" s="26" t="s">
        <v>3072</v>
      </c>
      <c r="C531" s="419" t="s">
        <v>3073</v>
      </c>
      <c r="D531" s="419"/>
      <c r="E531" s="419"/>
      <c r="F531" s="27" t="s">
        <v>70</v>
      </c>
      <c r="G531" s="22" t="s">
        <v>3074</v>
      </c>
      <c r="H531" s="58"/>
      <c r="I531" s="28"/>
      <c r="J531" s="28"/>
      <c r="K531" s="29"/>
      <c r="BC531" s="14"/>
      <c r="BD531" s="15"/>
      <c r="BE531" s="21"/>
      <c r="BF531" s="43"/>
      <c r="BG531" s="12" t="s">
        <v>3073</v>
      </c>
      <c r="BH531" s="12"/>
    </row>
    <row r="532" spans="1:60" s="3" customFormat="1" ht="21.6" x14ac:dyDescent="0.3">
      <c r="A532" s="25"/>
      <c r="B532" s="26" t="s">
        <v>3075</v>
      </c>
      <c r="C532" s="419" t="s">
        <v>3076</v>
      </c>
      <c r="D532" s="419"/>
      <c r="E532" s="419"/>
      <c r="F532" s="27" t="s">
        <v>38</v>
      </c>
      <c r="G532" s="22" t="s">
        <v>3077</v>
      </c>
      <c r="H532" s="58"/>
      <c r="I532" s="28"/>
      <c r="J532" s="28"/>
      <c r="K532" s="29"/>
      <c r="BC532" s="14"/>
      <c r="BD532" s="15"/>
      <c r="BE532" s="21"/>
      <c r="BF532" s="43"/>
      <c r="BG532" s="12" t="s">
        <v>3076</v>
      </c>
      <c r="BH532" s="12"/>
    </row>
    <row r="533" spans="1:60" s="3" customFormat="1" ht="21.6" x14ac:dyDescent="0.3">
      <c r="A533" s="25" t="s">
        <v>129</v>
      </c>
      <c r="B533" s="26" t="s">
        <v>3078</v>
      </c>
      <c r="C533" s="419" t="s">
        <v>3079</v>
      </c>
      <c r="D533" s="419"/>
      <c r="E533" s="419"/>
      <c r="F533" s="27" t="s">
        <v>158</v>
      </c>
      <c r="G533" s="22" t="s">
        <v>3071</v>
      </c>
      <c r="H533" s="58"/>
      <c r="I533" s="28"/>
      <c r="J533" s="28"/>
      <c r="K533" s="29"/>
      <c r="BC533" s="14"/>
      <c r="BD533" s="15"/>
      <c r="BE533" s="21"/>
      <c r="BF533" s="43"/>
      <c r="BG533" s="12"/>
      <c r="BH533" s="12" t="s">
        <v>3079</v>
      </c>
    </row>
    <row r="534" spans="1:60" s="3" customFormat="1" ht="21.6" x14ac:dyDescent="0.3">
      <c r="A534" s="16" t="s">
        <v>3080</v>
      </c>
      <c r="B534" s="17" t="s">
        <v>3081</v>
      </c>
      <c r="C534" s="405" t="s">
        <v>3082</v>
      </c>
      <c r="D534" s="405"/>
      <c r="E534" s="405"/>
      <c r="F534" s="16" t="s">
        <v>38</v>
      </c>
      <c r="G534" s="23">
        <v>1</v>
      </c>
      <c r="H534" s="57">
        <f>I534/G534</f>
        <v>1227.6300000000001</v>
      </c>
      <c r="I534" s="19">
        <v>1227.6300000000001</v>
      </c>
      <c r="J534" s="19">
        <f>K534/G534</f>
        <v>2429.6799999999998</v>
      </c>
      <c r="K534" s="19">
        <v>2429.6799999999998</v>
      </c>
      <c r="BC534" s="14"/>
      <c r="BD534" s="15"/>
      <c r="BE534" s="21" t="s">
        <v>3082</v>
      </c>
      <c r="BF534" s="43"/>
      <c r="BG534" s="12"/>
      <c r="BH534" s="12"/>
    </row>
    <row r="535" spans="1:60" s="3" customFormat="1" ht="20.399999999999999" x14ac:dyDescent="0.3">
      <c r="A535" s="37" t="s">
        <v>143</v>
      </c>
      <c r="B535" s="38" t="s">
        <v>3083</v>
      </c>
      <c r="C535" s="430" t="s">
        <v>3084</v>
      </c>
      <c r="D535" s="430"/>
      <c r="E535" s="430"/>
      <c r="F535" s="39" t="s">
        <v>38</v>
      </c>
      <c r="G535" s="40" t="s">
        <v>1179</v>
      </c>
      <c r="H535" s="100"/>
      <c r="I535" s="41"/>
      <c r="J535" s="41"/>
      <c r="K535" s="42"/>
      <c r="BC535" s="14"/>
      <c r="BD535" s="15"/>
      <c r="BE535" s="21"/>
      <c r="BF535" s="43" t="s">
        <v>3084</v>
      </c>
      <c r="BG535" s="12"/>
      <c r="BH535" s="12"/>
    </row>
    <row r="536" spans="1:60" s="3" customFormat="1" ht="20.399999999999999" x14ac:dyDescent="0.3">
      <c r="A536" s="25"/>
      <c r="B536" s="26" t="s">
        <v>277</v>
      </c>
      <c r="C536" s="419" t="s">
        <v>278</v>
      </c>
      <c r="D536" s="419"/>
      <c r="E536" s="419"/>
      <c r="F536" s="27" t="s">
        <v>70</v>
      </c>
      <c r="G536" s="22" t="s">
        <v>3085</v>
      </c>
      <c r="H536" s="58"/>
      <c r="I536" s="28"/>
      <c r="J536" s="28"/>
      <c r="K536" s="29"/>
      <c r="BC536" s="14"/>
      <c r="BD536" s="15"/>
      <c r="BE536" s="21"/>
      <c r="BF536" s="43"/>
      <c r="BG536" s="12" t="s">
        <v>278</v>
      </c>
      <c r="BH536" s="12"/>
    </row>
    <row r="537" spans="1:60" s="3" customFormat="1" ht="21.6" x14ac:dyDescent="0.3">
      <c r="A537" s="25"/>
      <c r="B537" s="26" t="s">
        <v>3086</v>
      </c>
      <c r="C537" s="419" t="s">
        <v>3087</v>
      </c>
      <c r="D537" s="419"/>
      <c r="E537" s="419"/>
      <c r="F537" s="27" t="s">
        <v>142</v>
      </c>
      <c r="G537" s="22" t="s">
        <v>1496</v>
      </c>
      <c r="H537" s="58"/>
      <c r="I537" s="28"/>
      <c r="J537" s="28"/>
      <c r="K537" s="29"/>
      <c r="BC537" s="14"/>
      <c r="BD537" s="15"/>
      <c r="BE537" s="21"/>
      <c r="BF537" s="43"/>
      <c r="BG537" s="12" t="s">
        <v>3087</v>
      </c>
      <c r="BH537" s="12"/>
    </row>
    <row r="538" spans="1:60" s="3" customFormat="1" ht="21.6" x14ac:dyDescent="0.3">
      <c r="A538" s="25" t="s">
        <v>129</v>
      </c>
      <c r="B538" s="26" t="s">
        <v>3088</v>
      </c>
      <c r="C538" s="419" t="s">
        <v>3089</v>
      </c>
      <c r="D538" s="419"/>
      <c r="E538" s="419"/>
      <c r="F538" s="27" t="s">
        <v>38</v>
      </c>
      <c r="G538" s="22" t="s">
        <v>1179</v>
      </c>
      <c r="H538" s="58"/>
      <c r="I538" s="28"/>
      <c r="J538" s="28"/>
      <c r="K538" s="29"/>
      <c r="BC538" s="14"/>
      <c r="BD538" s="15"/>
      <c r="BE538" s="21"/>
      <c r="BF538" s="43"/>
      <c r="BG538" s="12"/>
      <c r="BH538" s="12" t="s">
        <v>3089</v>
      </c>
    </row>
    <row r="539" spans="1:60" s="3" customFormat="1" ht="15" customHeight="1" x14ac:dyDescent="0.3">
      <c r="A539" s="454" t="s">
        <v>3090</v>
      </c>
      <c r="B539" s="455"/>
      <c r="C539" s="455"/>
      <c r="D539" s="455"/>
      <c r="E539" s="455"/>
      <c r="F539" s="455"/>
      <c r="G539" s="455"/>
      <c r="H539" s="296"/>
      <c r="I539" s="296"/>
      <c r="J539" s="296"/>
      <c r="K539" s="297"/>
      <c r="BC539" s="14"/>
      <c r="BD539" s="15" t="s">
        <v>3090</v>
      </c>
      <c r="BE539" s="21"/>
      <c r="BF539" s="43"/>
      <c r="BG539" s="12"/>
      <c r="BH539" s="12"/>
    </row>
    <row r="540" spans="1:60" s="3" customFormat="1" ht="24.75" customHeight="1" x14ac:dyDescent="0.3">
      <c r="A540" s="454" t="s">
        <v>3091</v>
      </c>
      <c r="B540" s="455"/>
      <c r="C540" s="455"/>
      <c r="D540" s="455"/>
      <c r="E540" s="455"/>
      <c r="F540" s="455"/>
      <c r="G540" s="455"/>
      <c r="H540" s="296"/>
      <c r="I540" s="296"/>
      <c r="J540" s="296"/>
      <c r="K540" s="297"/>
      <c r="BC540" s="14"/>
      <c r="BD540" s="15" t="s">
        <v>3091</v>
      </c>
      <c r="BE540" s="21"/>
      <c r="BF540" s="43"/>
      <c r="BG540" s="12"/>
      <c r="BH540" s="12"/>
    </row>
    <row r="541" spans="1:60" s="3" customFormat="1" ht="21.6" x14ac:dyDescent="0.3">
      <c r="A541" s="16" t="s">
        <v>3092</v>
      </c>
      <c r="B541" s="17" t="s">
        <v>3064</v>
      </c>
      <c r="C541" s="405" t="s">
        <v>3065</v>
      </c>
      <c r="D541" s="405"/>
      <c r="E541" s="405"/>
      <c r="F541" s="16" t="s">
        <v>158</v>
      </c>
      <c r="G541" s="31">
        <v>1.85</v>
      </c>
      <c r="H541" s="57">
        <f>I541/G541</f>
        <v>2919.6324324324301</v>
      </c>
      <c r="I541" s="19">
        <v>5401.3199999999961</v>
      </c>
      <c r="J541" s="19">
        <f>K541/G541</f>
        <v>16150.010810810811</v>
      </c>
      <c r="K541" s="19">
        <v>29877.52</v>
      </c>
      <c r="BC541" s="14"/>
      <c r="BD541" s="15"/>
      <c r="BE541" s="21" t="s">
        <v>3065</v>
      </c>
      <c r="BF541" s="43"/>
      <c r="BG541" s="12"/>
      <c r="BH541" s="12"/>
    </row>
    <row r="542" spans="1:60" s="3" customFormat="1" ht="20.399999999999999" x14ac:dyDescent="0.3">
      <c r="A542" s="37" t="s">
        <v>78</v>
      </c>
      <c r="B542" s="38" t="s">
        <v>3066</v>
      </c>
      <c r="C542" s="430" t="s">
        <v>3067</v>
      </c>
      <c r="D542" s="430"/>
      <c r="E542" s="430"/>
      <c r="F542" s="39" t="s">
        <v>25</v>
      </c>
      <c r="G542" s="40" t="s">
        <v>33</v>
      </c>
      <c r="H542" s="100"/>
      <c r="I542" s="41"/>
      <c r="J542" s="41"/>
      <c r="K542" s="42"/>
      <c r="BC542" s="14"/>
      <c r="BD542" s="15"/>
      <c r="BE542" s="21"/>
      <c r="BF542" s="43" t="s">
        <v>3067</v>
      </c>
      <c r="BG542" s="12"/>
      <c r="BH542" s="12"/>
    </row>
    <row r="543" spans="1:60" s="3" customFormat="1" ht="20.399999999999999" x14ac:dyDescent="0.3">
      <c r="A543" s="25"/>
      <c r="B543" s="26" t="s">
        <v>277</v>
      </c>
      <c r="C543" s="419" t="s">
        <v>278</v>
      </c>
      <c r="D543" s="419"/>
      <c r="E543" s="419"/>
      <c r="F543" s="27" t="s">
        <v>70</v>
      </c>
      <c r="G543" s="22" t="s">
        <v>3068</v>
      </c>
      <c r="H543" s="58"/>
      <c r="I543" s="28"/>
      <c r="J543" s="28"/>
      <c r="K543" s="29"/>
      <c r="BC543" s="14"/>
      <c r="BD543" s="15"/>
      <c r="BE543" s="21"/>
      <c r="BF543" s="43"/>
      <c r="BG543" s="12" t="s">
        <v>278</v>
      </c>
      <c r="BH543" s="12"/>
    </row>
    <row r="544" spans="1:60" s="3" customFormat="1" ht="20.399999999999999" x14ac:dyDescent="0.3">
      <c r="A544" s="37" t="s">
        <v>143</v>
      </c>
      <c r="B544" s="38" t="s">
        <v>3069</v>
      </c>
      <c r="C544" s="430" t="s">
        <v>3070</v>
      </c>
      <c r="D544" s="430"/>
      <c r="E544" s="430"/>
      <c r="F544" s="39" t="s">
        <v>158</v>
      </c>
      <c r="G544" s="40" t="s">
        <v>3071</v>
      </c>
      <c r="H544" s="100"/>
      <c r="I544" s="41"/>
      <c r="J544" s="41"/>
      <c r="K544" s="42"/>
      <c r="BC544" s="14"/>
      <c r="BD544" s="15"/>
      <c r="BE544" s="21"/>
      <c r="BF544" s="43" t="s">
        <v>3070</v>
      </c>
      <c r="BG544" s="12"/>
      <c r="BH544" s="12"/>
    </row>
    <row r="545" spans="1:60" s="3" customFormat="1" ht="31.8" x14ac:dyDescent="0.3">
      <c r="A545" s="25"/>
      <c r="B545" s="26" t="s">
        <v>3072</v>
      </c>
      <c r="C545" s="419" t="s">
        <v>3073</v>
      </c>
      <c r="D545" s="419"/>
      <c r="E545" s="419"/>
      <c r="F545" s="27" t="s">
        <v>70</v>
      </c>
      <c r="G545" s="22" t="s">
        <v>3074</v>
      </c>
      <c r="H545" s="58"/>
      <c r="I545" s="28"/>
      <c r="J545" s="28"/>
      <c r="K545" s="29"/>
      <c r="BC545" s="14"/>
      <c r="BD545" s="15"/>
      <c r="BE545" s="21"/>
      <c r="BF545" s="43"/>
      <c r="BG545" s="12" t="s">
        <v>3073</v>
      </c>
      <c r="BH545" s="12"/>
    </row>
    <row r="546" spans="1:60" s="3" customFormat="1" ht="21.6" x14ac:dyDescent="0.3">
      <c r="A546" s="25"/>
      <c r="B546" s="26" t="s">
        <v>3075</v>
      </c>
      <c r="C546" s="419" t="s">
        <v>3076</v>
      </c>
      <c r="D546" s="419"/>
      <c r="E546" s="419"/>
      <c r="F546" s="27" t="s">
        <v>38</v>
      </c>
      <c r="G546" s="22" t="s">
        <v>3077</v>
      </c>
      <c r="H546" s="58"/>
      <c r="I546" s="28"/>
      <c r="J546" s="28"/>
      <c r="K546" s="29"/>
      <c r="BC546" s="14"/>
      <c r="BD546" s="15"/>
      <c r="BE546" s="21"/>
      <c r="BF546" s="43"/>
      <c r="BG546" s="12" t="s">
        <v>3076</v>
      </c>
      <c r="BH546" s="12"/>
    </row>
    <row r="547" spans="1:60" s="3" customFormat="1" ht="21.6" x14ac:dyDescent="0.3">
      <c r="A547" s="25" t="s">
        <v>129</v>
      </c>
      <c r="B547" s="26" t="s">
        <v>3078</v>
      </c>
      <c r="C547" s="419" t="s">
        <v>3079</v>
      </c>
      <c r="D547" s="419"/>
      <c r="E547" s="419"/>
      <c r="F547" s="27" t="s">
        <v>158</v>
      </c>
      <c r="G547" s="22" t="s">
        <v>3071</v>
      </c>
      <c r="H547" s="58"/>
      <c r="I547" s="28"/>
      <c r="J547" s="28"/>
      <c r="K547" s="29"/>
      <c r="BC547" s="14"/>
      <c r="BD547" s="15"/>
      <c r="BE547" s="21"/>
      <c r="BF547" s="43"/>
      <c r="BG547" s="12"/>
      <c r="BH547" s="12" t="s">
        <v>3079</v>
      </c>
    </row>
    <row r="548" spans="1:60" s="3" customFormat="1" ht="15" customHeight="1" x14ac:dyDescent="0.3">
      <c r="A548" s="454" t="s">
        <v>3093</v>
      </c>
      <c r="B548" s="455"/>
      <c r="C548" s="455"/>
      <c r="D548" s="455"/>
      <c r="E548" s="455"/>
      <c r="F548" s="455"/>
      <c r="G548" s="455"/>
      <c r="H548" s="296"/>
      <c r="I548" s="296"/>
      <c r="J548" s="296"/>
      <c r="K548" s="297"/>
      <c r="BC548" s="14"/>
      <c r="BD548" s="15" t="s">
        <v>3093</v>
      </c>
      <c r="BE548" s="21"/>
      <c r="BF548" s="43"/>
      <c r="BG548" s="12"/>
      <c r="BH548" s="12"/>
    </row>
    <row r="549" spans="1:60" s="3" customFormat="1" ht="24.75" customHeight="1" x14ac:dyDescent="0.3">
      <c r="A549" s="454" t="s">
        <v>3094</v>
      </c>
      <c r="B549" s="455"/>
      <c r="C549" s="455"/>
      <c r="D549" s="455"/>
      <c r="E549" s="455"/>
      <c r="F549" s="455"/>
      <c r="G549" s="455"/>
      <c r="H549" s="296"/>
      <c r="I549" s="296"/>
      <c r="J549" s="296"/>
      <c r="K549" s="297"/>
      <c r="BC549" s="14"/>
      <c r="BD549" s="15" t="s">
        <v>3094</v>
      </c>
      <c r="BE549" s="21"/>
      <c r="BF549" s="43"/>
      <c r="BG549" s="12"/>
      <c r="BH549" s="12"/>
    </row>
    <row r="550" spans="1:60" s="3" customFormat="1" ht="21.6" x14ac:dyDescent="0.3">
      <c r="A550" s="16" t="s">
        <v>3095</v>
      </c>
      <c r="B550" s="17" t="s">
        <v>3096</v>
      </c>
      <c r="C550" s="405" t="s">
        <v>3097</v>
      </c>
      <c r="D550" s="405"/>
      <c r="E550" s="405"/>
      <c r="F550" s="16" t="s">
        <v>158</v>
      </c>
      <c r="G550" s="31">
        <v>1.64</v>
      </c>
      <c r="H550" s="57">
        <f>I550/G550</f>
        <v>2412.3353658536585</v>
      </c>
      <c r="I550" s="19">
        <v>3956.2299999999996</v>
      </c>
      <c r="J550" s="19">
        <f>K550/G550</f>
        <v>16254.615853658537</v>
      </c>
      <c r="K550" s="19">
        <v>26657.57</v>
      </c>
      <c r="BC550" s="14"/>
      <c r="BD550" s="15"/>
      <c r="BE550" s="21" t="s">
        <v>3097</v>
      </c>
      <c r="BF550" s="43"/>
      <c r="BG550" s="12"/>
      <c r="BH550" s="12"/>
    </row>
    <row r="551" spans="1:60" s="3" customFormat="1" ht="20.399999999999999" x14ac:dyDescent="0.3">
      <c r="A551" s="25"/>
      <c r="B551" s="26" t="s">
        <v>277</v>
      </c>
      <c r="C551" s="419" t="s">
        <v>278</v>
      </c>
      <c r="D551" s="419"/>
      <c r="E551" s="419"/>
      <c r="F551" s="27" t="s">
        <v>70</v>
      </c>
      <c r="G551" s="22" t="s">
        <v>3098</v>
      </c>
      <c r="H551" s="58"/>
      <c r="I551" s="28"/>
      <c r="J551" s="28"/>
      <c r="K551" s="29"/>
      <c r="BC551" s="14"/>
      <c r="BD551" s="15"/>
      <c r="BE551" s="21"/>
      <c r="BF551" s="43"/>
      <c r="BG551" s="12" t="s">
        <v>278</v>
      </c>
      <c r="BH551" s="12"/>
    </row>
    <row r="552" spans="1:60" s="3" customFormat="1" ht="20.399999999999999" x14ac:dyDescent="0.3">
      <c r="A552" s="25"/>
      <c r="B552" s="26" t="s">
        <v>640</v>
      </c>
      <c r="C552" s="419" t="s">
        <v>641</v>
      </c>
      <c r="D552" s="419"/>
      <c r="E552" s="419"/>
      <c r="F552" s="27" t="s">
        <v>70</v>
      </c>
      <c r="G552" s="22" t="s">
        <v>3099</v>
      </c>
      <c r="H552" s="58"/>
      <c r="I552" s="28"/>
      <c r="J552" s="28"/>
      <c r="K552" s="29"/>
      <c r="BC552" s="14"/>
      <c r="BD552" s="15"/>
      <c r="BE552" s="21"/>
      <c r="BF552" s="43"/>
      <c r="BG552" s="12" t="s">
        <v>641</v>
      </c>
      <c r="BH552" s="12"/>
    </row>
    <row r="553" spans="1:60" s="3" customFormat="1" ht="20.399999999999999" x14ac:dyDescent="0.3">
      <c r="A553" s="37" t="s">
        <v>78</v>
      </c>
      <c r="B553" s="38" t="s">
        <v>3100</v>
      </c>
      <c r="C553" s="430" t="s">
        <v>3101</v>
      </c>
      <c r="D553" s="430"/>
      <c r="E553" s="430"/>
      <c r="F553" s="39" t="s">
        <v>38</v>
      </c>
      <c r="G553" s="40" t="s">
        <v>33</v>
      </c>
      <c r="H553" s="100"/>
      <c r="I553" s="41"/>
      <c r="J553" s="41"/>
      <c r="K553" s="42"/>
      <c r="BC553" s="14"/>
      <c r="BD553" s="15"/>
      <c r="BE553" s="21"/>
      <c r="BF553" s="43" t="s">
        <v>3101</v>
      </c>
      <c r="BG553" s="12"/>
      <c r="BH553" s="12"/>
    </row>
    <row r="554" spans="1:60" s="3" customFormat="1" ht="62.4" x14ac:dyDescent="0.3">
      <c r="A554" s="25"/>
      <c r="B554" s="26" t="s">
        <v>3102</v>
      </c>
      <c r="C554" s="419" t="s">
        <v>3103</v>
      </c>
      <c r="D554" s="419"/>
      <c r="E554" s="419"/>
      <c r="F554" s="27" t="s">
        <v>38</v>
      </c>
      <c r="G554" s="22" t="s">
        <v>3104</v>
      </c>
      <c r="H554" s="58"/>
      <c r="I554" s="28"/>
      <c r="J554" s="28"/>
      <c r="K554" s="29"/>
      <c r="BC554" s="14"/>
      <c r="BD554" s="15"/>
      <c r="BE554" s="21"/>
      <c r="BF554" s="43"/>
      <c r="BG554" s="12" t="s">
        <v>3103</v>
      </c>
      <c r="BH554" s="12"/>
    </row>
    <row r="555" spans="1:60" s="3" customFormat="1" ht="31.8" x14ac:dyDescent="0.3">
      <c r="A555" s="25" t="s">
        <v>129</v>
      </c>
      <c r="B555" s="26" t="s">
        <v>3105</v>
      </c>
      <c r="C555" s="419" t="s">
        <v>3106</v>
      </c>
      <c r="D555" s="419"/>
      <c r="E555" s="419"/>
      <c r="F555" s="27" t="s">
        <v>38</v>
      </c>
      <c r="G555" s="22" t="s">
        <v>3107</v>
      </c>
      <c r="H555" s="58"/>
      <c r="I555" s="28"/>
      <c r="J555" s="28"/>
      <c r="K555" s="29"/>
      <c r="BC555" s="14"/>
      <c r="BD555" s="15"/>
      <c r="BE555" s="21"/>
      <c r="BF555" s="43"/>
      <c r="BG555" s="12"/>
      <c r="BH555" s="12" t="s">
        <v>3106</v>
      </c>
    </row>
    <row r="556" spans="1:60" s="3" customFormat="1" ht="21.6" x14ac:dyDescent="0.3">
      <c r="A556" s="25" t="s">
        <v>129</v>
      </c>
      <c r="B556" s="26" t="s">
        <v>3088</v>
      </c>
      <c r="C556" s="419" t="s">
        <v>3089</v>
      </c>
      <c r="D556" s="419"/>
      <c r="E556" s="419"/>
      <c r="F556" s="27" t="s">
        <v>38</v>
      </c>
      <c r="G556" s="22" t="s">
        <v>3107</v>
      </c>
      <c r="H556" s="58"/>
      <c r="I556" s="28"/>
      <c r="J556" s="28"/>
      <c r="K556" s="29"/>
      <c r="BC556" s="14"/>
      <c r="BD556" s="15"/>
      <c r="BE556" s="21"/>
      <c r="BF556" s="43"/>
      <c r="BG556" s="12"/>
      <c r="BH556" s="12" t="s">
        <v>3089</v>
      </c>
    </row>
    <row r="557" spans="1:60" s="3" customFormat="1" ht="15" customHeight="1" x14ac:dyDescent="0.3">
      <c r="A557" s="454" t="s">
        <v>3108</v>
      </c>
      <c r="B557" s="455"/>
      <c r="C557" s="455"/>
      <c r="D557" s="455"/>
      <c r="E557" s="455"/>
      <c r="F557" s="455"/>
      <c r="G557" s="455"/>
      <c r="H557" s="296"/>
      <c r="I557" s="296"/>
      <c r="J557" s="296"/>
      <c r="K557" s="297"/>
      <c r="BC557" s="14"/>
      <c r="BD557" s="15" t="s">
        <v>3108</v>
      </c>
      <c r="BE557" s="21"/>
      <c r="BF557" s="43"/>
      <c r="BG557" s="12"/>
      <c r="BH557" s="12"/>
    </row>
    <row r="558" spans="1:60" s="3" customFormat="1" ht="24.75" customHeight="1" x14ac:dyDescent="0.3">
      <c r="A558" s="454" t="s">
        <v>3109</v>
      </c>
      <c r="B558" s="455"/>
      <c r="C558" s="455"/>
      <c r="D558" s="455"/>
      <c r="E558" s="455"/>
      <c r="F558" s="455"/>
      <c r="G558" s="455"/>
      <c r="H558" s="296"/>
      <c r="I558" s="296"/>
      <c r="J558" s="296"/>
      <c r="K558" s="297"/>
      <c r="BC558" s="14"/>
      <c r="BD558" s="15" t="s">
        <v>3109</v>
      </c>
      <c r="BE558" s="21"/>
      <c r="BF558" s="43"/>
      <c r="BG558" s="12"/>
      <c r="BH558" s="12"/>
    </row>
    <row r="559" spans="1:60" s="3" customFormat="1" ht="42" x14ac:dyDescent="0.3">
      <c r="A559" s="16" t="s">
        <v>3110</v>
      </c>
      <c r="B559" s="17" t="s">
        <v>3111</v>
      </c>
      <c r="C559" s="405" t="s">
        <v>3112</v>
      </c>
      <c r="D559" s="405"/>
      <c r="E559" s="405"/>
      <c r="F559" s="16" t="s">
        <v>329</v>
      </c>
      <c r="G559" s="30">
        <v>1.8499999999999999E-2</v>
      </c>
      <c r="H559" s="57">
        <f>I559/G559</f>
        <v>161629.1891891892</v>
      </c>
      <c r="I559" s="19">
        <v>2990.14</v>
      </c>
      <c r="J559" s="19">
        <f>K559/G559</f>
        <v>27735.675675675677</v>
      </c>
      <c r="K559" s="19">
        <v>513.11</v>
      </c>
      <c r="BC559" s="14"/>
      <c r="BD559" s="15"/>
      <c r="BE559" s="21" t="s">
        <v>3112</v>
      </c>
      <c r="BF559" s="43"/>
      <c r="BG559" s="12"/>
      <c r="BH559" s="12"/>
    </row>
    <row r="560" spans="1:60" s="3" customFormat="1" ht="20.399999999999999" x14ac:dyDescent="0.3">
      <c r="A560" s="25"/>
      <c r="B560" s="26" t="s">
        <v>3113</v>
      </c>
      <c r="C560" s="419" t="s">
        <v>3114</v>
      </c>
      <c r="D560" s="419"/>
      <c r="E560" s="419"/>
      <c r="F560" s="27" t="s">
        <v>70</v>
      </c>
      <c r="G560" s="22" t="s">
        <v>3115</v>
      </c>
      <c r="H560" s="58"/>
      <c r="I560" s="28"/>
      <c r="J560" s="28"/>
      <c r="K560" s="29"/>
      <c r="BC560" s="14"/>
      <c r="BD560" s="15"/>
      <c r="BE560" s="21"/>
      <c r="BF560" s="43"/>
      <c r="BG560" s="12" t="s">
        <v>3114</v>
      </c>
      <c r="BH560" s="12"/>
    </row>
    <row r="561" spans="1:60" s="3" customFormat="1" ht="21.6" x14ac:dyDescent="0.3">
      <c r="A561" s="37" t="s">
        <v>143</v>
      </c>
      <c r="B561" s="38" t="s">
        <v>3116</v>
      </c>
      <c r="C561" s="430" t="s">
        <v>3117</v>
      </c>
      <c r="D561" s="430"/>
      <c r="E561" s="430"/>
      <c r="F561" s="39" t="s">
        <v>158</v>
      </c>
      <c r="G561" s="40" t="s">
        <v>3118</v>
      </c>
      <c r="H561" s="100"/>
      <c r="I561" s="41"/>
      <c r="J561" s="41"/>
      <c r="K561" s="42"/>
      <c r="BC561" s="14"/>
      <c r="BD561" s="15"/>
      <c r="BE561" s="21"/>
      <c r="BF561" s="43" t="s">
        <v>3117</v>
      </c>
      <c r="BG561" s="12"/>
      <c r="BH561" s="12"/>
    </row>
    <row r="562" spans="1:60" s="3" customFormat="1" ht="20.399999999999999" x14ac:dyDescent="0.3">
      <c r="A562" s="25"/>
      <c r="B562" s="26" t="s">
        <v>442</v>
      </c>
      <c r="C562" s="419" t="s">
        <v>443</v>
      </c>
      <c r="D562" s="419"/>
      <c r="E562" s="419"/>
      <c r="F562" s="27" t="s">
        <v>142</v>
      </c>
      <c r="G562" s="22" t="s">
        <v>3119</v>
      </c>
      <c r="H562" s="58"/>
      <c r="I562" s="28"/>
      <c r="J562" s="28"/>
      <c r="K562" s="29"/>
      <c r="BC562" s="14"/>
      <c r="BD562" s="15"/>
      <c r="BE562" s="21"/>
      <c r="BF562" s="43"/>
      <c r="BG562" s="12" t="s">
        <v>443</v>
      </c>
      <c r="BH562" s="12"/>
    </row>
    <row r="563" spans="1:60" s="3" customFormat="1" ht="20.399999999999999" x14ac:dyDescent="0.3">
      <c r="A563" s="25"/>
      <c r="B563" s="26" t="s">
        <v>1423</v>
      </c>
      <c r="C563" s="419" t="s">
        <v>1424</v>
      </c>
      <c r="D563" s="419"/>
      <c r="E563" s="419"/>
      <c r="F563" s="27" t="s">
        <v>430</v>
      </c>
      <c r="G563" s="22" t="s">
        <v>3120</v>
      </c>
      <c r="H563" s="58"/>
      <c r="I563" s="28"/>
      <c r="J563" s="28"/>
      <c r="K563" s="29"/>
      <c r="BC563" s="14"/>
      <c r="BD563" s="15"/>
      <c r="BE563" s="21"/>
      <c r="BF563" s="43"/>
      <c r="BG563" s="12" t="s">
        <v>1424</v>
      </c>
      <c r="BH563" s="12"/>
    </row>
    <row r="564" spans="1:60" s="3" customFormat="1" ht="42" x14ac:dyDescent="0.3">
      <c r="A564" s="25" t="s">
        <v>129</v>
      </c>
      <c r="B564" s="26" t="s">
        <v>3121</v>
      </c>
      <c r="C564" s="419" t="s">
        <v>3122</v>
      </c>
      <c r="D564" s="419"/>
      <c r="E564" s="419"/>
      <c r="F564" s="27" t="s">
        <v>158</v>
      </c>
      <c r="G564" s="22" t="s">
        <v>33</v>
      </c>
      <c r="H564" s="58"/>
      <c r="I564" s="28"/>
      <c r="J564" s="28"/>
      <c r="K564" s="29"/>
      <c r="BC564" s="14"/>
      <c r="BD564" s="15"/>
      <c r="BE564" s="21"/>
      <c r="BF564" s="43"/>
      <c r="BG564" s="12"/>
      <c r="BH564" s="12" t="s">
        <v>3122</v>
      </c>
    </row>
    <row r="565" spans="1:60" s="3" customFormat="1" ht="24.75" customHeight="1" x14ac:dyDescent="0.3">
      <c r="A565" s="454" t="s">
        <v>3123</v>
      </c>
      <c r="B565" s="455"/>
      <c r="C565" s="455"/>
      <c r="D565" s="455"/>
      <c r="E565" s="455"/>
      <c r="F565" s="455"/>
      <c r="G565" s="455"/>
      <c r="H565" s="296"/>
      <c r="I565" s="296"/>
      <c r="J565" s="296"/>
      <c r="K565" s="297"/>
      <c r="BC565" s="14"/>
      <c r="BD565" s="15" t="s">
        <v>3123</v>
      </c>
      <c r="BE565" s="21"/>
      <c r="BF565" s="43"/>
      <c r="BG565" s="12"/>
      <c r="BH565" s="12"/>
    </row>
    <row r="566" spans="1:60" s="3" customFormat="1" ht="42" x14ac:dyDescent="0.3">
      <c r="A566" s="16" t="s">
        <v>3124</v>
      </c>
      <c r="B566" s="17" t="s">
        <v>3111</v>
      </c>
      <c r="C566" s="405" t="s">
        <v>3112</v>
      </c>
      <c r="D566" s="405"/>
      <c r="E566" s="405"/>
      <c r="F566" s="16" t="s">
        <v>329</v>
      </c>
      <c r="G566" s="30">
        <v>1.8499999999999999E-2</v>
      </c>
      <c r="H566" s="57">
        <f>I566/G566</f>
        <v>161629.1891891892</v>
      </c>
      <c r="I566" s="19">
        <v>2990.14</v>
      </c>
      <c r="J566" s="19">
        <f>K566/G566</f>
        <v>27735.675675675677</v>
      </c>
      <c r="K566" s="19">
        <v>513.11</v>
      </c>
      <c r="BC566" s="14"/>
      <c r="BD566" s="15"/>
      <c r="BE566" s="21" t="s">
        <v>3112</v>
      </c>
      <c r="BF566" s="43"/>
      <c r="BG566" s="12"/>
      <c r="BH566" s="12"/>
    </row>
    <row r="567" spans="1:60" s="3" customFormat="1" ht="20.399999999999999" x14ac:dyDescent="0.3">
      <c r="A567" s="25"/>
      <c r="B567" s="26" t="s">
        <v>3113</v>
      </c>
      <c r="C567" s="419" t="s">
        <v>3114</v>
      </c>
      <c r="D567" s="419"/>
      <c r="E567" s="419"/>
      <c r="F567" s="27" t="s">
        <v>70</v>
      </c>
      <c r="G567" s="22" t="s">
        <v>3115</v>
      </c>
      <c r="H567" s="58"/>
      <c r="I567" s="28"/>
      <c r="J567" s="28"/>
      <c r="K567" s="29"/>
      <c r="BC567" s="14"/>
      <c r="BD567" s="15"/>
      <c r="BE567" s="21"/>
      <c r="BF567" s="43"/>
      <c r="BG567" s="12" t="s">
        <v>3114</v>
      </c>
      <c r="BH567" s="12"/>
    </row>
    <row r="568" spans="1:60" s="3" customFormat="1" ht="21.6" x14ac:dyDescent="0.3">
      <c r="A568" s="37" t="s">
        <v>143</v>
      </c>
      <c r="B568" s="38" t="s">
        <v>3116</v>
      </c>
      <c r="C568" s="430" t="s">
        <v>3117</v>
      </c>
      <c r="D568" s="430"/>
      <c r="E568" s="430"/>
      <c r="F568" s="39" t="s">
        <v>158</v>
      </c>
      <c r="G568" s="40" t="s">
        <v>3118</v>
      </c>
      <c r="H568" s="100"/>
      <c r="I568" s="41"/>
      <c r="J568" s="41"/>
      <c r="K568" s="42"/>
      <c r="BC568" s="14"/>
      <c r="BD568" s="15"/>
      <c r="BE568" s="21"/>
      <c r="BF568" s="43" t="s">
        <v>3117</v>
      </c>
      <c r="BG568" s="12"/>
      <c r="BH568" s="12"/>
    </row>
    <row r="569" spans="1:60" s="3" customFormat="1" ht="20.399999999999999" x14ac:dyDescent="0.3">
      <c r="A569" s="25"/>
      <c r="B569" s="26" t="s">
        <v>442</v>
      </c>
      <c r="C569" s="419" t="s">
        <v>443</v>
      </c>
      <c r="D569" s="419"/>
      <c r="E569" s="419"/>
      <c r="F569" s="27" t="s">
        <v>142</v>
      </c>
      <c r="G569" s="22" t="s">
        <v>3119</v>
      </c>
      <c r="H569" s="58"/>
      <c r="I569" s="28"/>
      <c r="J569" s="28"/>
      <c r="K569" s="29"/>
      <c r="BC569" s="14"/>
      <c r="BD569" s="15"/>
      <c r="BE569" s="21"/>
      <c r="BF569" s="43"/>
      <c r="BG569" s="12" t="s">
        <v>443</v>
      </c>
      <c r="BH569" s="12"/>
    </row>
    <row r="570" spans="1:60" s="3" customFormat="1" ht="20.399999999999999" x14ac:dyDescent="0.3">
      <c r="A570" s="25"/>
      <c r="B570" s="26" t="s">
        <v>1423</v>
      </c>
      <c r="C570" s="419" t="s">
        <v>1424</v>
      </c>
      <c r="D570" s="419"/>
      <c r="E570" s="419"/>
      <c r="F570" s="27" t="s">
        <v>430</v>
      </c>
      <c r="G570" s="22" t="s">
        <v>3120</v>
      </c>
      <c r="H570" s="58"/>
      <c r="I570" s="28"/>
      <c r="J570" s="28"/>
      <c r="K570" s="29"/>
      <c r="BC570" s="14"/>
      <c r="BD570" s="15"/>
      <c r="BE570" s="21"/>
      <c r="BF570" s="43"/>
      <c r="BG570" s="12" t="s">
        <v>1424</v>
      </c>
      <c r="BH570" s="12"/>
    </row>
    <row r="571" spans="1:60" s="3" customFormat="1" ht="42" x14ac:dyDescent="0.3">
      <c r="A571" s="25" t="s">
        <v>129</v>
      </c>
      <c r="B571" s="26" t="s">
        <v>3121</v>
      </c>
      <c r="C571" s="419" t="s">
        <v>3122</v>
      </c>
      <c r="D571" s="419"/>
      <c r="E571" s="419"/>
      <c r="F571" s="27" t="s">
        <v>158</v>
      </c>
      <c r="G571" s="22" t="s">
        <v>33</v>
      </c>
      <c r="H571" s="58"/>
      <c r="I571" s="28"/>
      <c r="J571" s="28"/>
      <c r="K571" s="29"/>
      <c r="BC571" s="14"/>
      <c r="BD571" s="15"/>
      <c r="BE571" s="21"/>
      <c r="BF571" s="43"/>
      <c r="BG571" s="12"/>
      <c r="BH571" s="12" t="s">
        <v>3122</v>
      </c>
    </row>
    <row r="572" spans="1:60" s="3" customFormat="1" ht="24.75" customHeight="1" x14ac:dyDescent="0.3">
      <c r="A572" s="454" t="s">
        <v>3125</v>
      </c>
      <c r="B572" s="455"/>
      <c r="C572" s="455"/>
      <c r="D572" s="455"/>
      <c r="E572" s="455"/>
      <c r="F572" s="455"/>
      <c r="G572" s="455"/>
      <c r="H572" s="296"/>
      <c r="I572" s="296"/>
      <c r="J572" s="296"/>
      <c r="K572" s="297"/>
      <c r="BC572" s="14"/>
      <c r="BD572" s="15" t="s">
        <v>3125</v>
      </c>
      <c r="BE572" s="21"/>
      <c r="BF572" s="43"/>
      <c r="BG572" s="12"/>
      <c r="BH572" s="12"/>
    </row>
    <row r="573" spans="1:60" s="3" customFormat="1" ht="42" x14ac:dyDescent="0.3">
      <c r="A573" s="16" t="s">
        <v>3126</v>
      </c>
      <c r="B573" s="17" t="s">
        <v>3111</v>
      </c>
      <c r="C573" s="405" t="s">
        <v>3112</v>
      </c>
      <c r="D573" s="405"/>
      <c r="E573" s="405"/>
      <c r="F573" s="16" t="s">
        <v>329</v>
      </c>
      <c r="G573" s="30">
        <v>1.6400000000000001E-2</v>
      </c>
      <c r="H573" s="57">
        <f>I573/G573</f>
        <v>161631.09756097558</v>
      </c>
      <c r="I573" s="19">
        <v>2650.75</v>
      </c>
      <c r="J573" s="19">
        <f>K573/G573</f>
        <v>27735.365853658535</v>
      </c>
      <c r="K573" s="19">
        <v>454.86</v>
      </c>
      <c r="BC573" s="14"/>
      <c r="BD573" s="15"/>
      <c r="BE573" s="21" t="s">
        <v>3112</v>
      </c>
      <c r="BF573" s="43"/>
      <c r="BG573" s="12"/>
      <c r="BH573" s="12"/>
    </row>
    <row r="574" spans="1:60" s="3" customFormat="1" ht="20.399999999999999" x14ac:dyDescent="0.3">
      <c r="A574" s="25"/>
      <c r="B574" s="26" t="s">
        <v>3113</v>
      </c>
      <c r="C574" s="419" t="s">
        <v>3114</v>
      </c>
      <c r="D574" s="419"/>
      <c r="E574" s="419"/>
      <c r="F574" s="27" t="s">
        <v>70</v>
      </c>
      <c r="G574" s="22" t="s">
        <v>3127</v>
      </c>
      <c r="H574" s="58"/>
      <c r="I574" s="28"/>
      <c r="J574" s="28"/>
      <c r="K574" s="29"/>
      <c r="BC574" s="14"/>
      <c r="BD574" s="15"/>
      <c r="BE574" s="21"/>
      <c r="BF574" s="43"/>
      <c r="BG574" s="12" t="s">
        <v>3114</v>
      </c>
      <c r="BH574" s="12"/>
    </row>
    <row r="575" spans="1:60" s="3" customFormat="1" ht="21.6" x14ac:dyDescent="0.3">
      <c r="A575" s="37" t="s">
        <v>143</v>
      </c>
      <c r="B575" s="38" t="s">
        <v>3116</v>
      </c>
      <c r="C575" s="430" t="s">
        <v>3117</v>
      </c>
      <c r="D575" s="430"/>
      <c r="E575" s="430"/>
      <c r="F575" s="39" t="s">
        <v>158</v>
      </c>
      <c r="G575" s="40" t="s">
        <v>3128</v>
      </c>
      <c r="H575" s="100"/>
      <c r="I575" s="41"/>
      <c r="J575" s="41"/>
      <c r="K575" s="42"/>
      <c r="BC575" s="14"/>
      <c r="BD575" s="15"/>
      <c r="BE575" s="21"/>
      <c r="BF575" s="43" t="s">
        <v>3117</v>
      </c>
      <c r="BG575" s="12"/>
      <c r="BH575" s="12"/>
    </row>
    <row r="576" spans="1:60" s="3" customFormat="1" ht="20.399999999999999" x14ac:dyDescent="0.3">
      <c r="A576" s="25"/>
      <c r="B576" s="26" t="s">
        <v>442</v>
      </c>
      <c r="C576" s="419" t="s">
        <v>443</v>
      </c>
      <c r="D576" s="419"/>
      <c r="E576" s="419"/>
      <c r="F576" s="27" t="s">
        <v>142</v>
      </c>
      <c r="G576" s="22" t="s">
        <v>3129</v>
      </c>
      <c r="H576" s="58"/>
      <c r="I576" s="28"/>
      <c r="J576" s="28"/>
      <c r="K576" s="29"/>
      <c r="BC576" s="14"/>
      <c r="BD576" s="15"/>
      <c r="BE576" s="21"/>
      <c r="BF576" s="43"/>
      <c r="BG576" s="12" t="s">
        <v>443</v>
      </c>
      <c r="BH576" s="12"/>
    </row>
    <row r="577" spans="1:60" s="3" customFormat="1" ht="20.399999999999999" x14ac:dyDescent="0.3">
      <c r="A577" s="25"/>
      <c r="B577" s="26" t="s">
        <v>1423</v>
      </c>
      <c r="C577" s="419" t="s">
        <v>1424</v>
      </c>
      <c r="D577" s="419"/>
      <c r="E577" s="419"/>
      <c r="F577" s="27" t="s">
        <v>430</v>
      </c>
      <c r="G577" s="22" t="s">
        <v>3130</v>
      </c>
      <c r="H577" s="58"/>
      <c r="I577" s="28"/>
      <c r="J577" s="28"/>
      <c r="K577" s="29"/>
      <c r="BC577" s="14"/>
      <c r="BD577" s="15"/>
      <c r="BE577" s="21"/>
      <c r="BF577" s="43"/>
      <c r="BG577" s="12" t="s">
        <v>1424</v>
      </c>
      <c r="BH577" s="12"/>
    </row>
    <row r="578" spans="1:60" s="3" customFormat="1" ht="42" x14ac:dyDescent="0.3">
      <c r="A578" s="25" t="s">
        <v>129</v>
      </c>
      <c r="B578" s="26" t="s">
        <v>3121</v>
      </c>
      <c r="C578" s="419" t="s">
        <v>3122</v>
      </c>
      <c r="D578" s="419"/>
      <c r="E578" s="419"/>
      <c r="F578" s="27" t="s">
        <v>158</v>
      </c>
      <c r="G578" s="22" t="s">
        <v>33</v>
      </c>
      <c r="H578" s="58"/>
      <c r="I578" s="28"/>
      <c r="J578" s="28"/>
      <c r="K578" s="29"/>
      <c r="BC578" s="14"/>
      <c r="BD578" s="15"/>
      <c r="BE578" s="21"/>
      <c r="BF578" s="43"/>
      <c r="BG578" s="12"/>
      <c r="BH578" s="12" t="s">
        <v>3122</v>
      </c>
    </row>
    <row r="579" spans="1:60" s="3" customFormat="1" ht="24.75" customHeight="1" x14ac:dyDescent="0.3">
      <c r="A579" s="454" t="s">
        <v>3131</v>
      </c>
      <c r="B579" s="455"/>
      <c r="C579" s="455"/>
      <c r="D579" s="455"/>
      <c r="E579" s="455"/>
      <c r="F579" s="455"/>
      <c r="G579" s="455"/>
      <c r="H579" s="296"/>
      <c r="I579" s="296"/>
      <c r="J579" s="296"/>
      <c r="K579" s="297"/>
      <c r="BC579" s="14"/>
      <c r="BD579" s="15" t="s">
        <v>3131</v>
      </c>
      <c r="BE579" s="21"/>
      <c r="BF579" s="43"/>
      <c r="BG579" s="12"/>
      <c r="BH579" s="12"/>
    </row>
    <row r="580" spans="1:60" s="3" customFormat="1" ht="42" x14ac:dyDescent="0.3">
      <c r="A580" s="16" t="s">
        <v>3132</v>
      </c>
      <c r="B580" s="17" t="s">
        <v>3111</v>
      </c>
      <c r="C580" s="405" t="s">
        <v>3112</v>
      </c>
      <c r="D580" s="405"/>
      <c r="E580" s="405"/>
      <c r="F580" s="16" t="s">
        <v>329</v>
      </c>
      <c r="G580" s="30">
        <v>1.6400000000000001E-2</v>
      </c>
      <c r="H580" s="57">
        <f>I580/G580</f>
        <v>161631.09756097558</v>
      </c>
      <c r="I580" s="19">
        <v>2650.75</v>
      </c>
      <c r="J580" s="19">
        <f>K580/G580</f>
        <v>27735.365853658535</v>
      </c>
      <c r="K580" s="19">
        <v>454.86</v>
      </c>
      <c r="BC580" s="14"/>
      <c r="BD580" s="15"/>
      <c r="BE580" s="21" t="s">
        <v>3112</v>
      </c>
      <c r="BF580" s="43"/>
      <c r="BG580" s="12"/>
      <c r="BH580" s="12"/>
    </row>
    <row r="581" spans="1:60" s="3" customFormat="1" ht="20.399999999999999" x14ac:dyDescent="0.3">
      <c r="A581" s="25"/>
      <c r="B581" s="26" t="s">
        <v>3113</v>
      </c>
      <c r="C581" s="419" t="s">
        <v>3114</v>
      </c>
      <c r="D581" s="419"/>
      <c r="E581" s="419"/>
      <c r="F581" s="27" t="s">
        <v>70</v>
      </c>
      <c r="G581" s="22" t="s">
        <v>3127</v>
      </c>
      <c r="H581" s="58"/>
      <c r="I581" s="28"/>
      <c r="J581" s="28"/>
      <c r="K581" s="29"/>
      <c r="BC581" s="14"/>
      <c r="BD581" s="15"/>
      <c r="BE581" s="21"/>
      <c r="BF581" s="43"/>
      <c r="BG581" s="12" t="s">
        <v>3114</v>
      </c>
      <c r="BH581" s="12"/>
    </row>
    <row r="582" spans="1:60" s="3" customFormat="1" ht="21.6" x14ac:dyDescent="0.3">
      <c r="A582" s="37" t="s">
        <v>143</v>
      </c>
      <c r="B582" s="38" t="s">
        <v>3116</v>
      </c>
      <c r="C582" s="430" t="s">
        <v>3117</v>
      </c>
      <c r="D582" s="430"/>
      <c r="E582" s="430"/>
      <c r="F582" s="39" t="s">
        <v>158</v>
      </c>
      <c r="G582" s="40" t="s">
        <v>3128</v>
      </c>
      <c r="H582" s="100"/>
      <c r="I582" s="41"/>
      <c r="J582" s="41"/>
      <c r="K582" s="42"/>
      <c r="BC582" s="14"/>
      <c r="BD582" s="15"/>
      <c r="BE582" s="21"/>
      <c r="BF582" s="43" t="s">
        <v>3117</v>
      </c>
      <c r="BG582" s="12"/>
      <c r="BH582" s="12"/>
    </row>
    <row r="583" spans="1:60" s="3" customFormat="1" ht="20.399999999999999" x14ac:dyDescent="0.3">
      <c r="A583" s="25"/>
      <c r="B583" s="26" t="s">
        <v>442</v>
      </c>
      <c r="C583" s="419" t="s">
        <v>443</v>
      </c>
      <c r="D583" s="419"/>
      <c r="E583" s="419"/>
      <c r="F583" s="27" t="s">
        <v>142</v>
      </c>
      <c r="G583" s="22" t="s">
        <v>3129</v>
      </c>
      <c r="H583" s="58"/>
      <c r="I583" s="28"/>
      <c r="J583" s="28"/>
      <c r="K583" s="29"/>
      <c r="BC583" s="14"/>
      <c r="BD583" s="15"/>
      <c r="BE583" s="21"/>
      <c r="BF583" s="43"/>
      <c r="BG583" s="12" t="s">
        <v>443</v>
      </c>
      <c r="BH583" s="12"/>
    </row>
    <row r="584" spans="1:60" s="3" customFormat="1" ht="20.399999999999999" x14ac:dyDescent="0.3">
      <c r="A584" s="25"/>
      <c r="B584" s="26" t="s">
        <v>1423</v>
      </c>
      <c r="C584" s="419" t="s">
        <v>1424</v>
      </c>
      <c r="D584" s="419"/>
      <c r="E584" s="419"/>
      <c r="F584" s="27" t="s">
        <v>430</v>
      </c>
      <c r="G584" s="22" t="s">
        <v>3130</v>
      </c>
      <c r="H584" s="58"/>
      <c r="I584" s="28"/>
      <c r="J584" s="28"/>
      <c r="K584" s="29"/>
      <c r="BC584" s="14"/>
      <c r="BD584" s="15"/>
      <c r="BE584" s="21"/>
      <c r="BF584" s="43"/>
      <c r="BG584" s="12" t="s">
        <v>1424</v>
      </c>
      <c r="BH584" s="12"/>
    </row>
    <row r="585" spans="1:60" s="3" customFormat="1" ht="42" x14ac:dyDescent="0.3">
      <c r="A585" s="25" t="s">
        <v>129</v>
      </c>
      <c r="B585" s="26" t="s">
        <v>3121</v>
      </c>
      <c r="C585" s="419" t="s">
        <v>3122</v>
      </c>
      <c r="D585" s="419"/>
      <c r="E585" s="419"/>
      <c r="F585" s="27" t="s">
        <v>158</v>
      </c>
      <c r="G585" s="22" t="s">
        <v>33</v>
      </c>
      <c r="H585" s="58"/>
      <c r="I585" s="28"/>
      <c r="J585" s="28"/>
      <c r="K585" s="29"/>
      <c r="BC585" s="14"/>
      <c r="BD585" s="15"/>
      <c r="BE585" s="21"/>
      <c r="BF585" s="43"/>
      <c r="BG585" s="12"/>
      <c r="BH585" s="12" t="s">
        <v>3122</v>
      </c>
    </row>
    <row r="586" spans="1:60" s="3" customFormat="1" ht="15" customHeight="1" x14ac:dyDescent="0.3">
      <c r="A586" s="435" t="s">
        <v>3133</v>
      </c>
      <c r="B586" s="436"/>
      <c r="C586" s="436"/>
      <c r="D586" s="436"/>
      <c r="E586" s="436"/>
      <c r="F586" s="436"/>
      <c r="G586" s="436"/>
      <c r="H586" s="103"/>
      <c r="I586" s="103"/>
      <c r="J586" s="103"/>
      <c r="K586" s="104"/>
      <c r="BC586" s="14" t="s">
        <v>3133</v>
      </c>
      <c r="BD586" s="15"/>
      <c r="BE586" s="21"/>
      <c r="BF586" s="43"/>
      <c r="BG586" s="12"/>
      <c r="BH586" s="12"/>
    </row>
    <row r="587" spans="1:60" s="3" customFormat="1" ht="15" customHeight="1" x14ac:dyDescent="0.3">
      <c r="A587" s="454" t="s">
        <v>3134</v>
      </c>
      <c r="B587" s="455"/>
      <c r="C587" s="455"/>
      <c r="D587" s="455"/>
      <c r="E587" s="455"/>
      <c r="F587" s="455"/>
      <c r="G587" s="455"/>
      <c r="H587" s="296"/>
      <c r="I587" s="296"/>
      <c r="J587" s="296"/>
      <c r="K587" s="297"/>
      <c r="BC587" s="14"/>
      <c r="BD587" s="15" t="s">
        <v>3134</v>
      </c>
      <c r="BE587" s="21"/>
      <c r="BF587" s="43"/>
      <c r="BG587" s="12"/>
      <c r="BH587" s="12"/>
    </row>
    <row r="588" spans="1:60" s="3" customFormat="1" ht="21.6" x14ac:dyDescent="0.3">
      <c r="A588" s="16" t="s">
        <v>3135</v>
      </c>
      <c r="B588" s="17" t="s">
        <v>3136</v>
      </c>
      <c r="C588" s="405" t="s">
        <v>3137</v>
      </c>
      <c r="D588" s="405"/>
      <c r="E588" s="405"/>
      <c r="F588" s="16" t="s">
        <v>329</v>
      </c>
      <c r="G588" s="30">
        <v>4.9299999999999997E-2</v>
      </c>
      <c r="H588" s="57">
        <f>I588/G588</f>
        <v>244508.31643002029</v>
      </c>
      <c r="I588" s="19">
        <v>12054.26</v>
      </c>
      <c r="J588" s="19">
        <f>K588/G588</f>
        <v>247106.08519269779</v>
      </c>
      <c r="K588" s="19">
        <v>12182.33</v>
      </c>
      <c r="BC588" s="14"/>
      <c r="BD588" s="15"/>
      <c r="BE588" s="21" t="s">
        <v>3137</v>
      </c>
      <c r="BF588" s="43"/>
      <c r="BG588" s="12"/>
      <c r="BH588" s="12"/>
    </row>
    <row r="589" spans="1:60" s="3" customFormat="1" ht="20.399999999999999" x14ac:dyDescent="0.3">
      <c r="A589" s="25"/>
      <c r="B589" s="26" t="s">
        <v>154</v>
      </c>
      <c r="C589" s="419" t="s">
        <v>155</v>
      </c>
      <c r="D589" s="419"/>
      <c r="E589" s="419"/>
      <c r="F589" s="27" t="s">
        <v>46</v>
      </c>
      <c r="G589" s="22" t="s">
        <v>3138</v>
      </c>
      <c r="H589" s="58"/>
      <c r="I589" s="28"/>
      <c r="J589" s="28"/>
      <c r="K589" s="29"/>
      <c r="BC589" s="14"/>
      <c r="BD589" s="15"/>
      <c r="BE589" s="21"/>
      <c r="BF589" s="43"/>
      <c r="BG589" s="12" t="s">
        <v>155</v>
      </c>
      <c r="BH589" s="12"/>
    </row>
    <row r="590" spans="1:60" s="3" customFormat="1" ht="31.8" x14ac:dyDescent="0.3">
      <c r="A590" s="25"/>
      <c r="B590" s="26" t="s">
        <v>2515</v>
      </c>
      <c r="C590" s="419" t="s">
        <v>2516</v>
      </c>
      <c r="D590" s="419"/>
      <c r="E590" s="419"/>
      <c r="F590" s="27" t="s">
        <v>70</v>
      </c>
      <c r="G590" s="22" t="s">
        <v>3139</v>
      </c>
      <c r="H590" s="58"/>
      <c r="I590" s="28"/>
      <c r="J590" s="28"/>
      <c r="K590" s="29"/>
      <c r="BC590" s="14"/>
      <c r="BD590" s="15"/>
      <c r="BE590" s="21"/>
      <c r="BF590" s="43"/>
      <c r="BG590" s="12" t="s">
        <v>2516</v>
      </c>
      <c r="BH590" s="12"/>
    </row>
    <row r="591" spans="1:60" s="3" customFormat="1" ht="20.399999999999999" x14ac:dyDescent="0.3">
      <c r="A591" s="37" t="s">
        <v>143</v>
      </c>
      <c r="B591" s="38" t="s">
        <v>2518</v>
      </c>
      <c r="C591" s="430" t="s">
        <v>3140</v>
      </c>
      <c r="D591" s="430"/>
      <c r="E591" s="430"/>
      <c r="F591" s="39" t="s">
        <v>158</v>
      </c>
      <c r="G591" s="40" t="s">
        <v>3141</v>
      </c>
      <c r="H591" s="100"/>
      <c r="I591" s="41"/>
      <c r="J591" s="41"/>
      <c r="K591" s="42"/>
      <c r="BC591" s="14"/>
      <c r="BD591" s="15"/>
      <c r="BE591" s="21"/>
      <c r="BF591" s="43" t="s">
        <v>3140</v>
      </c>
      <c r="BG591" s="12"/>
      <c r="BH591" s="12"/>
    </row>
    <row r="592" spans="1:60" s="3" customFormat="1" ht="20.399999999999999" x14ac:dyDescent="0.3">
      <c r="A592" s="37" t="s">
        <v>143</v>
      </c>
      <c r="B592" s="38" t="s">
        <v>2521</v>
      </c>
      <c r="C592" s="430" t="s">
        <v>2522</v>
      </c>
      <c r="D592" s="430"/>
      <c r="E592" s="430"/>
      <c r="F592" s="39" t="s">
        <v>46</v>
      </c>
      <c r="G592" s="40" t="s">
        <v>3142</v>
      </c>
      <c r="H592" s="100"/>
      <c r="I592" s="41"/>
      <c r="J592" s="41"/>
      <c r="K592" s="42"/>
      <c r="BC592" s="14"/>
      <c r="BD592" s="15"/>
      <c r="BE592" s="21"/>
      <c r="BF592" s="43" t="s">
        <v>2522</v>
      </c>
      <c r="BG592" s="12"/>
      <c r="BH592" s="12"/>
    </row>
    <row r="593" spans="1:60" s="3" customFormat="1" ht="20.399999999999999" x14ac:dyDescent="0.3">
      <c r="A593" s="37" t="s">
        <v>143</v>
      </c>
      <c r="B593" s="38" t="s">
        <v>2524</v>
      </c>
      <c r="C593" s="430" t="s">
        <v>2525</v>
      </c>
      <c r="D593" s="430"/>
      <c r="E593" s="430"/>
      <c r="F593" s="39" t="s">
        <v>70</v>
      </c>
      <c r="G593" s="40" t="s">
        <v>3143</v>
      </c>
      <c r="H593" s="100"/>
      <c r="I593" s="41"/>
      <c r="J593" s="41"/>
      <c r="K593" s="42"/>
      <c r="BC593" s="14"/>
      <c r="BD593" s="15"/>
      <c r="BE593" s="21"/>
      <c r="BF593" s="43" t="s">
        <v>2525</v>
      </c>
      <c r="BG593" s="12"/>
      <c r="BH593" s="12"/>
    </row>
    <row r="594" spans="1:60" s="3" customFormat="1" ht="20.399999999999999" x14ac:dyDescent="0.3">
      <c r="A594" s="37" t="s">
        <v>78</v>
      </c>
      <c r="B594" s="38" t="s">
        <v>2527</v>
      </c>
      <c r="C594" s="430" t="s">
        <v>2528</v>
      </c>
      <c r="D594" s="430"/>
      <c r="E594" s="430"/>
      <c r="F594" s="39" t="s">
        <v>70</v>
      </c>
      <c r="G594" s="40" t="s">
        <v>33</v>
      </c>
      <c r="H594" s="100"/>
      <c r="I594" s="41"/>
      <c r="J594" s="41"/>
      <c r="K594" s="42"/>
      <c r="BC594" s="14"/>
      <c r="BD594" s="15"/>
      <c r="BE594" s="21"/>
      <c r="BF594" s="43" t="s">
        <v>2528</v>
      </c>
      <c r="BG594" s="12"/>
      <c r="BH594" s="12"/>
    </row>
    <row r="595" spans="1:60" s="3" customFormat="1" ht="31.8" x14ac:dyDescent="0.3">
      <c r="A595" s="25" t="s">
        <v>129</v>
      </c>
      <c r="B595" s="26" t="s">
        <v>3144</v>
      </c>
      <c r="C595" s="419" t="s">
        <v>3145</v>
      </c>
      <c r="D595" s="419"/>
      <c r="E595" s="419"/>
      <c r="F595" s="27" t="s">
        <v>158</v>
      </c>
      <c r="G595" s="22" t="s">
        <v>3141</v>
      </c>
      <c r="H595" s="58"/>
      <c r="I595" s="28"/>
      <c r="J595" s="28"/>
      <c r="K595" s="29"/>
      <c r="BC595" s="14"/>
      <c r="BD595" s="15"/>
      <c r="BE595" s="21"/>
      <c r="BF595" s="43"/>
      <c r="BG595" s="12"/>
      <c r="BH595" s="12" t="s">
        <v>3145</v>
      </c>
    </row>
    <row r="596" spans="1:60" s="3" customFormat="1" ht="20.399999999999999" x14ac:dyDescent="0.3">
      <c r="A596" s="25" t="s">
        <v>129</v>
      </c>
      <c r="B596" s="26" t="s">
        <v>2531</v>
      </c>
      <c r="C596" s="419" t="s">
        <v>2532</v>
      </c>
      <c r="D596" s="419"/>
      <c r="E596" s="419"/>
      <c r="F596" s="27" t="s">
        <v>70</v>
      </c>
      <c r="G596" s="22" t="s">
        <v>3143</v>
      </c>
      <c r="H596" s="58"/>
      <c r="I596" s="28"/>
      <c r="J596" s="28"/>
      <c r="K596" s="29"/>
      <c r="BC596" s="14"/>
      <c r="BD596" s="15"/>
      <c r="BE596" s="21"/>
      <c r="BF596" s="43"/>
      <c r="BG596" s="12"/>
      <c r="BH596" s="12" t="s">
        <v>2532</v>
      </c>
    </row>
    <row r="597" spans="1:60" s="3" customFormat="1" ht="20.399999999999999" x14ac:dyDescent="0.3">
      <c r="A597" s="25" t="s">
        <v>129</v>
      </c>
      <c r="B597" s="26" t="s">
        <v>2533</v>
      </c>
      <c r="C597" s="419" t="s">
        <v>2534</v>
      </c>
      <c r="D597" s="419"/>
      <c r="E597" s="419"/>
      <c r="F597" s="27" t="s">
        <v>46</v>
      </c>
      <c r="G597" s="22" t="s">
        <v>3142</v>
      </c>
      <c r="H597" s="58"/>
      <c r="I597" s="28"/>
      <c r="J597" s="28"/>
      <c r="K597" s="29"/>
      <c r="BC597" s="14"/>
      <c r="BD597" s="15"/>
      <c r="BE597" s="21"/>
      <c r="BF597" s="43"/>
      <c r="BG597" s="12"/>
      <c r="BH597" s="12" t="s">
        <v>2534</v>
      </c>
    </row>
    <row r="598" spans="1:60" s="3" customFormat="1" ht="20.399999999999999" x14ac:dyDescent="0.3">
      <c r="A598" s="25" t="s">
        <v>129</v>
      </c>
      <c r="B598" s="26" t="s">
        <v>2535</v>
      </c>
      <c r="C598" s="419" t="s">
        <v>2536</v>
      </c>
      <c r="D598" s="419"/>
      <c r="E598" s="419"/>
      <c r="F598" s="27" t="s">
        <v>75</v>
      </c>
      <c r="G598" s="22" t="s">
        <v>3146</v>
      </c>
      <c r="H598" s="58"/>
      <c r="I598" s="28"/>
      <c r="J598" s="28"/>
      <c r="K598" s="29"/>
      <c r="BC598" s="14"/>
      <c r="BD598" s="15"/>
      <c r="BE598" s="21"/>
      <c r="BF598" s="43"/>
      <c r="BG598" s="12"/>
      <c r="BH598" s="12" t="s">
        <v>2536</v>
      </c>
    </row>
    <row r="599" spans="1:60" s="3" customFormat="1" ht="15" customHeight="1" x14ac:dyDescent="0.3">
      <c r="A599" s="454" t="s">
        <v>3147</v>
      </c>
      <c r="B599" s="455"/>
      <c r="C599" s="455"/>
      <c r="D599" s="455"/>
      <c r="E599" s="455"/>
      <c r="F599" s="455"/>
      <c r="G599" s="455"/>
      <c r="H599" s="296"/>
      <c r="I599" s="296"/>
      <c r="J599" s="296"/>
      <c r="K599" s="297"/>
      <c r="BC599" s="14"/>
      <c r="BD599" s="15" t="s">
        <v>3147</v>
      </c>
      <c r="BE599" s="21"/>
      <c r="BF599" s="43"/>
      <c r="BG599" s="12"/>
      <c r="BH599" s="12"/>
    </row>
    <row r="600" spans="1:60" s="3" customFormat="1" ht="21.6" x14ac:dyDescent="0.3">
      <c r="A600" s="16" t="s">
        <v>3148</v>
      </c>
      <c r="B600" s="17" t="s">
        <v>2539</v>
      </c>
      <c r="C600" s="405" t="s">
        <v>2540</v>
      </c>
      <c r="D600" s="405"/>
      <c r="E600" s="405"/>
      <c r="F600" s="16" t="s">
        <v>329</v>
      </c>
      <c r="G600" s="30">
        <v>4.3499999999999997E-2</v>
      </c>
      <c r="H600" s="57">
        <f>I600/G600</f>
        <v>35324.597701149425</v>
      </c>
      <c r="I600" s="19">
        <v>1536.62</v>
      </c>
      <c r="J600" s="19">
        <f>K600/G600</f>
        <v>9974.4827586206902</v>
      </c>
      <c r="K600" s="19">
        <v>433.89</v>
      </c>
      <c r="BC600" s="14"/>
      <c r="BD600" s="15"/>
      <c r="BE600" s="21" t="s">
        <v>2540</v>
      </c>
      <c r="BF600" s="43"/>
      <c r="BG600" s="12"/>
      <c r="BH600" s="12"/>
    </row>
    <row r="601" spans="1:60" s="3" customFormat="1" ht="20.399999999999999" x14ac:dyDescent="0.3">
      <c r="A601" s="25"/>
      <c r="B601" s="26" t="s">
        <v>154</v>
      </c>
      <c r="C601" s="419" t="s">
        <v>155</v>
      </c>
      <c r="D601" s="419"/>
      <c r="E601" s="419"/>
      <c r="F601" s="27" t="s">
        <v>46</v>
      </c>
      <c r="G601" s="22" t="s">
        <v>3149</v>
      </c>
      <c r="H601" s="58"/>
      <c r="I601" s="28"/>
      <c r="J601" s="28"/>
      <c r="K601" s="29"/>
      <c r="BC601" s="14"/>
      <c r="BD601" s="15"/>
      <c r="BE601" s="21"/>
      <c r="BF601" s="43"/>
      <c r="BG601" s="12" t="s">
        <v>155</v>
      </c>
      <c r="BH601" s="12"/>
    </row>
    <row r="602" spans="1:60" s="3" customFormat="1" ht="21.6" x14ac:dyDescent="0.3">
      <c r="A602" s="37" t="s">
        <v>143</v>
      </c>
      <c r="B602" s="38" t="s">
        <v>2542</v>
      </c>
      <c r="C602" s="430" t="s">
        <v>2543</v>
      </c>
      <c r="D602" s="430"/>
      <c r="E602" s="430"/>
      <c r="F602" s="39" t="s">
        <v>46</v>
      </c>
      <c r="G602" s="40" t="s">
        <v>3150</v>
      </c>
      <c r="H602" s="100"/>
      <c r="I602" s="41"/>
      <c r="J602" s="41"/>
      <c r="K602" s="42"/>
      <c r="BC602" s="14"/>
      <c r="BD602" s="15"/>
      <c r="BE602" s="21"/>
      <c r="BF602" s="43" t="s">
        <v>2543</v>
      </c>
      <c r="BG602" s="12"/>
      <c r="BH602" s="12"/>
    </row>
    <row r="603" spans="1:60" s="3" customFormat="1" ht="20.399999999999999" x14ac:dyDescent="0.3">
      <c r="A603" s="25" t="s">
        <v>129</v>
      </c>
      <c r="B603" s="26" t="s">
        <v>2545</v>
      </c>
      <c r="C603" s="419" t="s">
        <v>84</v>
      </c>
      <c r="D603" s="419"/>
      <c r="E603" s="419"/>
      <c r="F603" s="27" t="s">
        <v>46</v>
      </c>
      <c r="G603" s="22" t="s">
        <v>3150</v>
      </c>
      <c r="H603" s="58"/>
      <c r="I603" s="28"/>
      <c r="J603" s="28"/>
      <c r="K603" s="29"/>
      <c r="BC603" s="14"/>
      <c r="BD603" s="15"/>
      <c r="BE603" s="21"/>
      <c r="BF603" s="43"/>
      <c r="BG603" s="12"/>
      <c r="BH603" s="12" t="s">
        <v>84</v>
      </c>
    </row>
    <row r="604" spans="1:60" s="3" customFormat="1" ht="31.8" x14ac:dyDescent="0.3">
      <c r="A604" s="16" t="s">
        <v>3151</v>
      </c>
      <c r="B604" s="17" t="s">
        <v>2546</v>
      </c>
      <c r="C604" s="405" t="s">
        <v>2547</v>
      </c>
      <c r="D604" s="405"/>
      <c r="E604" s="405"/>
      <c r="F604" s="16" t="s">
        <v>329</v>
      </c>
      <c r="G604" s="30">
        <v>4.3499999999999997E-2</v>
      </c>
      <c r="H604" s="57">
        <f>I604/G604</f>
        <v>2703.6781609195382</v>
      </c>
      <c r="I604" s="19">
        <v>117.6099999999999</v>
      </c>
      <c r="J604" s="19">
        <f>K604/G604</f>
        <v>36626.206896551725</v>
      </c>
      <c r="K604" s="19">
        <v>1593.24</v>
      </c>
      <c r="BC604" s="14"/>
      <c r="BD604" s="15"/>
      <c r="BE604" s="21" t="s">
        <v>2547</v>
      </c>
      <c r="BF604" s="43"/>
      <c r="BG604" s="12"/>
      <c r="BH604" s="12"/>
    </row>
    <row r="605" spans="1:60" s="3" customFormat="1" ht="21.6" x14ac:dyDescent="0.3">
      <c r="A605" s="37" t="s">
        <v>143</v>
      </c>
      <c r="B605" s="38" t="s">
        <v>2542</v>
      </c>
      <c r="C605" s="430" t="s">
        <v>2543</v>
      </c>
      <c r="D605" s="430"/>
      <c r="E605" s="430"/>
      <c r="F605" s="39" t="s">
        <v>46</v>
      </c>
      <c r="G605" s="40" t="s">
        <v>3152</v>
      </c>
      <c r="H605" s="100"/>
      <c r="I605" s="41"/>
      <c r="J605" s="41"/>
      <c r="K605" s="42"/>
      <c r="BC605" s="14"/>
      <c r="BD605" s="15"/>
      <c r="BE605" s="21"/>
      <c r="BF605" s="43" t="s">
        <v>2543</v>
      </c>
      <c r="BG605" s="12"/>
      <c r="BH605" s="12"/>
    </row>
    <row r="606" spans="1:60" s="3" customFormat="1" ht="20.399999999999999" x14ac:dyDescent="0.3">
      <c r="A606" s="25" t="s">
        <v>129</v>
      </c>
      <c r="B606" s="26" t="s">
        <v>2545</v>
      </c>
      <c r="C606" s="419" t="s">
        <v>84</v>
      </c>
      <c r="D606" s="419"/>
      <c r="E606" s="419"/>
      <c r="F606" s="27" t="s">
        <v>46</v>
      </c>
      <c r="G606" s="22" t="s">
        <v>3153</v>
      </c>
      <c r="H606" s="58"/>
      <c r="I606" s="28"/>
      <c r="J606" s="28"/>
      <c r="K606" s="29"/>
      <c r="BC606" s="14"/>
      <c r="BD606" s="15"/>
      <c r="BE606" s="21"/>
      <c r="BF606" s="43"/>
      <c r="BG606" s="12"/>
      <c r="BH606" s="12" t="s">
        <v>84</v>
      </c>
    </row>
    <row r="607" spans="1:60" s="3" customFormat="1" ht="21.6" x14ac:dyDescent="0.3">
      <c r="A607" s="16" t="s">
        <v>3154</v>
      </c>
      <c r="B607" s="17" t="s">
        <v>2550</v>
      </c>
      <c r="C607" s="405" t="s">
        <v>2551</v>
      </c>
      <c r="D607" s="405"/>
      <c r="E607" s="405"/>
      <c r="F607" s="16" t="s">
        <v>70</v>
      </c>
      <c r="G607" s="46">
        <v>1.3485E-2</v>
      </c>
      <c r="H607" s="57">
        <f>I607/G607</f>
        <v>12121.616611049316</v>
      </c>
      <c r="I607" s="19">
        <v>163.46000000000004</v>
      </c>
      <c r="J607" s="19">
        <f>K607/G607</f>
        <v>70358.917315535771</v>
      </c>
      <c r="K607" s="19">
        <v>948.79</v>
      </c>
      <c r="BC607" s="14"/>
      <c r="BD607" s="15"/>
      <c r="BE607" s="21" t="s">
        <v>2551</v>
      </c>
      <c r="BF607" s="43"/>
      <c r="BG607" s="12"/>
      <c r="BH607" s="12"/>
    </row>
    <row r="608" spans="1:60" s="3" customFormat="1" ht="20.399999999999999" x14ac:dyDescent="0.3">
      <c r="A608" s="25"/>
      <c r="B608" s="26" t="s">
        <v>2552</v>
      </c>
      <c r="C608" s="419" t="s">
        <v>2553</v>
      </c>
      <c r="D608" s="419"/>
      <c r="E608" s="419"/>
      <c r="F608" s="27" t="s">
        <v>70</v>
      </c>
      <c r="G608" s="22" t="s">
        <v>3155</v>
      </c>
      <c r="H608" s="58"/>
      <c r="I608" s="28"/>
      <c r="J608" s="28"/>
      <c r="K608" s="29"/>
      <c r="BC608" s="14"/>
      <c r="BD608" s="15"/>
      <c r="BE608" s="21"/>
      <c r="BF608" s="43"/>
      <c r="BG608" s="12" t="s">
        <v>2553</v>
      </c>
      <c r="BH608" s="12"/>
    </row>
    <row r="609" spans="1:60" s="3" customFormat="1" ht="20.399999999999999" x14ac:dyDescent="0.3">
      <c r="A609" s="37" t="s">
        <v>143</v>
      </c>
      <c r="B609" s="38" t="s">
        <v>288</v>
      </c>
      <c r="C609" s="430" t="s">
        <v>289</v>
      </c>
      <c r="D609" s="430"/>
      <c r="E609" s="430"/>
      <c r="F609" s="39" t="s">
        <v>70</v>
      </c>
      <c r="G609" s="40" t="s">
        <v>3156</v>
      </c>
      <c r="H609" s="100"/>
      <c r="I609" s="41"/>
      <c r="J609" s="41"/>
      <c r="K609" s="42"/>
      <c r="BC609" s="14"/>
      <c r="BD609" s="15"/>
      <c r="BE609" s="21"/>
      <c r="BF609" s="43" t="s">
        <v>289</v>
      </c>
      <c r="BG609" s="12"/>
      <c r="BH609" s="12"/>
    </row>
    <row r="610" spans="1:60" s="3" customFormat="1" ht="31.8" x14ac:dyDescent="0.3">
      <c r="A610" s="25" t="s">
        <v>129</v>
      </c>
      <c r="B610" s="26" t="s">
        <v>2556</v>
      </c>
      <c r="C610" s="419" t="s">
        <v>2557</v>
      </c>
      <c r="D610" s="419"/>
      <c r="E610" s="419"/>
      <c r="F610" s="27" t="s">
        <v>158</v>
      </c>
      <c r="G610" s="22" t="s">
        <v>3157</v>
      </c>
      <c r="H610" s="58"/>
      <c r="I610" s="28"/>
      <c r="J610" s="28"/>
      <c r="K610" s="29"/>
      <c r="BC610" s="14"/>
      <c r="BD610" s="15"/>
      <c r="BE610" s="21"/>
      <c r="BF610" s="43"/>
      <c r="BG610" s="12"/>
      <c r="BH610" s="12" t="s">
        <v>2557</v>
      </c>
    </row>
    <row r="611" spans="1:60" s="3" customFormat="1" ht="15" customHeight="1" x14ac:dyDescent="0.3">
      <c r="A611" s="454" t="s">
        <v>3158</v>
      </c>
      <c r="B611" s="455"/>
      <c r="C611" s="455"/>
      <c r="D611" s="455"/>
      <c r="E611" s="455"/>
      <c r="F611" s="455"/>
      <c r="G611" s="455"/>
      <c r="H611" s="296"/>
      <c r="I611" s="296"/>
      <c r="J611" s="296"/>
      <c r="K611" s="297"/>
      <c r="BC611" s="14"/>
      <c r="BD611" s="15" t="s">
        <v>3158</v>
      </c>
      <c r="BE611" s="21"/>
      <c r="BF611" s="43"/>
      <c r="BG611" s="12"/>
      <c r="BH611" s="12"/>
    </row>
    <row r="612" spans="1:60" s="3" customFormat="1" ht="31.8" x14ac:dyDescent="0.3">
      <c r="A612" s="16" t="s">
        <v>3159</v>
      </c>
      <c r="B612" s="17" t="s">
        <v>2564</v>
      </c>
      <c r="C612" s="405" t="s">
        <v>2565</v>
      </c>
      <c r="D612" s="405"/>
      <c r="E612" s="405"/>
      <c r="F612" s="16" t="s">
        <v>329</v>
      </c>
      <c r="G612" s="30">
        <v>4.1300000000000003E-2</v>
      </c>
      <c r="H612" s="57">
        <f>I612/G612</f>
        <v>29230.266343825664</v>
      </c>
      <c r="I612" s="19">
        <v>1207.21</v>
      </c>
      <c r="J612" s="19">
        <f>K612/G612</f>
        <v>0</v>
      </c>
      <c r="K612" s="19"/>
      <c r="BC612" s="14"/>
      <c r="BD612" s="15"/>
      <c r="BE612" s="21" t="s">
        <v>2565</v>
      </c>
      <c r="BF612" s="43"/>
      <c r="BG612" s="12"/>
      <c r="BH612" s="12"/>
    </row>
    <row r="613" spans="1:60" s="3" customFormat="1" ht="21.6" x14ac:dyDescent="0.3">
      <c r="A613" s="37" t="s">
        <v>143</v>
      </c>
      <c r="B613" s="38" t="s">
        <v>2566</v>
      </c>
      <c r="C613" s="430" t="s">
        <v>2567</v>
      </c>
      <c r="D613" s="430"/>
      <c r="E613" s="430"/>
      <c r="F613" s="39" t="s">
        <v>158</v>
      </c>
      <c r="G613" s="40" t="s">
        <v>3160</v>
      </c>
      <c r="H613" s="100"/>
      <c r="I613" s="41"/>
      <c r="J613" s="41"/>
      <c r="K613" s="42"/>
      <c r="BC613" s="14"/>
      <c r="BD613" s="15"/>
      <c r="BE613" s="21"/>
      <c r="BF613" s="43" t="s">
        <v>2567</v>
      </c>
      <c r="BG613" s="12"/>
      <c r="BH613" s="12"/>
    </row>
    <row r="614" spans="1:60" s="3" customFormat="1" ht="21.6" x14ac:dyDescent="0.3">
      <c r="A614" s="16" t="s">
        <v>3161</v>
      </c>
      <c r="B614" s="17" t="s">
        <v>2569</v>
      </c>
      <c r="C614" s="405" t="s">
        <v>2570</v>
      </c>
      <c r="D614" s="405"/>
      <c r="E614" s="405"/>
      <c r="F614" s="16" t="s">
        <v>46</v>
      </c>
      <c r="G614" s="46">
        <v>0.63808500000000001</v>
      </c>
      <c r="H614" s="57">
        <f>I614/G614</f>
        <v>0</v>
      </c>
      <c r="I614" s="19">
        <v>0</v>
      </c>
      <c r="J614" s="19">
        <f>K614/G614</f>
        <v>14467.179137575717</v>
      </c>
      <c r="K614" s="19">
        <v>9231.2900000000009</v>
      </c>
      <c r="BC614" s="14"/>
      <c r="BD614" s="15"/>
      <c r="BE614" s="21" t="s">
        <v>2570</v>
      </c>
      <c r="BF614" s="43"/>
      <c r="BG614" s="12"/>
      <c r="BH614" s="12"/>
    </row>
    <row r="615" spans="1:60" s="3" customFormat="1" ht="15" customHeight="1" x14ac:dyDescent="0.3">
      <c r="A615" s="454" t="s">
        <v>3162</v>
      </c>
      <c r="B615" s="455"/>
      <c r="C615" s="455"/>
      <c r="D615" s="455"/>
      <c r="E615" s="455"/>
      <c r="F615" s="455"/>
      <c r="G615" s="455"/>
      <c r="H615" s="296"/>
      <c r="I615" s="296"/>
      <c r="J615" s="296"/>
      <c r="K615" s="297"/>
      <c r="BC615" s="14"/>
      <c r="BD615" s="15" t="s">
        <v>3162</v>
      </c>
      <c r="BE615" s="21"/>
      <c r="BF615" s="43"/>
      <c r="BG615" s="12"/>
      <c r="BH615" s="12"/>
    </row>
    <row r="616" spans="1:60" s="3" customFormat="1" ht="21.6" x14ac:dyDescent="0.3">
      <c r="A616" s="16" t="s">
        <v>3163</v>
      </c>
      <c r="B616" s="17" t="s">
        <v>3164</v>
      </c>
      <c r="C616" s="405" t="s">
        <v>3165</v>
      </c>
      <c r="D616" s="405"/>
      <c r="E616" s="405"/>
      <c r="F616" s="16" t="s">
        <v>329</v>
      </c>
      <c r="G616" s="30">
        <v>4.1300000000000003E-2</v>
      </c>
      <c r="H616" s="57">
        <f>I616/G616</f>
        <v>110662.22760290552</v>
      </c>
      <c r="I616" s="19">
        <v>4570.3499999999985</v>
      </c>
      <c r="J616" s="19">
        <f>K616/G616</f>
        <v>250000.96852300243</v>
      </c>
      <c r="K616" s="19">
        <v>10325.040000000001</v>
      </c>
      <c r="BC616" s="14"/>
      <c r="BD616" s="15"/>
      <c r="BE616" s="21" t="s">
        <v>3165</v>
      </c>
      <c r="BF616" s="43"/>
      <c r="BG616" s="12"/>
      <c r="BH616" s="12"/>
    </row>
    <row r="617" spans="1:60" s="3" customFormat="1" ht="20.399999999999999" x14ac:dyDescent="0.3">
      <c r="A617" s="25"/>
      <c r="B617" s="26" t="s">
        <v>3166</v>
      </c>
      <c r="C617" s="419" t="s">
        <v>3167</v>
      </c>
      <c r="D617" s="419"/>
      <c r="E617" s="419"/>
      <c r="F617" s="27" t="s">
        <v>115</v>
      </c>
      <c r="G617" s="22" t="s">
        <v>3168</v>
      </c>
      <c r="H617" s="58"/>
      <c r="I617" s="28"/>
      <c r="J617" s="28"/>
      <c r="K617" s="29"/>
      <c r="BC617" s="14"/>
      <c r="BD617" s="15"/>
      <c r="BE617" s="21"/>
      <c r="BF617" s="43"/>
      <c r="BG617" s="12" t="s">
        <v>3167</v>
      </c>
      <c r="BH617" s="12"/>
    </row>
    <row r="618" spans="1:60" s="3" customFormat="1" ht="20.399999999999999" x14ac:dyDescent="0.3">
      <c r="A618" s="25"/>
      <c r="B618" s="26" t="s">
        <v>3169</v>
      </c>
      <c r="C618" s="419" t="s">
        <v>3170</v>
      </c>
      <c r="D618" s="419"/>
      <c r="E618" s="419"/>
      <c r="F618" s="27" t="s">
        <v>142</v>
      </c>
      <c r="G618" s="22" t="s">
        <v>3171</v>
      </c>
      <c r="H618" s="58"/>
      <c r="I618" s="28"/>
      <c r="J618" s="28"/>
      <c r="K618" s="29"/>
      <c r="BC618" s="14"/>
      <c r="BD618" s="15"/>
      <c r="BE618" s="21"/>
      <c r="BF618" s="43"/>
      <c r="BG618" s="12" t="s">
        <v>3170</v>
      </c>
      <c r="BH618" s="12"/>
    </row>
    <row r="619" spans="1:60" s="3" customFormat="1" ht="20.399999999999999" x14ac:dyDescent="0.3">
      <c r="A619" s="37" t="s">
        <v>78</v>
      </c>
      <c r="B619" s="38" t="s">
        <v>3172</v>
      </c>
      <c r="C619" s="430" t="s">
        <v>3173</v>
      </c>
      <c r="D619" s="430"/>
      <c r="E619" s="430"/>
      <c r="F619" s="39" t="s">
        <v>115</v>
      </c>
      <c r="G619" s="40" t="s">
        <v>33</v>
      </c>
      <c r="H619" s="100"/>
      <c r="I619" s="41"/>
      <c r="J619" s="41"/>
      <c r="K619" s="42"/>
      <c r="BC619" s="14"/>
      <c r="BD619" s="15"/>
      <c r="BE619" s="21"/>
      <c r="BF619" s="43" t="s">
        <v>3173</v>
      </c>
      <c r="BG619" s="12"/>
      <c r="BH619" s="12"/>
    </row>
    <row r="620" spans="1:60" s="3" customFormat="1" ht="21.6" x14ac:dyDescent="0.3">
      <c r="A620" s="25"/>
      <c r="B620" s="26" t="s">
        <v>3174</v>
      </c>
      <c r="C620" s="419" t="s">
        <v>3175</v>
      </c>
      <c r="D620" s="419"/>
      <c r="E620" s="419"/>
      <c r="F620" s="27" t="s">
        <v>115</v>
      </c>
      <c r="G620" s="22" t="s">
        <v>3176</v>
      </c>
      <c r="H620" s="58"/>
      <c r="I620" s="28"/>
      <c r="J620" s="28"/>
      <c r="K620" s="29"/>
      <c r="BC620" s="14"/>
      <c r="BD620" s="15"/>
      <c r="BE620" s="21"/>
      <c r="BF620" s="43"/>
      <c r="BG620" s="12" t="s">
        <v>3175</v>
      </c>
      <c r="BH620" s="12"/>
    </row>
    <row r="621" spans="1:60" s="3" customFormat="1" ht="15" customHeight="1" x14ac:dyDescent="0.3">
      <c r="A621" s="435" t="s">
        <v>3177</v>
      </c>
      <c r="B621" s="436"/>
      <c r="C621" s="436"/>
      <c r="D621" s="436"/>
      <c r="E621" s="436"/>
      <c r="F621" s="436"/>
      <c r="G621" s="436"/>
      <c r="H621" s="103"/>
      <c r="I621" s="103"/>
      <c r="J621" s="103"/>
      <c r="K621" s="104"/>
      <c r="BC621" s="14" t="s">
        <v>3177</v>
      </c>
      <c r="BD621" s="15"/>
      <c r="BE621" s="21"/>
      <c r="BF621" s="43"/>
      <c r="BG621" s="12"/>
      <c r="BH621" s="12"/>
    </row>
    <row r="622" spans="1:60" s="3" customFormat="1" ht="15" customHeight="1" x14ac:dyDescent="0.3">
      <c r="A622" s="454" t="s">
        <v>3178</v>
      </c>
      <c r="B622" s="455"/>
      <c r="C622" s="455"/>
      <c r="D622" s="455"/>
      <c r="E622" s="455"/>
      <c r="F622" s="455"/>
      <c r="G622" s="455"/>
      <c r="H622" s="296"/>
      <c r="I622" s="296"/>
      <c r="J622" s="296"/>
      <c r="K622" s="297"/>
      <c r="BC622" s="14"/>
      <c r="BD622" s="15" t="s">
        <v>3178</v>
      </c>
      <c r="BE622" s="21"/>
      <c r="BF622" s="43"/>
      <c r="BG622" s="12"/>
      <c r="BH622" s="12"/>
    </row>
    <row r="623" spans="1:60" s="3" customFormat="1" ht="21.6" x14ac:dyDescent="0.3">
      <c r="A623" s="16" t="s">
        <v>3179</v>
      </c>
      <c r="B623" s="17" t="s">
        <v>3180</v>
      </c>
      <c r="C623" s="405" t="s">
        <v>3181</v>
      </c>
      <c r="D623" s="405"/>
      <c r="E623" s="405"/>
      <c r="F623" s="16" t="s">
        <v>125</v>
      </c>
      <c r="G623" s="44">
        <v>2.2349999999999998E-2</v>
      </c>
      <c r="H623" s="57">
        <f>I623/G623</f>
        <v>181456.82326621932</v>
      </c>
      <c r="I623" s="19">
        <v>4055.5600000000013</v>
      </c>
      <c r="J623" s="19">
        <f>K623/G623</f>
        <v>1446718.5682326623</v>
      </c>
      <c r="K623" s="19">
        <v>32334.16</v>
      </c>
      <c r="BC623" s="14"/>
      <c r="BD623" s="15"/>
      <c r="BE623" s="21" t="s">
        <v>3181</v>
      </c>
      <c r="BF623" s="43"/>
      <c r="BG623" s="12"/>
      <c r="BH623" s="12"/>
    </row>
    <row r="624" spans="1:60" s="3" customFormat="1" ht="21.6" x14ac:dyDescent="0.3">
      <c r="A624" s="37" t="s">
        <v>78</v>
      </c>
      <c r="B624" s="38" t="s">
        <v>648</v>
      </c>
      <c r="C624" s="430" t="s">
        <v>649</v>
      </c>
      <c r="D624" s="430"/>
      <c r="E624" s="430"/>
      <c r="F624" s="39" t="s">
        <v>70</v>
      </c>
      <c r="G624" s="40" t="s">
        <v>33</v>
      </c>
      <c r="H624" s="100"/>
      <c r="I624" s="41"/>
      <c r="J624" s="41"/>
      <c r="K624" s="42"/>
      <c r="BC624" s="14"/>
      <c r="BD624" s="15"/>
      <c r="BE624" s="21"/>
      <c r="BF624" s="43" t="s">
        <v>649</v>
      </c>
      <c r="BG624" s="12"/>
      <c r="BH624" s="12"/>
    </row>
    <row r="625" spans="1:60" s="3" customFormat="1" ht="20.399999999999999" x14ac:dyDescent="0.3">
      <c r="A625" s="37" t="s">
        <v>143</v>
      </c>
      <c r="B625" s="38" t="s">
        <v>3182</v>
      </c>
      <c r="C625" s="430" t="s">
        <v>3183</v>
      </c>
      <c r="D625" s="430"/>
      <c r="E625" s="430"/>
      <c r="F625" s="39" t="s">
        <v>46</v>
      </c>
      <c r="G625" s="40" t="s">
        <v>3184</v>
      </c>
      <c r="H625" s="100"/>
      <c r="I625" s="41"/>
      <c r="J625" s="41"/>
      <c r="K625" s="42"/>
      <c r="BC625" s="14"/>
      <c r="BD625" s="15"/>
      <c r="BE625" s="21"/>
      <c r="BF625" s="43" t="s">
        <v>3183</v>
      </c>
      <c r="BG625" s="12"/>
      <c r="BH625" s="12"/>
    </row>
    <row r="626" spans="1:60" s="3" customFormat="1" ht="21.6" x14ac:dyDescent="0.3">
      <c r="A626" s="25" t="s">
        <v>129</v>
      </c>
      <c r="B626" s="26" t="s">
        <v>2569</v>
      </c>
      <c r="C626" s="419" t="s">
        <v>2570</v>
      </c>
      <c r="D626" s="419"/>
      <c r="E626" s="419"/>
      <c r="F626" s="27" t="s">
        <v>46</v>
      </c>
      <c r="G626" s="22" t="s">
        <v>3184</v>
      </c>
      <c r="H626" s="58"/>
      <c r="I626" s="28"/>
      <c r="J626" s="28"/>
      <c r="K626" s="29"/>
      <c r="BC626" s="14"/>
      <c r="BD626" s="15"/>
      <c r="BE626" s="21"/>
      <c r="BF626" s="43"/>
      <c r="BG626" s="12"/>
      <c r="BH626" s="12" t="s">
        <v>2570</v>
      </c>
    </row>
    <row r="627" spans="1:60" s="3" customFormat="1" ht="15" customHeight="1" x14ac:dyDescent="0.3">
      <c r="A627" s="454" t="s">
        <v>3185</v>
      </c>
      <c r="B627" s="455"/>
      <c r="C627" s="455"/>
      <c r="D627" s="455"/>
      <c r="E627" s="455"/>
      <c r="F627" s="455"/>
      <c r="G627" s="455"/>
      <c r="H627" s="296"/>
      <c r="I627" s="296"/>
      <c r="J627" s="296"/>
      <c r="K627" s="297"/>
      <c r="BC627" s="14"/>
      <c r="BD627" s="15" t="s">
        <v>3185</v>
      </c>
      <c r="BE627" s="21"/>
      <c r="BF627" s="43"/>
      <c r="BG627" s="12"/>
      <c r="BH627" s="12"/>
    </row>
    <row r="628" spans="1:60" s="3" customFormat="1" ht="14.4" x14ac:dyDescent="0.3">
      <c r="A628" s="16" t="s">
        <v>3186</v>
      </c>
      <c r="B628" s="17" t="s">
        <v>152</v>
      </c>
      <c r="C628" s="405" t="s">
        <v>153</v>
      </c>
      <c r="D628" s="405"/>
      <c r="E628" s="405"/>
      <c r="F628" s="16" t="s">
        <v>125</v>
      </c>
      <c r="G628" s="30">
        <v>1.9800000000000002E-2</v>
      </c>
      <c r="H628" s="57">
        <f>I628/G628</f>
        <v>154977.77777777775</v>
      </c>
      <c r="I628" s="19">
        <v>3068.5599999999995</v>
      </c>
      <c r="J628" s="19">
        <f>K628/G628</f>
        <v>543131.31313131307</v>
      </c>
      <c r="K628" s="19">
        <v>10754</v>
      </c>
      <c r="BC628" s="14"/>
      <c r="BD628" s="15"/>
      <c r="BE628" s="21" t="s">
        <v>153</v>
      </c>
      <c r="BF628" s="43"/>
      <c r="BG628" s="12"/>
      <c r="BH628" s="12"/>
    </row>
    <row r="629" spans="1:60" s="3" customFormat="1" ht="20.399999999999999" x14ac:dyDescent="0.3">
      <c r="A629" s="25"/>
      <c r="B629" s="26" t="s">
        <v>154</v>
      </c>
      <c r="C629" s="419" t="s">
        <v>155</v>
      </c>
      <c r="D629" s="419"/>
      <c r="E629" s="419"/>
      <c r="F629" s="27" t="s">
        <v>46</v>
      </c>
      <c r="G629" s="22" t="s">
        <v>3187</v>
      </c>
      <c r="H629" s="58"/>
      <c r="I629" s="28"/>
      <c r="J629" s="28"/>
      <c r="K629" s="29"/>
      <c r="BC629" s="14"/>
      <c r="BD629" s="15"/>
      <c r="BE629" s="21"/>
      <c r="BF629" s="43"/>
      <c r="BG629" s="12" t="s">
        <v>155</v>
      </c>
      <c r="BH629" s="12"/>
    </row>
    <row r="630" spans="1:60" s="3" customFormat="1" ht="20.399999999999999" x14ac:dyDescent="0.3">
      <c r="A630" s="25"/>
      <c r="B630" s="26" t="s">
        <v>156</v>
      </c>
      <c r="C630" s="419" t="s">
        <v>157</v>
      </c>
      <c r="D630" s="419"/>
      <c r="E630" s="419"/>
      <c r="F630" s="27" t="s">
        <v>158</v>
      </c>
      <c r="G630" s="22" t="s">
        <v>3188</v>
      </c>
      <c r="H630" s="58"/>
      <c r="I630" s="28"/>
      <c r="J630" s="28"/>
      <c r="K630" s="29"/>
      <c r="BC630" s="14"/>
      <c r="BD630" s="15"/>
      <c r="BE630" s="21"/>
      <c r="BF630" s="43"/>
      <c r="BG630" s="12" t="s">
        <v>157</v>
      </c>
      <c r="BH630" s="12"/>
    </row>
    <row r="631" spans="1:60" s="3" customFormat="1" ht="20.399999999999999" x14ac:dyDescent="0.3">
      <c r="A631" s="37" t="s">
        <v>143</v>
      </c>
      <c r="B631" s="38" t="s">
        <v>159</v>
      </c>
      <c r="C631" s="430" t="s">
        <v>160</v>
      </c>
      <c r="D631" s="430"/>
      <c r="E631" s="430"/>
      <c r="F631" s="39" t="s">
        <v>46</v>
      </c>
      <c r="G631" s="40" t="s">
        <v>3189</v>
      </c>
      <c r="H631" s="100"/>
      <c r="I631" s="41"/>
      <c r="J631" s="41"/>
      <c r="K631" s="42"/>
      <c r="BC631" s="14"/>
      <c r="BD631" s="15"/>
      <c r="BE631" s="21"/>
      <c r="BF631" s="43" t="s">
        <v>160</v>
      </c>
      <c r="BG631" s="12"/>
      <c r="BH631" s="12"/>
    </row>
    <row r="632" spans="1:60" s="3" customFormat="1" ht="21.6" x14ac:dyDescent="0.3">
      <c r="A632" s="25" t="s">
        <v>129</v>
      </c>
      <c r="B632" s="26" t="s">
        <v>161</v>
      </c>
      <c r="C632" s="419" t="s">
        <v>162</v>
      </c>
      <c r="D632" s="419"/>
      <c r="E632" s="419"/>
      <c r="F632" s="27" t="s">
        <v>46</v>
      </c>
      <c r="G632" s="22" t="s">
        <v>3189</v>
      </c>
      <c r="H632" s="58"/>
      <c r="I632" s="28"/>
      <c r="J632" s="28"/>
      <c r="K632" s="29"/>
      <c r="BC632" s="14"/>
      <c r="BD632" s="15"/>
      <c r="BE632" s="21"/>
      <c r="BF632" s="43"/>
      <c r="BG632" s="12"/>
      <c r="BH632" s="12" t="s">
        <v>162</v>
      </c>
    </row>
    <row r="633" spans="1:60" s="3" customFormat="1" ht="21.6" x14ac:dyDescent="0.3">
      <c r="A633" s="16" t="s">
        <v>3190</v>
      </c>
      <c r="B633" s="17" t="s">
        <v>2550</v>
      </c>
      <c r="C633" s="405" t="s">
        <v>2551</v>
      </c>
      <c r="D633" s="405"/>
      <c r="E633" s="405"/>
      <c r="F633" s="16" t="s">
        <v>70</v>
      </c>
      <c r="G633" s="30">
        <v>6.1600000000000002E-2</v>
      </c>
      <c r="H633" s="57">
        <f>I633/G633</f>
        <v>12123.214285714284</v>
      </c>
      <c r="I633" s="19">
        <v>746.79</v>
      </c>
      <c r="J633" s="19">
        <f>K633/G633</f>
        <v>80231.331168831166</v>
      </c>
      <c r="K633" s="19">
        <v>4942.25</v>
      </c>
      <c r="BC633" s="14"/>
      <c r="BD633" s="15"/>
      <c r="BE633" s="21" t="s">
        <v>2551</v>
      </c>
      <c r="BF633" s="43"/>
      <c r="BG633" s="12"/>
      <c r="BH633" s="12"/>
    </row>
    <row r="634" spans="1:60" s="3" customFormat="1" ht="20.399999999999999" x14ac:dyDescent="0.3">
      <c r="A634" s="25"/>
      <c r="B634" s="26" t="s">
        <v>2552</v>
      </c>
      <c r="C634" s="419" t="s">
        <v>2553</v>
      </c>
      <c r="D634" s="419"/>
      <c r="E634" s="419"/>
      <c r="F634" s="27" t="s">
        <v>70</v>
      </c>
      <c r="G634" s="22" t="s">
        <v>3191</v>
      </c>
      <c r="H634" s="58"/>
      <c r="I634" s="28"/>
      <c r="J634" s="28"/>
      <c r="K634" s="29"/>
      <c r="BC634" s="14"/>
      <c r="BD634" s="15"/>
      <c r="BE634" s="21"/>
      <c r="BF634" s="43"/>
      <c r="BG634" s="12" t="s">
        <v>2553</v>
      </c>
      <c r="BH634" s="12"/>
    </row>
    <row r="635" spans="1:60" s="3" customFormat="1" ht="20.399999999999999" x14ac:dyDescent="0.3">
      <c r="A635" s="37" t="s">
        <v>143</v>
      </c>
      <c r="B635" s="38" t="s">
        <v>288</v>
      </c>
      <c r="C635" s="430" t="s">
        <v>289</v>
      </c>
      <c r="D635" s="430"/>
      <c r="E635" s="430"/>
      <c r="F635" s="39" t="s">
        <v>70</v>
      </c>
      <c r="G635" s="40" t="s">
        <v>3192</v>
      </c>
      <c r="H635" s="100"/>
      <c r="I635" s="41"/>
      <c r="J635" s="41"/>
      <c r="K635" s="42"/>
      <c r="BC635" s="14"/>
      <c r="BD635" s="15"/>
      <c r="BE635" s="21"/>
      <c r="BF635" s="43" t="s">
        <v>289</v>
      </c>
      <c r="BG635" s="12"/>
      <c r="BH635" s="12"/>
    </row>
    <row r="636" spans="1:60" s="3" customFormat="1" ht="21.6" x14ac:dyDescent="0.3">
      <c r="A636" s="25" t="s">
        <v>129</v>
      </c>
      <c r="B636" s="26" t="s">
        <v>303</v>
      </c>
      <c r="C636" s="419" t="s">
        <v>304</v>
      </c>
      <c r="D636" s="419"/>
      <c r="E636" s="419"/>
      <c r="F636" s="27" t="s">
        <v>70</v>
      </c>
      <c r="G636" s="22" t="s">
        <v>3192</v>
      </c>
      <c r="H636" s="58"/>
      <c r="I636" s="28"/>
      <c r="J636" s="28"/>
      <c r="K636" s="29"/>
      <c r="BC636" s="14"/>
      <c r="BD636" s="15"/>
      <c r="BE636" s="21"/>
      <c r="BF636" s="43"/>
      <c r="BG636" s="12"/>
      <c r="BH636" s="12" t="s">
        <v>304</v>
      </c>
    </row>
    <row r="637" spans="1:60" s="3" customFormat="1" ht="15" customHeight="1" x14ac:dyDescent="0.3">
      <c r="A637" s="435" t="s">
        <v>3193</v>
      </c>
      <c r="B637" s="436"/>
      <c r="C637" s="436"/>
      <c r="D637" s="436"/>
      <c r="E637" s="436"/>
      <c r="F637" s="436"/>
      <c r="G637" s="436"/>
      <c r="H637" s="103"/>
      <c r="I637" s="103"/>
      <c r="J637" s="103"/>
      <c r="K637" s="104"/>
      <c r="BC637" s="14" t="s">
        <v>3193</v>
      </c>
      <c r="BD637" s="15"/>
      <c r="BE637" s="21"/>
      <c r="BF637" s="43"/>
      <c r="BG637" s="12"/>
      <c r="BH637" s="12"/>
    </row>
    <row r="638" spans="1:60" s="3" customFormat="1" ht="15" customHeight="1" x14ac:dyDescent="0.3">
      <c r="A638" s="454" t="s">
        <v>3194</v>
      </c>
      <c r="B638" s="455"/>
      <c r="C638" s="455"/>
      <c r="D638" s="455"/>
      <c r="E638" s="455"/>
      <c r="F638" s="455"/>
      <c r="G638" s="455"/>
      <c r="H638" s="296"/>
      <c r="I638" s="296"/>
      <c r="J638" s="296"/>
      <c r="K638" s="297"/>
      <c r="BC638" s="14"/>
      <c r="BD638" s="15" t="s">
        <v>3194</v>
      </c>
      <c r="BE638" s="21"/>
      <c r="BF638" s="43"/>
      <c r="BG638" s="12"/>
      <c r="BH638" s="12"/>
    </row>
    <row r="639" spans="1:60" s="3" customFormat="1" ht="15" customHeight="1" x14ac:dyDescent="0.3">
      <c r="A639" s="454" t="s">
        <v>3195</v>
      </c>
      <c r="B639" s="455"/>
      <c r="C639" s="455"/>
      <c r="D639" s="455"/>
      <c r="E639" s="455"/>
      <c r="F639" s="455"/>
      <c r="G639" s="455"/>
      <c r="H639" s="296"/>
      <c r="I639" s="296"/>
      <c r="J639" s="296"/>
      <c r="K639" s="297"/>
      <c r="BC639" s="14"/>
      <c r="BD639" s="15" t="s">
        <v>3195</v>
      </c>
      <c r="BE639" s="21"/>
      <c r="BF639" s="43"/>
      <c r="BG639" s="12"/>
      <c r="BH639" s="12"/>
    </row>
    <row r="640" spans="1:60" s="3" customFormat="1" ht="15" customHeight="1" x14ac:dyDescent="0.3">
      <c r="A640" s="454" t="s">
        <v>3196</v>
      </c>
      <c r="B640" s="455"/>
      <c r="C640" s="455"/>
      <c r="D640" s="455"/>
      <c r="E640" s="455"/>
      <c r="F640" s="455"/>
      <c r="G640" s="455"/>
      <c r="H640" s="296"/>
      <c r="I640" s="296"/>
      <c r="J640" s="296"/>
      <c r="K640" s="297"/>
      <c r="BC640" s="14"/>
      <c r="BD640" s="15" t="s">
        <v>3196</v>
      </c>
      <c r="BE640" s="21"/>
      <c r="BF640" s="43"/>
      <c r="BG640" s="12"/>
      <c r="BH640" s="12"/>
    </row>
    <row r="641" spans="1:60" s="3" customFormat="1" ht="42" x14ac:dyDescent="0.3">
      <c r="A641" s="16" t="s">
        <v>3197</v>
      </c>
      <c r="B641" s="17" t="s">
        <v>3198</v>
      </c>
      <c r="C641" s="405" t="s">
        <v>3199</v>
      </c>
      <c r="D641" s="405"/>
      <c r="E641" s="405"/>
      <c r="F641" s="16" t="s">
        <v>329</v>
      </c>
      <c r="G641" s="30">
        <v>7.7799999999999994E-2</v>
      </c>
      <c r="H641" s="57">
        <f>I641/G641</f>
        <v>30340.359897172235</v>
      </c>
      <c r="I641" s="19">
        <v>2360.4799999999996</v>
      </c>
      <c r="J641" s="19">
        <f>K641/G641</f>
        <v>20323.650385604116</v>
      </c>
      <c r="K641" s="19">
        <v>1581.18</v>
      </c>
      <c r="BC641" s="14"/>
      <c r="BD641" s="15"/>
      <c r="BE641" s="21" t="s">
        <v>3199</v>
      </c>
      <c r="BF641" s="43"/>
      <c r="BG641" s="12"/>
      <c r="BH641" s="12"/>
    </row>
    <row r="642" spans="1:60" s="3" customFormat="1" ht="20.399999999999999" x14ac:dyDescent="0.3">
      <c r="A642" s="25"/>
      <c r="B642" s="26" t="s">
        <v>154</v>
      </c>
      <c r="C642" s="419" t="s">
        <v>155</v>
      </c>
      <c r="D642" s="419"/>
      <c r="E642" s="419"/>
      <c r="F642" s="27" t="s">
        <v>46</v>
      </c>
      <c r="G642" s="22" t="s">
        <v>3200</v>
      </c>
      <c r="H642" s="58"/>
      <c r="I642" s="28"/>
      <c r="J642" s="28"/>
      <c r="K642" s="29"/>
      <c r="BC642" s="14"/>
      <c r="BD642" s="15"/>
      <c r="BE642" s="21"/>
      <c r="BF642" s="43"/>
      <c r="BG642" s="12" t="s">
        <v>155</v>
      </c>
      <c r="BH642" s="12"/>
    </row>
    <row r="643" spans="1:60" s="3" customFormat="1" ht="20.399999999999999" x14ac:dyDescent="0.3">
      <c r="A643" s="37" t="s">
        <v>143</v>
      </c>
      <c r="B643" s="38" t="s">
        <v>2580</v>
      </c>
      <c r="C643" s="430" t="s">
        <v>3201</v>
      </c>
      <c r="D643" s="430"/>
      <c r="E643" s="430"/>
      <c r="F643" s="39" t="s">
        <v>70</v>
      </c>
      <c r="G643" s="40" t="s">
        <v>3202</v>
      </c>
      <c r="H643" s="100"/>
      <c r="I643" s="41"/>
      <c r="J643" s="41"/>
      <c r="K643" s="42"/>
      <c r="BC643" s="14"/>
      <c r="BD643" s="15"/>
      <c r="BE643" s="21"/>
      <c r="BF643" s="43" t="s">
        <v>3201</v>
      </c>
      <c r="BG643" s="12"/>
      <c r="BH643" s="12"/>
    </row>
    <row r="644" spans="1:60" s="3" customFormat="1" ht="20.399999999999999" x14ac:dyDescent="0.3">
      <c r="A644" s="37" t="s">
        <v>78</v>
      </c>
      <c r="B644" s="38" t="s">
        <v>2527</v>
      </c>
      <c r="C644" s="430" t="s">
        <v>2528</v>
      </c>
      <c r="D644" s="430"/>
      <c r="E644" s="430"/>
      <c r="F644" s="39" t="s">
        <v>70</v>
      </c>
      <c r="G644" s="40" t="s">
        <v>33</v>
      </c>
      <c r="H644" s="100"/>
      <c r="I644" s="41"/>
      <c r="J644" s="41"/>
      <c r="K644" s="42"/>
      <c r="BC644" s="14"/>
      <c r="BD644" s="15"/>
      <c r="BE644" s="21"/>
      <c r="BF644" s="43" t="s">
        <v>2528</v>
      </c>
      <c r="BG644" s="12"/>
      <c r="BH644" s="12"/>
    </row>
    <row r="645" spans="1:60" s="3" customFormat="1" ht="42" x14ac:dyDescent="0.3">
      <c r="A645" s="25" t="s">
        <v>129</v>
      </c>
      <c r="B645" s="26" t="s">
        <v>3203</v>
      </c>
      <c r="C645" s="419" t="s">
        <v>2761</v>
      </c>
      <c r="D645" s="419"/>
      <c r="E645" s="419"/>
      <c r="F645" s="27" t="s">
        <v>75</v>
      </c>
      <c r="G645" s="22" t="s">
        <v>3204</v>
      </c>
      <c r="H645" s="58"/>
      <c r="I645" s="28"/>
      <c r="J645" s="28"/>
      <c r="K645" s="29"/>
      <c r="BC645" s="14"/>
      <c r="BD645" s="15"/>
      <c r="BE645" s="21"/>
      <c r="BF645" s="43"/>
      <c r="BG645" s="12"/>
      <c r="BH645" s="12" t="s">
        <v>2761</v>
      </c>
    </row>
    <row r="646" spans="1:60" s="3" customFormat="1" ht="20.399999999999999" x14ac:dyDescent="0.3">
      <c r="A646" s="25" t="s">
        <v>129</v>
      </c>
      <c r="B646" s="26" t="s">
        <v>2535</v>
      </c>
      <c r="C646" s="419" t="s">
        <v>2536</v>
      </c>
      <c r="D646" s="419"/>
      <c r="E646" s="419"/>
      <c r="F646" s="27" t="s">
        <v>75</v>
      </c>
      <c r="G646" s="22" t="s">
        <v>3205</v>
      </c>
      <c r="H646" s="58"/>
      <c r="I646" s="28"/>
      <c r="J646" s="28"/>
      <c r="K646" s="29"/>
      <c r="BC646" s="14"/>
      <c r="BD646" s="15"/>
      <c r="BE646" s="21"/>
      <c r="BF646" s="43"/>
      <c r="BG646" s="12"/>
      <c r="BH646" s="12" t="s">
        <v>2536</v>
      </c>
    </row>
    <row r="647" spans="1:60" s="3" customFormat="1" ht="62.4" x14ac:dyDescent="0.3">
      <c r="A647" s="16" t="s">
        <v>3206</v>
      </c>
      <c r="B647" s="17" t="s">
        <v>3207</v>
      </c>
      <c r="C647" s="405" t="s">
        <v>3208</v>
      </c>
      <c r="D647" s="405"/>
      <c r="E647" s="405"/>
      <c r="F647" s="16" t="s">
        <v>329</v>
      </c>
      <c r="G647" s="30">
        <v>-7.7799999999999994E-2</v>
      </c>
      <c r="H647" s="57">
        <f>I647/G647</f>
        <v>23176.735218508999</v>
      </c>
      <c r="I647" s="19">
        <v>-1803.1499999999999</v>
      </c>
      <c r="J647" s="19">
        <f>K647/G647</f>
        <v>16257.069408740361</v>
      </c>
      <c r="K647" s="19">
        <v>-1264.8</v>
      </c>
      <c r="BC647" s="14"/>
      <c r="BD647" s="15"/>
      <c r="BE647" s="21" t="s">
        <v>3208</v>
      </c>
      <c r="BF647" s="43"/>
      <c r="BG647" s="12"/>
      <c r="BH647" s="12"/>
    </row>
    <row r="648" spans="1:60" s="3" customFormat="1" ht="20.399999999999999" x14ac:dyDescent="0.3">
      <c r="A648" s="25"/>
      <c r="B648" s="26" t="s">
        <v>154</v>
      </c>
      <c r="C648" s="419" t="s">
        <v>155</v>
      </c>
      <c r="D648" s="419"/>
      <c r="E648" s="419"/>
      <c r="F648" s="27" t="s">
        <v>46</v>
      </c>
      <c r="G648" s="22" t="s">
        <v>3209</v>
      </c>
      <c r="H648" s="58"/>
      <c r="I648" s="28"/>
      <c r="J648" s="28"/>
      <c r="K648" s="29"/>
      <c r="BC648" s="14"/>
      <c r="BD648" s="15"/>
      <c r="BE648" s="21"/>
      <c r="BF648" s="43"/>
      <c r="BG648" s="12" t="s">
        <v>155</v>
      </c>
      <c r="BH648" s="12"/>
    </row>
    <row r="649" spans="1:60" s="3" customFormat="1" ht="20.399999999999999" x14ac:dyDescent="0.3">
      <c r="A649" s="37" t="s">
        <v>143</v>
      </c>
      <c r="B649" s="38" t="s">
        <v>2580</v>
      </c>
      <c r="C649" s="430" t="s">
        <v>3201</v>
      </c>
      <c r="D649" s="430"/>
      <c r="E649" s="430"/>
      <c r="F649" s="39" t="s">
        <v>70</v>
      </c>
      <c r="G649" s="40" t="s">
        <v>3210</v>
      </c>
      <c r="H649" s="100"/>
      <c r="I649" s="41"/>
      <c r="J649" s="41"/>
      <c r="K649" s="42"/>
      <c r="BC649" s="14"/>
      <c r="BD649" s="15"/>
      <c r="BE649" s="21"/>
      <c r="BF649" s="43" t="s">
        <v>3201</v>
      </c>
      <c r="BG649" s="12"/>
      <c r="BH649" s="12"/>
    </row>
    <row r="650" spans="1:60" s="3" customFormat="1" ht="42" x14ac:dyDescent="0.3">
      <c r="A650" s="25" t="s">
        <v>129</v>
      </c>
      <c r="B650" s="26" t="s">
        <v>3203</v>
      </c>
      <c r="C650" s="419" t="s">
        <v>2761</v>
      </c>
      <c r="D650" s="419"/>
      <c r="E650" s="419"/>
      <c r="F650" s="27" t="s">
        <v>75</v>
      </c>
      <c r="G650" s="22" t="s">
        <v>3211</v>
      </c>
      <c r="H650" s="58"/>
      <c r="I650" s="28"/>
      <c r="J650" s="28"/>
      <c r="K650" s="29"/>
      <c r="BC650" s="14"/>
      <c r="BD650" s="15"/>
      <c r="BE650" s="21"/>
      <c r="BF650" s="43"/>
      <c r="BG650" s="12"/>
      <c r="BH650" s="12" t="s">
        <v>2761</v>
      </c>
    </row>
    <row r="651" spans="1:60" s="3" customFormat="1" ht="15" customHeight="1" x14ac:dyDescent="0.3">
      <c r="A651" s="454" t="s">
        <v>3212</v>
      </c>
      <c r="B651" s="455"/>
      <c r="C651" s="455"/>
      <c r="D651" s="455"/>
      <c r="E651" s="455"/>
      <c r="F651" s="455"/>
      <c r="G651" s="455"/>
      <c r="H651" s="296"/>
      <c r="I651" s="296"/>
      <c r="J651" s="296"/>
      <c r="K651" s="297"/>
      <c r="BC651" s="14"/>
      <c r="BD651" s="15" t="s">
        <v>3212</v>
      </c>
      <c r="BE651" s="21"/>
      <c r="BF651" s="43"/>
      <c r="BG651" s="12"/>
      <c r="BH651" s="12"/>
    </row>
    <row r="652" spans="1:60" s="3" customFormat="1" ht="42" x14ac:dyDescent="0.3">
      <c r="A652" s="16" t="s">
        <v>3213</v>
      </c>
      <c r="B652" s="17" t="s">
        <v>3214</v>
      </c>
      <c r="C652" s="405" t="s">
        <v>3215</v>
      </c>
      <c r="D652" s="405"/>
      <c r="E652" s="405"/>
      <c r="F652" s="16" t="s">
        <v>329</v>
      </c>
      <c r="G652" s="30">
        <v>7.7799999999999994E-2</v>
      </c>
      <c r="H652" s="57">
        <f>I652/G652</f>
        <v>78610.411311053977</v>
      </c>
      <c r="I652" s="19">
        <v>6115.8899999999994</v>
      </c>
      <c r="J652" s="19">
        <f>K652/G652</f>
        <v>10003.984575835475</v>
      </c>
      <c r="K652" s="19">
        <v>778.31</v>
      </c>
      <c r="BC652" s="14"/>
      <c r="BD652" s="15"/>
      <c r="BE652" s="21" t="s">
        <v>3215</v>
      </c>
      <c r="BF652" s="43"/>
      <c r="BG652" s="12"/>
      <c r="BH652" s="12"/>
    </row>
    <row r="653" spans="1:60" s="3" customFormat="1" ht="21.6" x14ac:dyDescent="0.3">
      <c r="A653" s="25"/>
      <c r="B653" s="26" t="s">
        <v>2391</v>
      </c>
      <c r="C653" s="419" t="s">
        <v>2392</v>
      </c>
      <c r="D653" s="419"/>
      <c r="E653" s="419"/>
      <c r="F653" s="27" t="s">
        <v>70</v>
      </c>
      <c r="G653" s="22" t="s">
        <v>3216</v>
      </c>
      <c r="H653" s="58"/>
      <c r="I653" s="28"/>
      <c r="J653" s="28"/>
      <c r="K653" s="29"/>
      <c r="BC653" s="14"/>
      <c r="BD653" s="15"/>
      <c r="BE653" s="21"/>
      <c r="BF653" s="43"/>
      <c r="BG653" s="12" t="s">
        <v>2392</v>
      </c>
      <c r="BH653" s="12"/>
    </row>
    <row r="654" spans="1:60" s="3" customFormat="1" ht="20.399999999999999" x14ac:dyDescent="0.3">
      <c r="A654" s="25"/>
      <c r="B654" s="26" t="s">
        <v>1916</v>
      </c>
      <c r="C654" s="419" t="s">
        <v>1917</v>
      </c>
      <c r="D654" s="419"/>
      <c r="E654" s="419"/>
      <c r="F654" s="27" t="s">
        <v>70</v>
      </c>
      <c r="G654" s="22" t="s">
        <v>3217</v>
      </c>
      <c r="H654" s="58"/>
      <c r="I654" s="28"/>
      <c r="J654" s="28"/>
      <c r="K654" s="29"/>
      <c r="BC654" s="14"/>
      <c r="BD654" s="15"/>
      <c r="BE654" s="21"/>
      <c r="BF654" s="43"/>
      <c r="BG654" s="12" t="s">
        <v>1917</v>
      </c>
      <c r="BH654" s="12"/>
    </row>
    <row r="655" spans="1:60" s="3" customFormat="1" ht="21.6" x14ac:dyDescent="0.3">
      <c r="A655" s="25"/>
      <c r="B655" s="26" t="s">
        <v>2410</v>
      </c>
      <c r="C655" s="419" t="s">
        <v>2411</v>
      </c>
      <c r="D655" s="419"/>
      <c r="E655" s="419"/>
      <c r="F655" s="27" t="s">
        <v>46</v>
      </c>
      <c r="G655" s="22" t="s">
        <v>3218</v>
      </c>
      <c r="H655" s="58"/>
      <c r="I655" s="28"/>
      <c r="J655" s="28"/>
      <c r="K655" s="29"/>
      <c r="BC655" s="14"/>
      <c r="BD655" s="15"/>
      <c r="BE655" s="21"/>
      <c r="BF655" s="43"/>
      <c r="BG655" s="12" t="s">
        <v>2411</v>
      </c>
      <c r="BH655" s="12"/>
    </row>
    <row r="656" spans="1:60" s="3" customFormat="1" ht="21.6" x14ac:dyDescent="0.3">
      <c r="A656" s="25"/>
      <c r="B656" s="26" t="s">
        <v>2398</v>
      </c>
      <c r="C656" s="419" t="s">
        <v>2399</v>
      </c>
      <c r="D656" s="419"/>
      <c r="E656" s="419"/>
      <c r="F656" s="27" t="s">
        <v>158</v>
      </c>
      <c r="G656" s="22" t="s">
        <v>3219</v>
      </c>
      <c r="H656" s="58"/>
      <c r="I656" s="28"/>
      <c r="J656" s="28"/>
      <c r="K656" s="29"/>
      <c r="BC656" s="14"/>
      <c r="BD656" s="15"/>
      <c r="BE656" s="21"/>
      <c r="BF656" s="43"/>
      <c r="BG656" s="12" t="s">
        <v>2399</v>
      </c>
      <c r="BH656" s="12"/>
    </row>
    <row r="657" spans="1:60" s="3" customFormat="1" ht="15" customHeight="1" x14ac:dyDescent="0.3">
      <c r="A657" s="454" t="s">
        <v>3220</v>
      </c>
      <c r="B657" s="455"/>
      <c r="C657" s="455"/>
      <c r="D657" s="455"/>
      <c r="E657" s="455"/>
      <c r="F657" s="455"/>
      <c r="G657" s="455"/>
      <c r="H657" s="296"/>
      <c r="I657" s="296"/>
      <c r="J657" s="296"/>
      <c r="K657" s="297"/>
      <c r="BC657" s="14"/>
      <c r="BD657" s="15" t="s">
        <v>3220</v>
      </c>
      <c r="BE657" s="21"/>
      <c r="BF657" s="43"/>
      <c r="BG657" s="12"/>
      <c r="BH657" s="12"/>
    </row>
    <row r="658" spans="1:60" s="3" customFormat="1" ht="42" x14ac:dyDescent="0.3">
      <c r="A658" s="16" t="s">
        <v>3221</v>
      </c>
      <c r="B658" s="17" t="s">
        <v>3222</v>
      </c>
      <c r="C658" s="405" t="s">
        <v>3223</v>
      </c>
      <c r="D658" s="405"/>
      <c r="E658" s="405"/>
      <c r="F658" s="16" t="s">
        <v>329</v>
      </c>
      <c r="G658" s="30">
        <v>7.7799999999999994E-2</v>
      </c>
      <c r="H658" s="57">
        <f>I658/G658</f>
        <v>31007.326478149102</v>
      </c>
      <c r="I658" s="19">
        <v>2412.37</v>
      </c>
      <c r="J658" s="19">
        <f>K658/G658</f>
        <v>12112.467866323908</v>
      </c>
      <c r="K658" s="19">
        <v>942.35</v>
      </c>
      <c r="BC658" s="14"/>
      <c r="BD658" s="15"/>
      <c r="BE658" s="21" t="s">
        <v>3223</v>
      </c>
      <c r="BF658" s="43"/>
      <c r="BG658" s="12"/>
      <c r="BH658" s="12"/>
    </row>
    <row r="659" spans="1:60" s="3" customFormat="1" ht="21.6" x14ac:dyDescent="0.3">
      <c r="A659" s="25"/>
      <c r="B659" s="26" t="s">
        <v>3224</v>
      </c>
      <c r="C659" s="419" t="s">
        <v>3225</v>
      </c>
      <c r="D659" s="419"/>
      <c r="E659" s="419"/>
      <c r="F659" s="27" t="s">
        <v>158</v>
      </c>
      <c r="G659" s="22" t="s">
        <v>3226</v>
      </c>
      <c r="H659" s="58"/>
      <c r="I659" s="28"/>
      <c r="J659" s="28"/>
      <c r="K659" s="29"/>
      <c r="BC659" s="14"/>
      <c r="BD659" s="15"/>
      <c r="BE659" s="21"/>
      <c r="BF659" s="43"/>
      <c r="BG659" s="12" t="s">
        <v>3225</v>
      </c>
      <c r="BH659" s="12"/>
    </row>
    <row r="660" spans="1:60" s="3" customFormat="1" ht="20.399999999999999" x14ac:dyDescent="0.3">
      <c r="A660" s="25"/>
      <c r="B660" s="26" t="s">
        <v>339</v>
      </c>
      <c r="C660" s="419" t="s">
        <v>340</v>
      </c>
      <c r="D660" s="419"/>
      <c r="E660" s="419"/>
      <c r="F660" s="27" t="s">
        <v>75</v>
      </c>
      <c r="G660" s="22" t="s">
        <v>3227</v>
      </c>
      <c r="H660" s="58"/>
      <c r="I660" s="28"/>
      <c r="J660" s="28"/>
      <c r="K660" s="29"/>
      <c r="BC660" s="14"/>
      <c r="BD660" s="15"/>
      <c r="BE660" s="21"/>
      <c r="BF660" s="43"/>
      <c r="BG660" s="12" t="s">
        <v>340</v>
      </c>
      <c r="BH660" s="12"/>
    </row>
    <row r="661" spans="1:60" s="3" customFormat="1" ht="20.399999999999999" x14ac:dyDescent="0.3">
      <c r="A661" s="37" t="s">
        <v>143</v>
      </c>
      <c r="B661" s="38" t="s">
        <v>3228</v>
      </c>
      <c r="C661" s="430" t="s">
        <v>3229</v>
      </c>
      <c r="D661" s="430"/>
      <c r="E661" s="430"/>
      <c r="F661" s="39" t="s">
        <v>70</v>
      </c>
      <c r="G661" s="40" t="s">
        <v>3230</v>
      </c>
      <c r="H661" s="100"/>
      <c r="I661" s="41"/>
      <c r="J661" s="41"/>
      <c r="K661" s="42"/>
      <c r="BC661" s="14"/>
      <c r="BD661" s="15"/>
      <c r="BE661" s="21"/>
      <c r="BF661" s="43" t="s">
        <v>3229</v>
      </c>
      <c r="BG661" s="12"/>
      <c r="BH661" s="12"/>
    </row>
    <row r="662" spans="1:60" s="3" customFormat="1" ht="20.399999999999999" x14ac:dyDescent="0.3">
      <c r="A662" s="37" t="s">
        <v>143</v>
      </c>
      <c r="B662" s="38" t="s">
        <v>3231</v>
      </c>
      <c r="C662" s="430" t="s">
        <v>2528</v>
      </c>
      <c r="D662" s="430"/>
      <c r="E662" s="430"/>
      <c r="F662" s="39" t="s">
        <v>70</v>
      </c>
      <c r="G662" s="40" t="s">
        <v>3232</v>
      </c>
      <c r="H662" s="100"/>
      <c r="I662" s="41"/>
      <c r="J662" s="41"/>
      <c r="K662" s="42"/>
      <c r="BC662" s="14"/>
      <c r="BD662" s="15"/>
      <c r="BE662" s="21"/>
      <c r="BF662" s="43" t="s">
        <v>2528</v>
      </c>
      <c r="BG662" s="12"/>
      <c r="BH662" s="12"/>
    </row>
    <row r="663" spans="1:60" s="3" customFormat="1" ht="20.399999999999999" x14ac:dyDescent="0.3">
      <c r="A663" s="25"/>
      <c r="B663" s="26" t="s">
        <v>3233</v>
      </c>
      <c r="C663" s="419" t="s">
        <v>3234</v>
      </c>
      <c r="D663" s="419"/>
      <c r="E663" s="419"/>
      <c r="F663" s="27" t="s">
        <v>70</v>
      </c>
      <c r="G663" s="22" t="s">
        <v>3235</v>
      </c>
      <c r="H663" s="58"/>
      <c r="I663" s="28"/>
      <c r="J663" s="28"/>
      <c r="K663" s="29"/>
      <c r="BC663" s="14"/>
      <c r="BD663" s="15"/>
      <c r="BE663" s="21"/>
      <c r="BF663" s="43"/>
      <c r="BG663" s="12" t="s">
        <v>3234</v>
      </c>
      <c r="BH663" s="12"/>
    </row>
    <row r="664" spans="1:60" s="3" customFormat="1" ht="20.399999999999999" x14ac:dyDescent="0.3">
      <c r="A664" s="25" t="s">
        <v>129</v>
      </c>
      <c r="B664" s="26" t="s">
        <v>2535</v>
      </c>
      <c r="C664" s="419" t="s">
        <v>2536</v>
      </c>
      <c r="D664" s="419"/>
      <c r="E664" s="419"/>
      <c r="F664" s="27" t="s">
        <v>75</v>
      </c>
      <c r="G664" s="22" t="s">
        <v>3236</v>
      </c>
      <c r="H664" s="58"/>
      <c r="I664" s="28"/>
      <c r="J664" s="28"/>
      <c r="K664" s="29"/>
      <c r="BC664" s="14"/>
      <c r="BD664" s="15"/>
      <c r="BE664" s="21"/>
      <c r="BF664" s="43"/>
      <c r="BG664" s="12"/>
      <c r="BH664" s="12" t="s">
        <v>2536</v>
      </c>
    </row>
    <row r="665" spans="1:60" s="3" customFormat="1" ht="20.399999999999999" x14ac:dyDescent="0.3">
      <c r="A665" s="25" t="s">
        <v>129</v>
      </c>
      <c r="B665" s="26" t="s">
        <v>3237</v>
      </c>
      <c r="C665" s="419" t="s">
        <v>3238</v>
      </c>
      <c r="D665" s="419"/>
      <c r="E665" s="419"/>
      <c r="F665" s="27" t="s">
        <v>70</v>
      </c>
      <c r="G665" s="22" t="s">
        <v>3230</v>
      </c>
      <c r="H665" s="58"/>
      <c r="I665" s="28"/>
      <c r="J665" s="28"/>
      <c r="K665" s="29"/>
      <c r="BC665" s="14"/>
      <c r="BD665" s="15"/>
      <c r="BE665" s="21"/>
      <c r="BF665" s="43"/>
      <c r="BG665" s="12"/>
      <c r="BH665" s="12" t="s">
        <v>3238</v>
      </c>
    </row>
    <row r="666" spans="1:60" s="3" customFormat="1" ht="14.4" x14ac:dyDescent="0.3">
      <c r="A666" s="454" t="s">
        <v>3239</v>
      </c>
      <c r="B666" s="455"/>
      <c r="C666" s="455"/>
      <c r="D666" s="455"/>
      <c r="E666" s="455"/>
      <c r="F666" s="455"/>
      <c r="G666" s="455"/>
      <c r="H666" s="296"/>
      <c r="I666" s="296"/>
      <c r="J666" s="296"/>
      <c r="K666" s="297"/>
      <c r="BC666" s="14"/>
      <c r="BD666" s="15" t="s">
        <v>3239</v>
      </c>
      <c r="BE666" s="21"/>
      <c r="BF666" s="43"/>
      <c r="BG666" s="12"/>
      <c r="BH666" s="12"/>
    </row>
    <row r="667" spans="1:60" s="3" customFormat="1" ht="15" customHeight="1" x14ac:dyDescent="0.3">
      <c r="A667" s="437" t="s">
        <v>3240</v>
      </c>
      <c r="B667" s="418"/>
      <c r="C667" s="418"/>
      <c r="D667" s="418"/>
      <c r="E667" s="418"/>
      <c r="F667" s="418"/>
      <c r="G667" s="418"/>
      <c r="H667" s="418"/>
      <c r="I667" s="123"/>
      <c r="J667" s="123"/>
      <c r="K667" s="124"/>
      <c r="BC667" s="14"/>
      <c r="BD667" s="15" t="s">
        <v>3240</v>
      </c>
      <c r="BE667" s="21"/>
      <c r="BF667" s="43"/>
      <c r="BG667" s="12"/>
      <c r="BH667" s="12"/>
    </row>
    <row r="668" spans="1:60" s="3" customFormat="1" ht="15" customHeight="1" x14ac:dyDescent="0.3">
      <c r="A668" s="454" t="s">
        <v>3241</v>
      </c>
      <c r="B668" s="455"/>
      <c r="C668" s="455"/>
      <c r="D668" s="455"/>
      <c r="E668" s="455"/>
      <c r="F668" s="455"/>
      <c r="G668" s="455"/>
      <c r="H668" s="296"/>
      <c r="I668" s="296"/>
      <c r="J668" s="296"/>
      <c r="K668" s="297"/>
      <c r="BC668" s="14"/>
      <c r="BD668" s="15" t="s">
        <v>3241</v>
      </c>
      <c r="BE668" s="21"/>
      <c r="BF668" s="43"/>
      <c r="BG668" s="12"/>
      <c r="BH668" s="12"/>
    </row>
    <row r="669" spans="1:60" s="3" customFormat="1" ht="15" customHeight="1" x14ac:dyDescent="0.3">
      <c r="A669" s="454" t="s">
        <v>3220</v>
      </c>
      <c r="B669" s="455"/>
      <c r="C669" s="455"/>
      <c r="D669" s="455"/>
      <c r="E669" s="455"/>
      <c r="F669" s="455"/>
      <c r="G669" s="455"/>
      <c r="H669" s="296"/>
      <c r="I669" s="296"/>
      <c r="J669" s="296"/>
      <c r="K669" s="297"/>
      <c r="BC669" s="14"/>
      <c r="BD669" s="15" t="s">
        <v>3220</v>
      </c>
      <c r="BE669" s="21"/>
      <c r="BF669" s="43"/>
      <c r="BG669" s="12"/>
      <c r="BH669" s="12"/>
    </row>
    <row r="670" spans="1:60" s="3" customFormat="1" ht="42" x14ac:dyDescent="0.3">
      <c r="A670" s="16" t="s">
        <v>3242</v>
      </c>
      <c r="B670" s="17" t="s">
        <v>3222</v>
      </c>
      <c r="C670" s="405" t="s">
        <v>3223</v>
      </c>
      <c r="D670" s="405"/>
      <c r="E670" s="405"/>
      <c r="F670" s="16" t="s">
        <v>329</v>
      </c>
      <c r="G670" s="30">
        <v>0.63570000000000004</v>
      </c>
      <c r="H670" s="57">
        <f>I670/G670</f>
        <v>31007.535000786535</v>
      </c>
      <c r="I670" s="19">
        <v>19711.490000000002</v>
      </c>
      <c r="J670" s="19">
        <f>K670/G670</f>
        <v>12112.458706937234</v>
      </c>
      <c r="K670" s="19">
        <v>7699.89</v>
      </c>
      <c r="BC670" s="14"/>
      <c r="BD670" s="15"/>
      <c r="BE670" s="21" t="s">
        <v>3223</v>
      </c>
      <c r="BF670" s="43"/>
      <c r="BG670" s="12"/>
      <c r="BH670" s="12"/>
    </row>
    <row r="671" spans="1:60" s="3" customFormat="1" ht="21.6" x14ac:dyDescent="0.3">
      <c r="A671" s="25"/>
      <c r="B671" s="26" t="s">
        <v>3224</v>
      </c>
      <c r="C671" s="419" t="s">
        <v>3225</v>
      </c>
      <c r="D671" s="419"/>
      <c r="E671" s="419"/>
      <c r="F671" s="27" t="s">
        <v>158</v>
      </c>
      <c r="G671" s="22" t="s">
        <v>3243</v>
      </c>
      <c r="H671" s="58"/>
      <c r="I671" s="28"/>
      <c r="J671" s="28"/>
      <c r="K671" s="29"/>
      <c r="BC671" s="14"/>
      <c r="BD671" s="15"/>
      <c r="BE671" s="21"/>
      <c r="BF671" s="43"/>
      <c r="BG671" s="12" t="s">
        <v>3225</v>
      </c>
      <c r="BH671" s="12"/>
    </row>
    <row r="672" spans="1:60" s="3" customFormat="1" ht="20.399999999999999" x14ac:dyDescent="0.3">
      <c r="A672" s="25"/>
      <c r="B672" s="26" t="s">
        <v>339</v>
      </c>
      <c r="C672" s="419" t="s">
        <v>340</v>
      </c>
      <c r="D672" s="419"/>
      <c r="E672" s="419"/>
      <c r="F672" s="27" t="s">
        <v>75</v>
      </c>
      <c r="G672" s="22" t="s">
        <v>3244</v>
      </c>
      <c r="H672" s="58"/>
      <c r="I672" s="28"/>
      <c r="J672" s="28"/>
      <c r="K672" s="29"/>
      <c r="BC672" s="14"/>
      <c r="BD672" s="15"/>
      <c r="BE672" s="21"/>
      <c r="BF672" s="43"/>
      <c r="BG672" s="12" t="s">
        <v>340</v>
      </c>
      <c r="BH672" s="12"/>
    </row>
    <row r="673" spans="1:60" s="3" customFormat="1" ht="20.399999999999999" x14ac:dyDescent="0.3">
      <c r="A673" s="37" t="s">
        <v>143</v>
      </c>
      <c r="B673" s="38" t="s">
        <v>3228</v>
      </c>
      <c r="C673" s="430" t="s">
        <v>3229</v>
      </c>
      <c r="D673" s="430"/>
      <c r="E673" s="430"/>
      <c r="F673" s="39" t="s">
        <v>70</v>
      </c>
      <c r="G673" s="40" t="s">
        <v>3245</v>
      </c>
      <c r="H673" s="100"/>
      <c r="I673" s="41"/>
      <c r="J673" s="41"/>
      <c r="K673" s="42"/>
      <c r="BC673" s="14"/>
      <c r="BD673" s="15"/>
      <c r="BE673" s="21"/>
      <c r="BF673" s="43" t="s">
        <v>3229</v>
      </c>
      <c r="BG673" s="12"/>
      <c r="BH673" s="12"/>
    </row>
    <row r="674" spans="1:60" s="3" customFormat="1" ht="20.399999999999999" x14ac:dyDescent="0.3">
      <c r="A674" s="37" t="s">
        <v>143</v>
      </c>
      <c r="B674" s="38" t="s">
        <v>3231</v>
      </c>
      <c r="C674" s="430" t="s">
        <v>2528</v>
      </c>
      <c r="D674" s="430"/>
      <c r="E674" s="430"/>
      <c r="F674" s="39" t="s">
        <v>70</v>
      </c>
      <c r="G674" s="40" t="s">
        <v>3246</v>
      </c>
      <c r="H674" s="100"/>
      <c r="I674" s="41"/>
      <c r="J674" s="41"/>
      <c r="K674" s="42"/>
      <c r="BC674" s="14"/>
      <c r="BD674" s="15"/>
      <c r="BE674" s="21"/>
      <c r="BF674" s="43" t="s">
        <v>2528</v>
      </c>
      <c r="BG674" s="12"/>
      <c r="BH674" s="12"/>
    </row>
    <row r="675" spans="1:60" s="3" customFormat="1" ht="20.399999999999999" x14ac:dyDescent="0.3">
      <c r="A675" s="25"/>
      <c r="B675" s="26" t="s">
        <v>3233</v>
      </c>
      <c r="C675" s="419" t="s">
        <v>3234</v>
      </c>
      <c r="D675" s="419"/>
      <c r="E675" s="419"/>
      <c r="F675" s="27" t="s">
        <v>70</v>
      </c>
      <c r="G675" s="22" t="s">
        <v>3247</v>
      </c>
      <c r="H675" s="58"/>
      <c r="I675" s="28"/>
      <c r="J675" s="28"/>
      <c r="K675" s="29"/>
      <c r="BC675" s="14"/>
      <c r="BD675" s="15"/>
      <c r="BE675" s="21"/>
      <c r="BF675" s="43"/>
      <c r="BG675" s="12" t="s">
        <v>3234</v>
      </c>
      <c r="BH675" s="12"/>
    </row>
    <row r="676" spans="1:60" s="3" customFormat="1" ht="20.399999999999999" x14ac:dyDescent="0.3">
      <c r="A676" s="25" t="s">
        <v>129</v>
      </c>
      <c r="B676" s="26" t="s">
        <v>2535</v>
      </c>
      <c r="C676" s="419" t="s">
        <v>2536</v>
      </c>
      <c r="D676" s="419"/>
      <c r="E676" s="419"/>
      <c r="F676" s="27" t="s">
        <v>75</v>
      </c>
      <c r="G676" s="22" t="s">
        <v>3248</v>
      </c>
      <c r="H676" s="58"/>
      <c r="I676" s="28"/>
      <c r="J676" s="28"/>
      <c r="K676" s="29"/>
      <c r="BC676" s="14"/>
      <c r="BD676" s="15"/>
      <c r="BE676" s="21"/>
      <c r="BF676" s="43"/>
      <c r="BG676" s="12"/>
      <c r="BH676" s="12" t="s">
        <v>2536</v>
      </c>
    </row>
    <row r="677" spans="1:60" s="3" customFormat="1" ht="20.399999999999999" x14ac:dyDescent="0.3">
      <c r="A677" s="25" t="s">
        <v>129</v>
      </c>
      <c r="B677" s="26" t="s">
        <v>3237</v>
      </c>
      <c r="C677" s="419" t="s">
        <v>3238</v>
      </c>
      <c r="D677" s="419"/>
      <c r="E677" s="419"/>
      <c r="F677" s="27" t="s">
        <v>70</v>
      </c>
      <c r="G677" s="22" t="s">
        <v>3245</v>
      </c>
      <c r="H677" s="58"/>
      <c r="I677" s="28"/>
      <c r="J677" s="28"/>
      <c r="K677" s="29"/>
      <c r="BC677" s="14"/>
      <c r="BD677" s="15"/>
      <c r="BE677" s="21"/>
      <c r="BF677" s="43"/>
      <c r="BG677" s="12"/>
      <c r="BH677" s="12" t="s">
        <v>3238</v>
      </c>
    </row>
    <row r="678" spans="1:60" s="3" customFormat="1" ht="15" customHeight="1" x14ac:dyDescent="0.3">
      <c r="A678" s="454" t="s">
        <v>3249</v>
      </c>
      <c r="B678" s="455"/>
      <c r="C678" s="455"/>
      <c r="D678" s="455"/>
      <c r="E678" s="455"/>
      <c r="F678" s="455"/>
      <c r="G678" s="455"/>
      <c r="H678" s="296"/>
      <c r="I678" s="296"/>
      <c r="J678" s="296"/>
      <c r="K678" s="297"/>
      <c r="BC678" s="14"/>
      <c r="BD678" s="15" t="s">
        <v>3249</v>
      </c>
      <c r="BE678" s="21"/>
      <c r="BF678" s="43"/>
      <c r="BG678" s="12"/>
      <c r="BH678" s="12"/>
    </row>
    <row r="679" spans="1:60" s="3" customFormat="1" ht="21.6" x14ac:dyDescent="0.3">
      <c r="A679" s="16" t="s">
        <v>3250</v>
      </c>
      <c r="B679" s="17" t="s">
        <v>3251</v>
      </c>
      <c r="C679" s="405" t="s">
        <v>3252</v>
      </c>
      <c r="D679" s="405"/>
      <c r="E679" s="405"/>
      <c r="F679" s="16" t="s">
        <v>329</v>
      </c>
      <c r="G679" s="30">
        <v>0.27460000000000001</v>
      </c>
      <c r="H679" s="57">
        <f>I679/G679</f>
        <v>4785.651857246904</v>
      </c>
      <c r="I679" s="19">
        <v>1314.1399999999999</v>
      </c>
      <c r="J679" s="19">
        <f>K679/G679</f>
        <v>1986.0160233066279</v>
      </c>
      <c r="K679" s="19">
        <v>545.36</v>
      </c>
      <c r="BC679" s="14"/>
      <c r="BD679" s="15"/>
      <c r="BE679" s="21" t="s">
        <v>3252</v>
      </c>
      <c r="BF679" s="43"/>
      <c r="BG679" s="12"/>
      <c r="BH679" s="12"/>
    </row>
    <row r="680" spans="1:60" s="3" customFormat="1" ht="20.399999999999999" x14ac:dyDescent="0.3">
      <c r="A680" s="25"/>
      <c r="B680" s="26" t="s">
        <v>339</v>
      </c>
      <c r="C680" s="419" t="s">
        <v>340</v>
      </c>
      <c r="D680" s="419"/>
      <c r="E680" s="419"/>
      <c r="F680" s="27" t="s">
        <v>75</v>
      </c>
      <c r="G680" s="22" t="s">
        <v>3253</v>
      </c>
      <c r="H680" s="58"/>
      <c r="I680" s="28"/>
      <c r="J680" s="28"/>
      <c r="K680" s="29"/>
      <c r="BC680" s="14"/>
      <c r="BD680" s="15"/>
      <c r="BE680" s="21"/>
      <c r="BF680" s="43"/>
      <c r="BG680" s="12" t="s">
        <v>340</v>
      </c>
      <c r="BH680" s="12"/>
    </row>
    <row r="681" spans="1:60" s="3" customFormat="1" ht="20.399999999999999" x14ac:dyDescent="0.3">
      <c r="A681" s="37" t="s">
        <v>143</v>
      </c>
      <c r="B681" s="38" t="s">
        <v>3254</v>
      </c>
      <c r="C681" s="430" t="s">
        <v>2528</v>
      </c>
      <c r="D681" s="430"/>
      <c r="E681" s="430"/>
      <c r="F681" s="39" t="s">
        <v>70</v>
      </c>
      <c r="G681" s="40" t="s">
        <v>3255</v>
      </c>
      <c r="H681" s="100"/>
      <c r="I681" s="41"/>
      <c r="J681" s="41"/>
      <c r="K681" s="42"/>
      <c r="BC681" s="14"/>
      <c r="BD681" s="15"/>
      <c r="BE681" s="21"/>
      <c r="BF681" s="43" t="s">
        <v>2528</v>
      </c>
      <c r="BG681" s="12"/>
      <c r="BH681" s="12"/>
    </row>
    <row r="682" spans="1:60" s="3" customFormat="1" ht="20.399999999999999" x14ac:dyDescent="0.3">
      <c r="A682" s="25" t="s">
        <v>129</v>
      </c>
      <c r="B682" s="26" t="s">
        <v>2535</v>
      </c>
      <c r="C682" s="419" t="s">
        <v>2536</v>
      </c>
      <c r="D682" s="419"/>
      <c r="E682" s="419"/>
      <c r="F682" s="27" t="s">
        <v>75</v>
      </c>
      <c r="G682" s="22" t="s">
        <v>3256</v>
      </c>
      <c r="H682" s="58"/>
      <c r="I682" s="28"/>
      <c r="J682" s="28"/>
      <c r="K682" s="29"/>
      <c r="BC682" s="14"/>
      <c r="BD682" s="15"/>
      <c r="BE682" s="21"/>
      <c r="BF682" s="43"/>
      <c r="BG682" s="12"/>
      <c r="BH682" s="12" t="s">
        <v>2536</v>
      </c>
    </row>
    <row r="683" spans="1:60" s="3" customFormat="1" ht="15" customHeight="1" x14ac:dyDescent="0.3">
      <c r="A683" s="454" t="s">
        <v>3257</v>
      </c>
      <c r="B683" s="455"/>
      <c r="C683" s="455"/>
      <c r="D683" s="455"/>
      <c r="E683" s="455"/>
      <c r="F683" s="455"/>
      <c r="G683" s="455"/>
      <c r="H683" s="296"/>
      <c r="I683" s="296"/>
      <c r="J683" s="296"/>
      <c r="K683" s="297"/>
      <c r="BC683" s="14"/>
      <c r="BD683" s="15" t="s">
        <v>3257</v>
      </c>
      <c r="BE683" s="21"/>
      <c r="BF683" s="43"/>
      <c r="BG683" s="12"/>
      <c r="BH683" s="12"/>
    </row>
    <row r="684" spans="1:60" s="3" customFormat="1" ht="52.2" x14ac:dyDescent="0.3">
      <c r="A684" s="16" t="s">
        <v>3258</v>
      </c>
      <c r="B684" s="17" t="s">
        <v>3259</v>
      </c>
      <c r="C684" s="405" t="s">
        <v>3260</v>
      </c>
      <c r="D684" s="405"/>
      <c r="E684" s="405"/>
      <c r="F684" s="16" t="s">
        <v>329</v>
      </c>
      <c r="G684" s="30">
        <v>0.27460000000000001</v>
      </c>
      <c r="H684" s="57">
        <f>I684/G684</f>
        <v>196343.88201019663</v>
      </c>
      <c r="I684" s="19">
        <v>53916.03</v>
      </c>
      <c r="J684" s="19">
        <f>K684/G684</f>
        <v>108576.329206118</v>
      </c>
      <c r="K684" s="19">
        <v>29815.06</v>
      </c>
      <c r="BC684" s="14"/>
      <c r="BD684" s="15"/>
      <c r="BE684" s="21" t="s">
        <v>3260</v>
      </c>
      <c r="BF684" s="43"/>
      <c r="BG684" s="12"/>
      <c r="BH684" s="12"/>
    </row>
    <row r="685" spans="1:60" s="3" customFormat="1" ht="20.399999999999999" x14ac:dyDescent="0.3">
      <c r="A685" s="25"/>
      <c r="B685" s="26" t="s">
        <v>154</v>
      </c>
      <c r="C685" s="419" t="s">
        <v>155</v>
      </c>
      <c r="D685" s="419"/>
      <c r="E685" s="419"/>
      <c r="F685" s="27" t="s">
        <v>46</v>
      </c>
      <c r="G685" s="22" t="s">
        <v>3261</v>
      </c>
      <c r="H685" s="58"/>
      <c r="I685" s="28"/>
      <c r="J685" s="28"/>
      <c r="K685" s="29"/>
      <c r="BC685" s="14"/>
      <c r="BD685" s="15"/>
      <c r="BE685" s="21"/>
      <c r="BF685" s="43"/>
      <c r="BG685" s="12" t="s">
        <v>155</v>
      </c>
      <c r="BH685" s="12"/>
    </row>
    <row r="686" spans="1:60" s="3" customFormat="1" ht="20.399999999999999" x14ac:dyDescent="0.3">
      <c r="A686" s="25"/>
      <c r="B686" s="26" t="s">
        <v>3262</v>
      </c>
      <c r="C686" s="419" t="s">
        <v>3263</v>
      </c>
      <c r="D686" s="419"/>
      <c r="E686" s="419"/>
      <c r="F686" s="27" t="s">
        <v>46</v>
      </c>
      <c r="G686" s="22" t="s">
        <v>3253</v>
      </c>
      <c r="H686" s="58"/>
      <c r="I686" s="28"/>
      <c r="J686" s="28"/>
      <c r="K686" s="29"/>
      <c r="BC686" s="14"/>
      <c r="BD686" s="15"/>
      <c r="BE686" s="21"/>
      <c r="BF686" s="43"/>
      <c r="BG686" s="12" t="s">
        <v>3263</v>
      </c>
      <c r="BH686" s="12"/>
    </row>
    <row r="687" spans="1:60" s="3" customFormat="1" ht="20.399999999999999" x14ac:dyDescent="0.3">
      <c r="A687" s="25"/>
      <c r="B687" s="26" t="s">
        <v>339</v>
      </c>
      <c r="C687" s="419" t="s">
        <v>340</v>
      </c>
      <c r="D687" s="419"/>
      <c r="E687" s="419"/>
      <c r="F687" s="27" t="s">
        <v>75</v>
      </c>
      <c r="G687" s="22" t="s">
        <v>3264</v>
      </c>
      <c r="H687" s="58"/>
      <c r="I687" s="28"/>
      <c r="J687" s="28"/>
      <c r="K687" s="29"/>
      <c r="BC687" s="14"/>
      <c r="BD687" s="15"/>
      <c r="BE687" s="21"/>
      <c r="BF687" s="43"/>
      <c r="BG687" s="12" t="s">
        <v>340</v>
      </c>
      <c r="BH687" s="12"/>
    </row>
    <row r="688" spans="1:60" s="3" customFormat="1" ht="21.6" x14ac:dyDescent="0.3">
      <c r="A688" s="25"/>
      <c r="B688" s="26" t="s">
        <v>105</v>
      </c>
      <c r="C688" s="419" t="s">
        <v>106</v>
      </c>
      <c r="D688" s="419"/>
      <c r="E688" s="419"/>
      <c r="F688" s="27" t="s">
        <v>70</v>
      </c>
      <c r="G688" s="22" t="s">
        <v>3265</v>
      </c>
      <c r="H688" s="58"/>
      <c r="I688" s="28"/>
      <c r="J688" s="28"/>
      <c r="K688" s="29"/>
      <c r="BC688" s="14"/>
      <c r="BD688" s="15"/>
      <c r="BE688" s="21"/>
      <c r="BF688" s="43"/>
      <c r="BG688" s="12" t="s">
        <v>106</v>
      </c>
      <c r="BH688" s="12"/>
    </row>
    <row r="689" spans="1:60" s="3" customFormat="1" ht="21.6" x14ac:dyDescent="0.3">
      <c r="A689" s="25"/>
      <c r="B689" s="26" t="s">
        <v>2056</v>
      </c>
      <c r="C689" s="419" t="s">
        <v>2057</v>
      </c>
      <c r="D689" s="419"/>
      <c r="E689" s="419"/>
      <c r="F689" s="27" t="s">
        <v>46</v>
      </c>
      <c r="G689" s="22" t="s">
        <v>3266</v>
      </c>
      <c r="H689" s="58"/>
      <c r="I689" s="28"/>
      <c r="J689" s="28"/>
      <c r="K689" s="29"/>
      <c r="BC689" s="14"/>
      <c r="BD689" s="15"/>
      <c r="BE689" s="21"/>
      <c r="BF689" s="43"/>
      <c r="BG689" s="12" t="s">
        <v>2057</v>
      </c>
      <c r="BH689" s="12"/>
    </row>
    <row r="690" spans="1:60" s="3" customFormat="1" ht="20.399999999999999" x14ac:dyDescent="0.3">
      <c r="A690" s="37" t="s">
        <v>143</v>
      </c>
      <c r="B690" s="38" t="s">
        <v>3267</v>
      </c>
      <c r="C690" s="430" t="s">
        <v>3268</v>
      </c>
      <c r="D690" s="430"/>
      <c r="E690" s="430"/>
      <c r="F690" s="39" t="s">
        <v>158</v>
      </c>
      <c r="G690" s="40" t="s">
        <v>3269</v>
      </c>
      <c r="H690" s="100"/>
      <c r="I690" s="41"/>
      <c r="J690" s="41"/>
      <c r="K690" s="42"/>
      <c r="BC690" s="14"/>
      <c r="BD690" s="15"/>
      <c r="BE690" s="21"/>
      <c r="BF690" s="43" t="s">
        <v>3268</v>
      </c>
      <c r="BG690" s="12"/>
      <c r="BH690" s="12"/>
    </row>
    <row r="691" spans="1:60" s="3" customFormat="1" ht="31.8" x14ac:dyDescent="0.3">
      <c r="A691" s="25" t="s">
        <v>129</v>
      </c>
      <c r="B691" s="26" t="s">
        <v>3270</v>
      </c>
      <c r="C691" s="419" t="s">
        <v>3271</v>
      </c>
      <c r="D691" s="419"/>
      <c r="E691" s="419"/>
      <c r="F691" s="27" t="s">
        <v>158</v>
      </c>
      <c r="G691" s="22" t="s">
        <v>3269</v>
      </c>
      <c r="H691" s="58"/>
      <c r="I691" s="28"/>
      <c r="J691" s="28"/>
      <c r="K691" s="29"/>
      <c r="BC691" s="14"/>
      <c r="BD691" s="15"/>
      <c r="BE691" s="21"/>
      <c r="BF691" s="43"/>
      <c r="BG691" s="12"/>
      <c r="BH691" s="12" t="s">
        <v>3271</v>
      </c>
    </row>
    <row r="692" spans="1:60" s="3" customFormat="1" ht="15" customHeight="1" x14ac:dyDescent="0.3">
      <c r="A692" s="435" t="s">
        <v>3272</v>
      </c>
      <c r="B692" s="436"/>
      <c r="C692" s="436"/>
      <c r="D692" s="436"/>
      <c r="E692" s="436"/>
      <c r="F692" s="436"/>
      <c r="G692" s="436"/>
      <c r="H692" s="103"/>
      <c r="I692" s="103"/>
      <c r="J692" s="103"/>
      <c r="K692" s="104"/>
      <c r="BC692" s="14" t="s">
        <v>3272</v>
      </c>
      <c r="BD692" s="15"/>
      <c r="BE692" s="21"/>
      <c r="BF692" s="43"/>
      <c r="BG692" s="12"/>
      <c r="BH692" s="12"/>
    </row>
    <row r="693" spans="1:60" s="3" customFormat="1" ht="15" customHeight="1" x14ac:dyDescent="0.3">
      <c r="A693" s="454" t="s">
        <v>3273</v>
      </c>
      <c r="B693" s="455"/>
      <c r="C693" s="455"/>
      <c r="D693" s="455"/>
      <c r="E693" s="455"/>
      <c r="F693" s="455"/>
      <c r="G693" s="455"/>
      <c r="H693" s="296"/>
      <c r="I693" s="296"/>
      <c r="J693" s="296"/>
      <c r="K693" s="297"/>
      <c r="BC693" s="14"/>
      <c r="BD693" s="15" t="s">
        <v>3273</v>
      </c>
      <c r="BE693" s="21"/>
      <c r="BF693" s="43"/>
      <c r="BG693" s="12"/>
      <c r="BH693" s="12"/>
    </row>
    <row r="694" spans="1:60" s="3" customFormat="1" ht="21.6" x14ac:dyDescent="0.3">
      <c r="A694" s="16" t="s">
        <v>3274</v>
      </c>
      <c r="B694" s="17" t="s">
        <v>3275</v>
      </c>
      <c r="C694" s="405" t="s">
        <v>3276</v>
      </c>
      <c r="D694" s="405"/>
      <c r="E694" s="405"/>
      <c r="F694" s="16" t="s">
        <v>329</v>
      </c>
      <c r="G694" s="30">
        <v>0.23719999999999999</v>
      </c>
      <c r="H694" s="57">
        <f>I694/G694</f>
        <v>110867.11635750422</v>
      </c>
      <c r="I694" s="19">
        <v>26297.68</v>
      </c>
      <c r="J694" s="19">
        <f>K694/G694</f>
        <v>47218.296795952781</v>
      </c>
      <c r="K694" s="19">
        <v>11200.18</v>
      </c>
      <c r="BC694" s="14"/>
      <c r="BD694" s="15"/>
      <c r="BE694" s="21" t="s">
        <v>3276</v>
      </c>
      <c r="BF694" s="43"/>
      <c r="BG694" s="12"/>
      <c r="BH694" s="12"/>
    </row>
    <row r="695" spans="1:60" s="3" customFormat="1" ht="20.399999999999999" x14ac:dyDescent="0.3">
      <c r="A695" s="25"/>
      <c r="B695" s="26" t="s">
        <v>3277</v>
      </c>
      <c r="C695" s="419" t="s">
        <v>3278</v>
      </c>
      <c r="D695" s="419"/>
      <c r="E695" s="419"/>
      <c r="F695" s="27" t="s">
        <v>158</v>
      </c>
      <c r="G695" s="22" t="s">
        <v>3279</v>
      </c>
      <c r="H695" s="58"/>
      <c r="I695" s="28"/>
      <c r="J695" s="28"/>
      <c r="K695" s="29"/>
      <c r="BC695" s="14"/>
      <c r="BD695" s="15"/>
      <c r="BE695" s="21"/>
      <c r="BF695" s="43"/>
      <c r="BG695" s="12" t="s">
        <v>3278</v>
      </c>
      <c r="BH695" s="12"/>
    </row>
    <row r="696" spans="1:60" s="3" customFormat="1" ht="15" customHeight="1" x14ac:dyDescent="0.3">
      <c r="A696" s="454" t="s">
        <v>3280</v>
      </c>
      <c r="B696" s="455"/>
      <c r="C696" s="455"/>
      <c r="D696" s="455"/>
      <c r="E696" s="455"/>
      <c r="F696" s="455"/>
      <c r="G696" s="455"/>
      <c r="H696" s="296"/>
      <c r="I696" s="296"/>
      <c r="J696" s="296"/>
      <c r="K696" s="297"/>
      <c r="BC696" s="14"/>
      <c r="BD696" s="15" t="s">
        <v>3280</v>
      </c>
      <c r="BE696" s="21"/>
      <c r="BF696" s="43"/>
      <c r="BG696" s="12"/>
      <c r="BH696" s="12"/>
    </row>
    <row r="697" spans="1:60" s="3" customFormat="1" ht="21.6" x14ac:dyDescent="0.3">
      <c r="A697" s="16" t="s">
        <v>3281</v>
      </c>
      <c r="B697" s="17" t="s">
        <v>3164</v>
      </c>
      <c r="C697" s="405" t="s">
        <v>3165</v>
      </c>
      <c r="D697" s="405"/>
      <c r="E697" s="405"/>
      <c r="F697" s="16" t="s">
        <v>329</v>
      </c>
      <c r="G697" s="30">
        <v>3.7600000000000001E-2</v>
      </c>
      <c r="H697" s="57">
        <f>I697/G697</f>
        <v>110661.96808510636</v>
      </c>
      <c r="I697" s="19">
        <v>4160.8899999999994</v>
      </c>
      <c r="J697" s="19">
        <f>K697/G697</f>
        <v>250001.06382978725</v>
      </c>
      <c r="K697" s="19">
        <v>9400.0400000000009</v>
      </c>
      <c r="BC697" s="14"/>
      <c r="BD697" s="15"/>
      <c r="BE697" s="21" t="s">
        <v>3165</v>
      </c>
      <c r="BF697" s="43"/>
      <c r="BG697" s="12"/>
      <c r="BH697" s="12"/>
    </row>
    <row r="698" spans="1:60" s="3" customFormat="1" ht="20.399999999999999" x14ac:dyDescent="0.3">
      <c r="A698" s="25"/>
      <c r="B698" s="26" t="s">
        <v>3166</v>
      </c>
      <c r="C698" s="419" t="s">
        <v>3167</v>
      </c>
      <c r="D698" s="419"/>
      <c r="E698" s="419"/>
      <c r="F698" s="27" t="s">
        <v>115</v>
      </c>
      <c r="G698" s="22" t="s">
        <v>3282</v>
      </c>
      <c r="H698" s="58"/>
      <c r="I698" s="28"/>
      <c r="J698" s="28"/>
      <c r="K698" s="29"/>
      <c r="BC698" s="14"/>
      <c r="BD698" s="15"/>
      <c r="BE698" s="21"/>
      <c r="BF698" s="43"/>
      <c r="BG698" s="12" t="s">
        <v>3167</v>
      </c>
      <c r="BH698" s="12"/>
    </row>
    <row r="699" spans="1:60" s="3" customFormat="1" ht="20.399999999999999" x14ac:dyDescent="0.3">
      <c r="A699" s="25"/>
      <c r="B699" s="26" t="s">
        <v>3169</v>
      </c>
      <c r="C699" s="419" t="s">
        <v>3170</v>
      </c>
      <c r="D699" s="419"/>
      <c r="E699" s="419"/>
      <c r="F699" s="27" t="s">
        <v>142</v>
      </c>
      <c r="G699" s="22" t="s">
        <v>3283</v>
      </c>
      <c r="H699" s="58"/>
      <c r="I699" s="28"/>
      <c r="J699" s="28"/>
      <c r="K699" s="29"/>
      <c r="BC699" s="14"/>
      <c r="BD699" s="15"/>
      <c r="BE699" s="21"/>
      <c r="BF699" s="43"/>
      <c r="BG699" s="12" t="s">
        <v>3170</v>
      </c>
      <c r="BH699" s="12"/>
    </row>
    <row r="700" spans="1:60" s="3" customFormat="1" ht="20.399999999999999" x14ac:dyDescent="0.3">
      <c r="A700" s="37" t="s">
        <v>78</v>
      </c>
      <c r="B700" s="38" t="s">
        <v>3172</v>
      </c>
      <c r="C700" s="430" t="s">
        <v>3173</v>
      </c>
      <c r="D700" s="430"/>
      <c r="E700" s="430"/>
      <c r="F700" s="39" t="s">
        <v>115</v>
      </c>
      <c r="G700" s="40" t="s">
        <v>33</v>
      </c>
      <c r="H700" s="100"/>
      <c r="I700" s="41"/>
      <c r="J700" s="41"/>
      <c r="K700" s="42"/>
      <c r="BC700" s="14"/>
      <c r="BD700" s="15"/>
      <c r="BE700" s="21"/>
      <c r="BF700" s="43" t="s">
        <v>3173</v>
      </c>
      <c r="BG700" s="12"/>
      <c r="BH700" s="12"/>
    </row>
    <row r="701" spans="1:60" s="3" customFormat="1" ht="21.6" x14ac:dyDescent="0.3">
      <c r="A701" s="25"/>
      <c r="B701" s="26" t="s">
        <v>3174</v>
      </c>
      <c r="C701" s="419" t="s">
        <v>3175</v>
      </c>
      <c r="D701" s="419"/>
      <c r="E701" s="419"/>
      <c r="F701" s="27" t="s">
        <v>115</v>
      </c>
      <c r="G701" s="22" t="s">
        <v>3284</v>
      </c>
      <c r="H701" s="58"/>
      <c r="I701" s="28"/>
      <c r="J701" s="28"/>
      <c r="K701" s="29"/>
      <c r="BC701" s="14"/>
      <c r="BD701" s="15"/>
      <c r="BE701" s="21"/>
      <c r="BF701" s="43"/>
      <c r="BG701" s="12" t="s">
        <v>3175</v>
      </c>
      <c r="BH701" s="12"/>
    </row>
    <row r="702" spans="1:60" s="3" customFormat="1" ht="15" customHeight="1" x14ac:dyDescent="0.3">
      <c r="A702" s="454" t="s">
        <v>3285</v>
      </c>
      <c r="B702" s="455"/>
      <c r="C702" s="455"/>
      <c r="D702" s="455"/>
      <c r="E702" s="455"/>
      <c r="F702" s="455"/>
      <c r="G702" s="455"/>
      <c r="H702" s="296"/>
      <c r="I702" s="296"/>
      <c r="J702" s="296"/>
      <c r="K702" s="297"/>
      <c r="BC702" s="14"/>
      <c r="BD702" s="15" t="s">
        <v>3285</v>
      </c>
      <c r="BE702" s="21"/>
      <c r="BF702" s="43"/>
      <c r="BG702" s="12"/>
      <c r="BH702" s="12"/>
    </row>
    <row r="703" spans="1:60" s="3" customFormat="1" ht="15" customHeight="1" x14ac:dyDescent="0.3">
      <c r="A703" s="454" t="s">
        <v>3286</v>
      </c>
      <c r="B703" s="455"/>
      <c r="C703" s="455"/>
      <c r="D703" s="455"/>
      <c r="E703" s="455"/>
      <c r="F703" s="455"/>
      <c r="G703" s="455"/>
      <c r="H703" s="296"/>
      <c r="I703" s="296"/>
      <c r="J703" s="296"/>
      <c r="K703" s="297"/>
      <c r="BC703" s="14"/>
      <c r="BD703" s="15" t="s">
        <v>3286</v>
      </c>
      <c r="BE703" s="21"/>
      <c r="BF703" s="43"/>
      <c r="BG703" s="12"/>
      <c r="BH703" s="12"/>
    </row>
    <row r="704" spans="1:60" s="3" customFormat="1" ht="42" x14ac:dyDescent="0.3">
      <c r="A704" s="16" t="s">
        <v>3287</v>
      </c>
      <c r="B704" s="17" t="s">
        <v>3288</v>
      </c>
      <c r="C704" s="405" t="s">
        <v>3289</v>
      </c>
      <c r="D704" s="405"/>
      <c r="E704" s="405"/>
      <c r="F704" s="16" t="s">
        <v>329</v>
      </c>
      <c r="G704" s="30">
        <v>3.8899999999999997E-2</v>
      </c>
      <c r="H704" s="57">
        <f>I704/G704</f>
        <v>37837.017994858616</v>
      </c>
      <c r="I704" s="19">
        <v>1471.8600000000001</v>
      </c>
      <c r="J704" s="19">
        <f>K704/G704</f>
        <v>13269.408740359897</v>
      </c>
      <c r="K704" s="19">
        <v>516.17999999999995</v>
      </c>
      <c r="BC704" s="14"/>
      <c r="BD704" s="15"/>
      <c r="BE704" s="21" t="s">
        <v>3289</v>
      </c>
      <c r="BF704" s="43"/>
      <c r="BG704" s="12"/>
      <c r="BH704" s="12"/>
    </row>
    <row r="705" spans="1:60" s="3" customFormat="1" ht="21.6" x14ac:dyDescent="0.3">
      <c r="A705" s="25"/>
      <c r="B705" s="26" t="s">
        <v>3224</v>
      </c>
      <c r="C705" s="419" t="s">
        <v>3225</v>
      </c>
      <c r="D705" s="419"/>
      <c r="E705" s="419"/>
      <c r="F705" s="27" t="s">
        <v>158</v>
      </c>
      <c r="G705" s="22" t="s">
        <v>3290</v>
      </c>
      <c r="H705" s="58"/>
      <c r="I705" s="28"/>
      <c r="J705" s="28"/>
      <c r="K705" s="29"/>
      <c r="BC705" s="14"/>
      <c r="BD705" s="15"/>
      <c r="BE705" s="21"/>
      <c r="BF705" s="43"/>
      <c r="BG705" s="12" t="s">
        <v>3225</v>
      </c>
      <c r="BH705" s="12"/>
    </row>
    <row r="706" spans="1:60" s="3" customFormat="1" ht="20.399999999999999" x14ac:dyDescent="0.3">
      <c r="A706" s="25"/>
      <c r="B706" s="26" t="s">
        <v>339</v>
      </c>
      <c r="C706" s="419" t="s">
        <v>340</v>
      </c>
      <c r="D706" s="419"/>
      <c r="E706" s="419"/>
      <c r="F706" s="27" t="s">
        <v>75</v>
      </c>
      <c r="G706" s="22" t="s">
        <v>3291</v>
      </c>
      <c r="H706" s="58"/>
      <c r="I706" s="28"/>
      <c r="J706" s="28"/>
      <c r="K706" s="29"/>
      <c r="BC706" s="14"/>
      <c r="BD706" s="15"/>
      <c r="BE706" s="21"/>
      <c r="BF706" s="43"/>
      <c r="BG706" s="12" t="s">
        <v>340</v>
      </c>
      <c r="BH706" s="12"/>
    </row>
    <row r="707" spans="1:60" s="3" customFormat="1" ht="20.399999999999999" x14ac:dyDescent="0.3">
      <c r="A707" s="37" t="s">
        <v>143</v>
      </c>
      <c r="B707" s="38" t="s">
        <v>3228</v>
      </c>
      <c r="C707" s="430" t="s">
        <v>3229</v>
      </c>
      <c r="D707" s="430"/>
      <c r="E707" s="430"/>
      <c r="F707" s="39" t="s">
        <v>70</v>
      </c>
      <c r="G707" s="40" t="s">
        <v>3292</v>
      </c>
      <c r="H707" s="100"/>
      <c r="I707" s="41"/>
      <c r="J707" s="41"/>
      <c r="K707" s="42"/>
      <c r="BC707" s="14"/>
      <c r="BD707" s="15"/>
      <c r="BE707" s="21"/>
      <c r="BF707" s="43" t="s">
        <v>3229</v>
      </c>
      <c r="BG707" s="12"/>
      <c r="BH707" s="12"/>
    </row>
    <row r="708" spans="1:60" s="3" customFormat="1" ht="20.399999999999999" x14ac:dyDescent="0.3">
      <c r="A708" s="37" t="s">
        <v>143</v>
      </c>
      <c r="B708" s="38" t="s">
        <v>3231</v>
      </c>
      <c r="C708" s="430" t="s">
        <v>2528</v>
      </c>
      <c r="D708" s="430"/>
      <c r="E708" s="430"/>
      <c r="F708" s="39" t="s">
        <v>70</v>
      </c>
      <c r="G708" s="40" t="s">
        <v>3293</v>
      </c>
      <c r="H708" s="100"/>
      <c r="I708" s="41"/>
      <c r="J708" s="41"/>
      <c r="K708" s="42"/>
      <c r="BC708" s="14"/>
      <c r="BD708" s="15"/>
      <c r="BE708" s="21"/>
      <c r="BF708" s="43" t="s">
        <v>2528</v>
      </c>
      <c r="BG708" s="12"/>
      <c r="BH708" s="12"/>
    </row>
    <row r="709" spans="1:60" s="3" customFormat="1" ht="20.399999999999999" x14ac:dyDescent="0.3">
      <c r="A709" s="25"/>
      <c r="B709" s="26" t="s">
        <v>3233</v>
      </c>
      <c r="C709" s="419" t="s">
        <v>3234</v>
      </c>
      <c r="D709" s="419"/>
      <c r="E709" s="419"/>
      <c r="F709" s="27" t="s">
        <v>70</v>
      </c>
      <c r="G709" s="22" t="s">
        <v>3294</v>
      </c>
      <c r="H709" s="58"/>
      <c r="I709" s="28"/>
      <c r="J709" s="28"/>
      <c r="K709" s="29"/>
      <c r="BC709" s="14"/>
      <c r="BD709" s="15"/>
      <c r="BE709" s="21"/>
      <c r="BF709" s="43"/>
      <c r="BG709" s="12" t="s">
        <v>3234</v>
      </c>
      <c r="BH709" s="12"/>
    </row>
    <row r="710" spans="1:60" s="3" customFormat="1" ht="20.399999999999999" x14ac:dyDescent="0.3">
      <c r="A710" s="25" t="s">
        <v>129</v>
      </c>
      <c r="B710" s="26" t="s">
        <v>2535</v>
      </c>
      <c r="C710" s="419" t="s">
        <v>2536</v>
      </c>
      <c r="D710" s="419"/>
      <c r="E710" s="419"/>
      <c r="F710" s="27" t="s">
        <v>75</v>
      </c>
      <c r="G710" s="22" t="s">
        <v>3295</v>
      </c>
      <c r="H710" s="58"/>
      <c r="I710" s="28"/>
      <c r="J710" s="28"/>
      <c r="K710" s="29"/>
      <c r="BC710" s="14"/>
      <c r="BD710" s="15"/>
      <c r="BE710" s="21"/>
      <c r="BF710" s="43"/>
      <c r="BG710" s="12"/>
      <c r="BH710" s="12" t="s">
        <v>2536</v>
      </c>
    </row>
    <row r="711" spans="1:60" s="3" customFormat="1" ht="20.399999999999999" x14ac:dyDescent="0.3">
      <c r="A711" s="25" t="s">
        <v>129</v>
      </c>
      <c r="B711" s="26" t="s">
        <v>3237</v>
      </c>
      <c r="C711" s="419" t="s">
        <v>3238</v>
      </c>
      <c r="D711" s="419"/>
      <c r="E711" s="419"/>
      <c r="F711" s="27" t="s">
        <v>70</v>
      </c>
      <c r="G711" s="22" t="s">
        <v>3292</v>
      </c>
      <c r="H711" s="58"/>
      <c r="I711" s="28"/>
      <c r="J711" s="28"/>
      <c r="K711" s="29"/>
      <c r="BC711" s="14"/>
      <c r="BD711" s="15"/>
      <c r="BE711" s="21"/>
      <c r="BF711" s="43"/>
      <c r="BG711" s="12"/>
      <c r="BH711" s="12" t="s">
        <v>3238</v>
      </c>
    </row>
    <row r="712" spans="1:60" s="3" customFormat="1" ht="20.25" customHeight="1" x14ac:dyDescent="0.3">
      <c r="A712" s="406" t="s">
        <v>57</v>
      </c>
      <c r="B712" s="407"/>
      <c r="C712" s="407"/>
      <c r="D712" s="407"/>
      <c r="E712" s="407"/>
      <c r="F712" s="407"/>
      <c r="G712" s="407"/>
      <c r="H712" s="66"/>
      <c r="I712" s="67">
        <f>SUM(I12:I711)</f>
        <v>814949.62999999966</v>
      </c>
      <c r="J712" s="72"/>
      <c r="K712" s="87">
        <f>SUM(K12:K711)</f>
        <v>1271582.77</v>
      </c>
      <c r="M712" s="56"/>
    </row>
    <row r="713" spans="1:60" s="53" customFormat="1" ht="20.25" customHeight="1" thickBot="1" x14ac:dyDescent="0.35">
      <c r="A713" s="408" t="s">
        <v>5461</v>
      </c>
      <c r="B713" s="409"/>
      <c r="C713" s="409"/>
      <c r="D713" s="409"/>
      <c r="E713" s="409"/>
      <c r="F713" s="409"/>
      <c r="G713" s="409"/>
      <c r="H713" s="88"/>
      <c r="I713" s="410">
        <f>I712+K712</f>
        <v>2086532.3999999997</v>
      </c>
      <c r="J713" s="411"/>
      <c r="K713" s="412"/>
      <c r="M713" s="153"/>
    </row>
    <row r="714" spans="1:60" ht="11.25" customHeight="1" x14ac:dyDescent="0.2">
      <c r="M714" s="54"/>
    </row>
  </sheetData>
  <mergeCells count="698">
    <mergeCell ref="C710:E710"/>
    <mergeCell ref="C711:E711"/>
    <mergeCell ref="C705:E705"/>
    <mergeCell ref="C706:E706"/>
    <mergeCell ref="C707:E707"/>
    <mergeCell ref="C708:E708"/>
    <mergeCell ref="C709:E709"/>
    <mergeCell ref="C700:E700"/>
    <mergeCell ref="C701:E701"/>
    <mergeCell ref="C704:E704"/>
    <mergeCell ref="C695:E695"/>
    <mergeCell ref="C697:E697"/>
    <mergeCell ref="C698:E698"/>
    <mergeCell ref="C699:E699"/>
    <mergeCell ref="C690:E690"/>
    <mergeCell ref="C691:E691"/>
    <mergeCell ref="C694:E694"/>
    <mergeCell ref="A696:G696"/>
    <mergeCell ref="A693:G693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4:E684"/>
    <mergeCell ref="A683:G683"/>
    <mergeCell ref="C675:E675"/>
    <mergeCell ref="C676:E676"/>
    <mergeCell ref="C677:E677"/>
    <mergeCell ref="C679:E679"/>
    <mergeCell ref="C670:E670"/>
    <mergeCell ref="C671:E671"/>
    <mergeCell ref="C672:E672"/>
    <mergeCell ref="C673:E673"/>
    <mergeCell ref="C674:E674"/>
    <mergeCell ref="A678:G678"/>
    <mergeCell ref="C665:E665"/>
    <mergeCell ref="C660:E660"/>
    <mergeCell ref="C661:E661"/>
    <mergeCell ref="C662:E662"/>
    <mergeCell ref="C663:E663"/>
    <mergeCell ref="C664:E664"/>
    <mergeCell ref="A669:G669"/>
    <mergeCell ref="A668:G668"/>
    <mergeCell ref="A666:G666"/>
    <mergeCell ref="A667:H667"/>
    <mergeCell ref="A640:G640"/>
    <mergeCell ref="C655:E655"/>
    <mergeCell ref="C656:E656"/>
    <mergeCell ref="C658:E658"/>
    <mergeCell ref="C659:E659"/>
    <mergeCell ref="C650:E650"/>
    <mergeCell ref="C652:E652"/>
    <mergeCell ref="C653:E653"/>
    <mergeCell ref="C654:E654"/>
    <mergeCell ref="A657:G657"/>
    <mergeCell ref="A651:G651"/>
    <mergeCell ref="C645:E645"/>
    <mergeCell ref="C646:E646"/>
    <mergeCell ref="C647:E647"/>
    <mergeCell ref="C648:E648"/>
    <mergeCell ref="C649:E649"/>
    <mergeCell ref="C641:E641"/>
    <mergeCell ref="C642:E642"/>
    <mergeCell ref="C643:E643"/>
    <mergeCell ref="C644:E644"/>
    <mergeCell ref="C635:E635"/>
    <mergeCell ref="C636:E636"/>
    <mergeCell ref="C630:E630"/>
    <mergeCell ref="C631:E631"/>
    <mergeCell ref="C632:E632"/>
    <mergeCell ref="C633:E633"/>
    <mergeCell ref="C634:E634"/>
    <mergeCell ref="A639:G639"/>
    <mergeCell ref="A638:G638"/>
    <mergeCell ref="C625:E625"/>
    <mergeCell ref="C626:E626"/>
    <mergeCell ref="C628:E628"/>
    <mergeCell ref="C629:E629"/>
    <mergeCell ref="C620:E620"/>
    <mergeCell ref="C623:E623"/>
    <mergeCell ref="C624:E624"/>
    <mergeCell ref="A627:G627"/>
    <mergeCell ref="A622:G622"/>
    <mergeCell ref="C616:E616"/>
    <mergeCell ref="C617:E617"/>
    <mergeCell ref="C618:E618"/>
    <mergeCell ref="C619:E619"/>
    <mergeCell ref="C610:E610"/>
    <mergeCell ref="C612:E612"/>
    <mergeCell ref="C613:E613"/>
    <mergeCell ref="C614:E614"/>
    <mergeCell ref="A615:G615"/>
    <mergeCell ref="A611:G611"/>
    <mergeCell ref="A599:G599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0:E590"/>
    <mergeCell ref="C591:E591"/>
    <mergeCell ref="C592:E592"/>
    <mergeCell ref="C593:E593"/>
    <mergeCell ref="C594:E594"/>
    <mergeCell ref="C578:E578"/>
    <mergeCell ref="C570:E570"/>
    <mergeCell ref="C571:E571"/>
    <mergeCell ref="C573:E573"/>
    <mergeCell ref="C574:E574"/>
    <mergeCell ref="A579:G579"/>
    <mergeCell ref="C585:E585"/>
    <mergeCell ref="C588:E588"/>
    <mergeCell ref="C589:E589"/>
    <mergeCell ref="C580:E580"/>
    <mergeCell ref="C581:E581"/>
    <mergeCell ref="C582:E582"/>
    <mergeCell ref="C583:E583"/>
    <mergeCell ref="C584:E584"/>
    <mergeCell ref="A587:G587"/>
    <mergeCell ref="C569:E569"/>
    <mergeCell ref="C560:E560"/>
    <mergeCell ref="C561:E561"/>
    <mergeCell ref="C562:E562"/>
    <mergeCell ref="C563:E563"/>
    <mergeCell ref="C564:E564"/>
    <mergeCell ref="C575:E575"/>
    <mergeCell ref="C576:E576"/>
    <mergeCell ref="C577:E577"/>
    <mergeCell ref="C559:E559"/>
    <mergeCell ref="C550:E550"/>
    <mergeCell ref="C551:E551"/>
    <mergeCell ref="C552:E552"/>
    <mergeCell ref="C553:E553"/>
    <mergeCell ref="C554:E554"/>
    <mergeCell ref="C566:E566"/>
    <mergeCell ref="C567:E567"/>
    <mergeCell ref="C568:E568"/>
    <mergeCell ref="C545:E545"/>
    <mergeCell ref="C546:E546"/>
    <mergeCell ref="C547:E547"/>
    <mergeCell ref="C541:E541"/>
    <mergeCell ref="C542:E542"/>
    <mergeCell ref="C543:E543"/>
    <mergeCell ref="C544:E544"/>
    <mergeCell ref="C555:E555"/>
    <mergeCell ref="C556:E556"/>
    <mergeCell ref="C529:E529"/>
    <mergeCell ref="C520:E520"/>
    <mergeCell ref="C521:E521"/>
    <mergeCell ref="C522:E522"/>
    <mergeCell ref="C523:E523"/>
    <mergeCell ref="C535:E535"/>
    <mergeCell ref="C536:E536"/>
    <mergeCell ref="C537:E537"/>
    <mergeCell ref="C538:E538"/>
    <mergeCell ref="C530:E530"/>
    <mergeCell ref="C531:E531"/>
    <mergeCell ref="C532:E532"/>
    <mergeCell ref="C533:E533"/>
    <mergeCell ref="C534:E534"/>
    <mergeCell ref="C517:E517"/>
    <mergeCell ref="C518:E518"/>
    <mergeCell ref="C519:E519"/>
    <mergeCell ref="C510:E510"/>
    <mergeCell ref="C511:E511"/>
    <mergeCell ref="C512:E512"/>
    <mergeCell ref="C513:E513"/>
    <mergeCell ref="C527:E527"/>
    <mergeCell ref="C528:E528"/>
    <mergeCell ref="C506:E506"/>
    <mergeCell ref="C507:E507"/>
    <mergeCell ref="C508:E508"/>
    <mergeCell ref="C509:E509"/>
    <mergeCell ref="C500:E500"/>
    <mergeCell ref="C501:E501"/>
    <mergeCell ref="C502:E502"/>
    <mergeCell ref="C515:E515"/>
    <mergeCell ref="C516:E516"/>
    <mergeCell ref="A489:G489"/>
    <mergeCell ref="A480:G480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4:E494"/>
    <mergeCell ref="A493:G493"/>
    <mergeCell ref="A479:G479"/>
    <mergeCell ref="C485:E485"/>
    <mergeCell ref="C486:E486"/>
    <mergeCell ref="C487:E487"/>
    <mergeCell ref="C488:E488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0:E470"/>
    <mergeCell ref="C471:E471"/>
    <mergeCell ref="C472:E472"/>
    <mergeCell ref="C473:E473"/>
    <mergeCell ref="C474:E474"/>
    <mergeCell ref="A450:G450"/>
    <mergeCell ref="C465:E465"/>
    <mergeCell ref="C466:E466"/>
    <mergeCell ref="C467:E467"/>
    <mergeCell ref="C469:E469"/>
    <mergeCell ref="C460:E460"/>
    <mergeCell ref="C461:E461"/>
    <mergeCell ref="C462:E462"/>
    <mergeCell ref="C463:E463"/>
    <mergeCell ref="A464:G464"/>
    <mergeCell ref="A468:G468"/>
    <mergeCell ref="C455:E455"/>
    <mergeCell ref="C456:E456"/>
    <mergeCell ref="C458:E458"/>
    <mergeCell ref="C459:E459"/>
    <mergeCell ref="C451:E451"/>
    <mergeCell ref="C452:E452"/>
    <mergeCell ref="C453:E453"/>
    <mergeCell ref="C454:E454"/>
    <mergeCell ref="A457:G457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4:E444"/>
    <mergeCell ref="A443:G443"/>
    <mergeCell ref="C435:E435"/>
    <mergeCell ref="C436:E436"/>
    <mergeCell ref="C439:E439"/>
    <mergeCell ref="C430:E430"/>
    <mergeCell ref="C431:E431"/>
    <mergeCell ref="C432:E432"/>
    <mergeCell ref="C434:E434"/>
    <mergeCell ref="A438:G438"/>
    <mergeCell ref="A437:G437"/>
    <mergeCell ref="A433:G433"/>
    <mergeCell ref="A410:G410"/>
    <mergeCell ref="C425:E425"/>
    <mergeCell ref="C427:E427"/>
    <mergeCell ref="C428:E428"/>
    <mergeCell ref="C429:E429"/>
    <mergeCell ref="C420:E420"/>
    <mergeCell ref="C422:E422"/>
    <mergeCell ref="C423:E423"/>
    <mergeCell ref="C424:E424"/>
    <mergeCell ref="A426:G426"/>
    <mergeCell ref="A421:G421"/>
    <mergeCell ref="C415:E415"/>
    <mergeCell ref="C416:E416"/>
    <mergeCell ref="C417:E417"/>
    <mergeCell ref="C418:E418"/>
    <mergeCell ref="C419:E419"/>
    <mergeCell ref="C411:E411"/>
    <mergeCell ref="C412:E412"/>
    <mergeCell ref="C413:E413"/>
    <mergeCell ref="A414:G414"/>
    <mergeCell ref="C405:E405"/>
    <mergeCell ref="C406:E406"/>
    <mergeCell ref="C407:E407"/>
    <mergeCell ref="C408:E408"/>
    <mergeCell ref="C409:E409"/>
    <mergeCell ref="C402:E402"/>
    <mergeCell ref="C403:E403"/>
    <mergeCell ref="C404:E404"/>
    <mergeCell ref="A400:G400"/>
    <mergeCell ref="A401:G401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9:E379"/>
    <mergeCell ref="C370:E370"/>
    <mergeCell ref="C371:E371"/>
    <mergeCell ref="C372:E372"/>
    <mergeCell ref="C373:E373"/>
    <mergeCell ref="C374:E374"/>
    <mergeCell ref="A378:G378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A355:G355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4:E334"/>
    <mergeCell ref="A333:G333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E310"/>
    <mergeCell ref="C312:E312"/>
    <mergeCell ref="C313:E313"/>
    <mergeCell ref="C314:E314"/>
    <mergeCell ref="A311:G311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0:E280"/>
    <mergeCell ref="C281:E281"/>
    <mergeCell ref="C282:E282"/>
    <mergeCell ref="A288:G288"/>
    <mergeCell ref="A289:G289"/>
    <mergeCell ref="A284:G284"/>
    <mergeCell ref="A283:G283"/>
    <mergeCell ref="C275:E275"/>
    <mergeCell ref="C276:E276"/>
    <mergeCell ref="C277:E277"/>
    <mergeCell ref="C278:E278"/>
    <mergeCell ref="C279:E279"/>
    <mergeCell ref="C270:E270"/>
    <mergeCell ref="C272:E272"/>
    <mergeCell ref="C273:E273"/>
    <mergeCell ref="C274:E274"/>
    <mergeCell ref="A271:G271"/>
    <mergeCell ref="A259:G259"/>
    <mergeCell ref="C265:E265"/>
    <mergeCell ref="C268:E268"/>
    <mergeCell ref="C269:E269"/>
    <mergeCell ref="C260:E260"/>
    <mergeCell ref="C261:E261"/>
    <mergeCell ref="C263:E263"/>
    <mergeCell ref="C264:E264"/>
    <mergeCell ref="A266:G266"/>
    <mergeCell ref="A262:G262"/>
    <mergeCell ref="A267:G267"/>
    <mergeCell ref="C255:E255"/>
    <mergeCell ref="C256:E256"/>
    <mergeCell ref="C257:E257"/>
    <mergeCell ref="C258:E258"/>
    <mergeCell ref="C250:E250"/>
    <mergeCell ref="C251:E251"/>
    <mergeCell ref="C252:E252"/>
    <mergeCell ref="C253:E253"/>
    <mergeCell ref="C254:E254"/>
    <mergeCell ref="C245:E245"/>
    <mergeCell ref="C246:E246"/>
    <mergeCell ref="C248:E248"/>
    <mergeCell ref="C249:E249"/>
    <mergeCell ref="C240:E240"/>
    <mergeCell ref="C241:E241"/>
    <mergeCell ref="C244:E244"/>
    <mergeCell ref="A247:G247"/>
    <mergeCell ref="A243:G243"/>
    <mergeCell ref="A242:G242"/>
    <mergeCell ref="C235:E235"/>
    <mergeCell ref="C236:E236"/>
    <mergeCell ref="C237:E237"/>
    <mergeCell ref="C238:E238"/>
    <mergeCell ref="C239:E239"/>
    <mergeCell ref="C230:E230"/>
    <mergeCell ref="C232:E232"/>
    <mergeCell ref="C233:E233"/>
    <mergeCell ref="C234:E234"/>
    <mergeCell ref="A231:G231"/>
    <mergeCell ref="C225:E225"/>
    <mergeCell ref="C226:E226"/>
    <mergeCell ref="C228:E228"/>
    <mergeCell ref="C229:E229"/>
    <mergeCell ref="C220:E220"/>
    <mergeCell ref="C221:E221"/>
    <mergeCell ref="C222:E222"/>
    <mergeCell ref="C223:E223"/>
    <mergeCell ref="A227:G227"/>
    <mergeCell ref="A224:G224"/>
    <mergeCell ref="C215:E215"/>
    <mergeCell ref="C216:E216"/>
    <mergeCell ref="C217:E217"/>
    <mergeCell ref="C218:E218"/>
    <mergeCell ref="C219:E219"/>
    <mergeCell ref="C210:E210"/>
    <mergeCell ref="C211:E211"/>
    <mergeCell ref="C213:E213"/>
    <mergeCell ref="C214:E214"/>
    <mergeCell ref="A212:G212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A205:G205"/>
    <mergeCell ref="A204:G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4:E194"/>
    <mergeCell ref="A193:G193"/>
    <mergeCell ref="C185:E185"/>
    <mergeCell ref="C187:E187"/>
    <mergeCell ref="C188:E188"/>
    <mergeCell ref="C180:E180"/>
    <mergeCell ref="C181:E181"/>
    <mergeCell ref="C182:E182"/>
    <mergeCell ref="C183:E183"/>
    <mergeCell ref="C184:E184"/>
    <mergeCell ref="A189:G189"/>
    <mergeCell ref="A186:G186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A174:G174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A153:G153"/>
    <mergeCell ref="A154:G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4:E144"/>
    <mergeCell ref="A143:G143"/>
    <mergeCell ref="C135:E135"/>
    <mergeCell ref="C137:E137"/>
    <mergeCell ref="C138:E138"/>
    <mergeCell ref="C130:E130"/>
    <mergeCell ref="C131:E131"/>
    <mergeCell ref="C132:E132"/>
    <mergeCell ref="C133:E133"/>
    <mergeCell ref="C134:E134"/>
    <mergeCell ref="A139:G139"/>
    <mergeCell ref="A136:G136"/>
    <mergeCell ref="A110:G110"/>
    <mergeCell ref="A112:G112"/>
    <mergeCell ref="A111:G111"/>
    <mergeCell ref="C125:E125"/>
    <mergeCell ref="C126:E126"/>
    <mergeCell ref="C127:E127"/>
    <mergeCell ref="C128:E128"/>
    <mergeCell ref="C129:E129"/>
    <mergeCell ref="A124:G124"/>
    <mergeCell ref="C99:E99"/>
    <mergeCell ref="C106:E106"/>
    <mergeCell ref="C107:E107"/>
    <mergeCell ref="C108:E108"/>
    <mergeCell ref="C109:E109"/>
    <mergeCell ref="C101:E101"/>
    <mergeCell ref="C102:E102"/>
    <mergeCell ref="C103:E103"/>
    <mergeCell ref="A105:G105"/>
    <mergeCell ref="A104:G104"/>
    <mergeCell ref="A100:G100"/>
    <mergeCell ref="C70:E70"/>
    <mergeCell ref="C71:E71"/>
    <mergeCell ref="C72:E72"/>
    <mergeCell ref="C73:E73"/>
    <mergeCell ref="C74:E74"/>
    <mergeCell ref="C95:E95"/>
    <mergeCell ref="C96:E96"/>
    <mergeCell ref="C97:E97"/>
    <mergeCell ref="C98:E98"/>
    <mergeCell ref="C80:E80"/>
    <mergeCell ref="C81:E81"/>
    <mergeCell ref="C82:E82"/>
    <mergeCell ref="C83:E83"/>
    <mergeCell ref="C84:E84"/>
    <mergeCell ref="C76:E76"/>
    <mergeCell ref="C77:E77"/>
    <mergeCell ref="C78:E78"/>
    <mergeCell ref="C79:E79"/>
    <mergeCell ref="C90:E90"/>
    <mergeCell ref="C91:E91"/>
    <mergeCell ref="C92:E92"/>
    <mergeCell ref="C93:E93"/>
    <mergeCell ref="C85:E85"/>
    <mergeCell ref="C86:E86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A49:G49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A56:G56"/>
    <mergeCell ref="C21:E21"/>
    <mergeCell ref="C22:E22"/>
    <mergeCell ref="C23:E23"/>
    <mergeCell ref="A24:G24"/>
    <mergeCell ref="C45:E45"/>
    <mergeCell ref="C46:E46"/>
    <mergeCell ref="C47:E47"/>
    <mergeCell ref="C48:E48"/>
    <mergeCell ref="C40:E40"/>
    <mergeCell ref="C41:E41"/>
    <mergeCell ref="C42:E42"/>
    <mergeCell ref="C43:E43"/>
    <mergeCell ref="C44:E44"/>
    <mergeCell ref="C39:E39"/>
    <mergeCell ref="C30:E30"/>
    <mergeCell ref="C31:E31"/>
    <mergeCell ref="C33:E33"/>
    <mergeCell ref="C34:E34"/>
    <mergeCell ref="A32:G32"/>
    <mergeCell ref="C25:E25"/>
    <mergeCell ref="C26:E26"/>
    <mergeCell ref="C27:E27"/>
    <mergeCell ref="C28:E28"/>
    <mergeCell ref="C29:E29"/>
    <mergeCell ref="A703:G703"/>
    <mergeCell ref="A702:G702"/>
    <mergeCell ref="C505:E505"/>
    <mergeCell ref="C15:E15"/>
    <mergeCell ref="C16:E16"/>
    <mergeCell ref="C17:E17"/>
    <mergeCell ref="C18:E18"/>
    <mergeCell ref="C19:E19"/>
    <mergeCell ref="A2:K2"/>
    <mergeCell ref="A3:K3"/>
    <mergeCell ref="A5:K5"/>
    <mergeCell ref="C9:E9"/>
    <mergeCell ref="C10:E10"/>
    <mergeCell ref="C13:E13"/>
    <mergeCell ref="C14:E14"/>
    <mergeCell ref="A6:K6"/>
    <mergeCell ref="C7:G7"/>
    <mergeCell ref="A11:G11"/>
    <mergeCell ref="A12:G12"/>
    <mergeCell ref="A20:G20"/>
    <mergeCell ref="C35:E35"/>
    <mergeCell ref="C36:E36"/>
    <mergeCell ref="C37:E37"/>
    <mergeCell ref="C38:E38"/>
    <mergeCell ref="C87:E87"/>
    <mergeCell ref="C88:E88"/>
    <mergeCell ref="C89:E89"/>
    <mergeCell ref="A712:G712"/>
    <mergeCell ref="A713:G713"/>
    <mergeCell ref="I713:K713"/>
    <mergeCell ref="A692:G692"/>
    <mergeCell ref="A637:G637"/>
    <mergeCell ref="A621:G621"/>
    <mergeCell ref="A586:G586"/>
    <mergeCell ref="A524:G524"/>
    <mergeCell ref="A503:G503"/>
    <mergeCell ref="A504:G504"/>
    <mergeCell ref="A514:G514"/>
    <mergeCell ref="A572:G572"/>
    <mergeCell ref="A565:G565"/>
    <mergeCell ref="A558:G558"/>
    <mergeCell ref="A557:G557"/>
    <mergeCell ref="A549:G549"/>
    <mergeCell ref="A548:G548"/>
    <mergeCell ref="A540:G540"/>
    <mergeCell ref="A539:G539"/>
    <mergeCell ref="A526:G526"/>
    <mergeCell ref="A525:G52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BJ148"/>
  <sheetViews>
    <sheetView workbookViewId="0">
      <selection activeCell="M3" sqref="M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" style="1" customWidth="1"/>
    <col min="4" max="4" width="17" style="1" customWidth="1"/>
    <col min="5" max="5" width="20.88671875" style="1" customWidth="1"/>
    <col min="6" max="7" width="10.6640625" style="1" customWidth="1"/>
    <col min="8" max="11" width="17" style="54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9" width="34.109375" style="2" hidden="1" customWidth="1"/>
    <col min="60" max="62" width="127.5546875" style="2" hidden="1" customWidth="1"/>
    <col min="63" max="16384" width="9.109375" style="1"/>
  </cols>
  <sheetData>
    <row r="1" spans="1:56" s="3" customFormat="1" ht="14.4" x14ac:dyDescent="0.3">
      <c r="A1" s="95" t="s">
        <v>5568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6" s="3" customFormat="1" ht="31.5" customHeight="1" x14ac:dyDescent="0.3">
      <c r="A2" s="403" t="s">
        <v>0</v>
      </c>
      <c r="B2" s="403"/>
      <c r="C2" s="403"/>
      <c r="D2" s="403"/>
      <c r="E2" s="403"/>
      <c r="F2" s="403"/>
      <c r="G2" s="403"/>
      <c r="H2" s="439"/>
      <c r="I2" s="439"/>
      <c r="J2" s="439"/>
      <c r="K2" s="439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38"/>
      <c r="I3" s="438"/>
      <c r="J3" s="438"/>
      <c r="K3" s="438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14.4" x14ac:dyDescent="0.3">
      <c r="A5" s="404" t="s">
        <v>1592</v>
      </c>
      <c r="B5" s="404"/>
      <c r="C5" s="404"/>
      <c r="D5" s="404"/>
      <c r="E5" s="404"/>
      <c r="F5" s="404"/>
      <c r="G5" s="404"/>
      <c r="H5" s="460"/>
      <c r="I5" s="460"/>
      <c r="J5" s="460"/>
      <c r="K5" s="460"/>
      <c r="AC5" s="6" t="s">
        <v>1592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38"/>
      <c r="I6" s="438"/>
      <c r="J6" s="438"/>
      <c r="K6" s="438"/>
    </row>
    <row r="7" spans="1:56" s="3" customFormat="1" ht="14.4" x14ac:dyDescent="0.3">
      <c r="A7" s="4"/>
      <c r="B7" s="8" t="s">
        <v>5</v>
      </c>
      <c r="C7" s="402" t="s">
        <v>1593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13"/>
      <c r="H8" s="56"/>
      <c r="I8" s="56"/>
      <c r="J8" s="56"/>
      <c r="K8" s="56"/>
    </row>
    <row r="9" spans="1:56" s="326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257">
        <v>2</v>
      </c>
      <c r="C10" s="424">
        <v>3</v>
      </c>
      <c r="D10" s="425"/>
      <c r="E10" s="426"/>
      <c r="F10" s="92">
        <v>4</v>
      </c>
      <c r="G10" s="257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5" customHeight="1" x14ac:dyDescent="0.3">
      <c r="A11" s="445" t="s">
        <v>1594</v>
      </c>
      <c r="B11" s="436"/>
      <c r="C11" s="436"/>
      <c r="D11" s="436"/>
      <c r="E11" s="436"/>
      <c r="F11" s="436"/>
      <c r="G11" s="436"/>
      <c r="H11" s="96"/>
      <c r="I11" s="96"/>
      <c r="J11" s="96"/>
      <c r="K11" s="145"/>
      <c r="BB11" s="14" t="s">
        <v>1594</v>
      </c>
    </row>
    <row r="12" spans="1:56" s="3" customFormat="1" ht="15" customHeight="1" x14ac:dyDescent="0.3">
      <c r="A12" s="417" t="s">
        <v>1595</v>
      </c>
      <c r="B12" s="418"/>
      <c r="C12" s="418"/>
      <c r="D12" s="418"/>
      <c r="E12" s="418"/>
      <c r="F12" s="418"/>
      <c r="G12" s="418"/>
      <c r="H12" s="61"/>
      <c r="I12" s="61"/>
      <c r="J12" s="61"/>
      <c r="K12" s="146"/>
      <c r="BB12" s="14"/>
      <c r="BC12" s="15" t="s">
        <v>1595</v>
      </c>
    </row>
    <row r="13" spans="1:56" s="3" customFormat="1" ht="31.8" x14ac:dyDescent="0.3">
      <c r="A13" s="80" t="s">
        <v>15</v>
      </c>
      <c r="B13" s="17" t="s">
        <v>592</v>
      </c>
      <c r="C13" s="405" t="s">
        <v>593</v>
      </c>
      <c r="D13" s="405"/>
      <c r="E13" s="405"/>
      <c r="F13" s="16" t="s">
        <v>43</v>
      </c>
      <c r="G13" s="44">
        <v>4.641E-2</v>
      </c>
      <c r="H13" s="57">
        <f>I13/G13</f>
        <v>37096.530920060337</v>
      </c>
      <c r="I13" s="19">
        <f>1721.65-K13</f>
        <v>1721.65</v>
      </c>
      <c r="J13" s="19">
        <f>K13/G13</f>
        <v>0</v>
      </c>
      <c r="K13" s="131">
        <v>0</v>
      </c>
      <c r="BB13" s="14"/>
      <c r="BC13" s="15"/>
      <c r="BD13" s="21" t="s">
        <v>593</v>
      </c>
    </row>
    <row r="14" spans="1:56" s="3" customFormat="1" ht="15" customHeight="1" x14ac:dyDescent="0.3">
      <c r="A14" s="417" t="s">
        <v>1596</v>
      </c>
      <c r="B14" s="418"/>
      <c r="C14" s="418"/>
      <c r="D14" s="418"/>
      <c r="E14" s="418"/>
      <c r="F14" s="418"/>
      <c r="G14" s="418"/>
      <c r="H14" s="61"/>
      <c r="I14" s="61"/>
      <c r="J14" s="61"/>
      <c r="K14" s="146"/>
      <c r="BB14" s="14"/>
      <c r="BC14" s="15" t="s">
        <v>1596</v>
      </c>
      <c r="BD14" s="21"/>
    </row>
    <row r="15" spans="1:56" s="3" customFormat="1" ht="42" x14ac:dyDescent="0.3">
      <c r="A15" s="80" t="s">
        <v>20</v>
      </c>
      <c r="B15" s="17" t="s">
        <v>594</v>
      </c>
      <c r="C15" s="405" t="s">
        <v>595</v>
      </c>
      <c r="D15" s="405"/>
      <c r="E15" s="405"/>
      <c r="F15" s="16" t="s">
        <v>43</v>
      </c>
      <c r="G15" s="44">
        <v>3.2550000000000003E-2</v>
      </c>
      <c r="H15" s="57">
        <f>I15/G15</f>
        <v>7124.4239631336404</v>
      </c>
      <c r="I15" s="19">
        <f>231.9-K15</f>
        <v>231.9</v>
      </c>
      <c r="J15" s="19">
        <f>K15/G15</f>
        <v>0</v>
      </c>
      <c r="K15" s="131">
        <v>0</v>
      </c>
      <c r="BB15" s="14"/>
      <c r="BC15" s="15"/>
      <c r="BD15" s="21" t="s">
        <v>595</v>
      </c>
    </row>
    <row r="16" spans="1:56" s="3" customFormat="1" ht="15" customHeight="1" x14ac:dyDescent="0.3">
      <c r="A16" s="417" t="s">
        <v>1597</v>
      </c>
      <c r="B16" s="418"/>
      <c r="C16" s="418"/>
      <c r="D16" s="418"/>
      <c r="E16" s="418"/>
      <c r="F16" s="418"/>
      <c r="G16" s="418"/>
      <c r="H16" s="61"/>
      <c r="I16" s="61"/>
      <c r="J16" s="61"/>
      <c r="K16" s="146"/>
      <c r="BB16" s="14"/>
      <c r="BC16" s="15" t="s">
        <v>1597</v>
      </c>
      <c r="BD16" s="21"/>
    </row>
    <row r="17" spans="1:59" s="3" customFormat="1" ht="52.2" x14ac:dyDescent="0.3">
      <c r="A17" s="80" t="s">
        <v>22</v>
      </c>
      <c r="B17" s="17" t="s">
        <v>1598</v>
      </c>
      <c r="C17" s="405" t="s">
        <v>1599</v>
      </c>
      <c r="D17" s="405"/>
      <c r="E17" s="405"/>
      <c r="F17" s="16" t="s">
        <v>43</v>
      </c>
      <c r="G17" s="44">
        <v>1.3860000000000001E-2</v>
      </c>
      <c r="H17" s="57">
        <f>I17/G17</f>
        <v>68056.277056277046</v>
      </c>
      <c r="I17" s="19">
        <f>943.26-K17</f>
        <v>943.26</v>
      </c>
      <c r="J17" s="19">
        <f>K17/G17</f>
        <v>0</v>
      </c>
      <c r="K17" s="131">
        <v>0</v>
      </c>
      <c r="BB17" s="14"/>
      <c r="BC17" s="15"/>
      <c r="BD17" s="21" t="s">
        <v>1599</v>
      </c>
    </row>
    <row r="18" spans="1:59" s="3" customFormat="1" ht="42" x14ac:dyDescent="0.3">
      <c r="A18" s="80" t="s">
        <v>27</v>
      </c>
      <c r="B18" s="17" t="s">
        <v>48</v>
      </c>
      <c r="C18" s="405" t="s">
        <v>49</v>
      </c>
      <c r="D18" s="405"/>
      <c r="E18" s="405"/>
      <c r="F18" s="16" t="s">
        <v>50</v>
      </c>
      <c r="G18" s="18">
        <v>24.948</v>
      </c>
      <c r="H18" s="57">
        <f>I18/G18</f>
        <v>598.37582170915505</v>
      </c>
      <c r="I18" s="19">
        <v>14928.28</v>
      </c>
      <c r="J18" s="19">
        <f>K18/G18</f>
        <v>0</v>
      </c>
      <c r="K18" s="131">
        <v>0</v>
      </c>
      <c r="BB18" s="14"/>
      <c r="BC18" s="15"/>
      <c r="BD18" s="21" t="s">
        <v>49</v>
      </c>
    </row>
    <row r="19" spans="1:59" s="3" customFormat="1" ht="15" customHeight="1" x14ac:dyDescent="0.3">
      <c r="A19" s="417" t="s">
        <v>1600</v>
      </c>
      <c r="B19" s="418"/>
      <c r="C19" s="418"/>
      <c r="D19" s="418"/>
      <c r="E19" s="418"/>
      <c r="F19" s="418"/>
      <c r="G19" s="418"/>
      <c r="H19" s="61"/>
      <c r="I19" s="61"/>
      <c r="J19" s="61"/>
      <c r="K19" s="146"/>
      <c r="BB19" s="14"/>
      <c r="BC19" s="15" t="s">
        <v>1600</v>
      </c>
      <c r="BD19" s="21"/>
    </row>
    <row r="20" spans="1:59" s="3" customFormat="1" ht="21.6" x14ac:dyDescent="0.3">
      <c r="A20" s="80" t="s">
        <v>35</v>
      </c>
      <c r="B20" s="17" t="s">
        <v>1601</v>
      </c>
      <c r="C20" s="405" t="s">
        <v>1602</v>
      </c>
      <c r="D20" s="405"/>
      <c r="E20" s="405"/>
      <c r="F20" s="16" t="s">
        <v>102</v>
      </c>
      <c r="G20" s="18">
        <v>1.3859999999999999</v>
      </c>
      <c r="H20" s="57">
        <f>I20/G20</f>
        <v>11010.064935064936</v>
      </c>
      <c r="I20" s="19">
        <f>23354.23-K20</f>
        <v>15259.95</v>
      </c>
      <c r="J20" s="19">
        <f>K20/G20</f>
        <v>5840.0288600288604</v>
      </c>
      <c r="K20" s="131">
        <v>8094.28</v>
      </c>
      <c r="BB20" s="14"/>
      <c r="BC20" s="15"/>
      <c r="BD20" s="21" t="s">
        <v>1602</v>
      </c>
    </row>
    <row r="21" spans="1:59" s="3" customFormat="1" ht="20.399999999999999" x14ac:dyDescent="0.3">
      <c r="A21" s="133" t="s">
        <v>143</v>
      </c>
      <c r="B21" s="38" t="s">
        <v>767</v>
      </c>
      <c r="C21" s="430" t="s">
        <v>768</v>
      </c>
      <c r="D21" s="430"/>
      <c r="E21" s="430"/>
      <c r="F21" s="258" t="s">
        <v>46</v>
      </c>
      <c r="G21" s="40" t="s">
        <v>1603</v>
      </c>
      <c r="H21" s="40"/>
      <c r="I21" s="41"/>
      <c r="J21" s="41"/>
      <c r="K21" s="134"/>
      <c r="BB21" s="14"/>
      <c r="BC21" s="15"/>
      <c r="BD21" s="21"/>
      <c r="BE21" s="43" t="s">
        <v>768</v>
      </c>
    </row>
    <row r="22" spans="1:59" s="3" customFormat="1" ht="21.6" x14ac:dyDescent="0.3">
      <c r="A22" s="83" t="s">
        <v>129</v>
      </c>
      <c r="B22" s="26" t="s">
        <v>205</v>
      </c>
      <c r="C22" s="419" t="s">
        <v>82</v>
      </c>
      <c r="D22" s="419"/>
      <c r="E22" s="419"/>
      <c r="F22" s="256" t="s">
        <v>46</v>
      </c>
      <c r="G22" s="22" t="s">
        <v>1603</v>
      </c>
      <c r="H22" s="57"/>
      <c r="I22" s="28"/>
      <c r="J22" s="19"/>
      <c r="K22" s="132"/>
      <c r="BB22" s="14"/>
      <c r="BC22" s="15"/>
      <c r="BD22" s="21"/>
      <c r="BE22" s="43"/>
      <c r="BF22" s="12" t="s">
        <v>82</v>
      </c>
    </row>
    <row r="23" spans="1:59" s="3" customFormat="1" ht="15" customHeight="1" x14ac:dyDescent="0.3">
      <c r="A23" s="417" t="s">
        <v>1604</v>
      </c>
      <c r="B23" s="418"/>
      <c r="C23" s="418"/>
      <c r="D23" s="418"/>
      <c r="E23" s="418"/>
      <c r="F23" s="418"/>
      <c r="G23" s="418"/>
      <c r="H23" s="418"/>
      <c r="I23" s="61"/>
      <c r="J23" s="61"/>
      <c r="K23" s="146"/>
      <c r="BB23" s="14"/>
      <c r="BC23" s="15" t="s">
        <v>1604</v>
      </c>
      <c r="BD23" s="21"/>
      <c r="BE23" s="43"/>
      <c r="BF23" s="12"/>
    </row>
    <row r="24" spans="1:59" s="3" customFormat="1" ht="31.8" x14ac:dyDescent="0.3">
      <c r="A24" s="80" t="s">
        <v>40</v>
      </c>
      <c r="B24" s="17" t="s">
        <v>1605</v>
      </c>
      <c r="C24" s="405" t="s">
        <v>1606</v>
      </c>
      <c r="D24" s="405"/>
      <c r="E24" s="405"/>
      <c r="F24" s="16" t="s">
        <v>67</v>
      </c>
      <c r="G24" s="31">
        <v>1.75</v>
      </c>
      <c r="H24" s="57">
        <f>I24/G24</f>
        <v>3627.5828571428574</v>
      </c>
      <c r="I24" s="19">
        <f>6358.8-K24</f>
        <v>6348.27</v>
      </c>
      <c r="J24" s="19">
        <f>K24/G24</f>
        <v>6.0171428571428569</v>
      </c>
      <c r="K24" s="131">
        <v>10.53</v>
      </c>
      <c r="BB24" s="14"/>
      <c r="BC24" s="15"/>
      <c r="BD24" s="21" t="s">
        <v>1606</v>
      </c>
      <c r="BE24" s="43"/>
      <c r="BF24" s="12"/>
    </row>
    <row r="25" spans="1:59" s="3" customFormat="1" ht="21.6" x14ac:dyDescent="0.3">
      <c r="A25" s="83"/>
      <c r="B25" s="26" t="s">
        <v>607</v>
      </c>
      <c r="C25" s="419" t="s">
        <v>608</v>
      </c>
      <c r="D25" s="419"/>
      <c r="E25" s="419"/>
      <c r="F25" s="256" t="s">
        <v>609</v>
      </c>
      <c r="G25" s="22" t="s">
        <v>1607</v>
      </c>
      <c r="H25" s="22"/>
      <c r="I25" s="28"/>
      <c r="J25" s="28"/>
      <c r="K25" s="132"/>
      <c r="BB25" s="14"/>
      <c r="BC25" s="15"/>
      <c r="BD25" s="21"/>
      <c r="BE25" s="43"/>
      <c r="BF25" s="12"/>
      <c r="BG25" s="12" t="s">
        <v>608</v>
      </c>
    </row>
    <row r="26" spans="1:59" s="3" customFormat="1" ht="21.6" x14ac:dyDescent="0.3">
      <c r="A26" s="80" t="s">
        <v>47</v>
      </c>
      <c r="B26" s="17" t="s">
        <v>1608</v>
      </c>
      <c r="C26" s="405" t="s">
        <v>1609</v>
      </c>
      <c r="D26" s="405"/>
      <c r="E26" s="405"/>
      <c r="F26" s="16" t="s">
        <v>115</v>
      </c>
      <c r="G26" s="24">
        <v>178.5</v>
      </c>
      <c r="H26" s="57">
        <f>I26/G26</f>
        <v>0</v>
      </c>
      <c r="I26" s="19">
        <v>0</v>
      </c>
      <c r="J26" s="19">
        <f>K26/G26</f>
        <v>103.63350140056023</v>
      </c>
      <c r="K26" s="131">
        <v>18498.580000000002</v>
      </c>
      <c r="BB26" s="14"/>
      <c r="BC26" s="15"/>
      <c r="BD26" s="21" t="s">
        <v>1609</v>
      </c>
      <c r="BE26" s="43"/>
      <c r="BF26" s="12"/>
      <c r="BG26" s="12"/>
    </row>
    <row r="27" spans="1:59" s="3" customFormat="1" ht="15" customHeight="1" x14ac:dyDescent="0.3">
      <c r="A27" s="417" t="s">
        <v>1610</v>
      </c>
      <c r="B27" s="418"/>
      <c r="C27" s="418"/>
      <c r="D27" s="418"/>
      <c r="E27" s="418"/>
      <c r="F27" s="418"/>
      <c r="G27" s="418"/>
      <c r="H27" s="61"/>
      <c r="I27" s="61"/>
      <c r="J27" s="61"/>
      <c r="K27" s="146"/>
      <c r="BB27" s="14"/>
      <c r="BC27" s="15" t="s">
        <v>1610</v>
      </c>
      <c r="BD27" s="21"/>
      <c r="BE27" s="43"/>
      <c r="BF27" s="12"/>
      <c r="BG27" s="12"/>
    </row>
    <row r="28" spans="1:59" s="3" customFormat="1" ht="42" x14ac:dyDescent="0.3">
      <c r="A28" s="80" t="s">
        <v>52</v>
      </c>
      <c r="B28" s="17" t="s">
        <v>1611</v>
      </c>
      <c r="C28" s="405" t="s">
        <v>1612</v>
      </c>
      <c r="D28" s="405"/>
      <c r="E28" s="405"/>
      <c r="F28" s="16" t="s">
        <v>67</v>
      </c>
      <c r="G28" s="31">
        <v>2.0499999999999998</v>
      </c>
      <c r="H28" s="57">
        <f>I28/G28</f>
        <v>14776.721951219513</v>
      </c>
      <c r="I28" s="19">
        <f>30596.89-K28</f>
        <v>30292.28</v>
      </c>
      <c r="J28" s="19">
        <f>K28/G28</f>
        <v>148.59024390243906</v>
      </c>
      <c r="K28" s="131">
        <v>304.61</v>
      </c>
      <c r="BB28" s="14"/>
      <c r="BC28" s="15"/>
      <c r="BD28" s="21" t="s">
        <v>1612</v>
      </c>
      <c r="BE28" s="43"/>
      <c r="BF28" s="12"/>
      <c r="BG28" s="12"/>
    </row>
    <row r="29" spans="1:59" s="3" customFormat="1" ht="20.399999999999999" x14ac:dyDescent="0.3">
      <c r="A29" s="83"/>
      <c r="B29" s="26" t="s">
        <v>1613</v>
      </c>
      <c r="C29" s="419" t="s">
        <v>1614</v>
      </c>
      <c r="D29" s="419"/>
      <c r="E29" s="419"/>
      <c r="F29" s="256" t="s">
        <v>142</v>
      </c>
      <c r="G29" s="22" t="s">
        <v>1615</v>
      </c>
      <c r="H29" s="22"/>
      <c r="I29" s="28"/>
      <c r="J29" s="28"/>
      <c r="K29" s="132"/>
      <c r="BB29" s="14"/>
      <c r="BC29" s="15"/>
      <c r="BD29" s="21"/>
      <c r="BE29" s="43"/>
      <c r="BF29" s="12"/>
      <c r="BG29" s="12" t="s">
        <v>1614</v>
      </c>
    </row>
    <row r="30" spans="1:59" s="3" customFormat="1" ht="21.6" x14ac:dyDescent="0.3">
      <c r="A30" s="83"/>
      <c r="B30" s="26" t="s">
        <v>607</v>
      </c>
      <c r="C30" s="419" t="s">
        <v>608</v>
      </c>
      <c r="D30" s="419"/>
      <c r="E30" s="419"/>
      <c r="F30" s="256" t="s">
        <v>609</v>
      </c>
      <c r="G30" s="22" t="s">
        <v>1616</v>
      </c>
      <c r="H30" s="22"/>
      <c r="I30" s="28"/>
      <c r="J30" s="28"/>
      <c r="K30" s="132"/>
      <c r="BB30" s="14"/>
      <c r="BC30" s="15"/>
      <c r="BD30" s="21"/>
      <c r="BE30" s="43"/>
      <c r="BF30" s="12"/>
      <c r="BG30" s="12" t="s">
        <v>608</v>
      </c>
    </row>
    <row r="31" spans="1:59" s="3" customFormat="1" ht="21.6" x14ac:dyDescent="0.3">
      <c r="A31" s="80" t="s">
        <v>55</v>
      </c>
      <c r="B31" s="17" t="s">
        <v>1608</v>
      </c>
      <c r="C31" s="405" t="s">
        <v>1609</v>
      </c>
      <c r="D31" s="405"/>
      <c r="E31" s="405"/>
      <c r="F31" s="16" t="s">
        <v>115</v>
      </c>
      <c r="G31" s="24">
        <v>209.1</v>
      </c>
      <c r="H31" s="57">
        <f>I31/G31</f>
        <v>0</v>
      </c>
      <c r="I31" s="19">
        <v>0</v>
      </c>
      <c r="J31" s="19">
        <f>K31/G31</f>
        <v>103.63347680535628</v>
      </c>
      <c r="K31" s="131">
        <v>21669.759999999998</v>
      </c>
      <c r="BB31" s="14"/>
      <c r="BC31" s="15"/>
      <c r="BD31" s="21" t="s">
        <v>1609</v>
      </c>
      <c r="BE31" s="43"/>
      <c r="BF31" s="12"/>
      <c r="BG31" s="12"/>
    </row>
    <row r="32" spans="1:59" s="3" customFormat="1" ht="26.25" customHeight="1" x14ac:dyDescent="0.3">
      <c r="A32" s="417" t="s">
        <v>1617</v>
      </c>
      <c r="B32" s="418"/>
      <c r="C32" s="418"/>
      <c r="D32" s="418"/>
      <c r="E32" s="418"/>
      <c r="F32" s="418"/>
      <c r="G32" s="418"/>
      <c r="H32" s="61"/>
      <c r="I32" s="61"/>
      <c r="J32" s="61"/>
      <c r="K32" s="146"/>
      <c r="BB32" s="14"/>
      <c r="BC32" s="15" t="s">
        <v>1617</v>
      </c>
      <c r="BD32" s="21"/>
      <c r="BE32" s="43"/>
      <c r="BF32" s="12"/>
      <c r="BG32" s="12"/>
    </row>
    <row r="33" spans="1:59" s="3" customFormat="1" ht="21.6" x14ac:dyDescent="0.3">
      <c r="A33" s="80" t="s">
        <v>56</v>
      </c>
      <c r="B33" s="17" t="s">
        <v>1618</v>
      </c>
      <c r="C33" s="405" t="s">
        <v>1619</v>
      </c>
      <c r="D33" s="405"/>
      <c r="E33" s="405"/>
      <c r="F33" s="16" t="s">
        <v>67</v>
      </c>
      <c r="G33" s="24">
        <v>18.3</v>
      </c>
      <c r="H33" s="57">
        <f>I33/G33</f>
        <v>12883.14262295082</v>
      </c>
      <c r="I33" s="19">
        <f>247579.37-K33</f>
        <v>235761.51</v>
      </c>
      <c r="J33" s="19">
        <f>K33/G33</f>
        <v>645.78469945355187</v>
      </c>
      <c r="K33" s="131">
        <v>11817.86</v>
      </c>
      <c r="BB33" s="14"/>
      <c r="BC33" s="15"/>
      <c r="BD33" s="21" t="s">
        <v>1619</v>
      </c>
      <c r="BE33" s="43"/>
      <c r="BF33" s="12"/>
      <c r="BG33" s="12"/>
    </row>
    <row r="34" spans="1:59" s="3" customFormat="1" ht="20.399999999999999" x14ac:dyDescent="0.3">
      <c r="A34" s="83"/>
      <c r="B34" s="26" t="s">
        <v>599</v>
      </c>
      <c r="C34" s="419" t="s">
        <v>600</v>
      </c>
      <c r="D34" s="419"/>
      <c r="E34" s="419"/>
      <c r="F34" s="256" t="s">
        <v>406</v>
      </c>
      <c r="G34" s="22" t="s">
        <v>1620</v>
      </c>
      <c r="H34" s="22"/>
      <c r="I34" s="28"/>
      <c r="J34" s="28"/>
      <c r="K34" s="132"/>
      <c r="BB34" s="14"/>
      <c r="BC34" s="15"/>
      <c r="BD34" s="21"/>
      <c r="BE34" s="43"/>
      <c r="BF34" s="12"/>
      <c r="BG34" s="12" t="s">
        <v>600</v>
      </c>
    </row>
    <row r="35" spans="1:59" s="3" customFormat="1" ht="21.6" x14ac:dyDescent="0.3">
      <c r="A35" s="83"/>
      <c r="B35" s="26" t="s">
        <v>601</v>
      </c>
      <c r="C35" s="419" t="s">
        <v>602</v>
      </c>
      <c r="D35" s="419"/>
      <c r="E35" s="419"/>
      <c r="F35" s="256" t="s">
        <v>70</v>
      </c>
      <c r="G35" s="22" t="s">
        <v>1621</v>
      </c>
      <c r="H35" s="22"/>
      <c r="I35" s="28"/>
      <c r="J35" s="28"/>
      <c r="K35" s="132"/>
      <c r="BB35" s="14"/>
      <c r="BC35" s="15"/>
      <c r="BD35" s="21"/>
      <c r="BE35" s="43"/>
      <c r="BF35" s="12"/>
      <c r="BG35" s="12" t="s">
        <v>602</v>
      </c>
    </row>
    <row r="36" spans="1:59" s="3" customFormat="1" ht="21.6" x14ac:dyDescent="0.3">
      <c r="A36" s="83"/>
      <c r="B36" s="26" t="s">
        <v>603</v>
      </c>
      <c r="C36" s="419" t="s">
        <v>604</v>
      </c>
      <c r="D36" s="419"/>
      <c r="E36" s="419"/>
      <c r="F36" s="256" t="s">
        <v>70</v>
      </c>
      <c r="G36" s="22" t="s">
        <v>1622</v>
      </c>
      <c r="H36" s="22"/>
      <c r="I36" s="28"/>
      <c r="J36" s="28"/>
      <c r="K36" s="132"/>
      <c r="BB36" s="14"/>
      <c r="BC36" s="15"/>
      <c r="BD36" s="21"/>
      <c r="BE36" s="43"/>
      <c r="BF36" s="12"/>
      <c r="BG36" s="12" t="s">
        <v>604</v>
      </c>
    </row>
    <row r="37" spans="1:59" s="3" customFormat="1" ht="20.399999999999999" x14ac:dyDescent="0.3">
      <c r="A37" s="83"/>
      <c r="B37" s="26" t="s">
        <v>605</v>
      </c>
      <c r="C37" s="419" t="s">
        <v>606</v>
      </c>
      <c r="D37" s="419"/>
      <c r="E37" s="419"/>
      <c r="F37" s="256" t="s">
        <v>75</v>
      </c>
      <c r="G37" s="22" t="s">
        <v>1623</v>
      </c>
      <c r="H37" s="22"/>
      <c r="I37" s="28"/>
      <c r="J37" s="28"/>
      <c r="K37" s="132"/>
      <c r="BB37" s="14"/>
      <c r="BC37" s="15"/>
      <c r="BD37" s="21"/>
      <c r="BE37" s="43"/>
      <c r="BF37" s="12"/>
      <c r="BG37" s="12" t="s">
        <v>606</v>
      </c>
    </row>
    <row r="38" spans="1:59" s="3" customFormat="1" ht="20.399999999999999" x14ac:dyDescent="0.3">
      <c r="A38" s="83"/>
      <c r="B38" s="26" t="s">
        <v>89</v>
      </c>
      <c r="C38" s="419" t="s">
        <v>90</v>
      </c>
      <c r="D38" s="419"/>
      <c r="E38" s="419"/>
      <c r="F38" s="256" t="s">
        <v>70</v>
      </c>
      <c r="G38" s="22" t="s">
        <v>1624</v>
      </c>
      <c r="H38" s="22"/>
      <c r="I38" s="28"/>
      <c r="J38" s="28"/>
      <c r="K38" s="132"/>
      <c r="BB38" s="14"/>
      <c r="BC38" s="15"/>
      <c r="BD38" s="21"/>
      <c r="BE38" s="43"/>
      <c r="BF38" s="12"/>
      <c r="BG38" s="12" t="s">
        <v>90</v>
      </c>
    </row>
    <row r="39" spans="1:59" s="3" customFormat="1" ht="21.6" x14ac:dyDescent="0.3">
      <c r="A39" s="83"/>
      <c r="B39" s="26" t="s">
        <v>607</v>
      </c>
      <c r="C39" s="419" t="s">
        <v>608</v>
      </c>
      <c r="D39" s="419"/>
      <c r="E39" s="419"/>
      <c r="F39" s="256" t="s">
        <v>609</v>
      </c>
      <c r="G39" s="22" t="s">
        <v>1625</v>
      </c>
      <c r="H39" s="22"/>
      <c r="I39" s="28"/>
      <c r="J39" s="28"/>
      <c r="K39" s="132"/>
      <c r="BB39" s="14"/>
      <c r="BC39" s="15"/>
      <c r="BD39" s="21"/>
      <c r="BE39" s="43"/>
      <c r="BF39" s="12"/>
      <c r="BG39" s="12" t="s">
        <v>608</v>
      </c>
    </row>
    <row r="40" spans="1:59" s="3" customFormat="1" ht="21.6" x14ac:dyDescent="0.3">
      <c r="A40" s="80" t="s">
        <v>166</v>
      </c>
      <c r="B40" s="17" t="s">
        <v>1618</v>
      </c>
      <c r="C40" s="405" t="s">
        <v>1619</v>
      </c>
      <c r="D40" s="405"/>
      <c r="E40" s="405"/>
      <c r="F40" s="16" t="s">
        <v>67</v>
      </c>
      <c r="G40" s="31">
        <v>1.75</v>
      </c>
      <c r="H40" s="57">
        <f>I40/G40</f>
        <v>12883.142857142857</v>
      </c>
      <c r="I40" s="19">
        <f>23675.62-K40</f>
        <v>22545.5</v>
      </c>
      <c r="J40" s="19">
        <f>K40/G40</f>
        <v>645.7828571428571</v>
      </c>
      <c r="K40" s="131">
        <v>1130.1199999999999</v>
      </c>
      <c r="BB40" s="14"/>
      <c r="BC40" s="15"/>
      <c r="BD40" s="21" t="s">
        <v>1619</v>
      </c>
      <c r="BE40" s="43"/>
      <c r="BF40" s="12"/>
      <c r="BG40" s="12"/>
    </row>
    <row r="41" spans="1:59" s="3" customFormat="1" ht="20.399999999999999" x14ac:dyDescent="0.3">
      <c r="A41" s="83"/>
      <c r="B41" s="26" t="s">
        <v>599</v>
      </c>
      <c r="C41" s="419" t="s">
        <v>600</v>
      </c>
      <c r="D41" s="419"/>
      <c r="E41" s="419"/>
      <c r="F41" s="256" t="s">
        <v>406</v>
      </c>
      <c r="G41" s="22" t="s">
        <v>1626</v>
      </c>
      <c r="H41" s="22"/>
      <c r="I41" s="28"/>
      <c r="J41" s="28"/>
      <c r="K41" s="132"/>
      <c r="BB41" s="14"/>
      <c r="BC41" s="15"/>
      <c r="BD41" s="21"/>
      <c r="BE41" s="43"/>
      <c r="BF41" s="12"/>
      <c r="BG41" s="12" t="s">
        <v>600</v>
      </c>
    </row>
    <row r="42" spans="1:59" s="3" customFormat="1" ht="21.6" x14ac:dyDescent="0.3">
      <c r="A42" s="83"/>
      <c r="B42" s="26" t="s">
        <v>601</v>
      </c>
      <c r="C42" s="419" t="s">
        <v>602</v>
      </c>
      <c r="D42" s="419"/>
      <c r="E42" s="419"/>
      <c r="F42" s="256" t="s">
        <v>70</v>
      </c>
      <c r="G42" s="22" t="s">
        <v>1627</v>
      </c>
      <c r="H42" s="22"/>
      <c r="I42" s="28"/>
      <c r="J42" s="28"/>
      <c r="K42" s="132"/>
      <c r="BB42" s="14"/>
      <c r="BC42" s="15"/>
      <c r="BD42" s="21"/>
      <c r="BE42" s="43"/>
      <c r="BF42" s="12"/>
      <c r="BG42" s="12" t="s">
        <v>602</v>
      </c>
    </row>
    <row r="43" spans="1:59" s="3" customFormat="1" ht="21.6" x14ac:dyDescent="0.3">
      <c r="A43" s="83"/>
      <c r="B43" s="26" t="s">
        <v>603</v>
      </c>
      <c r="C43" s="419" t="s">
        <v>604</v>
      </c>
      <c r="D43" s="419"/>
      <c r="E43" s="419"/>
      <c r="F43" s="256" t="s">
        <v>70</v>
      </c>
      <c r="G43" s="22" t="s">
        <v>1628</v>
      </c>
      <c r="H43" s="22"/>
      <c r="I43" s="28"/>
      <c r="J43" s="28"/>
      <c r="K43" s="132"/>
      <c r="BB43" s="14"/>
      <c r="BC43" s="15"/>
      <c r="BD43" s="21"/>
      <c r="BE43" s="43"/>
      <c r="BF43" s="12"/>
      <c r="BG43" s="12" t="s">
        <v>604</v>
      </c>
    </row>
    <row r="44" spans="1:59" s="3" customFormat="1" ht="20.399999999999999" x14ac:dyDescent="0.3">
      <c r="A44" s="83"/>
      <c r="B44" s="26" t="s">
        <v>605</v>
      </c>
      <c r="C44" s="419" t="s">
        <v>606</v>
      </c>
      <c r="D44" s="419"/>
      <c r="E44" s="419"/>
      <c r="F44" s="256" t="s">
        <v>75</v>
      </c>
      <c r="G44" s="22" t="s">
        <v>1629</v>
      </c>
      <c r="H44" s="22"/>
      <c r="I44" s="28"/>
      <c r="J44" s="28"/>
      <c r="K44" s="132"/>
      <c r="BB44" s="14"/>
      <c r="BC44" s="15"/>
      <c r="BD44" s="21"/>
      <c r="BE44" s="43"/>
      <c r="BF44" s="12"/>
      <c r="BG44" s="12" t="s">
        <v>606</v>
      </c>
    </row>
    <row r="45" spans="1:59" s="3" customFormat="1" ht="20.399999999999999" x14ac:dyDescent="0.3">
      <c r="A45" s="83"/>
      <c r="B45" s="26" t="s">
        <v>89</v>
      </c>
      <c r="C45" s="419" t="s">
        <v>90</v>
      </c>
      <c r="D45" s="419"/>
      <c r="E45" s="419"/>
      <c r="F45" s="256" t="s">
        <v>70</v>
      </c>
      <c r="G45" s="22" t="s">
        <v>1630</v>
      </c>
      <c r="H45" s="22"/>
      <c r="I45" s="28"/>
      <c r="J45" s="28"/>
      <c r="K45" s="132"/>
      <c r="BB45" s="14"/>
      <c r="BC45" s="15"/>
      <c r="BD45" s="21"/>
      <c r="BE45" s="43"/>
      <c r="BF45" s="12"/>
      <c r="BG45" s="12" t="s">
        <v>90</v>
      </c>
    </row>
    <row r="46" spans="1:59" s="3" customFormat="1" ht="21.6" x14ac:dyDescent="0.3">
      <c r="A46" s="83"/>
      <c r="B46" s="26" t="s">
        <v>607</v>
      </c>
      <c r="C46" s="419" t="s">
        <v>608</v>
      </c>
      <c r="D46" s="419"/>
      <c r="E46" s="419"/>
      <c r="F46" s="256" t="s">
        <v>609</v>
      </c>
      <c r="G46" s="22" t="s">
        <v>1631</v>
      </c>
      <c r="H46" s="22"/>
      <c r="I46" s="28"/>
      <c r="J46" s="28"/>
      <c r="K46" s="132"/>
      <c r="BB46" s="14"/>
      <c r="BC46" s="15"/>
      <c r="BD46" s="21"/>
      <c r="BE46" s="43"/>
      <c r="BF46" s="12"/>
      <c r="BG46" s="12" t="s">
        <v>608</v>
      </c>
    </row>
    <row r="47" spans="1:59" s="3" customFormat="1" ht="21.6" x14ac:dyDescent="0.3">
      <c r="A47" s="80" t="s">
        <v>169</v>
      </c>
      <c r="B47" s="17" t="s">
        <v>1618</v>
      </c>
      <c r="C47" s="405" t="s">
        <v>1619</v>
      </c>
      <c r="D47" s="405"/>
      <c r="E47" s="405"/>
      <c r="F47" s="16" t="s">
        <v>67</v>
      </c>
      <c r="G47" s="24">
        <v>0.5</v>
      </c>
      <c r="H47" s="57">
        <f>I47/G47</f>
        <v>12883.179999999998</v>
      </c>
      <c r="I47" s="19">
        <f>6764.48-K47</f>
        <v>6441.5899999999992</v>
      </c>
      <c r="J47" s="19">
        <f>K47/G47</f>
        <v>645.78</v>
      </c>
      <c r="K47" s="131">
        <v>322.89</v>
      </c>
      <c r="BB47" s="14"/>
      <c r="BC47" s="15"/>
      <c r="BD47" s="21" t="s">
        <v>1619</v>
      </c>
      <c r="BE47" s="43"/>
      <c r="BF47" s="12"/>
      <c r="BG47" s="12"/>
    </row>
    <row r="48" spans="1:59" s="3" customFormat="1" ht="20.399999999999999" x14ac:dyDescent="0.3">
      <c r="A48" s="83"/>
      <c r="B48" s="26" t="s">
        <v>599</v>
      </c>
      <c r="C48" s="419" t="s">
        <v>600</v>
      </c>
      <c r="D48" s="419"/>
      <c r="E48" s="419"/>
      <c r="F48" s="256" t="s">
        <v>406</v>
      </c>
      <c r="G48" s="22" t="s">
        <v>1632</v>
      </c>
      <c r="H48" s="22"/>
      <c r="I48" s="28"/>
      <c r="J48" s="28"/>
      <c r="K48" s="132"/>
      <c r="BB48" s="14"/>
      <c r="BC48" s="15"/>
      <c r="BD48" s="21"/>
      <c r="BE48" s="43"/>
      <c r="BF48" s="12"/>
      <c r="BG48" s="12" t="s">
        <v>600</v>
      </c>
    </row>
    <row r="49" spans="1:59" s="3" customFormat="1" ht="21.6" x14ac:dyDescent="0.3">
      <c r="A49" s="83"/>
      <c r="B49" s="26" t="s">
        <v>601</v>
      </c>
      <c r="C49" s="419" t="s">
        <v>602</v>
      </c>
      <c r="D49" s="419"/>
      <c r="E49" s="419"/>
      <c r="F49" s="256" t="s">
        <v>70</v>
      </c>
      <c r="G49" s="22" t="s">
        <v>1633</v>
      </c>
      <c r="H49" s="22"/>
      <c r="I49" s="28"/>
      <c r="J49" s="28"/>
      <c r="K49" s="132"/>
      <c r="BB49" s="14"/>
      <c r="BC49" s="15"/>
      <c r="BD49" s="21"/>
      <c r="BE49" s="43"/>
      <c r="BF49" s="12"/>
      <c r="BG49" s="12" t="s">
        <v>602</v>
      </c>
    </row>
    <row r="50" spans="1:59" s="3" customFormat="1" ht="21.6" x14ac:dyDescent="0.3">
      <c r="A50" s="83"/>
      <c r="B50" s="26" t="s">
        <v>603</v>
      </c>
      <c r="C50" s="419" t="s">
        <v>604</v>
      </c>
      <c r="D50" s="419"/>
      <c r="E50" s="419"/>
      <c r="F50" s="256" t="s">
        <v>70</v>
      </c>
      <c r="G50" s="22" t="s">
        <v>1634</v>
      </c>
      <c r="H50" s="22"/>
      <c r="I50" s="28"/>
      <c r="J50" s="28"/>
      <c r="K50" s="132"/>
      <c r="BB50" s="14"/>
      <c r="BC50" s="15"/>
      <c r="BD50" s="21"/>
      <c r="BE50" s="43"/>
      <c r="BF50" s="12"/>
      <c r="BG50" s="12" t="s">
        <v>604</v>
      </c>
    </row>
    <row r="51" spans="1:59" s="3" customFormat="1" ht="20.399999999999999" x14ac:dyDescent="0.3">
      <c r="A51" s="83"/>
      <c r="B51" s="26" t="s">
        <v>605</v>
      </c>
      <c r="C51" s="419" t="s">
        <v>606</v>
      </c>
      <c r="D51" s="419"/>
      <c r="E51" s="419"/>
      <c r="F51" s="256" t="s">
        <v>75</v>
      </c>
      <c r="G51" s="22" t="s">
        <v>1635</v>
      </c>
      <c r="H51" s="22"/>
      <c r="I51" s="28"/>
      <c r="J51" s="28"/>
      <c r="K51" s="132"/>
      <c r="BB51" s="14"/>
      <c r="BC51" s="15"/>
      <c r="BD51" s="21"/>
      <c r="BE51" s="43"/>
      <c r="BF51" s="12"/>
      <c r="BG51" s="12" t="s">
        <v>606</v>
      </c>
    </row>
    <row r="52" spans="1:59" s="3" customFormat="1" ht="20.399999999999999" x14ac:dyDescent="0.3">
      <c r="A52" s="83"/>
      <c r="B52" s="26" t="s">
        <v>89</v>
      </c>
      <c r="C52" s="419" t="s">
        <v>90</v>
      </c>
      <c r="D52" s="419"/>
      <c r="E52" s="419"/>
      <c r="F52" s="256" t="s">
        <v>70</v>
      </c>
      <c r="G52" s="22" t="s">
        <v>1636</v>
      </c>
      <c r="H52" s="22"/>
      <c r="I52" s="28"/>
      <c r="J52" s="28"/>
      <c r="K52" s="132"/>
      <c r="BB52" s="14"/>
      <c r="BC52" s="15"/>
      <c r="BD52" s="21"/>
      <c r="BE52" s="43"/>
      <c r="BF52" s="12"/>
      <c r="BG52" s="12" t="s">
        <v>90</v>
      </c>
    </row>
    <row r="53" spans="1:59" s="3" customFormat="1" ht="21.6" x14ac:dyDescent="0.3">
      <c r="A53" s="83"/>
      <c r="B53" s="26" t="s">
        <v>607</v>
      </c>
      <c r="C53" s="419" t="s">
        <v>608</v>
      </c>
      <c r="D53" s="419"/>
      <c r="E53" s="419"/>
      <c r="F53" s="256" t="s">
        <v>609</v>
      </c>
      <c r="G53" s="22" t="s">
        <v>1637</v>
      </c>
      <c r="H53" s="22"/>
      <c r="I53" s="28"/>
      <c r="J53" s="28"/>
      <c r="K53" s="132"/>
      <c r="BB53" s="14"/>
      <c r="BC53" s="15"/>
      <c r="BD53" s="21"/>
      <c r="BE53" s="43"/>
      <c r="BF53" s="12"/>
      <c r="BG53" s="12" t="s">
        <v>608</v>
      </c>
    </row>
    <row r="54" spans="1:59" s="3" customFormat="1" ht="21.6" x14ac:dyDescent="0.3">
      <c r="A54" s="80" t="s">
        <v>170</v>
      </c>
      <c r="B54" s="17" t="s">
        <v>1618</v>
      </c>
      <c r="C54" s="405" t="s">
        <v>1619</v>
      </c>
      <c r="D54" s="405"/>
      <c r="E54" s="405"/>
      <c r="F54" s="16" t="s">
        <v>67</v>
      </c>
      <c r="G54" s="24">
        <v>0.4</v>
      </c>
      <c r="H54" s="57">
        <f>I54/G54</f>
        <v>12883.125</v>
      </c>
      <c r="I54" s="19">
        <f>5411.56-K54</f>
        <v>5153.25</v>
      </c>
      <c r="J54" s="19">
        <f>K54/G54</f>
        <v>645.77499999999998</v>
      </c>
      <c r="K54" s="131">
        <v>258.31</v>
      </c>
      <c r="BB54" s="14"/>
      <c r="BC54" s="15"/>
      <c r="BD54" s="21" t="s">
        <v>1619</v>
      </c>
      <c r="BE54" s="43"/>
      <c r="BF54" s="12"/>
      <c r="BG54" s="12"/>
    </row>
    <row r="55" spans="1:59" s="3" customFormat="1" ht="20.399999999999999" x14ac:dyDescent="0.3">
      <c r="A55" s="83"/>
      <c r="B55" s="26" t="s">
        <v>599</v>
      </c>
      <c r="C55" s="419" t="s">
        <v>600</v>
      </c>
      <c r="D55" s="419"/>
      <c r="E55" s="419"/>
      <c r="F55" s="256" t="s">
        <v>406</v>
      </c>
      <c r="G55" s="22" t="s">
        <v>1638</v>
      </c>
      <c r="H55" s="22"/>
      <c r="I55" s="28"/>
      <c r="J55" s="28"/>
      <c r="K55" s="132"/>
      <c r="BB55" s="14"/>
      <c r="BC55" s="15"/>
      <c r="BD55" s="21"/>
      <c r="BE55" s="43"/>
      <c r="BF55" s="12"/>
      <c r="BG55" s="12" t="s">
        <v>600</v>
      </c>
    </row>
    <row r="56" spans="1:59" s="3" customFormat="1" ht="21.6" x14ac:dyDescent="0.3">
      <c r="A56" s="83"/>
      <c r="B56" s="26" t="s">
        <v>601</v>
      </c>
      <c r="C56" s="419" t="s">
        <v>602</v>
      </c>
      <c r="D56" s="419"/>
      <c r="E56" s="419"/>
      <c r="F56" s="256" t="s">
        <v>70</v>
      </c>
      <c r="G56" s="22" t="s">
        <v>1639</v>
      </c>
      <c r="H56" s="22"/>
      <c r="I56" s="28"/>
      <c r="J56" s="28"/>
      <c r="K56" s="132"/>
      <c r="BB56" s="14"/>
      <c r="BC56" s="15"/>
      <c r="BD56" s="21"/>
      <c r="BE56" s="43"/>
      <c r="BF56" s="12"/>
      <c r="BG56" s="12" t="s">
        <v>602</v>
      </c>
    </row>
    <row r="57" spans="1:59" s="3" customFormat="1" ht="21.6" x14ac:dyDescent="0.3">
      <c r="A57" s="83"/>
      <c r="B57" s="26" t="s">
        <v>603</v>
      </c>
      <c r="C57" s="419" t="s">
        <v>604</v>
      </c>
      <c r="D57" s="419"/>
      <c r="E57" s="419"/>
      <c r="F57" s="256" t="s">
        <v>70</v>
      </c>
      <c r="G57" s="22" t="s">
        <v>1640</v>
      </c>
      <c r="H57" s="22"/>
      <c r="I57" s="28"/>
      <c r="J57" s="28"/>
      <c r="K57" s="132"/>
      <c r="BB57" s="14"/>
      <c r="BC57" s="15"/>
      <c r="BD57" s="21"/>
      <c r="BE57" s="43"/>
      <c r="BF57" s="12"/>
      <c r="BG57" s="12" t="s">
        <v>604</v>
      </c>
    </row>
    <row r="58" spans="1:59" s="3" customFormat="1" ht="20.399999999999999" x14ac:dyDescent="0.3">
      <c r="A58" s="83"/>
      <c r="B58" s="26" t="s">
        <v>605</v>
      </c>
      <c r="C58" s="419" t="s">
        <v>606</v>
      </c>
      <c r="D58" s="419"/>
      <c r="E58" s="419"/>
      <c r="F58" s="256" t="s">
        <v>75</v>
      </c>
      <c r="G58" s="22" t="s">
        <v>1641</v>
      </c>
      <c r="H58" s="22"/>
      <c r="I58" s="28"/>
      <c r="J58" s="28"/>
      <c r="K58" s="132"/>
      <c r="BB58" s="14"/>
      <c r="BC58" s="15"/>
      <c r="BD58" s="21"/>
      <c r="BE58" s="43"/>
      <c r="BF58" s="12"/>
      <c r="BG58" s="12" t="s">
        <v>606</v>
      </c>
    </row>
    <row r="59" spans="1:59" s="3" customFormat="1" ht="20.399999999999999" x14ac:dyDescent="0.3">
      <c r="A59" s="83"/>
      <c r="B59" s="26" t="s">
        <v>89</v>
      </c>
      <c r="C59" s="419" t="s">
        <v>90</v>
      </c>
      <c r="D59" s="419"/>
      <c r="E59" s="419"/>
      <c r="F59" s="256" t="s">
        <v>70</v>
      </c>
      <c r="G59" s="22" t="s">
        <v>1642</v>
      </c>
      <c r="H59" s="22"/>
      <c r="I59" s="28"/>
      <c r="J59" s="28"/>
      <c r="K59" s="132"/>
      <c r="BB59" s="14"/>
      <c r="BC59" s="15"/>
      <c r="BD59" s="21"/>
      <c r="BE59" s="43"/>
      <c r="BF59" s="12"/>
      <c r="BG59" s="12" t="s">
        <v>90</v>
      </c>
    </row>
    <row r="60" spans="1:59" s="3" customFormat="1" ht="21.6" x14ac:dyDescent="0.3">
      <c r="A60" s="83"/>
      <c r="B60" s="26" t="s">
        <v>607</v>
      </c>
      <c r="C60" s="419" t="s">
        <v>608</v>
      </c>
      <c r="D60" s="419"/>
      <c r="E60" s="419"/>
      <c r="F60" s="256" t="s">
        <v>609</v>
      </c>
      <c r="G60" s="22" t="s">
        <v>1643</v>
      </c>
      <c r="H60" s="22"/>
      <c r="I60" s="28"/>
      <c r="J60" s="28"/>
      <c r="K60" s="132"/>
      <c r="BB60" s="14"/>
      <c r="BC60" s="15"/>
      <c r="BD60" s="21"/>
      <c r="BE60" s="43"/>
      <c r="BF60" s="12"/>
      <c r="BG60" s="12" t="s">
        <v>608</v>
      </c>
    </row>
    <row r="61" spans="1:59" s="3" customFormat="1" ht="52.2" x14ac:dyDescent="0.3">
      <c r="A61" s="80" t="s">
        <v>173</v>
      </c>
      <c r="B61" s="17" t="s">
        <v>1644</v>
      </c>
      <c r="C61" s="405" t="s">
        <v>1645</v>
      </c>
      <c r="D61" s="405"/>
      <c r="E61" s="405"/>
      <c r="F61" s="16" t="s">
        <v>115</v>
      </c>
      <c r="G61" s="31">
        <v>2265.42</v>
      </c>
      <c r="H61" s="31">
        <f>I61/G61</f>
        <v>0</v>
      </c>
      <c r="I61" s="19">
        <v>0</v>
      </c>
      <c r="J61" s="19">
        <f>K61/G61</f>
        <v>198.85950066654306</v>
      </c>
      <c r="K61" s="131">
        <v>450500.29</v>
      </c>
      <c r="BB61" s="14"/>
      <c r="BC61" s="15"/>
      <c r="BD61" s="21" t="s">
        <v>1645</v>
      </c>
      <c r="BE61" s="43"/>
      <c r="BF61" s="12"/>
      <c r="BG61" s="12"/>
    </row>
    <row r="62" spans="1:59" s="3" customFormat="1" ht="15" customHeight="1" x14ac:dyDescent="0.3">
      <c r="A62" s="417" t="s">
        <v>1646</v>
      </c>
      <c r="B62" s="418"/>
      <c r="C62" s="418"/>
      <c r="D62" s="418"/>
      <c r="E62" s="418"/>
      <c r="F62" s="418"/>
      <c r="G62" s="418"/>
      <c r="H62" s="61"/>
      <c r="I62" s="61"/>
      <c r="J62" s="61"/>
      <c r="K62" s="146"/>
      <c r="BB62" s="14"/>
      <c r="BC62" s="15" t="s">
        <v>1646</v>
      </c>
      <c r="BD62" s="21"/>
      <c r="BE62" s="43"/>
      <c r="BF62" s="12"/>
      <c r="BG62" s="12"/>
    </row>
    <row r="63" spans="1:59" s="3" customFormat="1" ht="21.6" x14ac:dyDescent="0.3">
      <c r="A63" s="80" t="s">
        <v>176</v>
      </c>
      <c r="B63" s="17" t="s">
        <v>597</v>
      </c>
      <c r="C63" s="405" t="s">
        <v>598</v>
      </c>
      <c r="D63" s="405"/>
      <c r="E63" s="405"/>
      <c r="F63" s="16" t="s">
        <v>67</v>
      </c>
      <c r="G63" s="31">
        <v>1.1499999999999999</v>
      </c>
      <c r="H63" s="57">
        <f>I63/G63</f>
        <v>12315.17391304348</v>
      </c>
      <c r="I63" s="19">
        <f>14905.1-K63</f>
        <v>14162.45</v>
      </c>
      <c r="J63" s="19">
        <f>K63/G63</f>
        <v>645.78260869565224</v>
      </c>
      <c r="K63" s="131">
        <v>742.65</v>
      </c>
      <c r="BB63" s="14"/>
      <c r="BC63" s="15"/>
      <c r="BD63" s="21" t="s">
        <v>598</v>
      </c>
      <c r="BE63" s="43"/>
      <c r="BF63" s="12"/>
      <c r="BG63" s="12"/>
    </row>
    <row r="64" spans="1:59" s="3" customFormat="1" ht="20.399999999999999" x14ac:dyDescent="0.3">
      <c r="A64" s="83"/>
      <c r="B64" s="26" t="s">
        <v>599</v>
      </c>
      <c r="C64" s="419" t="s">
        <v>600</v>
      </c>
      <c r="D64" s="419"/>
      <c r="E64" s="419"/>
      <c r="F64" s="256" t="s">
        <v>406</v>
      </c>
      <c r="G64" s="22" t="s">
        <v>1647</v>
      </c>
      <c r="H64" s="22"/>
      <c r="I64" s="28"/>
      <c r="J64" s="28"/>
      <c r="K64" s="132"/>
      <c r="BB64" s="14"/>
      <c r="BC64" s="15"/>
      <c r="BD64" s="21"/>
      <c r="BE64" s="43"/>
      <c r="BF64" s="12"/>
      <c r="BG64" s="12" t="s">
        <v>600</v>
      </c>
    </row>
    <row r="65" spans="1:59" s="3" customFormat="1" ht="21.6" x14ac:dyDescent="0.3">
      <c r="A65" s="83"/>
      <c r="B65" s="26" t="s">
        <v>601</v>
      </c>
      <c r="C65" s="419" t="s">
        <v>602</v>
      </c>
      <c r="D65" s="419"/>
      <c r="E65" s="419"/>
      <c r="F65" s="256" t="s">
        <v>70</v>
      </c>
      <c r="G65" s="22" t="s">
        <v>1648</v>
      </c>
      <c r="H65" s="22"/>
      <c r="I65" s="28"/>
      <c r="J65" s="28"/>
      <c r="K65" s="132"/>
      <c r="BB65" s="14"/>
      <c r="BC65" s="15"/>
      <c r="BD65" s="21"/>
      <c r="BE65" s="43"/>
      <c r="BF65" s="12"/>
      <c r="BG65" s="12" t="s">
        <v>602</v>
      </c>
    </row>
    <row r="66" spans="1:59" s="3" customFormat="1" ht="21.6" x14ac:dyDescent="0.3">
      <c r="A66" s="83"/>
      <c r="B66" s="26" t="s">
        <v>603</v>
      </c>
      <c r="C66" s="419" t="s">
        <v>604</v>
      </c>
      <c r="D66" s="419"/>
      <c r="E66" s="419"/>
      <c r="F66" s="256" t="s">
        <v>70</v>
      </c>
      <c r="G66" s="22" t="s">
        <v>1649</v>
      </c>
      <c r="H66" s="22"/>
      <c r="I66" s="28"/>
      <c r="J66" s="28"/>
      <c r="K66" s="132"/>
      <c r="BB66" s="14"/>
      <c r="BC66" s="15"/>
      <c r="BD66" s="21"/>
      <c r="BE66" s="43"/>
      <c r="BF66" s="12"/>
      <c r="BG66" s="12" t="s">
        <v>604</v>
      </c>
    </row>
    <row r="67" spans="1:59" s="3" customFormat="1" ht="20.399999999999999" x14ac:dyDescent="0.3">
      <c r="A67" s="83"/>
      <c r="B67" s="26" t="s">
        <v>605</v>
      </c>
      <c r="C67" s="419" t="s">
        <v>606</v>
      </c>
      <c r="D67" s="419"/>
      <c r="E67" s="419"/>
      <c r="F67" s="256" t="s">
        <v>75</v>
      </c>
      <c r="G67" s="22" t="s">
        <v>1650</v>
      </c>
      <c r="H67" s="22"/>
      <c r="I67" s="28"/>
      <c r="J67" s="28"/>
      <c r="K67" s="132"/>
      <c r="BB67" s="14"/>
      <c r="BC67" s="15"/>
      <c r="BD67" s="21"/>
      <c r="BE67" s="43"/>
      <c r="BF67" s="12"/>
      <c r="BG67" s="12" t="s">
        <v>606</v>
      </c>
    </row>
    <row r="68" spans="1:59" s="3" customFormat="1" ht="20.399999999999999" x14ac:dyDescent="0.3">
      <c r="A68" s="83"/>
      <c r="B68" s="26" t="s">
        <v>89</v>
      </c>
      <c r="C68" s="419" t="s">
        <v>90</v>
      </c>
      <c r="D68" s="419"/>
      <c r="E68" s="419"/>
      <c r="F68" s="256" t="s">
        <v>70</v>
      </c>
      <c r="G68" s="22" t="s">
        <v>1651</v>
      </c>
      <c r="H68" s="22"/>
      <c r="I68" s="28"/>
      <c r="J68" s="28"/>
      <c r="K68" s="132"/>
      <c r="BB68" s="14"/>
      <c r="BC68" s="15"/>
      <c r="BD68" s="21"/>
      <c r="BE68" s="43"/>
      <c r="BF68" s="12"/>
      <c r="BG68" s="12" t="s">
        <v>90</v>
      </c>
    </row>
    <row r="69" spans="1:59" s="3" customFormat="1" ht="21.6" x14ac:dyDescent="0.3">
      <c r="A69" s="83"/>
      <c r="B69" s="26" t="s">
        <v>607</v>
      </c>
      <c r="C69" s="419" t="s">
        <v>608</v>
      </c>
      <c r="D69" s="419"/>
      <c r="E69" s="419"/>
      <c r="F69" s="256" t="s">
        <v>609</v>
      </c>
      <c r="G69" s="22" t="s">
        <v>1652</v>
      </c>
      <c r="H69" s="22"/>
      <c r="I69" s="28"/>
      <c r="J69" s="28"/>
      <c r="K69" s="132"/>
      <c r="BB69" s="14"/>
      <c r="BC69" s="15"/>
      <c r="BD69" s="21"/>
      <c r="BE69" s="43"/>
      <c r="BF69" s="12"/>
      <c r="BG69" s="12" t="s">
        <v>608</v>
      </c>
    </row>
    <row r="70" spans="1:59" s="3" customFormat="1" ht="21.6" x14ac:dyDescent="0.3">
      <c r="A70" s="80" t="s">
        <v>177</v>
      </c>
      <c r="B70" s="17" t="s">
        <v>1653</v>
      </c>
      <c r="C70" s="405" t="s">
        <v>1654</v>
      </c>
      <c r="D70" s="405"/>
      <c r="E70" s="405"/>
      <c r="F70" s="16" t="s">
        <v>1049</v>
      </c>
      <c r="G70" s="18">
        <v>0.115</v>
      </c>
      <c r="H70" s="57">
        <f>I70/G70</f>
        <v>0</v>
      </c>
      <c r="I70" s="19">
        <v>0</v>
      </c>
      <c r="J70" s="19">
        <f>K70/G70</f>
        <v>104755.65217391304</v>
      </c>
      <c r="K70" s="131">
        <v>12046.9</v>
      </c>
      <c r="BB70" s="14"/>
      <c r="BC70" s="15"/>
      <c r="BD70" s="21" t="s">
        <v>1654</v>
      </c>
      <c r="BE70" s="43"/>
      <c r="BF70" s="12"/>
      <c r="BG70" s="12"/>
    </row>
    <row r="71" spans="1:59" s="3" customFormat="1" ht="15" customHeight="1" x14ac:dyDescent="0.3">
      <c r="A71" s="417" t="s">
        <v>1655</v>
      </c>
      <c r="B71" s="418"/>
      <c r="C71" s="418"/>
      <c r="D71" s="418"/>
      <c r="E71" s="418"/>
      <c r="F71" s="418"/>
      <c r="G71" s="418"/>
      <c r="H71" s="61"/>
      <c r="I71" s="61"/>
      <c r="J71" s="61"/>
      <c r="K71" s="146"/>
      <c r="BB71" s="14"/>
      <c r="BC71" s="15" t="s">
        <v>1655</v>
      </c>
      <c r="BD71" s="21"/>
      <c r="BE71" s="43"/>
      <c r="BF71" s="12"/>
      <c r="BG71" s="12"/>
    </row>
    <row r="72" spans="1:59" s="3" customFormat="1" ht="21.6" x14ac:dyDescent="0.3">
      <c r="A72" s="80" t="s">
        <v>180</v>
      </c>
      <c r="B72" s="17" t="s">
        <v>1656</v>
      </c>
      <c r="C72" s="405" t="s">
        <v>1657</v>
      </c>
      <c r="D72" s="405"/>
      <c r="E72" s="405"/>
      <c r="F72" s="16" t="s">
        <v>67</v>
      </c>
      <c r="G72" s="31">
        <v>2.08</v>
      </c>
      <c r="H72" s="57">
        <f>I72/G72</f>
        <v>440.11538461538458</v>
      </c>
      <c r="I72" s="19">
        <f>916.91-K72</f>
        <v>915.43999999999994</v>
      </c>
      <c r="J72" s="19">
        <f>K72/G72</f>
        <v>0.70673076923076916</v>
      </c>
      <c r="K72" s="131">
        <v>1.47</v>
      </c>
      <c r="BB72" s="14"/>
      <c r="BC72" s="15"/>
      <c r="BD72" s="21" t="s">
        <v>1657</v>
      </c>
      <c r="BE72" s="43"/>
      <c r="BF72" s="12"/>
      <c r="BG72" s="12"/>
    </row>
    <row r="73" spans="1:59" s="3" customFormat="1" ht="21.6" x14ac:dyDescent="0.3">
      <c r="A73" s="83"/>
      <c r="B73" s="26" t="s">
        <v>607</v>
      </c>
      <c r="C73" s="419" t="s">
        <v>608</v>
      </c>
      <c r="D73" s="419"/>
      <c r="E73" s="419"/>
      <c r="F73" s="256" t="s">
        <v>609</v>
      </c>
      <c r="G73" s="22" t="s">
        <v>1658</v>
      </c>
      <c r="H73" s="22"/>
      <c r="I73" s="28"/>
      <c r="J73" s="28"/>
      <c r="K73" s="132"/>
      <c r="BB73" s="14"/>
      <c r="BC73" s="15"/>
      <c r="BD73" s="21"/>
      <c r="BE73" s="43"/>
      <c r="BF73" s="12"/>
      <c r="BG73" s="12" t="s">
        <v>608</v>
      </c>
    </row>
    <row r="74" spans="1:59" s="3" customFormat="1" ht="21.6" x14ac:dyDescent="0.3">
      <c r="A74" s="80" t="s">
        <v>182</v>
      </c>
      <c r="B74" s="17" t="s">
        <v>1659</v>
      </c>
      <c r="C74" s="405" t="s">
        <v>1660</v>
      </c>
      <c r="D74" s="405"/>
      <c r="E74" s="405"/>
      <c r="F74" s="16" t="s">
        <v>38</v>
      </c>
      <c r="G74" s="23">
        <v>2</v>
      </c>
      <c r="H74" s="57">
        <f>I74/G74</f>
        <v>0</v>
      </c>
      <c r="I74" s="19">
        <v>0</v>
      </c>
      <c r="J74" s="19">
        <f>K74/G74</f>
        <v>622.77499999999998</v>
      </c>
      <c r="K74" s="131">
        <v>1245.55</v>
      </c>
      <c r="BB74" s="14"/>
      <c r="BC74" s="15"/>
      <c r="BD74" s="21" t="s">
        <v>1660</v>
      </c>
      <c r="BE74" s="43"/>
      <c r="BF74" s="12"/>
      <c r="BG74" s="12"/>
    </row>
    <row r="75" spans="1:59" s="3" customFormat="1" ht="20.399999999999999" x14ac:dyDescent="0.3">
      <c r="A75" s="80" t="s">
        <v>186</v>
      </c>
      <c r="B75" s="17" t="s">
        <v>1661</v>
      </c>
      <c r="C75" s="405" t="s">
        <v>1662</v>
      </c>
      <c r="D75" s="405"/>
      <c r="E75" s="405"/>
      <c r="F75" s="16" t="s">
        <v>115</v>
      </c>
      <c r="G75" s="23">
        <v>46</v>
      </c>
      <c r="H75" s="31">
        <f>I75/G75</f>
        <v>0</v>
      </c>
      <c r="I75" s="19">
        <v>0</v>
      </c>
      <c r="J75" s="19">
        <f>K75/G75</f>
        <v>11.062608695652173</v>
      </c>
      <c r="K75" s="131">
        <v>508.88</v>
      </c>
      <c r="BB75" s="14"/>
      <c r="BC75" s="15"/>
      <c r="BD75" s="21" t="s">
        <v>1662</v>
      </c>
      <c r="BE75" s="43"/>
      <c r="BF75" s="12"/>
      <c r="BG75" s="12"/>
    </row>
    <row r="76" spans="1:59" s="3" customFormat="1" ht="15" customHeight="1" x14ac:dyDescent="0.3">
      <c r="A76" s="445" t="s">
        <v>1663</v>
      </c>
      <c r="B76" s="436"/>
      <c r="C76" s="436"/>
      <c r="D76" s="436"/>
      <c r="E76" s="436"/>
      <c r="F76" s="436"/>
      <c r="G76" s="436"/>
      <c r="H76" s="96"/>
      <c r="I76" s="96"/>
      <c r="J76" s="96"/>
      <c r="K76" s="145"/>
      <c r="BB76" s="14" t="s">
        <v>1663</v>
      </c>
      <c r="BC76" s="15"/>
      <c r="BD76" s="21"/>
      <c r="BE76" s="43"/>
      <c r="BF76" s="12"/>
      <c r="BG76" s="12"/>
    </row>
    <row r="77" spans="1:59" s="3" customFormat="1" ht="42" x14ac:dyDescent="0.3">
      <c r="A77" s="80" t="s">
        <v>192</v>
      </c>
      <c r="B77" s="17" t="s">
        <v>1664</v>
      </c>
      <c r="C77" s="405" t="s">
        <v>1665</v>
      </c>
      <c r="D77" s="405"/>
      <c r="E77" s="405"/>
      <c r="F77" s="16" t="s">
        <v>38</v>
      </c>
      <c r="G77" s="23">
        <v>16</v>
      </c>
      <c r="H77" s="57">
        <f>I77/G77</f>
        <v>957.13750000000005</v>
      </c>
      <c r="I77" s="19">
        <f>16010.87-K77</f>
        <v>15314.2</v>
      </c>
      <c r="J77" s="19">
        <f>K77/G77</f>
        <v>43.541874999999997</v>
      </c>
      <c r="K77" s="131">
        <v>696.67</v>
      </c>
      <c r="BB77" s="14"/>
      <c r="BC77" s="15"/>
      <c r="BD77" s="21" t="s">
        <v>1665</v>
      </c>
      <c r="BE77" s="43"/>
      <c r="BF77" s="12"/>
      <c r="BG77" s="12"/>
    </row>
    <row r="78" spans="1:59" s="3" customFormat="1" ht="20.399999999999999" x14ac:dyDescent="0.3">
      <c r="A78" s="83"/>
      <c r="B78" s="26" t="s">
        <v>1666</v>
      </c>
      <c r="C78" s="419" t="s">
        <v>1667</v>
      </c>
      <c r="D78" s="419"/>
      <c r="E78" s="419"/>
      <c r="F78" s="256" t="s">
        <v>70</v>
      </c>
      <c r="G78" s="22" t="s">
        <v>1668</v>
      </c>
      <c r="H78" s="22"/>
      <c r="I78" s="28"/>
      <c r="J78" s="28"/>
      <c r="K78" s="132"/>
      <c r="BB78" s="14"/>
      <c r="BC78" s="15"/>
      <c r="BD78" s="21"/>
      <c r="BE78" s="43"/>
      <c r="BF78" s="12"/>
      <c r="BG78" s="12" t="s">
        <v>1667</v>
      </c>
    </row>
    <row r="79" spans="1:59" s="3" customFormat="1" ht="20.399999999999999" x14ac:dyDescent="0.3">
      <c r="A79" s="83"/>
      <c r="B79" s="26" t="s">
        <v>1669</v>
      </c>
      <c r="C79" s="419" t="s">
        <v>1670</v>
      </c>
      <c r="D79" s="419"/>
      <c r="E79" s="419"/>
      <c r="F79" s="256" t="s">
        <v>70</v>
      </c>
      <c r="G79" s="22" t="s">
        <v>1671</v>
      </c>
      <c r="H79" s="22"/>
      <c r="I79" s="28"/>
      <c r="J79" s="28"/>
      <c r="K79" s="132"/>
      <c r="BB79" s="14"/>
      <c r="BC79" s="15"/>
      <c r="BD79" s="21"/>
      <c r="BE79" s="43"/>
      <c r="BF79" s="12"/>
      <c r="BG79" s="12" t="s">
        <v>1670</v>
      </c>
    </row>
    <row r="80" spans="1:59" s="3" customFormat="1" ht="20.399999999999999" x14ac:dyDescent="0.3">
      <c r="A80" s="83"/>
      <c r="B80" s="26" t="s">
        <v>387</v>
      </c>
      <c r="C80" s="419" t="s">
        <v>388</v>
      </c>
      <c r="D80" s="419"/>
      <c r="E80" s="419"/>
      <c r="F80" s="256" t="s">
        <v>75</v>
      </c>
      <c r="G80" s="22" t="s">
        <v>1672</v>
      </c>
      <c r="H80" s="22"/>
      <c r="I80" s="28"/>
      <c r="J80" s="28"/>
      <c r="K80" s="132"/>
      <c r="BB80" s="14"/>
      <c r="BC80" s="15"/>
      <c r="BD80" s="21"/>
      <c r="BE80" s="43"/>
      <c r="BF80" s="12"/>
      <c r="BG80" s="12" t="s">
        <v>388</v>
      </c>
    </row>
    <row r="81" spans="1:59" s="3" customFormat="1" ht="20.399999999999999" x14ac:dyDescent="0.3">
      <c r="A81" s="83"/>
      <c r="B81" s="26" t="s">
        <v>599</v>
      </c>
      <c r="C81" s="419" t="s">
        <v>600</v>
      </c>
      <c r="D81" s="419"/>
      <c r="E81" s="419"/>
      <c r="F81" s="256" t="s">
        <v>406</v>
      </c>
      <c r="G81" s="22" t="s">
        <v>1673</v>
      </c>
      <c r="H81" s="22"/>
      <c r="I81" s="28"/>
      <c r="J81" s="28"/>
      <c r="K81" s="132"/>
      <c r="BB81" s="14"/>
      <c r="BC81" s="15"/>
      <c r="BD81" s="21"/>
      <c r="BE81" s="43"/>
      <c r="BF81" s="12"/>
      <c r="BG81" s="12" t="s">
        <v>600</v>
      </c>
    </row>
    <row r="82" spans="1:59" s="3" customFormat="1" ht="21.6" x14ac:dyDescent="0.3">
      <c r="A82" s="83"/>
      <c r="B82" s="26" t="s">
        <v>607</v>
      </c>
      <c r="C82" s="419" t="s">
        <v>608</v>
      </c>
      <c r="D82" s="419"/>
      <c r="E82" s="419"/>
      <c r="F82" s="256" t="s">
        <v>609</v>
      </c>
      <c r="G82" s="22" t="s">
        <v>1674</v>
      </c>
      <c r="H82" s="22"/>
      <c r="I82" s="28"/>
      <c r="J82" s="28"/>
      <c r="K82" s="132"/>
      <c r="BB82" s="14"/>
      <c r="BC82" s="15"/>
      <c r="BD82" s="21"/>
      <c r="BE82" s="43"/>
      <c r="BF82" s="12"/>
      <c r="BG82" s="12" t="s">
        <v>608</v>
      </c>
    </row>
    <row r="83" spans="1:59" s="3" customFormat="1" ht="21.6" x14ac:dyDescent="0.3">
      <c r="A83" s="80" t="s">
        <v>196</v>
      </c>
      <c r="B83" s="17" t="s">
        <v>1675</v>
      </c>
      <c r="C83" s="405" t="s">
        <v>1676</v>
      </c>
      <c r="D83" s="405"/>
      <c r="E83" s="405"/>
      <c r="F83" s="16" t="s">
        <v>1460</v>
      </c>
      <c r="G83" s="23">
        <v>16</v>
      </c>
      <c r="H83" s="31">
        <f>I83/G83</f>
        <v>0</v>
      </c>
      <c r="I83" s="19">
        <v>0</v>
      </c>
      <c r="J83" s="19">
        <f>K83/G83</f>
        <v>866.76874999999995</v>
      </c>
      <c r="K83" s="131">
        <v>13868.3</v>
      </c>
      <c r="BB83" s="14"/>
      <c r="BC83" s="15"/>
      <c r="BD83" s="21" t="s">
        <v>1676</v>
      </c>
      <c r="BE83" s="43"/>
      <c r="BF83" s="12"/>
      <c r="BG83" s="12"/>
    </row>
    <row r="84" spans="1:59" s="3" customFormat="1" ht="15" customHeight="1" x14ac:dyDescent="0.3">
      <c r="A84" s="445" t="s">
        <v>1677</v>
      </c>
      <c r="B84" s="436"/>
      <c r="C84" s="436"/>
      <c r="D84" s="436"/>
      <c r="E84" s="436"/>
      <c r="F84" s="436"/>
      <c r="G84" s="436"/>
      <c r="H84" s="96"/>
      <c r="I84" s="96"/>
      <c r="J84" s="96"/>
      <c r="K84" s="145"/>
      <c r="BB84" s="14" t="s">
        <v>1677</v>
      </c>
      <c r="BC84" s="15"/>
      <c r="BD84" s="21"/>
      <c r="BE84" s="43"/>
      <c r="BF84" s="12"/>
      <c r="BG84" s="12"/>
    </row>
    <row r="85" spans="1:59" s="3" customFormat="1" ht="15" customHeight="1" x14ac:dyDescent="0.3">
      <c r="A85" s="417" t="s">
        <v>1678</v>
      </c>
      <c r="B85" s="418"/>
      <c r="C85" s="418"/>
      <c r="D85" s="418"/>
      <c r="E85" s="418"/>
      <c r="F85" s="418"/>
      <c r="G85" s="418"/>
      <c r="H85" s="61"/>
      <c r="I85" s="61"/>
      <c r="J85" s="61"/>
      <c r="K85" s="146"/>
      <c r="BB85" s="14"/>
      <c r="BC85" s="15" t="s">
        <v>1678</v>
      </c>
      <c r="BD85" s="21"/>
      <c r="BE85" s="43"/>
      <c r="BF85" s="12"/>
      <c r="BG85" s="12"/>
    </row>
    <row r="86" spans="1:59" s="3" customFormat="1" ht="21.6" x14ac:dyDescent="0.3">
      <c r="A86" s="80" t="s">
        <v>198</v>
      </c>
      <c r="B86" s="17" t="s">
        <v>1679</v>
      </c>
      <c r="C86" s="405" t="s">
        <v>1680</v>
      </c>
      <c r="D86" s="405"/>
      <c r="E86" s="405"/>
      <c r="F86" s="16" t="s">
        <v>70</v>
      </c>
      <c r="G86" s="18">
        <v>22.364000000000001</v>
      </c>
      <c r="H86" s="57">
        <f>I86/G86</f>
        <v>54898.107225898762</v>
      </c>
      <c r="I86" s="19">
        <f>1244073.74-K86</f>
        <v>1227741.27</v>
      </c>
      <c r="J86" s="19">
        <f>K86/G86</f>
        <v>730.30182436057942</v>
      </c>
      <c r="K86" s="131">
        <v>16332.47</v>
      </c>
      <c r="BB86" s="14"/>
      <c r="BC86" s="15"/>
      <c r="BD86" s="21" t="s">
        <v>1680</v>
      </c>
      <c r="BE86" s="43"/>
      <c r="BF86" s="12"/>
      <c r="BG86" s="12"/>
    </row>
    <row r="87" spans="1:59" s="3" customFormat="1" ht="20.399999999999999" x14ac:dyDescent="0.3">
      <c r="A87" s="83"/>
      <c r="B87" s="26" t="s">
        <v>277</v>
      </c>
      <c r="C87" s="419" t="s">
        <v>278</v>
      </c>
      <c r="D87" s="419"/>
      <c r="E87" s="419"/>
      <c r="F87" s="256" t="s">
        <v>70</v>
      </c>
      <c r="G87" s="22" t="s">
        <v>1681</v>
      </c>
      <c r="H87" s="22"/>
      <c r="I87" s="28"/>
      <c r="J87" s="28"/>
      <c r="K87" s="132"/>
      <c r="BB87" s="14"/>
      <c r="BC87" s="15"/>
      <c r="BD87" s="21"/>
      <c r="BE87" s="43"/>
      <c r="BF87" s="12"/>
      <c r="BG87" s="12" t="s">
        <v>278</v>
      </c>
    </row>
    <row r="88" spans="1:59" s="3" customFormat="1" ht="20.399999999999999" x14ac:dyDescent="0.3">
      <c r="A88" s="133" t="s">
        <v>78</v>
      </c>
      <c r="B88" s="38" t="s">
        <v>391</v>
      </c>
      <c r="C88" s="430" t="s">
        <v>392</v>
      </c>
      <c r="D88" s="430"/>
      <c r="E88" s="430"/>
      <c r="F88" s="258" t="s">
        <v>75</v>
      </c>
      <c r="G88" s="40" t="s">
        <v>33</v>
      </c>
      <c r="H88" s="40"/>
      <c r="I88" s="41"/>
      <c r="J88" s="41"/>
      <c r="K88" s="134"/>
      <c r="BB88" s="14"/>
      <c r="BC88" s="15"/>
      <c r="BD88" s="21"/>
      <c r="BE88" s="43" t="s">
        <v>392</v>
      </c>
      <c r="BF88" s="12"/>
      <c r="BG88" s="12"/>
    </row>
    <row r="89" spans="1:59" s="3" customFormat="1" ht="21.6" x14ac:dyDescent="0.3">
      <c r="A89" s="133" t="s">
        <v>143</v>
      </c>
      <c r="B89" s="38" t="s">
        <v>1682</v>
      </c>
      <c r="C89" s="430" t="s">
        <v>1683</v>
      </c>
      <c r="D89" s="430"/>
      <c r="E89" s="430"/>
      <c r="F89" s="258" t="s">
        <v>70</v>
      </c>
      <c r="G89" s="40" t="s">
        <v>1684</v>
      </c>
      <c r="H89" s="40"/>
      <c r="I89" s="41"/>
      <c r="J89" s="41"/>
      <c r="K89" s="134"/>
      <c r="BB89" s="14"/>
      <c r="BC89" s="15"/>
      <c r="BD89" s="21"/>
      <c r="BE89" s="43" t="s">
        <v>1683</v>
      </c>
      <c r="BF89" s="12"/>
      <c r="BG89" s="12"/>
    </row>
    <row r="90" spans="1:59" s="3" customFormat="1" ht="21.6" x14ac:dyDescent="0.3">
      <c r="A90" s="80" t="s">
        <v>201</v>
      </c>
      <c r="B90" s="17" t="s">
        <v>1685</v>
      </c>
      <c r="C90" s="405" t="s">
        <v>1686</v>
      </c>
      <c r="D90" s="405"/>
      <c r="E90" s="405"/>
      <c r="F90" s="16" t="s">
        <v>1182</v>
      </c>
      <c r="G90" s="23">
        <v>4</v>
      </c>
      <c r="H90" s="31">
        <f>I90/G90</f>
        <v>0</v>
      </c>
      <c r="I90" s="19">
        <v>0</v>
      </c>
      <c r="J90" s="19">
        <f>K90/G90</f>
        <v>3311204.9325000001</v>
      </c>
      <c r="K90" s="131">
        <v>13244819.73</v>
      </c>
      <c r="BB90" s="14"/>
      <c r="BC90" s="15"/>
      <c r="BD90" s="21" t="s">
        <v>1686</v>
      </c>
      <c r="BE90" s="43"/>
      <c r="BF90" s="12"/>
      <c r="BG90" s="12"/>
    </row>
    <row r="91" spans="1:59" s="3" customFormat="1" ht="15" customHeight="1" x14ac:dyDescent="0.3">
      <c r="A91" s="417" t="s">
        <v>1687</v>
      </c>
      <c r="B91" s="418"/>
      <c r="C91" s="418"/>
      <c r="D91" s="418"/>
      <c r="E91" s="418"/>
      <c r="F91" s="418"/>
      <c r="G91" s="418"/>
      <c r="H91" s="61"/>
      <c r="I91" s="61"/>
      <c r="J91" s="61"/>
      <c r="K91" s="146"/>
      <c r="BB91" s="14"/>
      <c r="BC91" s="15" t="s">
        <v>1687</v>
      </c>
      <c r="BD91" s="21"/>
      <c r="BE91" s="43"/>
      <c r="BF91" s="12"/>
      <c r="BG91" s="12"/>
    </row>
    <row r="92" spans="1:59" s="3" customFormat="1" ht="21.6" x14ac:dyDescent="0.3">
      <c r="A92" s="80" t="s">
        <v>222</v>
      </c>
      <c r="B92" s="17" t="s">
        <v>1688</v>
      </c>
      <c r="C92" s="405" t="s">
        <v>1689</v>
      </c>
      <c r="D92" s="405"/>
      <c r="E92" s="405"/>
      <c r="F92" s="16" t="s">
        <v>1460</v>
      </c>
      <c r="G92" s="23">
        <v>4</v>
      </c>
      <c r="H92" s="31">
        <f>I92/G92</f>
        <v>0</v>
      </c>
      <c r="I92" s="19">
        <v>0</v>
      </c>
      <c r="J92" s="19">
        <f>K92/G92</f>
        <v>218335.7825</v>
      </c>
      <c r="K92" s="131">
        <v>873343.13</v>
      </c>
      <c r="BB92" s="14"/>
      <c r="BC92" s="15"/>
      <c r="BD92" s="21" t="s">
        <v>1689</v>
      </c>
      <c r="BE92" s="43"/>
      <c r="BF92" s="12"/>
      <c r="BG92" s="12"/>
    </row>
    <row r="93" spans="1:59" s="3" customFormat="1" ht="15" customHeight="1" x14ac:dyDescent="0.3">
      <c r="A93" s="417" t="s">
        <v>1690</v>
      </c>
      <c r="B93" s="418"/>
      <c r="C93" s="418"/>
      <c r="D93" s="418"/>
      <c r="E93" s="418"/>
      <c r="F93" s="418"/>
      <c r="G93" s="418"/>
      <c r="H93" s="61"/>
      <c r="I93" s="61"/>
      <c r="J93" s="61"/>
      <c r="K93" s="146"/>
      <c r="BB93" s="14"/>
      <c r="BC93" s="15" t="s">
        <v>1690</v>
      </c>
      <c r="BD93" s="21"/>
      <c r="BE93" s="43"/>
      <c r="BF93" s="12"/>
      <c r="BG93" s="12"/>
    </row>
    <row r="94" spans="1:59" s="3" customFormat="1" ht="31.8" x14ac:dyDescent="0.3">
      <c r="A94" s="80" t="s">
        <v>225</v>
      </c>
      <c r="B94" s="17" t="s">
        <v>1691</v>
      </c>
      <c r="C94" s="405" t="s">
        <v>1692</v>
      </c>
      <c r="D94" s="405"/>
      <c r="E94" s="405"/>
      <c r="F94" s="16" t="s">
        <v>38</v>
      </c>
      <c r="G94" s="23">
        <v>2</v>
      </c>
      <c r="H94" s="57">
        <f>I94/G94</f>
        <v>2837.5149999999999</v>
      </c>
      <c r="I94" s="19">
        <f>5727.07-K94</f>
        <v>5675.03</v>
      </c>
      <c r="J94" s="19">
        <f>K94/G94</f>
        <v>26.02</v>
      </c>
      <c r="K94" s="131">
        <v>52.04</v>
      </c>
      <c r="BB94" s="14"/>
      <c r="BC94" s="15"/>
      <c r="BD94" s="21" t="s">
        <v>1692</v>
      </c>
      <c r="BE94" s="43"/>
      <c r="BF94" s="12"/>
      <c r="BG94" s="12"/>
    </row>
    <row r="95" spans="1:59" s="3" customFormat="1" ht="20.399999999999999" x14ac:dyDescent="0.3">
      <c r="A95" s="83"/>
      <c r="B95" s="26" t="s">
        <v>1693</v>
      </c>
      <c r="C95" s="419" t="s">
        <v>1694</v>
      </c>
      <c r="D95" s="419"/>
      <c r="E95" s="419"/>
      <c r="F95" s="256" t="s">
        <v>75</v>
      </c>
      <c r="G95" s="22" t="s">
        <v>1695</v>
      </c>
      <c r="H95" s="22"/>
      <c r="I95" s="28"/>
      <c r="J95" s="28"/>
      <c r="K95" s="132"/>
      <c r="BB95" s="14"/>
      <c r="BC95" s="15"/>
      <c r="BD95" s="21"/>
      <c r="BE95" s="43"/>
      <c r="BF95" s="12"/>
      <c r="BG95" s="12" t="s">
        <v>1694</v>
      </c>
    </row>
    <row r="96" spans="1:59" s="3" customFormat="1" ht="20.399999999999999" x14ac:dyDescent="0.3">
      <c r="A96" s="83"/>
      <c r="B96" s="26" t="s">
        <v>391</v>
      </c>
      <c r="C96" s="419" t="s">
        <v>392</v>
      </c>
      <c r="D96" s="419"/>
      <c r="E96" s="419"/>
      <c r="F96" s="256" t="s">
        <v>75</v>
      </c>
      <c r="G96" s="22" t="s">
        <v>1695</v>
      </c>
      <c r="H96" s="22"/>
      <c r="I96" s="28"/>
      <c r="J96" s="28"/>
      <c r="K96" s="132"/>
      <c r="BB96" s="14"/>
      <c r="BC96" s="15"/>
      <c r="BD96" s="21"/>
      <c r="BE96" s="43"/>
      <c r="BF96" s="12"/>
      <c r="BG96" s="12" t="s">
        <v>392</v>
      </c>
    </row>
    <row r="97" spans="1:59" s="3" customFormat="1" ht="20.399999999999999" x14ac:dyDescent="0.3">
      <c r="A97" s="83"/>
      <c r="B97" s="26" t="s">
        <v>605</v>
      </c>
      <c r="C97" s="419" t="s">
        <v>606</v>
      </c>
      <c r="D97" s="419"/>
      <c r="E97" s="419"/>
      <c r="F97" s="256" t="s">
        <v>75</v>
      </c>
      <c r="G97" s="22" t="s">
        <v>1696</v>
      </c>
      <c r="H97" s="22"/>
      <c r="I97" s="28"/>
      <c r="J97" s="28"/>
      <c r="K97" s="132"/>
      <c r="BB97" s="14"/>
      <c r="BC97" s="15"/>
      <c r="BD97" s="21"/>
      <c r="BE97" s="43"/>
      <c r="BF97" s="12"/>
      <c r="BG97" s="12" t="s">
        <v>606</v>
      </c>
    </row>
    <row r="98" spans="1:59" s="3" customFormat="1" ht="21.6" x14ac:dyDescent="0.3">
      <c r="A98" s="83"/>
      <c r="B98" s="26" t="s">
        <v>607</v>
      </c>
      <c r="C98" s="419" t="s">
        <v>608</v>
      </c>
      <c r="D98" s="419"/>
      <c r="E98" s="419"/>
      <c r="F98" s="256" t="s">
        <v>609</v>
      </c>
      <c r="G98" s="22" t="s">
        <v>1697</v>
      </c>
      <c r="H98" s="22"/>
      <c r="I98" s="28"/>
      <c r="J98" s="28"/>
      <c r="K98" s="132"/>
      <c r="BB98" s="14"/>
      <c r="BC98" s="15"/>
      <c r="BD98" s="21"/>
      <c r="BE98" s="43"/>
      <c r="BF98" s="12"/>
      <c r="BG98" s="12" t="s">
        <v>608</v>
      </c>
    </row>
    <row r="99" spans="1:59" s="3" customFormat="1" ht="21.6" x14ac:dyDescent="0.3">
      <c r="A99" s="80" t="s">
        <v>227</v>
      </c>
      <c r="B99" s="17" t="s">
        <v>1698</v>
      </c>
      <c r="C99" s="405" t="s">
        <v>1699</v>
      </c>
      <c r="D99" s="405"/>
      <c r="E99" s="405"/>
      <c r="F99" s="16" t="s">
        <v>1460</v>
      </c>
      <c r="G99" s="23">
        <v>2</v>
      </c>
      <c r="H99" s="31">
        <f>I99/G99</f>
        <v>0</v>
      </c>
      <c r="I99" s="19">
        <v>0</v>
      </c>
      <c r="J99" s="19">
        <f>K99/G99</f>
        <v>7391.3450000000003</v>
      </c>
      <c r="K99" s="131">
        <v>14782.69</v>
      </c>
      <c r="BB99" s="14"/>
      <c r="BC99" s="15"/>
      <c r="BD99" s="21" t="s">
        <v>1699</v>
      </c>
      <c r="BE99" s="43"/>
      <c r="BF99" s="12"/>
      <c r="BG99" s="12"/>
    </row>
    <row r="100" spans="1:59" s="3" customFormat="1" ht="15" customHeight="1" x14ac:dyDescent="0.3">
      <c r="A100" s="417" t="s">
        <v>1700</v>
      </c>
      <c r="B100" s="418"/>
      <c r="C100" s="418"/>
      <c r="D100" s="418"/>
      <c r="E100" s="418"/>
      <c r="F100" s="418"/>
      <c r="G100" s="418"/>
      <c r="H100" s="61"/>
      <c r="I100" s="61"/>
      <c r="J100" s="61"/>
      <c r="K100" s="146"/>
      <c r="BB100" s="14"/>
      <c r="BC100" s="15" t="s">
        <v>1700</v>
      </c>
      <c r="BD100" s="21"/>
      <c r="BE100" s="43"/>
      <c r="BF100" s="12"/>
      <c r="BG100" s="12"/>
    </row>
    <row r="101" spans="1:59" s="3" customFormat="1" ht="31.8" x14ac:dyDescent="0.3">
      <c r="A101" s="80" t="s">
        <v>230</v>
      </c>
      <c r="B101" s="17" t="s">
        <v>1701</v>
      </c>
      <c r="C101" s="405" t="s">
        <v>1702</v>
      </c>
      <c r="D101" s="405"/>
      <c r="E101" s="405"/>
      <c r="F101" s="16" t="s">
        <v>142</v>
      </c>
      <c r="G101" s="31">
        <v>0.24</v>
      </c>
      <c r="H101" s="57">
        <f>I101/G101</f>
        <v>611601.58333333337</v>
      </c>
      <c r="I101" s="19">
        <f>149532.47-K101</f>
        <v>146784.38</v>
      </c>
      <c r="J101" s="19">
        <f>K101/G101</f>
        <v>11450.375000000002</v>
      </c>
      <c r="K101" s="131">
        <v>2748.09</v>
      </c>
      <c r="BB101" s="14"/>
      <c r="BC101" s="15"/>
      <c r="BD101" s="21" t="s">
        <v>1702</v>
      </c>
      <c r="BE101" s="43"/>
      <c r="BF101" s="12"/>
      <c r="BG101" s="12"/>
    </row>
    <row r="102" spans="1:59" s="3" customFormat="1" ht="31.8" x14ac:dyDescent="0.3">
      <c r="A102" s="83"/>
      <c r="B102" s="26" t="s">
        <v>1703</v>
      </c>
      <c r="C102" s="419" t="s">
        <v>1704</v>
      </c>
      <c r="D102" s="419"/>
      <c r="E102" s="419"/>
      <c r="F102" s="256" t="s">
        <v>75</v>
      </c>
      <c r="G102" s="22" t="s">
        <v>1705</v>
      </c>
      <c r="H102" s="22"/>
      <c r="I102" s="28"/>
      <c r="J102" s="28"/>
      <c r="K102" s="132"/>
      <c r="BB102" s="14"/>
      <c r="BC102" s="15"/>
      <c r="BD102" s="21"/>
      <c r="BE102" s="43"/>
      <c r="BF102" s="12"/>
      <c r="BG102" s="12" t="s">
        <v>1704</v>
      </c>
    </row>
    <row r="103" spans="1:59" s="3" customFormat="1" ht="20.399999999999999" x14ac:dyDescent="0.3">
      <c r="A103" s="83"/>
      <c r="B103" s="26" t="s">
        <v>1693</v>
      </c>
      <c r="C103" s="419" t="s">
        <v>1694</v>
      </c>
      <c r="D103" s="419"/>
      <c r="E103" s="419"/>
      <c r="F103" s="256" t="s">
        <v>75</v>
      </c>
      <c r="G103" s="22" t="s">
        <v>1706</v>
      </c>
      <c r="H103" s="22"/>
      <c r="I103" s="28"/>
      <c r="J103" s="28"/>
      <c r="K103" s="132"/>
      <c r="BB103" s="14"/>
      <c r="BC103" s="15"/>
      <c r="BD103" s="21"/>
      <c r="BE103" s="43"/>
      <c r="BF103" s="12"/>
      <c r="BG103" s="12" t="s">
        <v>1694</v>
      </c>
    </row>
    <row r="104" spans="1:59" s="3" customFormat="1" ht="20.399999999999999" x14ac:dyDescent="0.3">
      <c r="A104" s="83"/>
      <c r="B104" s="26" t="s">
        <v>391</v>
      </c>
      <c r="C104" s="419" t="s">
        <v>392</v>
      </c>
      <c r="D104" s="419"/>
      <c r="E104" s="419"/>
      <c r="F104" s="256" t="s">
        <v>75</v>
      </c>
      <c r="G104" s="22" t="s">
        <v>1707</v>
      </c>
      <c r="H104" s="22"/>
      <c r="I104" s="28"/>
      <c r="J104" s="28"/>
      <c r="K104" s="132"/>
      <c r="BB104" s="14"/>
      <c r="BC104" s="15"/>
      <c r="BD104" s="21"/>
      <c r="BE104" s="43"/>
      <c r="BF104" s="12"/>
      <c r="BG104" s="12" t="s">
        <v>392</v>
      </c>
    </row>
    <row r="105" spans="1:59" s="3" customFormat="1" ht="20.399999999999999" x14ac:dyDescent="0.3">
      <c r="A105" s="83"/>
      <c r="B105" s="26" t="s">
        <v>1708</v>
      </c>
      <c r="C105" s="419" t="s">
        <v>1709</v>
      </c>
      <c r="D105" s="419"/>
      <c r="E105" s="419"/>
      <c r="F105" s="256" t="s">
        <v>70</v>
      </c>
      <c r="G105" s="22" t="s">
        <v>1710</v>
      </c>
      <c r="H105" s="22"/>
      <c r="I105" s="28"/>
      <c r="J105" s="28"/>
      <c r="K105" s="132"/>
      <c r="BB105" s="14"/>
      <c r="BC105" s="15"/>
      <c r="BD105" s="21"/>
      <c r="BE105" s="43"/>
      <c r="BF105" s="12"/>
      <c r="BG105" s="12" t="s">
        <v>1709</v>
      </c>
    </row>
    <row r="106" spans="1:59" s="3" customFormat="1" ht="20.399999999999999" x14ac:dyDescent="0.3">
      <c r="A106" s="83"/>
      <c r="B106" s="26" t="s">
        <v>1711</v>
      </c>
      <c r="C106" s="419" t="s">
        <v>1712</v>
      </c>
      <c r="D106" s="419"/>
      <c r="E106" s="419"/>
      <c r="F106" s="256" t="s">
        <v>142</v>
      </c>
      <c r="G106" s="22" t="s">
        <v>1713</v>
      </c>
      <c r="H106" s="22"/>
      <c r="I106" s="28"/>
      <c r="J106" s="28"/>
      <c r="K106" s="132"/>
      <c r="BB106" s="14"/>
      <c r="BC106" s="15"/>
      <c r="BD106" s="21"/>
      <c r="BE106" s="43"/>
      <c r="BF106" s="12"/>
      <c r="BG106" s="12" t="s">
        <v>1712</v>
      </c>
    </row>
    <row r="107" spans="1:59" s="3" customFormat="1" ht="21.6" x14ac:dyDescent="0.3">
      <c r="A107" s="83"/>
      <c r="B107" s="26" t="s">
        <v>607</v>
      </c>
      <c r="C107" s="419" t="s">
        <v>608</v>
      </c>
      <c r="D107" s="419"/>
      <c r="E107" s="419"/>
      <c r="F107" s="256" t="s">
        <v>609</v>
      </c>
      <c r="G107" s="22" t="s">
        <v>1714</v>
      </c>
      <c r="H107" s="22"/>
      <c r="I107" s="28"/>
      <c r="J107" s="28"/>
      <c r="K107" s="132"/>
      <c r="BB107" s="14"/>
      <c r="BC107" s="15"/>
      <c r="BD107" s="21"/>
      <c r="BE107" s="43"/>
      <c r="BF107" s="12"/>
      <c r="BG107" s="12" t="s">
        <v>608</v>
      </c>
    </row>
    <row r="108" spans="1:59" s="3" customFormat="1" ht="21.6" x14ac:dyDescent="0.3">
      <c r="A108" s="80" t="s">
        <v>233</v>
      </c>
      <c r="B108" s="17" t="s">
        <v>1715</v>
      </c>
      <c r="C108" s="405" t="s">
        <v>1716</v>
      </c>
      <c r="D108" s="405"/>
      <c r="E108" s="405"/>
      <c r="F108" s="16" t="s">
        <v>1460</v>
      </c>
      <c r="G108" s="23">
        <v>24</v>
      </c>
      <c r="H108" s="31">
        <f>I108/G108</f>
        <v>0</v>
      </c>
      <c r="I108" s="19">
        <v>0</v>
      </c>
      <c r="J108" s="19">
        <f>K108/G108</f>
        <v>105468.01666666666</v>
      </c>
      <c r="K108" s="131">
        <v>2531232.4</v>
      </c>
      <c r="BB108" s="14"/>
      <c r="BC108" s="15"/>
      <c r="BD108" s="21" t="s">
        <v>1716</v>
      </c>
      <c r="BE108" s="43"/>
      <c r="BF108" s="12"/>
      <c r="BG108" s="12"/>
    </row>
    <row r="109" spans="1:59" s="3" customFormat="1" ht="15" customHeight="1" x14ac:dyDescent="0.3">
      <c r="A109" s="417" t="s">
        <v>1717</v>
      </c>
      <c r="B109" s="418"/>
      <c r="C109" s="418"/>
      <c r="D109" s="418"/>
      <c r="E109" s="418"/>
      <c r="F109" s="418"/>
      <c r="G109" s="418"/>
      <c r="H109" s="61"/>
      <c r="I109" s="61"/>
      <c r="J109" s="61"/>
      <c r="K109" s="146"/>
      <c r="BB109" s="14"/>
      <c r="BC109" s="15" t="s">
        <v>1717</v>
      </c>
      <c r="BD109" s="21"/>
      <c r="BE109" s="43"/>
      <c r="BF109" s="12"/>
      <c r="BG109" s="12"/>
    </row>
    <row r="110" spans="1:59" s="3" customFormat="1" ht="31.8" x14ac:dyDescent="0.3">
      <c r="A110" s="80" t="s">
        <v>235</v>
      </c>
      <c r="B110" s="17" t="s">
        <v>1718</v>
      </c>
      <c r="C110" s="405" t="s">
        <v>1719</v>
      </c>
      <c r="D110" s="405"/>
      <c r="E110" s="405"/>
      <c r="F110" s="16" t="s">
        <v>142</v>
      </c>
      <c r="G110" s="31">
        <v>0.28999999999999998</v>
      </c>
      <c r="H110" s="57">
        <f>I110/G110</f>
        <v>548239.72413793113</v>
      </c>
      <c r="I110" s="19">
        <f>162295.07-K110</f>
        <v>158989.52000000002</v>
      </c>
      <c r="J110" s="19">
        <f>K110/G110</f>
        <v>11398.448275862071</v>
      </c>
      <c r="K110" s="131">
        <v>3305.55</v>
      </c>
      <c r="BB110" s="14"/>
      <c r="BC110" s="15"/>
      <c r="BD110" s="21" t="s">
        <v>1719</v>
      </c>
      <c r="BE110" s="43"/>
      <c r="BF110" s="12"/>
      <c r="BG110" s="12"/>
    </row>
    <row r="111" spans="1:59" s="3" customFormat="1" ht="31.8" x14ac:dyDescent="0.3">
      <c r="A111" s="83"/>
      <c r="B111" s="26" t="s">
        <v>1703</v>
      </c>
      <c r="C111" s="419" t="s">
        <v>1704</v>
      </c>
      <c r="D111" s="419"/>
      <c r="E111" s="419"/>
      <c r="F111" s="256" t="s">
        <v>75</v>
      </c>
      <c r="G111" s="22" t="s">
        <v>1720</v>
      </c>
      <c r="H111" s="22"/>
      <c r="I111" s="28"/>
      <c r="J111" s="28"/>
      <c r="K111" s="132"/>
      <c r="BB111" s="14"/>
      <c r="BC111" s="15"/>
      <c r="BD111" s="21"/>
      <c r="BE111" s="43"/>
      <c r="BF111" s="12"/>
      <c r="BG111" s="12" t="s">
        <v>1704</v>
      </c>
    </row>
    <row r="112" spans="1:59" s="3" customFormat="1" ht="20.399999999999999" x14ac:dyDescent="0.3">
      <c r="A112" s="83"/>
      <c r="B112" s="26" t="s">
        <v>1693</v>
      </c>
      <c r="C112" s="419" t="s">
        <v>1694</v>
      </c>
      <c r="D112" s="419"/>
      <c r="E112" s="419"/>
      <c r="F112" s="256" t="s">
        <v>75</v>
      </c>
      <c r="G112" s="22" t="s">
        <v>1721</v>
      </c>
      <c r="H112" s="22"/>
      <c r="I112" s="28"/>
      <c r="J112" s="28"/>
      <c r="K112" s="132"/>
      <c r="BB112" s="14"/>
      <c r="BC112" s="15"/>
      <c r="BD112" s="21"/>
      <c r="BE112" s="43"/>
      <c r="BF112" s="12"/>
      <c r="BG112" s="12" t="s">
        <v>1694</v>
      </c>
    </row>
    <row r="113" spans="1:59" s="3" customFormat="1" ht="20.399999999999999" x14ac:dyDescent="0.3">
      <c r="A113" s="83"/>
      <c r="B113" s="26" t="s">
        <v>391</v>
      </c>
      <c r="C113" s="419" t="s">
        <v>392</v>
      </c>
      <c r="D113" s="419"/>
      <c r="E113" s="419"/>
      <c r="F113" s="256" t="s">
        <v>75</v>
      </c>
      <c r="G113" s="22" t="s">
        <v>1722</v>
      </c>
      <c r="H113" s="22"/>
      <c r="I113" s="28"/>
      <c r="J113" s="28"/>
      <c r="K113" s="132"/>
      <c r="BB113" s="14"/>
      <c r="BC113" s="15"/>
      <c r="BD113" s="21"/>
      <c r="BE113" s="43"/>
      <c r="BF113" s="12"/>
      <c r="BG113" s="12" t="s">
        <v>392</v>
      </c>
    </row>
    <row r="114" spans="1:59" s="3" customFormat="1" ht="20.399999999999999" x14ac:dyDescent="0.3">
      <c r="A114" s="83"/>
      <c r="B114" s="26" t="s">
        <v>1708</v>
      </c>
      <c r="C114" s="419" t="s">
        <v>1709</v>
      </c>
      <c r="D114" s="419"/>
      <c r="E114" s="419"/>
      <c r="F114" s="256" t="s">
        <v>70</v>
      </c>
      <c r="G114" s="22" t="s">
        <v>1723</v>
      </c>
      <c r="H114" s="22"/>
      <c r="I114" s="28"/>
      <c r="J114" s="28"/>
      <c r="K114" s="132"/>
      <c r="BB114" s="14"/>
      <c r="BC114" s="15"/>
      <c r="BD114" s="21"/>
      <c r="BE114" s="43"/>
      <c r="BF114" s="12"/>
      <c r="BG114" s="12" t="s">
        <v>1709</v>
      </c>
    </row>
    <row r="115" spans="1:59" s="3" customFormat="1" ht="20.399999999999999" x14ac:dyDescent="0.3">
      <c r="A115" s="83"/>
      <c r="B115" s="26" t="s">
        <v>1711</v>
      </c>
      <c r="C115" s="419" t="s">
        <v>1712</v>
      </c>
      <c r="D115" s="419"/>
      <c r="E115" s="419"/>
      <c r="F115" s="256" t="s">
        <v>142</v>
      </c>
      <c r="G115" s="22" t="s">
        <v>1724</v>
      </c>
      <c r="H115" s="22"/>
      <c r="I115" s="28"/>
      <c r="J115" s="28"/>
      <c r="K115" s="132"/>
      <c r="BB115" s="14"/>
      <c r="BC115" s="15"/>
      <c r="BD115" s="21"/>
      <c r="BE115" s="43"/>
      <c r="BF115" s="12"/>
      <c r="BG115" s="12" t="s">
        <v>1712</v>
      </c>
    </row>
    <row r="116" spans="1:59" s="3" customFormat="1" ht="21.6" x14ac:dyDescent="0.3">
      <c r="A116" s="83"/>
      <c r="B116" s="26" t="s">
        <v>607</v>
      </c>
      <c r="C116" s="419" t="s">
        <v>608</v>
      </c>
      <c r="D116" s="419"/>
      <c r="E116" s="419"/>
      <c r="F116" s="256" t="s">
        <v>609</v>
      </c>
      <c r="G116" s="22" t="s">
        <v>1725</v>
      </c>
      <c r="H116" s="22"/>
      <c r="I116" s="28"/>
      <c r="J116" s="28"/>
      <c r="K116" s="132"/>
      <c r="BB116" s="14"/>
      <c r="BC116" s="15"/>
      <c r="BD116" s="21"/>
      <c r="BE116" s="43"/>
      <c r="BF116" s="12"/>
      <c r="BG116" s="12" t="s">
        <v>608</v>
      </c>
    </row>
    <row r="117" spans="1:59" s="3" customFormat="1" ht="21.6" x14ac:dyDescent="0.3">
      <c r="A117" s="80" t="s">
        <v>237</v>
      </c>
      <c r="B117" s="17" t="s">
        <v>1726</v>
      </c>
      <c r="C117" s="405" t="s">
        <v>1727</v>
      </c>
      <c r="D117" s="405"/>
      <c r="E117" s="405"/>
      <c r="F117" s="16" t="s">
        <v>1460</v>
      </c>
      <c r="G117" s="23">
        <v>13</v>
      </c>
      <c r="H117" s="31">
        <f t="shared" ref="H117:H118" si="0">I117/G117</f>
        <v>0</v>
      </c>
      <c r="I117" s="19">
        <v>0</v>
      </c>
      <c r="J117" s="19">
        <f t="shared" ref="J117:J118" si="1">K117/G117</f>
        <v>59671.656153846154</v>
      </c>
      <c r="K117" s="131">
        <v>775731.53</v>
      </c>
      <c r="BB117" s="14"/>
      <c r="BC117" s="15"/>
      <c r="BD117" s="21" t="s">
        <v>1727</v>
      </c>
      <c r="BE117" s="43"/>
      <c r="BF117" s="12"/>
      <c r="BG117" s="12"/>
    </row>
    <row r="118" spans="1:59" s="3" customFormat="1" ht="21.6" x14ac:dyDescent="0.3">
      <c r="A118" s="80" t="s">
        <v>243</v>
      </c>
      <c r="B118" s="17" t="s">
        <v>1728</v>
      </c>
      <c r="C118" s="405" t="s">
        <v>1729</v>
      </c>
      <c r="D118" s="405"/>
      <c r="E118" s="405"/>
      <c r="F118" s="16" t="s">
        <v>1460</v>
      </c>
      <c r="G118" s="23">
        <v>16</v>
      </c>
      <c r="H118" s="31">
        <f t="shared" si="0"/>
        <v>0</v>
      </c>
      <c r="I118" s="19">
        <v>0</v>
      </c>
      <c r="J118" s="19">
        <f t="shared" si="1"/>
        <v>48216.216249999998</v>
      </c>
      <c r="K118" s="131">
        <v>771459.46</v>
      </c>
      <c r="BB118" s="14"/>
      <c r="BC118" s="15"/>
      <c r="BD118" s="21" t="s">
        <v>1729</v>
      </c>
      <c r="BE118" s="43"/>
      <c r="BF118" s="12"/>
      <c r="BG118" s="12"/>
    </row>
    <row r="119" spans="1:59" s="3" customFormat="1" ht="15" customHeight="1" x14ac:dyDescent="0.3">
      <c r="A119" s="445" t="s">
        <v>1730</v>
      </c>
      <c r="B119" s="436"/>
      <c r="C119" s="436"/>
      <c r="D119" s="436"/>
      <c r="E119" s="436"/>
      <c r="F119" s="436"/>
      <c r="G119" s="436"/>
      <c r="H119" s="96"/>
      <c r="I119" s="96"/>
      <c r="J119" s="96"/>
      <c r="K119" s="145"/>
      <c r="BB119" s="14" t="s">
        <v>1730</v>
      </c>
      <c r="BC119" s="15"/>
      <c r="BD119" s="21"/>
      <c r="BE119" s="43"/>
      <c r="BF119" s="12"/>
      <c r="BG119" s="12"/>
    </row>
    <row r="120" spans="1:59" s="3" customFormat="1" ht="15" customHeight="1" x14ac:dyDescent="0.3">
      <c r="A120" s="417" t="s">
        <v>1731</v>
      </c>
      <c r="B120" s="418"/>
      <c r="C120" s="418"/>
      <c r="D120" s="418"/>
      <c r="E120" s="418"/>
      <c r="F120" s="418"/>
      <c r="G120" s="418"/>
      <c r="H120" s="61"/>
      <c r="I120" s="61"/>
      <c r="J120" s="61"/>
      <c r="K120" s="146"/>
      <c r="BB120" s="14"/>
      <c r="BC120" s="15" t="s">
        <v>1731</v>
      </c>
      <c r="BD120" s="21"/>
      <c r="BE120" s="43"/>
      <c r="BF120" s="12"/>
      <c r="BG120" s="12"/>
    </row>
    <row r="121" spans="1:59" s="3" customFormat="1" ht="31.8" x14ac:dyDescent="0.3">
      <c r="A121" s="80" t="s">
        <v>244</v>
      </c>
      <c r="B121" s="17" t="s">
        <v>1732</v>
      </c>
      <c r="C121" s="405" t="s">
        <v>1733</v>
      </c>
      <c r="D121" s="405"/>
      <c r="E121" s="405"/>
      <c r="F121" s="16" t="s">
        <v>125</v>
      </c>
      <c r="G121" s="30">
        <v>0.2016</v>
      </c>
      <c r="H121" s="57">
        <f t="shared" ref="H121:H122" si="2">I121/G121</f>
        <v>117456.89484126985</v>
      </c>
      <c r="I121" s="19">
        <f>23679.31-K121</f>
        <v>23679.31</v>
      </c>
      <c r="J121" s="19">
        <f t="shared" ref="J121:J122" si="3">K121/G121</f>
        <v>0</v>
      </c>
      <c r="K121" s="131">
        <v>0</v>
      </c>
      <c r="BB121" s="14"/>
      <c r="BC121" s="15"/>
      <c r="BD121" s="21" t="s">
        <v>1733</v>
      </c>
      <c r="BE121" s="43"/>
      <c r="BF121" s="12"/>
      <c r="BG121" s="12"/>
    </row>
    <row r="122" spans="1:59" s="3" customFormat="1" ht="21.6" x14ac:dyDescent="0.3">
      <c r="A122" s="80" t="s">
        <v>246</v>
      </c>
      <c r="B122" s="17" t="s">
        <v>123</v>
      </c>
      <c r="C122" s="405" t="s">
        <v>124</v>
      </c>
      <c r="D122" s="405"/>
      <c r="E122" s="405"/>
      <c r="F122" s="16" t="s">
        <v>125</v>
      </c>
      <c r="G122" s="30">
        <v>0.2016</v>
      </c>
      <c r="H122" s="57">
        <f t="shared" si="2"/>
        <v>64903.472222222226</v>
      </c>
      <c r="I122" s="19">
        <f>13084.54-K122</f>
        <v>13084.54</v>
      </c>
      <c r="J122" s="19">
        <f t="shared" si="3"/>
        <v>0</v>
      </c>
      <c r="K122" s="131">
        <v>0</v>
      </c>
      <c r="BB122" s="14"/>
      <c r="BC122" s="15"/>
      <c r="BD122" s="21" t="s">
        <v>124</v>
      </c>
      <c r="BE122" s="43"/>
      <c r="BF122" s="12"/>
      <c r="BG122" s="12"/>
    </row>
    <row r="123" spans="1:59" s="3" customFormat="1" ht="15" customHeight="1" x14ac:dyDescent="0.3">
      <c r="A123" s="417" t="s">
        <v>1734</v>
      </c>
      <c r="B123" s="418"/>
      <c r="C123" s="418"/>
      <c r="D123" s="418"/>
      <c r="E123" s="418"/>
      <c r="F123" s="418"/>
      <c r="G123" s="418"/>
      <c r="H123" s="61"/>
      <c r="I123" s="61"/>
      <c r="J123" s="61"/>
      <c r="K123" s="146"/>
      <c r="BB123" s="14"/>
      <c r="BC123" s="15" t="s">
        <v>1734</v>
      </c>
      <c r="BD123" s="21"/>
      <c r="BE123" s="43"/>
      <c r="BF123" s="12"/>
      <c r="BG123" s="12"/>
    </row>
    <row r="124" spans="1:59" s="3" customFormat="1" ht="21.6" x14ac:dyDescent="0.3">
      <c r="A124" s="80" t="s">
        <v>247</v>
      </c>
      <c r="B124" s="17" t="s">
        <v>1735</v>
      </c>
      <c r="C124" s="405" t="s">
        <v>1736</v>
      </c>
      <c r="D124" s="405"/>
      <c r="E124" s="405"/>
      <c r="F124" s="16" t="s">
        <v>67</v>
      </c>
      <c r="G124" s="31">
        <v>0.72</v>
      </c>
      <c r="H124" s="57">
        <f>I124/G124</f>
        <v>15444.250000000002</v>
      </c>
      <c r="I124" s="19">
        <f>16820.25-K124</f>
        <v>11119.86</v>
      </c>
      <c r="J124" s="19">
        <f>K124/G124</f>
        <v>7917.2083333333339</v>
      </c>
      <c r="K124" s="131">
        <v>5700.39</v>
      </c>
      <c r="BB124" s="14"/>
      <c r="BC124" s="15"/>
      <c r="BD124" s="21" t="s">
        <v>1736</v>
      </c>
      <c r="BE124" s="43"/>
      <c r="BF124" s="12"/>
      <c r="BG124" s="12"/>
    </row>
    <row r="125" spans="1:59" s="3" customFormat="1" ht="20.399999999999999" x14ac:dyDescent="0.3">
      <c r="A125" s="83"/>
      <c r="B125" s="26" t="s">
        <v>1693</v>
      </c>
      <c r="C125" s="419" t="s">
        <v>1694</v>
      </c>
      <c r="D125" s="419"/>
      <c r="E125" s="419"/>
      <c r="F125" s="256" t="s">
        <v>75</v>
      </c>
      <c r="G125" s="22" t="s">
        <v>1737</v>
      </c>
      <c r="H125" s="22"/>
      <c r="I125" s="28"/>
      <c r="J125" s="28"/>
      <c r="K125" s="132"/>
      <c r="BB125" s="14"/>
      <c r="BC125" s="15"/>
      <c r="BD125" s="21"/>
      <c r="BE125" s="43"/>
      <c r="BF125" s="12"/>
      <c r="BG125" s="12" t="s">
        <v>1694</v>
      </c>
    </row>
    <row r="126" spans="1:59" s="3" customFormat="1" ht="20.399999999999999" x14ac:dyDescent="0.3">
      <c r="A126" s="83"/>
      <c r="B126" s="26" t="s">
        <v>1738</v>
      </c>
      <c r="C126" s="419" t="s">
        <v>1739</v>
      </c>
      <c r="D126" s="419"/>
      <c r="E126" s="419"/>
      <c r="F126" s="256" t="s">
        <v>75</v>
      </c>
      <c r="G126" s="22" t="s">
        <v>1740</v>
      </c>
      <c r="H126" s="22"/>
      <c r="I126" s="28"/>
      <c r="J126" s="28"/>
      <c r="K126" s="132"/>
      <c r="BB126" s="14"/>
      <c r="BC126" s="15"/>
      <c r="BD126" s="21"/>
      <c r="BE126" s="43"/>
      <c r="BF126" s="12"/>
      <c r="BG126" s="12" t="s">
        <v>1739</v>
      </c>
    </row>
    <row r="127" spans="1:59" s="3" customFormat="1" ht="21.6" x14ac:dyDescent="0.3">
      <c r="A127" s="83"/>
      <c r="B127" s="26" t="s">
        <v>607</v>
      </c>
      <c r="C127" s="419" t="s">
        <v>608</v>
      </c>
      <c r="D127" s="419"/>
      <c r="E127" s="419"/>
      <c r="F127" s="256" t="s">
        <v>609</v>
      </c>
      <c r="G127" s="22" t="s">
        <v>1741</v>
      </c>
      <c r="H127" s="22"/>
      <c r="I127" s="28"/>
      <c r="J127" s="28"/>
      <c r="K127" s="132"/>
      <c r="BB127" s="14"/>
      <c r="BC127" s="15"/>
      <c r="BD127" s="21"/>
      <c r="BE127" s="43"/>
      <c r="BF127" s="12"/>
      <c r="BG127" s="12" t="s">
        <v>608</v>
      </c>
    </row>
    <row r="128" spans="1:59" s="3" customFormat="1" ht="14.4" x14ac:dyDescent="0.3">
      <c r="A128" s="80" t="s">
        <v>531</v>
      </c>
      <c r="B128" s="17" t="s">
        <v>1742</v>
      </c>
      <c r="C128" s="405" t="s">
        <v>1743</v>
      </c>
      <c r="D128" s="405"/>
      <c r="E128" s="405"/>
      <c r="F128" s="16" t="s">
        <v>70</v>
      </c>
      <c r="G128" s="44">
        <v>0.11304</v>
      </c>
      <c r="H128" s="57">
        <f>I128/G128</f>
        <v>0</v>
      </c>
      <c r="I128" s="19">
        <v>0</v>
      </c>
      <c r="J128" s="19">
        <f>K128/G128</f>
        <v>54509.111818825193</v>
      </c>
      <c r="K128" s="131">
        <v>6161.71</v>
      </c>
      <c r="BB128" s="14"/>
      <c r="BC128" s="15"/>
      <c r="BD128" s="21" t="s">
        <v>1743</v>
      </c>
      <c r="BE128" s="43"/>
      <c r="BF128" s="12"/>
      <c r="BG128" s="12"/>
    </row>
    <row r="129" spans="1:59" s="3" customFormat="1" ht="15" customHeight="1" x14ac:dyDescent="0.3">
      <c r="A129" s="417" t="s">
        <v>1744</v>
      </c>
      <c r="B129" s="418"/>
      <c r="C129" s="418"/>
      <c r="D129" s="418"/>
      <c r="E129" s="418"/>
      <c r="F129" s="418"/>
      <c r="G129" s="418"/>
      <c r="H129" s="61"/>
      <c r="I129" s="61"/>
      <c r="J129" s="61"/>
      <c r="K129" s="146"/>
      <c r="BB129" s="14"/>
      <c r="BC129" s="15" t="s">
        <v>1744</v>
      </c>
      <c r="BD129" s="21"/>
      <c r="BE129" s="43"/>
      <c r="BF129" s="12"/>
      <c r="BG129" s="12"/>
    </row>
    <row r="130" spans="1:59" s="3" customFormat="1" ht="21.6" x14ac:dyDescent="0.3">
      <c r="A130" s="80" t="s">
        <v>533</v>
      </c>
      <c r="B130" s="17" t="s">
        <v>1745</v>
      </c>
      <c r="C130" s="405" t="s">
        <v>1746</v>
      </c>
      <c r="D130" s="405"/>
      <c r="E130" s="405"/>
      <c r="F130" s="16" t="s">
        <v>1261</v>
      </c>
      <c r="G130" s="24">
        <v>1.6</v>
      </c>
      <c r="H130" s="57">
        <f>I130/G130</f>
        <v>10084.85</v>
      </c>
      <c r="I130" s="19">
        <f>23011.43-K130</f>
        <v>16135.76</v>
      </c>
      <c r="J130" s="19">
        <f>K130/G130</f>
        <v>4297.2937499999998</v>
      </c>
      <c r="K130" s="131">
        <v>6875.67</v>
      </c>
      <c r="BB130" s="14"/>
      <c r="BC130" s="15"/>
      <c r="BD130" s="21" t="s">
        <v>1746</v>
      </c>
      <c r="BE130" s="43"/>
      <c r="BF130" s="12"/>
      <c r="BG130" s="12"/>
    </row>
    <row r="131" spans="1:59" s="3" customFormat="1" ht="20.399999999999999" x14ac:dyDescent="0.3">
      <c r="A131" s="83"/>
      <c r="B131" s="26" t="s">
        <v>1693</v>
      </c>
      <c r="C131" s="419" t="s">
        <v>1694</v>
      </c>
      <c r="D131" s="419"/>
      <c r="E131" s="419"/>
      <c r="F131" s="256" t="s">
        <v>75</v>
      </c>
      <c r="G131" s="22" t="s">
        <v>1747</v>
      </c>
      <c r="H131" s="22"/>
      <c r="I131" s="28"/>
      <c r="J131" s="28"/>
      <c r="K131" s="132"/>
      <c r="BB131" s="14"/>
      <c r="BC131" s="15"/>
      <c r="BD131" s="21"/>
      <c r="BE131" s="43"/>
      <c r="BF131" s="12"/>
      <c r="BG131" s="12" t="s">
        <v>1694</v>
      </c>
    </row>
    <row r="132" spans="1:59" s="3" customFormat="1" ht="20.399999999999999" x14ac:dyDescent="0.3">
      <c r="A132" s="83"/>
      <c r="B132" s="26" t="s">
        <v>1738</v>
      </c>
      <c r="C132" s="419" t="s">
        <v>1739</v>
      </c>
      <c r="D132" s="419"/>
      <c r="E132" s="419"/>
      <c r="F132" s="256" t="s">
        <v>75</v>
      </c>
      <c r="G132" s="22" t="s">
        <v>1748</v>
      </c>
      <c r="H132" s="22"/>
      <c r="I132" s="28"/>
      <c r="J132" s="28"/>
      <c r="K132" s="132"/>
      <c r="BB132" s="14"/>
      <c r="BC132" s="15"/>
      <c r="BD132" s="21"/>
      <c r="BE132" s="43"/>
      <c r="BF132" s="12"/>
      <c r="BG132" s="12" t="s">
        <v>1739</v>
      </c>
    </row>
    <row r="133" spans="1:59" s="3" customFormat="1" ht="21.6" x14ac:dyDescent="0.3">
      <c r="A133" s="83"/>
      <c r="B133" s="26" t="s">
        <v>607</v>
      </c>
      <c r="C133" s="419" t="s">
        <v>608</v>
      </c>
      <c r="D133" s="419"/>
      <c r="E133" s="419"/>
      <c r="F133" s="256" t="s">
        <v>609</v>
      </c>
      <c r="G133" s="22" t="s">
        <v>1749</v>
      </c>
      <c r="H133" s="22"/>
      <c r="I133" s="28"/>
      <c r="J133" s="28"/>
      <c r="K133" s="132"/>
      <c r="BB133" s="14"/>
      <c r="BC133" s="15"/>
      <c r="BD133" s="21"/>
      <c r="BE133" s="43"/>
      <c r="BF133" s="12"/>
      <c r="BG133" s="12" t="s">
        <v>608</v>
      </c>
    </row>
    <row r="134" spans="1:59" s="3" customFormat="1" ht="21.6" x14ac:dyDescent="0.3">
      <c r="A134" s="80" t="s">
        <v>539</v>
      </c>
      <c r="B134" s="17" t="s">
        <v>1750</v>
      </c>
      <c r="C134" s="405" t="s">
        <v>1751</v>
      </c>
      <c r="D134" s="405"/>
      <c r="E134" s="405"/>
      <c r="F134" s="16" t="s">
        <v>75</v>
      </c>
      <c r="G134" s="24">
        <v>48.8</v>
      </c>
      <c r="H134" s="57">
        <f>I134/G134</f>
        <v>0</v>
      </c>
      <c r="I134" s="19">
        <v>0</v>
      </c>
      <c r="J134" s="19">
        <f>K134/G134</f>
        <v>48.055532786885252</v>
      </c>
      <c r="K134" s="131">
        <v>2345.11</v>
      </c>
      <c r="BB134" s="14"/>
      <c r="BC134" s="15"/>
      <c r="BD134" s="21" t="s">
        <v>1751</v>
      </c>
      <c r="BE134" s="43"/>
      <c r="BF134" s="12"/>
      <c r="BG134" s="12"/>
    </row>
    <row r="135" spans="1:59" s="3" customFormat="1" ht="15" customHeight="1" x14ac:dyDescent="0.3">
      <c r="A135" s="417" t="s">
        <v>1752</v>
      </c>
      <c r="B135" s="418"/>
      <c r="C135" s="418"/>
      <c r="D135" s="418"/>
      <c r="E135" s="418"/>
      <c r="F135" s="418"/>
      <c r="G135" s="418"/>
      <c r="H135" s="61"/>
      <c r="I135" s="61"/>
      <c r="J135" s="61"/>
      <c r="K135" s="146"/>
      <c r="BB135" s="14"/>
      <c r="BC135" s="15" t="s">
        <v>1752</v>
      </c>
      <c r="BD135" s="21"/>
      <c r="BE135" s="43"/>
      <c r="BF135" s="12"/>
      <c r="BG135" s="12"/>
    </row>
    <row r="136" spans="1:59" s="3" customFormat="1" ht="31.8" x14ac:dyDescent="0.3">
      <c r="A136" s="80" t="s">
        <v>542</v>
      </c>
      <c r="B136" s="17" t="s">
        <v>1753</v>
      </c>
      <c r="C136" s="405" t="s">
        <v>1754</v>
      </c>
      <c r="D136" s="405"/>
      <c r="E136" s="405"/>
      <c r="F136" s="16" t="s">
        <v>142</v>
      </c>
      <c r="G136" s="31">
        <v>0.04</v>
      </c>
      <c r="H136" s="57">
        <f>I136/G136</f>
        <v>16270.75</v>
      </c>
      <c r="I136" s="19">
        <f>685.82-K136</f>
        <v>650.83000000000004</v>
      </c>
      <c r="J136" s="19">
        <f>K136/G136</f>
        <v>874.75</v>
      </c>
      <c r="K136" s="131">
        <v>34.99</v>
      </c>
      <c r="BB136" s="14"/>
      <c r="BC136" s="15"/>
      <c r="BD136" s="21" t="s">
        <v>1754</v>
      </c>
      <c r="BE136" s="43"/>
      <c r="BF136" s="12"/>
      <c r="BG136" s="12"/>
    </row>
    <row r="137" spans="1:59" s="3" customFormat="1" ht="20.399999999999999" x14ac:dyDescent="0.3">
      <c r="A137" s="83"/>
      <c r="B137" s="26" t="s">
        <v>1755</v>
      </c>
      <c r="C137" s="419" t="s">
        <v>1756</v>
      </c>
      <c r="D137" s="419"/>
      <c r="E137" s="419"/>
      <c r="F137" s="256" t="s">
        <v>75</v>
      </c>
      <c r="G137" s="22" t="s">
        <v>1757</v>
      </c>
      <c r="H137" s="22"/>
      <c r="I137" s="28"/>
      <c r="J137" s="28"/>
      <c r="K137" s="132"/>
      <c r="BB137" s="14"/>
      <c r="BC137" s="15"/>
      <c r="BD137" s="21"/>
      <c r="BE137" s="43"/>
      <c r="BF137" s="12"/>
      <c r="BG137" s="12" t="s">
        <v>1756</v>
      </c>
    </row>
    <row r="138" spans="1:59" s="3" customFormat="1" ht="20.399999999999999" x14ac:dyDescent="0.3">
      <c r="A138" s="83"/>
      <c r="B138" s="26" t="s">
        <v>1758</v>
      </c>
      <c r="C138" s="419" t="s">
        <v>1759</v>
      </c>
      <c r="D138" s="419"/>
      <c r="E138" s="419"/>
      <c r="F138" s="256" t="s">
        <v>75</v>
      </c>
      <c r="G138" s="22" t="s">
        <v>1760</v>
      </c>
      <c r="H138" s="22"/>
      <c r="I138" s="28"/>
      <c r="J138" s="28"/>
      <c r="K138" s="132"/>
      <c r="BB138" s="14"/>
      <c r="BC138" s="15"/>
      <c r="BD138" s="21"/>
      <c r="BE138" s="43"/>
      <c r="BF138" s="12"/>
      <c r="BG138" s="12" t="s">
        <v>1759</v>
      </c>
    </row>
    <row r="139" spans="1:59" s="3" customFormat="1" ht="31.8" x14ac:dyDescent="0.3">
      <c r="A139" s="83"/>
      <c r="B139" s="26" t="s">
        <v>1703</v>
      </c>
      <c r="C139" s="419" t="s">
        <v>1704</v>
      </c>
      <c r="D139" s="419"/>
      <c r="E139" s="419"/>
      <c r="F139" s="256" t="s">
        <v>75</v>
      </c>
      <c r="G139" s="22" t="s">
        <v>1761</v>
      </c>
      <c r="H139" s="22"/>
      <c r="I139" s="28"/>
      <c r="J139" s="28"/>
      <c r="K139" s="132"/>
      <c r="BB139" s="14"/>
      <c r="BC139" s="15"/>
      <c r="BD139" s="21"/>
      <c r="BE139" s="43"/>
      <c r="BF139" s="12"/>
      <c r="BG139" s="12" t="s">
        <v>1704</v>
      </c>
    </row>
    <row r="140" spans="1:59" s="3" customFormat="1" ht="20.399999999999999" x14ac:dyDescent="0.3">
      <c r="A140" s="83"/>
      <c r="B140" s="26" t="s">
        <v>599</v>
      </c>
      <c r="C140" s="419" t="s">
        <v>600</v>
      </c>
      <c r="D140" s="419"/>
      <c r="E140" s="419"/>
      <c r="F140" s="256" t="s">
        <v>406</v>
      </c>
      <c r="G140" s="22" t="s">
        <v>1762</v>
      </c>
      <c r="H140" s="22"/>
      <c r="I140" s="28"/>
      <c r="J140" s="28"/>
      <c r="K140" s="132"/>
      <c r="BB140" s="14"/>
      <c r="BC140" s="15"/>
      <c r="BD140" s="21"/>
      <c r="BE140" s="43"/>
      <c r="BF140" s="12"/>
      <c r="BG140" s="12" t="s">
        <v>600</v>
      </c>
    </row>
    <row r="141" spans="1:59" s="3" customFormat="1" ht="20.399999999999999" x14ac:dyDescent="0.3">
      <c r="A141" s="83"/>
      <c r="B141" s="26" t="s">
        <v>1763</v>
      </c>
      <c r="C141" s="419" t="s">
        <v>1764</v>
      </c>
      <c r="D141" s="419"/>
      <c r="E141" s="419"/>
      <c r="F141" s="256" t="s">
        <v>75</v>
      </c>
      <c r="G141" s="22" t="s">
        <v>1765</v>
      </c>
      <c r="H141" s="22"/>
      <c r="I141" s="28"/>
      <c r="J141" s="28"/>
      <c r="K141" s="132"/>
      <c r="BB141" s="14"/>
      <c r="BC141" s="15"/>
      <c r="BD141" s="21"/>
      <c r="BE141" s="43"/>
      <c r="BF141" s="12"/>
      <c r="BG141" s="12" t="s">
        <v>1764</v>
      </c>
    </row>
    <row r="142" spans="1:59" s="3" customFormat="1" ht="21.6" x14ac:dyDescent="0.3">
      <c r="A142" s="83"/>
      <c r="B142" s="26" t="s">
        <v>1766</v>
      </c>
      <c r="C142" s="419" t="s">
        <v>1767</v>
      </c>
      <c r="D142" s="419"/>
      <c r="E142" s="419"/>
      <c r="F142" s="256" t="s">
        <v>70</v>
      </c>
      <c r="G142" s="22" t="s">
        <v>1768</v>
      </c>
      <c r="H142" s="22"/>
      <c r="I142" s="28"/>
      <c r="J142" s="28"/>
      <c r="K142" s="132"/>
      <c r="BB142" s="14"/>
      <c r="BC142" s="15"/>
      <c r="BD142" s="21"/>
      <c r="BE142" s="43"/>
      <c r="BF142" s="12"/>
      <c r="BG142" s="12" t="s">
        <v>1767</v>
      </c>
    </row>
    <row r="143" spans="1:59" s="3" customFormat="1" ht="20.399999999999999" x14ac:dyDescent="0.3">
      <c r="A143" s="83"/>
      <c r="B143" s="26" t="s">
        <v>1708</v>
      </c>
      <c r="C143" s="419" t="s">
        <v>1709</v>
      </c>
      <c r="D143" s="419"/>
      <c r="E143" s="419"/>
      <c r="F143" s="256" t="s">
        <v>70</v>
      </c>
      <c r="G143" s="22" t="s">
        <v>1769</v>
      </c>
      <c r="H143" s="22"/>
      <c r="I143" s="28"/>
      <c r="J143" s="28"/>
      <c r="K143" s="132"/>
      <c r="BB143" s="14"/>
      <c r="BC143" s="15"/>
      <c r="BD143" s="21"/>
      <c r="BE143" s="43"/>
      <c r="BF143" s="12"/>
      <c r="BG143" s="12" t="s">
        <v>1709</v>
      </c>
    </row>
    <row r="144" spans="1:59" s="3" customFormat="1" ht="20.399999999999999" x14ac:dyDescent="0.3">
      <c r="A144" s="83"/>
      <c r="B144" s="26" t="s">
        <v>1770</v>
      </c>
      <c r="C144" s="419" t="s">
        <v>1771</v>
      </c>
      <c r="D144" s="419"/>
      <c r="E144" s="419"/>
      <c r="F144" s="256" t="s">
        <v>142</v>
      </c>
      <c r="G144" s="22" t="s">
        <v>1772</v>
      </c>
      <c r="H144" s="22"/>
      <c r="I144" s="28"/>
      <c r="J144" s="28"/>
      <c r="K144" s="132"/>
      <c r="BB144" s="14"/>
      <c r="BC144" s="15"/>
      <c r="BD144" s="21"/>
      <c r="BE144" s="43"/>
      <c r="BF144" s="12"/>
      <c r="BG144" s="12" t="s">
        <v>1771</v>
      </c>
    </row>
    <row r="145" spans="1:59" s="3" customFormat="1" ht="21.6" x14ac:dyDescent="0.3">
      <c r="A145" s="83"/>
      <c r="B145" s="26" t="s">
        <v>607</v>
      </c>
      <c r="C145" s="419" t="s">
        <v>608</v>
      </c>
      <c r="D145" s="419"/>
      <c r="E145" s="419"/>
      <c r="F145" s="256" t="s">
        <v>609</v>
      </c>
      <c r="G145" s="22" t="s">
        <v>1773</v>
      </c>
      <c r="H145" s="22"/>
      <c r="I145" s="28"/>
      <c r="J145" s="28"/>
      <c r="K145" s="132"/>
      <c r="BB145" s="14"/>
      <c r="BC145" s="15"/>
      <c r="BD145" s="21"/>
      <c r="BE145" s="43"/>
      <c r="BF145" s="12"/>
      <c r="BG145" s="12" t="s">
        <v>608</v>
      </c>
    </row>
    <row r="146" spans="1:59" s="3" customFormat="1" ht="20.25" customHeight="1" x14ac:dyDescent="0.3">
      <c r="A146" s="406" t="s">
        <v>57</v>
      </c>
      <c r="B146" s="407"/>
      <c r="C146" s="407"/>
      <c r="D146" s="407"/>
      <c r="E146" s="407"/>
      <c r="F146" s="407"/>
      <c r="G146" s="407"/>
      <c r="H146" s="66"/>
      <c r="I146" s="67">
        <f>SUM(I13:I145)</f>
        <v>1973880.0300000003</v>
      </c>
      <c r="J146" s="72"/>
      <c r="K146" s="87">
        <f>SUM(K12:K145)</f>
        <v>18796642.610000003</v>
      </c>
      <c r="M146" s="56"/>
    </row>
    <row r="147" spans="1:59" s="53" customFormat="1" ht="20.25" customHeight="1" thickBot="1" x14ac:dyDescent="0.35">
      <c r="A147" s="408" t="s">
        <v>5461</v>
      </c>
      <c r="B147" s="409"/>
      <c r="C147" s="409"/>
      <c r="D147" s="409"/>
      <c r="E147" s="409"/>
      <c r="F147" s="409"/>
      <c r="G147" s="409"/>
      <c r="H147" s="88"/>
      <c r="I147" s="410">
        <f>I146+K146</f>
        <v>20770522.640000004</v>
      </c>
      <c r="J147" s="411"/>
      <c r="K147" s="412"/>
      <c r="M147" s="153"/>
    </row>
    <row r="148" spans="1:59" s="3" customFormat="1" ht="14.4" x14ac:dyDescent="0.3">
      <c r="A148" s="4"/>
      <c r="B148" s="4"/>
      <c r="C148" s="4"/>
      <c r="D148" s="4"/>
      <c r="E148" s="4"/>
      <c r="F148" s="4"/>
      <c r="G148" s="4"/>
      <c r="H148" s="54"/>
      <c r="I148" s="141"/>
      <c r="J148" s="141"/>
      <c r="K148" s="54"/>
    </row>
  </sheetData>
  <mergeCells count="145">
    <mergeCell ref="C145:E145"/>
    <mergeCell ref="C140:E140"/>
    <mergeCell ref="C141:E141"/>
    <mergeCell ref="C142:E142"/>
    <mergeCell ref="C143:E143"/>
    <mergeCell ref="C144:E144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13:E113"/>
    <mergeCell ref="C114:E114"/>
    <mergeCell ref="C105:E105"/>
    <mergeCell ref="C106:E106"/>
    <mergeCell ref="C107:E107"/>
    <mergeCell ref="C108:E108"/>
    <mergeCell ref="C121:E121"/>
    <mergeCell ref="C122:E122"/>
    <mergeCell ref="C124:E124"/>
    <mergeCell ref="C115:E115"/>
    <mergeCell ref="C116:E116"/>
    <mergeCell ref="C117:E117"/>
    <mergeCell ref="C118:E118"/>
    <mergeCell ref="C104:E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92:E92"/>
    <mergeCell ref="C94:E94"/>
    <mergeCell ref="C86:E86"/>
    <mergeCell ref="C87:E87"/>
    <mergeCell ref="C88:E88"/>
    <mergeCell ref="C89:E89"/>
    <mergeCell ref="C101:E101"/>
    <mergeCell ref="C102:E102"/>
    <mergeCell ref="C103:E103"/>
    <mergeCell ref="C80:E80"/>
    <mergeCell ref="C81:E81"/>
    <mergeCell ref="C82:E82"/>
    <mergeCell ref="C83:E83"/>
    <mergeCell ref="C75:E75"/>
    <mergeCell ref="C77:E77"/>
    <mergeCell ref="C78:E78"/>
    <mergeCell ref="C79:E79"/>
    <mergeCell ref="C90:E90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A23:H23"/>
    <mergeCell ref="C40:E40"/>
    <mergeCell ref="C41:E41"/>
    <mergeCell ref="C42:E42"/>
    <mergeCell ref="C43:E43"/>
    <mergeCell ref="C44:E44"/>
    <mergeCell ref="C36:E36"/>
    <mergeCell ref="C37:E37"/>
    <mergeCell ref="C38:E38"/>
    <mergeCell ref="C39:E39"/>
    <mergeCell ref="A2:K2"/>
    <mergeCell ref="A3:K3"/>
    <mergeCell ref="A5:K5"/>
    <mergeCell ref="C9:E9"/>
    <mergeCell ref="C10:E10"/>
    <mergeCell ref="A6:K6"/>
    <mergeCell ref="C7:G7"/>
    <mergeCell ref="C15:E15"/>
    <mergeCell ref="C35:E35"/>
    <mergeCell ref="C17:E17"/>
    <mergeCell ref="C18:E18"/>
    <mergeCell ref="C13:E13"/>
    <mergeCell ref="C25:E25"/>
    <mergeCell ref="C26:E26"/>
    <mergeCell ref="C30:E30"/>
    <mergeCell ref="C31:E31"/>
    <mergeCell ref="C33:E33"/>
    <mergeCell ref="C34:E34"/>
    <mergeCell ref="C28:E28"/>
    <mergeCell ref="C29:E29"/>
    <mergeCell ref="C20:E20"/>
    <mergeCell ref="C21:E21"/>
    <mergeCell ref="C22:E22"/>
    <mergeCell ref="C24:E24"/>
    <mergeCell ref="A146:G146"/>
    <mergeCell ref="A147:G147"/>
    <mergeCell ref="I147:K147"/>
    <mergeCell ref="A119:G119"/>
    <mergeCell ref="A84:G84"/>
    <mergeCell ref="A76:G76"/>
    <mergeCell ref="A11:G11"/>
    <mergeCell ref="A135:G135"/>
    <mergeCell ref="A129:G129"/>
    <mergeCell ref="A123:G123"/>
    <mergeCell ref="A120:G120"/>
    <mergeCell ref="A109:G109"/>
    <mergeCell ref="A100:G100"/>
    <mergeCell ref="A93:G93"/>
    <mergeCell ref="A91:G91"/>
    <mergeCell ref="A85:G85"/>
    <mergeCell ref="A71:G71"/>
    <mergeCell ref="A62:G62"/>
    <mergeCell ref="A32:G32"/>
    <mergeCell ref="A27:G27"/>
    <mergeCell ref="A19:G19"/>
    <mergeCell ref="A16:G16"/>
    <mergeCell ref="A14:G14"/>
    <mergeCell ref="A12:G1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N70"/>
  <sheetViews>
    <sheetView workbookViewId="0">
      <selection activeCell="K1" sqref="K1:K104857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8.88671875" style="1" customWidth="1"/>
    <col min="6" max="6" width="10.6640625" style="73" customWidth="1"/>
    <col min="7" max="7" width="10.6640625" style="1" customWidth="1"/>
    <col min="8" max="10" width="15.88671875" style="1" customWidth="1"/>
    <col min="11" max="11" width="17.88671875" style="1" customWidth="1"/>
    <col min="12" max="13" width="9.109375" style="1"/>
    <col min="14" max="14" width="9.6640625" style="1" bestFit="1" customWidth="1"/>
    <col min="15" max="16384" width="9.109375" style="1"/>
  </cols>
  <sheetData>
    <row r="1" spans="1:11" s="3" customFormat="1" ht="14.4" x14ac:dyDescent="0.3">
      <c r="A1" s="95" t="s">
        <v>5463</v>
      </c>
      <c r="B1" s="4"/>
      <c r="C1" s="4"/>
      <c r="D1" s="4"/>
      <c r="E1" s="4"/>
      <c r="F1" s="68"/>
      <c r="G1" s="4"/>
      <c r="H1" s="4"/>
      <c r="I1" s="4"/>
      <c r="J1" s="4"/>
      <c r="K1" s="4"/>
    </row>
    <row r="2" spans="1:11" s="3" customFormat="1" ht="40.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3" spans="1:11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11" s="3" customFormat="1" ht="14.4" x14ac:dyDescent="0.3">
      <c r="A4" s="404" t="s">
        <v>61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</row>
    <row r="5" spans="1:11" s="3" customFormat="1" ht="12.75" customHeight="1" x14ac:dyDescent="0.3">
      <c r="A5" s="401" t="s">
        <v>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</row>
    <row r="6" spans="1:11" s="3" customFormat="1" ht="14.4" x14ac:dyDescent="0.3">
      <c r="A6" s="4"/>
      <c r="B6" s="8" t="s">
        <v>5</v>
      </c>
      <c r="C6" s="402" t="s">
        <v>62</v>
      </c>
      <c r="D6" s="402"/>
      <c r="E6" s="402"/>
      <c r="F6" s="402"/>
      <c r="G6" s="402"/>
      <c r="H6" s="11"/>
      <c r="I6" s="9"/>
      <c r="J6" s="9"/>
      <c r="K6" s="9"/>
    </row>
    <row r="7" spans="1:11" s="3" customFormat="1" ht="8.25" customHeight="1" thickBot="1" x14ac:dyDescent="0.35">
      <c r="A7" s="13"/>
      <c r="F7" s="70"/>
    </row>
    <row r="8" spans="1:11" s="3" customFormat="1" ht="36" customHeight="1" x14ac:dyDescent="0.3">
      <c r="A8" s="74" t="s">
        <v>7</v>
      </c>
      <c r="B8" s="75" t="s">
        <v>8</v>
      </c>
      <c r="C8" s="414" t="s">
        <v>9</v>
      </c>
      <c r="D8" s="415"/>
      <c r="E8" s="416"/>
      <c r="F8" s="76" t="s">
        <v>10</v>
      </c>
      <c r="G8" s="77" t="s">
        <v>11</v>
      </c>
      <c r="H8" s="78" t="s">
        <v>5739</v>
      </c>
      <c r="I8" s="78" t="s">
        <v>5740</v>
      </c>
      <c r="J8" s="78" t="s">
        <v>5741</v>
      </c>
      <c r="K8" s="110" t="s">
        <v>5742</v>
      </c>
    </row>
    <row r="9" spans="1:11" s="3" customFormat="1" ht="15" thickBot="1" x14ac:dyDescent="0.35">
      <c r="A9" s="89">
        <v>1</v>
      </c>
      <c r="B9" s="90">
        <v>2</v>
      </c>
      <c r="C9" s="424">
        <v>3</v>
      </c>
      <c r="D9" s="425"/>
      <c r="E9" s="426"/>
      <c r="F9" s="92">
        <v>4</v>
      </c>
      <c r="G9" s="90">
        <v>5</v>
      </c>
      <c r="H9" s="90">
        <v>6</v>
      </c>
      <c r="I9" s="93" t="s">
        <v>47</v>
      </c>
      <c r="J9" s="93" t="s">
        <v>52</v>
      </c>
      <c r="K9" s="94" t="s">
        <v>55</v>
      </c>
    </row>
    <row r="10" spans="1:11" s="3" customFormat="1" ht="15" customHeight="1" x14ac:dyDescent="0.3">
      <c r="A10" s="433" t="s">
        <v>63</v>
      </c>
      <c r="B10" s="434"/>
      <c r="C10" s="434"/>
      <c r="D10" s="434"/>
      <c r="E10" s="434"/>
      <c r="F10" s="434"/>
      <c r="G10" s="434"/>
      <c r="H10" s="96"/>
      <c r="I10" s="96"/>
      <c r="J10" s="96"/>
      <c r="K10" s="97"/>
    </row>
    <row r="11" spans="1:11" s="3" customFormat="1" ht="15" customHeight="1" x14ac:dyDescent="0.3">
      <c r="A11" s="431" t="s">
        <v>64</v>
      </c>
      <c r="B11" s="432"/>
      <c r="C11" s="432"/>
      <c r="D11" s="432"/>
      <c r="E11" s="432"/>
      <c r="F11" s="432"/>
      <c r="G11" s="432"/>
      <c r="H11" s="98"/>
      <c r="I11" s="98"/>
      <c r="J11" s="98"/>
      <c r="K11" s="99"/>
    </row>
    <row r="12" spans="1:11" s="3" customFormat="1" ht="32.25" customHeight="1" x14ac:dyDescent="0.3">
      <c r="A12" s="16" t="s">
        <v>15</v>
      </c>
      <c r="B12" s="17" t="s">
        <v>65</v>
      </c>
      <c r="C12" s="427" t="s">
        <v>66</v>
      </c>
      <c r="D12" s="428"/>
      <c r="E12" s="429"/>
      <c r="F12" s="16" t="s">
        <v>67</v>
      </c>
      <c r="G12" s="18">
        <v>1.7849999999999999</v>
      </c>
      <c r="H12" s="57">
        <f>I12/G12</f>
        <v>1362557.4677871149</v>
      </c>
      <c r="I12" s="19">
        <v>2432165.08</v>
      </c>
      <c r="J12" s="19">
        <f>K12/G12</f>
        <v>153854.33053221289</v>
      </c>
      <c r="K12" s="19">
        <v>274629.98</v>
      </c>
    </row>
    <row r="13" spans="1:11" s="3" customFormat="1" ht="20.399999999999999" x14ac:dyDescent="0.3">
      <c r="A13" s="25"/>
      <c r="B13" s="26" t="s">
        <v>68</v>
      </c>
      <c r="C13" s="419" t="s">
        <v>69</v>
      </c>
      <c r="D13" s="419"/>
      <c r="E13" s="419"/>
      <c r="F13" s="105" t="s">
        <v>70</v>
      </c>
      <c r="G13" s="49" t="s">
        <v>5464</v>
      </c>
      <c r="H13" s="58"/>
      <c r="I13" s="28"/>
      <c r="J13" s="28"/>
      <c r="K13" s="29"/>
    </row>
    <row r="14" spans="1:11" s="3" customFormat="1" ht="20.399999999999999" x14ac:dyDescent="0.3">
      <c r="A14" s="25"/>
      <c r="B14" s="26" t="s">
        <v>71</v>
      </c>
      <c r="C14" s="419" t="s">
        <v>72</v>
      </c>
      <c r="D14" s="419"/>
      <c r="E14" s="419"/>
      <c r="F14" s="105" t="s">
        <v>70</v>
      </c>
      <c r="G14" s="49" t="s">
        <v>5465</v>
      </c>
      <c r="H14" s="58"/>
      <c r="I14" s="28"/>
      <c r="J14" s="28"/>
      <c r="K14" s="29"/>
    </row>
    <row r="15" spans="1:11" s="3" customFormat="1" ht="20.399999999999999" x14ac:dyDescent="0.3">
      <c r="A15" s="25"/>
      <c r="B15" s="26" t="s">
        <v>73</v>
      </c>
      <c r="C15" s="419" t="s">
        <v>74</v>
      </c>
      <c r="D15" s="419"/>
      <c r="E15" s="419"/>
      <c r="F15" s="105" t="s">
        <v>75</v>
      </c>
      <c r="G15" s="49" t="s">
        <v>5466</v>
      </c>
      <c r="H15" s="58"/>
      <c r="I15" s="28"/>
      <c r="J15" s="28"/>
      <c r="K15" s="29"/>
    </row>
    <row r="16" spans="1:11" s="3" customFormat="1" ht="20.399999999999999" x14ac:dyDescent="0.3">
      <c r="A16" s="25"/>
      <c r="B16" s="26" t="s">
        <v>76</v>
      </c>
      <c r="C16" s="419" t="s">
        <v>77</v>
      </c>
      <c r="D16" s="419"/>
      <c r="E16" s="419"/>
      <c r="F16" s="105" t="s">
        <v>70</v>
      </c>
      <c r="G16" s="49" t="s">
        <v>5467</v>
      </c>
      <c r="H16" s="58"/>
      <c r="I16" s="28"/>
      <c r="J16" s="28"/>
      <c r="K16" s="29"/>
    </row>
    <row r="17" spans="1:14" s="3" customFormat="1" ht="20.399999999999999" x14ac:dyDescent="0.3">
      <c r="A17" s="37" t="s">
        <v>78</v>
      </c>
      <c r="B17" s="38" t="s">
        <v>79</v>
      </c>
      <c r="C17" s="430" t="s">
        <v>80</v>
      </c>
      <c r="D17" s="430"/>
      <c r="E17" s="430"/>
      <c r="F17" s="106" t="s">
        <v>46</v>
      </c>
      <c r="G17" s="40" t="s">
        <v>33</v>
      </c>
      <c r="H17" s="100"/>
      <c r="I17" s="41"/>
      <c r="J17" s="41"/>
      <c r="K17" s="42"/>
    </row>
    <row r="18" spans="1:14" s="3" customFormat="1" ht="20.399999999999999" x14ac:dyDescent="0.3">
      <c r="A18" s="37" t="s">
        <v>78</v>
      </c>
      <c r="B18" s="38" t="s">
        <v>81</v>
      </c>
      <c r="C18" s="430" t="s">
        <v>82</v>
      </c>
      <c r="D18" s="430"/>
      <c r="E18" s="430"/>
      <c r="F18" s="106" t="s">
        <v>46</v>
      </c>
      <c r="G18" s="40" t="s">
        <v>33</v>
      </c>
      <c r="H18" s="100"/>
      <c r="I18" s="41"/>
      <c r="J18" s="41"/>
      <c r="K18" s="42"/>
    </row>
    <row r="19" spans="1:14" s="3" customFormat="1" ht="20.399999999999999" x14ac:dyDescent="0.3">
      <c r="A19" s="25"/>
      <c r="B19" s="26" t="s">
        <v>83</v>
      </c>
      <c r="C19" s="419" t="s">
        <v>84</v>
      </c>
      <c r="D19" s="419"/>
      <c r="E19" s="419"/>
      <c r="F19" s="105" t="s">
        <v>46</v>
      </c>
      <c r="G19" s="49" t="s">
        <v>5468</v>
      </c>
      <c r="H19" s="58"/>
      <c r="I19" s="28"/>
      <c r="J19" s="28"/>
      <c r="K19" s="29"/>
    </row>
    <row r="20" spans="1:14" s="3" customFormat="1" ht="20.399999999999999" x14ac:dyDescent="0.3">
      <c r="A20" s="37" t="s">
        <v>78</v>
      </c>
      <c r="B20" s="38" t="s">
        <v>85</v>
      </c>
      <c r="C20" s="430" t="s">
        <v>86</v>
      </c>
      <c r="D20" s="430"/>
      <c r="E20" s="430"/>
      <c r="F20" s="106" t="s">
        <v>46</v>
      </c>
      <c r="G20" s="40" t="s">
        <v>33</v>
      </c>
      <c r="H20" s="100"/>
      <c r="I20" s="41"/>
      <c r="J20" s="41"/>
      <c r="K20" s="42"/>
    </row>
    <row r="21" spans="1:14" s="3" customFormat="1" ht="20.399999999999999" x14ac:dyDescent="0.3">
      <c r="A21" s="25"/>
      <c r="B21" s="26" t="s">
        <v>87</v>
      </c>
      <c r="C21" s="419" t="s">
        <v>88</v>
      </c>
      <c r="D21" s="419"/>
      <c r="E21" s="419"/>
      <c r="F21" s="105" t="s">
        <v>46</v>
      </c>
      <c r="G21" s="49" t="s">
        <v>5469</v>
      </c>
      <c r="H21" s="58"/>
      <c r="I21" s="28"/>
      <c r="J21" s="28"/>
      <c r="K21" s="29"/>
    </row>
    <row r="22" spans="1:14" s="3" customFormat="1" ht="20.399999999999999" x14ac:dyDescent="0.3">
      <c r="A22" s="25"/>
      <c r="B22" s="26" t="s">
        <v>89</v>
      </c>
      <c r="C22" s="419" t="s">
        <v>90</v>
      </c>
      <c r="D22" s="419"/>
      <c r="E22" s="419"/>
      <c r="F22" s="105" t="s">
        <v>70</v>
      </c>
      <c r="G22" s="49" t="s">
        <v>5470</v>
      </c>
      <c r="H22" s="58"/>
      <c r="I22" s="28"/>
      <c r="J22" s="28"/>
      <c r="K22" s="29"/>
    </row>
    <row r="23" spans="1:14" s="3" customFormat="1" ht="15" customHeight="1" x14ac:dyDescent="0.3">
      <c r="A23" s="431" t="s">
        <v>91</v>
      </c>
      <c r="B23" s="432"/>
      <c r="C23" s="432"/>
      <c r="D23" s="432"/>
      <c r="E23" s="432"/>
      <c r="F23" s="432"/>
      <c r="G23" s="432"/>
      <c r="H23" s="101"/>
      <c r="I23" s="101"/>
      <c r="J23" s="101"/>
      <c r="K23" s="102"/>
      <c r="N23" s="56"/>
    </row>
    <row r="24" spans="1:14" s="3" customFormat="1" ht="30.75" customHeight="1" x14ac:dyDescent="0.3">
      <c r="A24" s="16" t="s">
        <v>20</v>
      </c>
      <c r="B24" s="17" t="s">
        <v>92</v>
      </c>
      <c r="C24" s="427" t="s">
        <v>93</v>
      </c>
      <c r="D24" s="428"/>
      <c r="E24" s="429"/>
      <c r="F24" s="16" t="s">
        <v>67</v>
      </c>
      <c r="G24" s="18">
        <v>3.2850000000000001</v>
      </c>
      <c r="H24" s="57">
        <f>I24/G24</f>
        <v>1160976.7184170471</v>
      </c>
      <c r="I24" s="19">
        <v>3813808.5199999996</v>
      </c>
      <c r="J24" s="19">
        <f>K24/G24</f>
        <v>130095.44292237444</v>
      </c>
      <c r="K24" s="19">
        <v>427363.53</v>
      </c>
    </row>
    <row r="25" spans="1:14" s="3" customFormat="1" ht="20.399999999999999" x14ac:dyDescent="0.3">
      <c r="A25" s="25"/>
      <c r="B25" s="26" t="s">
        <v>68</v>
      </c>
      <c r="C25" s="419" t="s">
        <v>69</v>
      </c>
      <c r="D25" s="419"/>
      <c r="E25" s="419"/>
      <c r="F25" s="105" t="s">
        <v>70</v>
      </c>
      <c r="G25" s="49" t="s">
        <v>5471</v>
      </c>
      <c r="H25" s="58"/>
      <c r="I25" s="28"/>
      <c r="J25" s="28"/>
      <c r="K25" s="29"/>
    </row>
    <row r="26" spans="1:14" s="3" customFormat="1" ht="20.399999999999999" x14ac:dyDescent="0.3">
      <c r="A26" s="25"/>
      <c r="B26" s="26" t="s">
        <v>71</v>
      </c>
      <c r="C26" s="419" t="s">
        <v>72</v>
      </c>
      <c r="D26" s="419"/>
      <c r="E26" s="419"/>
      <c r="F26" s="105" t="s">
        <v>70</v>
      </c>
      <c r="G26" s="49" t="s">
        <v>5472</v>
      </c>
      <c r="H26" s="58"/>
      <c r="I26" s="28"/>
      <c r="J26" s="28"/>
      <c r="K26" s="29"/>
    </row>
    <row r="27" spans="1:14" s="3" customFormat="1" ht="20.399999999999999" x14ac:dyDescent="0.3">
      <c r="A27" s="25"/>
      <c r="B27" s="26" t="s">
        <v>73</v>
      </c>
      <c r="C27" s="419" t="s">
        <v>74</v>
      </c>
      <c r="D27" s="419"/>
      <c r="E27" s="419"/>
      <c r="F27" s="105" t="s">
        <v>75</v>
      </c>
      <c r="G27" s="49" t="s">
        <v>5473</v>
      </c>
      <c r="H27" s="58"/>
      <c r="I27" s="28"/>
      <c r="J27" s="28"/>
      <c r="K27" s="29"/>
    </row>
    <row r="28" spans="1:14" s="3" customFormat="1" ht="20.399999999999999" x14ac:dyDescent="0.3">
      <c r="A28" s="25"/>
      <c r="B28" s="26" t="s">
        <v>76</v>
      </c>
      <c r="C28" s="419" t="s">
        <v>77</v>
      </c>
      <c r="D28" s="419"/>
      <c r="E28" s="419"/>
      <c r="F28" s="105" t="s">
        <v>70</v>
      </c>
      <c r="G28" s="49" t="s">
        <v>5474</v>
      </c>
      <c r="H28" s="58"/>
      <c r="I28" s="28"/>
      <c r="J28" s="28"/>
      <c r="K28" s="29"/>
    </row>
    <row r="29" spans="1:14" s="3" customFormat="1" ht="20.399999999999999" x14ac:dyDescent="0.3">
      <c r="A29" s="37" t="s">
        <v>78</v>
      </c>
      <c r="B29" s="38" t="s">
        <v>79</v>
      </c>
      <c r="C29" s="430" t="s">
        <v>80</v>
      </c>
      <c r="D29" s="430"/>
      <c r="E29" s="430"/>
      <c r="F29" s="106" t="s">
        <v>46</v>
      </c>
      <c r="G29" s="40" t="s">
        <v>33</v>
      </c>
      <c r="H29" s="100"/>
      <c r="I29" s="41"/>
      <c r="J29" s="41"/>
      <c r="K29" s="42"/>
    </row>
    <row r="30" spans="1:14" s="3" customFormat="1" ht="20.399999999999999" x14ac:dyDescent="0.3">
      <c r="A30" s="37" t="s">
        <v>78</v>
      </c>
      <c r="B30" s="38" t="s">
        <v>81</v>
      </c>
      <c r="C30" s="430" t="s">
        <v>82</v>
      </c>
      <c r="D30" s="430"/>
      <c r="E30" s="430"/>
      <c r="F30" s="106" t="s">
        <v>46</v>
      </c>
      <c r="G30" s="40" t="s">
        <v>33</v>
      </c>
      <c r="H30" s="100"/>
      <c r="I30" s="41"/>
      <c r="J30" s="41"/>
      <c r="K30" s="42"/>
    </row>
    <row r="31" spans="1:14" s="3" customFormat="1" ht="20.399999999999999" x14ac:dyDescent="0.3">
      <c r="A31" s="25"/>
      <c r="B31" s="26" t="s">
        <v>83</v>
      </c>
      <c r="C31" s="419" t="s">
        <v>84</v>
      </c>
      <c r="D31" s="419"/>
      <c r="E31" s="419"/>
      <c r="F31" s="105" t="s">
        <v>46</v>
      </c>
      <c r="G31" s="49" t="s">
        <v>5475</v>
      </c>
      <c r="H31" s="58"/>
      <c r="I31" s="28"/>
      <c r="J31" s="28"/>
      <c r="K31" s="29"/>
    </row>
    <row r="32" spans="1:14" s="3" customFormat="1" ht="20.399999999999999" x14ac:dyDescent="0.3">
      <c r="A32" s="37" t="s">
        <v>78</v>
      </c>
      <c r="B32" s="38" t="s">
        <v>85</v>
      </c>
      <c r="C32" s="430" t="s">
        <v>86</v>
      </c>
      <c r="D32" s="430"/>
      <c r="E32" s="430"/>
      <c r="F32" s="106" t="s">
        <v>46</v>
      </c>
      <c r="G32" s="40" t="s">
        <v>33</v>
      </c>
      <c r="H32" s="100"/>
      <c r="I32" s="41"/>
      <c r="J32" s="41"/>
      <c r="K32" s="42"/>
    </row>
    <row r="33" spans="1:11" s="3" customFormat="1" ht="20.399999999999999" x14ac:dyDescent="0.3">
      <c r="A33" s="25"/>
      <c r="B33" s="26" t="s">
        <v>87</v>
      </c>
      <c r="C33" s="419" t="s">
        <v>88</v>
      </c>
      <c r="D33" s="419"/>
      <c r="E33" s="419"/>
      <c r="F33" s="105" t="s">
        <v>46</v>
      </c>
      <c r="G33" s="49" t="s">
        <v>5476</v>
      </c>
      <c r="H33" s="58"/>
      <c r="I33" s="28"/>
      <c r="J33" s="28"/>
      <c r="K33" s="29"/>
    </row>
    <row r="34" spans="1:11" s="3" customFormat="1" ht="20.399999999999999" x14ac:dyDescent="0.3">
      <c r="A34" s="25"/>
      <c r="B34" s="26" t="s">
        <v>89</v>
      </c>
      <c r="C34" s="419" t="s">
        <v>90</v>
      </c>
      <c r="D34" s="419"/>
      <c r="E34" s="419"/>
      <c r="F34" s="105" t="s">
        <v>70</v>
      </c>
      <c r="G34" s="49" t="s">
        <v>5477</v>
      </c>
      <c r="H34" s="58"/>
      <c r="I34" s="28"/>
      <c r="J34" s="28"/>
      <c r="K34" s="29"/>
    </row>
    <row r="35" spans="1:11" s="3" customFormat="1" ht="15" customHeight="1" x14ac:dyDescent="0.3">
      <c r="A35" s="431" t="s">
        <v>94</v>
      </c>
      <c r="B35" s="432"/>
      <c r="C35" s="432"/>
      <c r="D35" s="432"/>
      <c r="E35" s="432"/>
      <c r="F35" s="432"/>
      <c r="G35" s="432"/>
      <c r="H35" s="101"/>
      <c r="I35" s="101"/>
      <c r="J35" s="101"/>
      <c r="K35" s="102"/>
    </row>
    <row r="36" spans="1:11" s="3" customFormat="1" ht="31.5" customHeight="1" x14ac:dyDescent="0.3">
      <c r="A36" s="16" t="s">
        <v>22</v>
      </c>
      <c r="B36" s="17" t="s">
        <v>92</v>
      </c>
      <c r="C36" s="427" t="s">
        <v>93</v>
      </c>
      <c r="D36" s="428"/>
      <c r="E36" s="429"/>
      <c r="F36" s="16" t="s">
        <v>67</v>
      </c>
      <c r="G36" s="18">
        <v>1.8149999999999999</v>
      </c>
      <c r="H36" s="57">
        <f>I36/G36</f>
        <v>1160976.7217630853</v>
      </c>
      <c r="I36" s="19">
        <v>2107172.75</v>
      </c>
      <c r="J36" s="19">
        <f>K36/G36</f>
        <v>130095.44352617081</v>
      </c>
      <c r="K36" s="19">
        <v>236123.23</v>
      </c>
    </row>
    <row r="37" spans="1:11" s="3" customFormat="1" ht="20.399999999999999" x14ac:dyDescent="0.3">
      <c r="A37" s="25"/>
      <c r="B37" s="26" t="s">
        <v>68</v>
      </c>
      <c r="C37" s="419" t="s">
        <v>69</v>
      </c>
      <c r="D37" s="419"/>
      <c r="E37" s="419"/>
      <c r="F37" s="105" t="s">
        <v>70</v>
      </c>
      <c r="G37" s="49" t="s">
        <v>5478</v>
      </c>
      <c r="H37" s="58"/>
      <c r="I37" s="28"/>
      <c r="J37" s="28"/>
      <c r="K37" s="29"/>
    </row>
    <row r="38" spans="1:11" s="3" customFormat="1" ht="20.399999999999999" x14ac:dyDescent="0.3">
      <c r="A38" s="25"/>
      <c r="B38" s="26" t="s">
        <v>71</v>
      </c>
      <c r="C38" s="419" t="s">
        <v>72</v>
      </c>
      <c r="D38" s="419"/>
      <c r="E38" s="419"/>
      <c r="F38" s="105" t="s">
        <v>70</v>
      </c>
      <c r="G38" s="49" t="s">
        <v>5479</v>
      </c>
      <c r="H38" s="58"/>
      <c r="I38" s="28"/>
      <c r="J38" s="28"/>
      <c r="K38" s="29"/>
    </row>
    <row r="39" spans="1:11" s="3" customFormat="1" ht="20.399999999999999" x14ac:dyDescent="0.3">
      <c r="A39" s="25"/>
      <c r="B39" s="26" t="s">
        <v>73</v>
      </c>
      <c r="C39" s="419" t="s">
        <v>74</v>
      </c>
      <c r="D39" s="419"/>
      <c r="E39" s="419"/>
      <c r="F39" s="105" t="s">
        <v>75</v>
      </c>
      <c r="G39" s="49" t="s">
        <v>5480</v>
      </c>
      <c r="H39" s="58"/>
      <c r="I39" s="28"/>
      <c r="J39" s="28"/>
      <c r="K39" s="29"/>
    </row>
    <row r="40" spans="1:11" s="3" customFormat="1" ht="20.399999999999999" x14ac:dyDescent="0.3">
      <c r="A40" s="25"/>
      <c r="B40" s="26" t="s">
        <v>76</v>
      </c>
      <c r="C40" s="419" t="s">
        <v>77</v>
      </c>
      <c r="D40" s="419"/>
      <c r="E40" s="419"/>
      <c r="F40" s="105" t="s">
        <v>70</v>
      </c>
      <c r="G40" s="49" t="s">
        <v>5481</v>
      </c>
      <c r="H40" s="58"/>
      <c r="I40" s="28"/>
      <c r="J40" s="28"/>
      <c r="K40" s="29"/>
    </row>
    <row r="41" spans="1:11" s="3" customFormat="1" ht="20.399999999999999" x14ac:dyDescent="0.3">
      <c r="A41" s="37" t="s">
        <v>78</v>
      </c>
      <c r="B41" s="38" t="s">
        <v>79</v>
      </c>
      <c r="C41" s="430" t="s">
        <v>80</v>
      </c>
      <c r="D41" s="430"/>
      <c r="E41" s="430"/>
      <c r="F41" s="106" t="s">
        <v>46</v>
      </c>
      <c r="G41" s="40" t="s">
        <v>33</v>
      </c>
      <c r="H41" s="100"/>
      <c r="I41" s="41"/>
      <c r="J41" s="41"/>
      <c r="K41" s="42"/>
    </row>
    <row r="42" spans="1:11" s="3" customFormat="1" ht="20.399999999999999" x14ac:dyDescent="0.3">
      <c r="A42" s="37" t="s">
        <v>78</v>
      </c>
      <c r="B42" s="38" t="s">
        <v>81</v>
      </c>
      <c r="C42" s="430" t="s">
        <v>82</v>
      </c>
      <c r="D42" s="430"/>
      <c r="E42" s="430"/>
      <c r="F42" s="106" t="s">
        <v>46</v>
      </c>
      <c r="G42" s="40" t="s">
        <v>33</v>
      </c>
      <c r="H42" s="100"/>
      <c r="I42" s="41"/>
      <c r="J42" s="41"/>
      <c r="K42" s="42"/>
    </row>
    <row r="43" spans="1:11" s="3" customFormat="1" ht="20.399999999999999" x14ac:dyDescent="0.3">
      <c r="A43" s="25"/>
      <c r="B43" s="26" t="s">
        <v>83</v>
      </c>
      <c r="C43" s="419" t="s">
        <v>84</v>
      </c>
      <c r="D43" s="419"/>
      <c r="E43" s="419"/>
      <c r="F43" s="105" t="s">
        <v>46</v>
      </c>
      <c r="G43" s="49" t="s">
        <v>5482</v>
      </c>
      <c r="H43" s="58"/>
      <c r="I43" s="28"/>
      <c r="J43" s="28"/>
      <c r="K43" s="29"/>
    </row>
    <row r="44" spans="1:11" s="3" customFormat="1" ht="20.399999999999999" x14ac:dyDescent="0.3">
      <c r="A44" s="37" t="s">
        <v>78</v>
      </c>
      <c r="B44" s="38" t="s">
        <v>85</v>
      </c>
      <c r="C44" s="430" t="s">
        <v>86</v>
      </c>
      <c r="D44" s="430"/>
      <c r="E44" s="430"/>
      <c r="F44" s="106" t="s">
        <v>46</v>
      </c>
      <c r="G44" s="40" t="s">
        <v>33</v>
      </c>
      <c r="H44" s="100"/>
      <c r="I44" s="41"/>
      <c r="J44" s="41"/>
      <c r="K44" s="42"/>
    </row>
    <row r="45" spans="1:11" s="3" customFormat="1" ht="20.399999999999999" x14ac:dyDescent="0.3">
      <c r="A45" s="25"/>
      <c r="B45" s="26" t="s">
        <v>87</v>
      </c>
      <c r="C45" s="419" t="s">
        <v>88</v>
      </c>
      <c r="D45" s="419"/>
      <c r="E45" s="419"/>
      <c r="F45" s="105" t="s">
        <v>46</v>
      </c>
      <c r="G45" s="49" t="s">
        <v>5483</v>
      </c>
      <c r="H45" s="58"/>
      <c r="I45" s="28"/>
      <c r="J45" s="28"/>
      <c r="K45" s="29"/>
    </row>
    <row r="46" spans="1:11" s="3" customFormat="1" ht="20.399999999999999" x14ac:dyDescent="0.3">
      <c r="A46" s="25"/>
      <c r="B46" s="26" t="s">
        <v>89</v>
      </c>
      <c r="C46" s="419" t="s">
        <v>90</v>
      </c>
      <c r="D46" s="419"/>
      <c r="E46" s="419"/>
      <c r="F46" s="105" t="s">
        <v>70</v>
      </c>
      <c r="G46" s="49" t="s">
        <v>5484</v>
      </c>
      <c r="H46" s="58"/>
      <c r="I46" s="28"/>
      <c r="J46" s="28"/>
      <c r="K46" s="29"/>
    </row>
    <row r="47" spans="1:11" s="3" customFormat="1" ht="15" customHeight="1" x14ac:dyDescent="0.3">
      <c r="A47" s="431" t="s">
        <v>95</v>
      </c>
      <c r="B47" s="432"/>
      <c r="C47" s="432"/>
      <c r="D47" s="432"/>
      <c r="E47" s="432"/>
      <c r="F47" s="432"/>
      <c r="G47" s="432"/>
      <c r="H47" s="101"/>
      <c r="I47" s="101"/>
      <c r="J47" s="101"/>
      <c r="K47" s="102"/>
    </row>
    <row r="48" spans="1:11" s="3" customFormat="1" ht="33.75" customHeight="1" x14ac:dyDescent="0.3">
      <c r="A48" s="16" t="s">
        <v>27</v>
      </c>
      <c r="B48" s="17" t="s">
        <v>96</v>
      </c>
      <c r="C48" s="427" t="s">
        <v>97</v>
      </c>
      <c r="D48" s="428"/>
      <c r="E48" s="429"/>
      <c r="F48" s="16" t="s">
        <v>50</v>
      </c>
      <c r="G48" s="18">
        <v>450.28800000000001</v>
      </c>
      <c r="H48" s="57">
        <f>I48/G48</f>
        <v>44.771990370607256</v>
      </c>
      <c r="I48" s="19">
        <v>20160.29</v>
      </c>
      <c r="J48" s="19">
        <f>K48/G48</f>
        <v>0</v>
      </c>
      <c r="K48" s="19">
        <v>0</v>
      </c>
    </row>
    <row r="49" spans="1:11" s="3" customFormat="1" ht="33.75" customHeight="1" x14ac:dyDescent="0.3">
      <c r="A49" s="16" t="s">
        <v>35</v>
      </c>
      <c r="B49" s="17" t="s">
        <v>48</v>
      </c>
      <c r="C49" s="427" t="s">
        <v>49</v>
      </c>
      <c r="D49" s="428"/>
      <c r="E49" s="429"/>
      <c r="F49" s="16" t="s">
        <v>50</v>
      </c>
      <c r="G49" s="18">
        <v>450.28800000000001</v>
      </c>
      <c r="H49" s="57">
        <f>I49/G49</f>
        <v>598.37579504672567</v>
      </c>
      <c r="I49" s="19">
        <v>269441.44</v>
      </c>
      <c r="J49" s="19">
        <f>K49/G49</f>
        <v>0</v>
      </c>
      <c r="K49" s="19">
        <v>0</v>
      </c>
    </row>
    <row r="50" spans="1:11" s="3" customFormat="1" ht="15" customHeight="1" x14ac:dyDescent="0.3">
      <c r="A50" s="435" t="s">
        <v>98</v>
      </c>
      <c r="B50" s="436"/>
      <c r="C50" s="436"/>
      <c r="D50" s="436"/>
      <c r="E50" s="436"/>
      <c r="F50" s="436"/>
      <c r="G50" s="436"/>
      <c r="H50" s="103"/>
      <c r="I50" s="103"/>
      <c r="J50" s="103"/>
      <c r="K50" s="104"/>
    </row>
    <row r="51" spans="1:11" s="3" customFormat="1" ht="15" customHeight="1" x14ac:dyDescent="0.3">
      <c r="A51" s="431" t="s">
        <v>99</v>
      </c>
      <c r="B51" s="432"/>
      <c r="C51" s="432"/>
      <c r="D51" s="432"/>
      <c r="E51" s="432"/>
      <c r="F51" s="432"/>
      <c r="G51" s="432"/>
      <c r="H51" s="101"/>
      <c r="I51" s="101"/>
      <c r="J51" s="101"/>
      <c r="K51" s="102"/>
    </row>
    <row r="52" spans="1:11" s="3" customFormat="1" ht="30.75" customHeight="1" x14ac:dyDescent="0.3">
      <c r="A52" s="16" t="s">
        <v>40</v>
      </c>
      <c r="B52" s="17" t="s">
        <v>100</v>
      </c>
      <c r="C52" s="427" t="s">
        <v>101</v>
      </c>
      <c r="D52" s="428"/>
      <c r="E52" s="429"/>
      <c r="F52" s="16" t="s">
        <v>102</v>
      </c>
      <c r="G52" s="18">
        <v>0.93799999999999994</v>
      </c>
      <c r="H52" s="57">
        <f>I52/G52</f>
        <v>168818.57142857145</v>
      </c>
      <c r="I52" s="19">
        <v>158351.82</v>
      </c>
      <c r="J52" s="19">
        <f>K52/G52</f>
        <v>0</v>
      </c>
      <c r="K52" s="19">
        <v>0</v>
      </c>
    </row>
    <row r="53" spans="1:11" s="3" customFormat="1" ht="20.399999999999999" x14ac:dyDescent="0.3">
      <c r="A53" s="25"/>
      <c r="B53" s="26" t="s">
        <v>103</v>
      </c>
      <c r="C53" s="419" t="s">
        <v>104</v>
      </c>
      <c r="D53" s="419"/>
      <c r="E53" s="419"/>
      <c r="F53" s="105" t="s">
        <v>70</v>
      </c>
      <c r="G53" s="22" t="s">
        <v>33</v>
      </c>
      <c r="H53" s="58"/>
      <c r="I53" s="28"/>
      <c r="J53" s="28"/>
      <c r="K53" s="29"/>
    </row>
    <row r="54" spans="1:11" s="3" customFormat="1" ht="20.399999999999999" x14ac:dyDescent="0.3">
      <c r="A54" s="25"/>
      <c r="B54" s="26" t="s">
        <v>81</v>
      </c>
      <c r="C54" s="419" t="s">
        <v>82</v>
      </c>
      <c r="D54" s="419"/>
      <c r="E54" s="419"/>
      <c r="F54" s="105" t="s">
        <v>46</v>
      </c>
      <c r="G54" s="22" t="s">
        <v>33</v>
      </c>
      <c r="H54" s="58"/>
      <c r="I54" s="28"/>
      <c r="J54" s="28"/>
      <c r="K54" s="29"/>
    </row>
    <row r="55" spans="1:11" s="3" customFormat="1" ht="20.399999999999999" x14ac:dyDescent="0.3">
      <c r="A55" s="25"/>
      <c r="B55" s="26" t="s">
        <v>105</v>
      </c>
      <c r="C55" s="419" t="s">
        <v>106</v>
      </c>
      <c r="D55" s="419"/>
      <c r="E55" s="419"/>
      <c r="F55" s="105" t="s">
        <v>70</v>
      </c>
      <c r="G55" s="22" t="s">
        <v>33</v>
      </c>
      <c r="H55" s="58"/>
      <c r="I55" s="28"/>
      <c r="J55" s="28"/>
      <c r="K55" s="29"/>
    </row>
    <row r="56" spans="1:11" s="3" customFormat="1" ht="20.399999999999999" x14ac:dyDescent="0.3">
      <c r="A56" s="25"/>
      <c r="B56" s="26" t="s">
        <v>107</v>
      </c>
      <c r="C56" s="419" t="s">
        <v>108</v>
      </c>
      <c r="D56" s="419"/>
      <c r="E56" s="419"/>
      <c r="F56" s="105" t="s">
        <v>46</v>
      </c>
      <c r="G56" s="22" t="s">
        <v>33</v>
      </c>
      <c r="H56" s="58"/>
      <c r="I56" s="28"/>
      <c r="J56" s="28"/>
      <c r="K56" s="29"/>
    </row>
    <row r="57" spans="1:11" s="3" customFormat="1" ht="20.399999999999999" x14ac:dyDescent="0.3">
      <c r="A57" s="25"/>
      <c r="B57" s="26" t="s">
        <v>109</v>
      </c>
      <c r="C57" s="419" t="s">
        <v>110</v>
      </c>
      <c r="D57" s="419"/>
      <c r="E57" s="419"/>
      <c r="F57" s="105" t="s">
        <v>46</v>
      </c>
      <c r="G57" s="22" t="s">
        <v>33</v>
      </c>
      <c r="H57" s="58"/>
      <c r="I57" s="28"/>
      <c r="J57" s="28"/>
      <c r="K57" s="29"/>
    </row>
    <row r="58" spans="1:11" s="3" customFormat="1" ht="20.399999999999999" x14ac:dyDescent="0.3">
      <c r="A58" s="25"/>
      <c r="B58" s="26" t="s">
        <v>111</v>
      </c>
      <c r="C58" s="419" t="s">
        <v>112</v>
      </c>
      <c r="D58" s="419"/>
      <c r="E58" s="419"/>
      <c r="F58" s="105" t="s">
        <v>46</v>
      </c>
      <c r="G58" s="22" t="s">
        <v>33</v>
      </c>
      <c r="H58" s="58"/>
      <c r="I58" s="28"/>
      <c r="J58" s="28"/>
      <c r="K58" s="29"/>
    </row>
    <row r="59" spans="1:11" s="3" customFormat="1" ht="20.399999999999999" x14ac:dyDescent="0.3">
      <c r="A59" s="37" t="s">
        <v>78</v>
      </c>
      <c r="B59" s="38" t="s">
        <v>113</v>
      </c>
      <c r="C59" s="430" t="s">
        <v>114</v>
      </c>
      <c r="D59" s="430"/>
      <c r="E59" s="430"/>
      <c r="F59" s="106" t="s">
        <v>115</v>
      </c>
      <c r="G59" s="40" t="s">
        <v>33</v>
      </c>
      <c r="H59" s="100"/>
      <c r="I59" s="41"/>
      <c r="J59" s="41"/>
      <c r="K59" s="42"/>
    </row>
    <row r="60" spans="1:11" s="3" customFormat="1" ht="20.399999999999999" x14ac:dyDescent="0.3">
      <c r="A60" s="37" t="s">
        <v>78</v>
      </c>
      <c r="B60" s="38" t="s">
        <v>116</v>
      </c>
      <c r="C60" s="430" t="s">
        <v>117</v>
      </c>
      <c r="D60" s="430"/>
      <c r="E60" s="430"/>
      <c r="F60" s="106" t="s">
        <v>38</v>
      </c>
      <c r="G60" s="40" t="s">
        <v>33</v>
      </c>
      <c r="H60" s="100"/>
      <c r="I60" s="41"/>
      <c r="J60" s="41"/>
      <c r="K60" s="42"/>
    </row>
    <row r="61" spans="1:11" s="3" customFormat="1" ht="20.399999999999999" x14ac:dyDescent="0.3">
      <c r="A61" s="37" t="s">
        <v>78</v>
      </c>
      <c r="B61" s="38" t="s">
        <v>118</v>
      </c>
      <c r="C61" s="430" t="s">
        <v>119</v>
      </c>
      <c r="D61" s="430"/>
      <c r="E61" s="430"/>
      <c r="F61" s="106" t="s">
        <v>70</v>
      </c>
      <c r="G61" s="40" t="s">
        <v>33</v>
      </c>
      <c r="H61" s="100"/>
      <c r="I61" s="41"/>
      <c r="J61" s="41"/>
      <c r="K61" s="42"/>
    </row>
    <row r="62" spans="1:11" s="3" customFormat="1" ht="20.399999999999999" x14ac:dyDescent="0.3">
      <c r="A62" s="37" t="s">
        <v>78</v>
      </c>
      <c r="B62" s="38" t="s">
        <v>120</v>
      </c>
      <c r="C62" s="430" t="s">
        <v>121</v>
      </c>
      <c r="D62" s="430"/>
      <c r="E62" s="430"/>
      <c r="F62" s="106" t="s">
        <v>38</v>
      </c>
      <c r="G62" s="40" t="s">
        <v>33</v>
      </c>
      <c r="H62" s="100"/>
      <c r="I62" s="41"/>
      <c r="J62" s="41"/>
      <c r="K62" s="42"/>
    </row>
    <row r="63" spans="1:11" s="3" customFormat="1" ht="15" customHeight="1" x14ac:dyDescent="0.3">
      <c r="A63" s="431" t="s">
        <v>122</v>
      </c>
      <c r="B63" s="432"/>
      <c r="C63" s="432"/>
      <c r="D63" s="432"/>
      <c r="E63" s="432"/>
      <c r="F63" s="432"/>
      <c r="G63" s="432"/>
      <c r="H63" s="101"/>
      <c r="I63" s="101"/>
      <c r="J63" s="101"/>
      <c r="K63" s="102"/>
    </row>
    <row r="64" spans="1:11" s="3" customFormat="1" ht="26.25" customHeight="1" x14ac:dyDescent="0.3">
      <c r="A64" s="16" t="s">
        <v>47</v>
      </c>
      <c r="B64" s="17" t="s">
        <v>123</v>
      </c>
      <c r="C64" s="427" t="s">
        <v>124</v>
      </c>
      <c r="D64" s="428"/>
      <c r="E64" s="429"/>
      <c r="F64" s="16" t="s">
        <v>125</v>
      </c>
      <c r="G64" s="31">
        <v>0.48</v>
      </c>
      <c r="H64" s="57">
        <f>I64/G64</f>
        <v>64903.479166666664</v>
      </c>
      <c r="I64" s="19">
        <v>31153.67</v>
      </c>
      <c r="J64" s="19">
        <f>K64/G64</f>
        <v>0</v>
      </c>
      <c r="K64" s="19">
        <v>0</v>
      </c>
    </row>
    <row r="65" spans="1:11" s="3" customFormat="1" ht="15" customHeight="1" x14ac:dyDescent="0.3">
      <c r="A65" s="431" t="s">
        <v>95</v>
      </c>
      <c r="B65" s="432"/>
      <c r="C65" s="432"/>
      <c r="D65" s="432"/>
      <c r="E65" s="432"/>
      <c r="F65" s="432"/>
      <c r="G65" s="432"/>
      <c r="H65" s="101"/>
      <c r="I65" s="101"/>
      <c r="J65" s="101"/>
      <c r="K65" s="102"/>
    </row>
    <row r="66" spans="1:11" s="3" customFormat="1" ht="36.75" customHeight="1" x14ac:dyDescent="0.3">
      <c r="A66" s="16" t="s">
        <v>52</v>
      </c>
      <c r="B66" s="17" t="s">
        <v>96</v>
      </c>
      <c r="C66" s="427" t="s">
        <v>97</v>
      </c>
      <c r="D66" s="428"/>
      <c r="E66" s="429"/>
      <c r="F66" s="16" t="s">
        <v>50</v>
      </c>
      <c r="G66" s="31">
        <v>24.23</v>
      </c>
      <c r="H66" s="57">
        <f>I66/G66</f>
        <v>44.772183243912501</v>
      </c>
      <c r="I66" s="19">
        <v>1084.83</v>
      </c>
      <c r="J66" s="19">
        <f>K66/G66</f>
        <v>0</v>
      </c>
      <c r="K66" s="19">
        <v>0</v>
      </c>
    </row>
    <row r="67" spans="1:11" s="3" customFormat="1" ht="36.75" customHeight="1" x14ac:dyDescent="0.3">
      <c r="A67" s="16" t="s">
        <v>55</v>
      </c>
      <c r="B67" s="17" t="s">
        <v>48</v>
      </c>
      <c r="C67" s="427" t="s">
        <v>49</v>
      </c>
      <c r="D67" s="428"/>
      <c r="E67" s="429"/>
      <c r="F67" s="16" t="s">
        <v>50</v>
      </c>
      <c r="G67" s="31">
        <v>24.23</v>
      </c>
      <c r="H67" s="57">
        <f>I67/G67</f>
        <v>598.37598018984727</v>
      </c>
      <c r="I67" s="19">
        <v>14498.65</v>
      </c>
      <c r="J67" s="19">
        <f>K67/G67</f>
        <v>0</v>
      </c>
      <c r="K67" s="19">
        <v>0</v>
      </c>
    </row>
    <row r="68" spans="1:11" s="3" customFormat="1" ht="20.25" customHeight="1" x14ac:dyDescent="0.3">
      <c r="A68" s="406" t="s">
        <v>57</v>
      </c>
      <c r="B68" s="407"/>
      <c r="C68" s="407"/>
      <c r="D68" s="407"/>
      <c r="E68" s="407"/>
      <c r="F68" s="407"/>
      <c r="G68" s="407"/>
      <c r="H68" s="66"/>
      <c r="I68" s="67">
        <f>I12+I24+I36+I48+I49+I52+I64+I66+I67</f>
        <v>8847837.0500000007</v>
      </c>
      <c r="J68" s="72"/>
      <c r="K68" s="87">
        <f>K12+K24+K36+K48+K49+K52+K64+K66+K67</f>
        <v>938116.74</v>
      </c>
    </row>
    <row r="69" spans="1:11" s="53" customFormat="1" ht="20.25" customHeight="1" thickBot="1" x14ac:dyDescent="0.35">
      <c r="A69" s="408" t="s">
        <v>5461</v>
      </c>
      <c r="B69" s="409"/>
      <c r="C69" s="409"/>
      <c r="D69" s="409"/>
      <c r="E69" s="409"/>
      <c r="F69" s="409"/>
      <c r="G69" s="409"/>
      <c r="H69" s="88"/>
      <c r="I69" s="410">
        <f>I68+K68</f>
        <v>9785953.790000001</v>
      </c>
      <c r="J69" s="411"/>
      <c r="K69" s="412"/>
    </row>
    <row r="70" spans="1:11" s="3" customFormat="1" ht="14.4" x14ac:dyDescent="0.3">
      <c r="A70" s="4"/>
      <c r="B70" s="4"/>
      <c r="C70" s="4"/>
      <c r="D70" s="4"/>
      <c r="E70" s="4"/>
      <c r="F70" s="68"/>
      <c r="G70" s="4"/>
      <c r="H70" s="4"/>
      <c r="I70" s="36"/>
      <c r="J70" s="36"/>
      <c r="K70" s="4"/>
    </row>
  </sheetData>
  <autoFilter ref="A9:K69" xr:uid="{00000000-0001-0000-0100-000000000000}">
    <filterColumn colId="2" showButton="0"/>
    <filterColumn colId="3" showButton="0"/>
  </autoFilter>
  <mergeCells count="68">
    <mergeCell ref="A23:G23"/>
    <mergeCell ref="A11:G11"/>
    <mergeCell ref="A10:G10"/>
    <mergeCell ref="A68:G68"/>
    <mergeCell ref="C64:E64"/>
    <mergeCell ref="C66:E66"/>
    <mergeCell ref="C67:E67"/>
    <mergeCell ref="C49:E49"/>
    <mergeCell ref="C44:E44"/>
    <mergeCell ref="C45:E45"/>
    <mergeCell ref="C46:E46"/>
    <mergeCell ref="C48:E48"/>
    <mergeCell ref="A50:G50"/>
    <mergeCell ref="A47:G47"/>
    <mergeCell ref="C39:E39"/>
    <mergeCell ref="C40:E40"/>
    <mergeCell ref="A69:G69"/>
    <mergeCell ref="I69:K69"/>
    <mergeCell ref="A65:G65"/>
    <mergeCell ref="A63:G63"/>
    <mergeCell ref="A51:G51"/>
    <mergeCell ref="C59:E59"/>
    <mergeCell ref="C60:E60"/>
    <mergeCell ref="C61:E61"/>
    <mergeCell ref="C62:E62"/>
    <mergeCell ref="C54:E54"/>
    <mergeCell ref="C55:E55"/>
    <mergeCell ref="C56:E56"/>
    <mergeCell ref="C57:E57"/>
    <mergeCell ref="C58:E58"/>
    <mergeCell ref="C52:E52"/>
    <mergeCell ref="C53:E53"/>
    <mergeCell ref="C41:E41"/>
    <mergeCell ref="C42:E42"/>
    <mergeCell ref="C43:E43"/>
    <mergeCell ref="C34:E34"/>
    <mergeCell ref="C36:E36"/>
    <mergeCell ref="C37:E37"/>
    <mergeCell ref="C38:E38"/>
    <mergeCell ref="A35:G35"/>
    <mergeCell ref="C29:E29"/>
    <mergeCell ref="C30:E30"/>
    <mergeCell ref="C31:E31"/>
    <mergeCell ref="C32:E32"/>
    <mergeCell ref="C33:E33"/>
    <mergeCell ref="C24:E24"/>
    <mergeCell ref="C25:E25"/>
    <mergeCell ref="C26:E26"/>
    <mergeCell ref="C27:E27"/>
    <mergeCell ref="C28:E28"/>
    <mergeCell ref="C21:E21"/>
    <mergeCell ref="C22:E22"/>
    <mergeCell ref="C14:E14"/>
    <mergeCell ref="C15:E15"/>
    <mergeCell ref="C16:E16"/>
    <mergeCell ref="C17:E17"/>
    <mergeCell ref="C18:E18"/>
    <mergeCell ref="C13:E13"/>
    <mergeCell ref="A5:K5"/>
    <mergeCell ref="C6:G6"/>
    <mergeCell ref="C19:E19"/>
    <mergeCell ref="C20:E20"/>
    <mergeCell ref="C8:E8"/>
    <mergeCell ref="A2:K2"/>
    <mergeCell ref="A3:K3"/>
    <mergeCell ref="A4:K4"/>
    <mergeCell ref="C9:E9"/>
    <mergeCell ref="C12:E12"/>
  </mergeCells>
  <printOptions horizontalCentered="1"/>
  <pageMargins left="0.39370077848434498" right="0.39370077848434498" top="0.35433071851730302" bottom="0.31496062874794001" header="0.118110239505768" footer="0.118110239505768"/>
  <pageSetup paperSize="9" scale="94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  <pageSetUpPr fitToPage="1"/>
  </sheetPr>
  <dimension ref="A1:BG20"/>
  <sheetViews>
    <sheetView topLeftCell="A5" workbookViewId="0">
      <selection activeCell="BH9" sqref="BH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1" width="19.10937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5" width="172.5546875" style="2" hidden="1" customWidth="1"/>
    <col min="56" max="56" width="34.109375" style="2" hidden="1" customWidth="1"/>
    <col min="57" max="59" width="127.5546875" style="2" hidden="1" customWidth="1"/>
    <col min="60" max="16384" width="9.109375" style="1"/>
  </cols>
  <sheetData>
    <row r="1" spans="1:56" s="3" customFormat="1" ht="14.4" x14ac:dyDescent="0.3">
      <c r="A1" s="95" t="s">
        <v>5579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6" s="3" customFormat="1" ht="29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6" s="3" customFormat="1" ht="14.4" x14ac:dyDescent="0.3">
      <c r="A5" s="404" t="s">
        <v>4724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4724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30.75" customHeight="1" x14ac:dyDescent="0.3">
      <c r="A7" s="4"/>
      <c r="B7" s="8" t="s">
        <v>5</v>
      </c>
      <c r="C7" s="402" t="s">
        <v>4725</v>
      </c>
      <c r="D7" s="402"/>
      <c r="E7" s="402"/>
      <c r="F7" s="402"/>
      <c r="G7" s="402"/>
      <c r="H7" s="11"/>
      <c r="I7" s="9"/>
      <c r="J7" s="9"/>
      <c r="K7" s="9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9"/>
      <c r="J8" s="9"/>
      <c r="K8" s="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4.4" x14ac:dyDescent="0.3">
      <c r="A11" s="446" t="s">
        <v>4726</v>
      </c>
      <c r="B11" s="447"/>
      <c r="C11" s="447"/>
      <c r="D11" s="447"/>
      <c r="E11" s="447"/>
      <c r="F11" s="447"/>
      <c r="G11" s="447"/>
      <c r="H11" s="447"/>
      <c r="I11" s="447"/>
      <c r="J11" s="447"/>
      <c r="K11" s="448"/>
      <c r="BC11" s="14" t="s">
        <v>4726</v>
      </c>
    </row>
    <row r="12" spans="1:56" s="3" customFormat="1" ht="31.8" x14ac:dyDescent="0.3">
      <c r="A12" s="16" t="s">
        <v>15</v>
      </c>
      <c r="B12" s="17" t="s">
        <v>4727</v>
      </c>
      <c r="C12" s="405" t="s">
        <v>4728</v>
      </c>
      <c r="D12" s="405"/>
      <c r="E12" s="405"/>
      <c r="F12" s="16" t="s">
        <v>38</v>
      </c>
      <c r="G12" s="23">
        <v>17</v>
      </c>
      <c r="H12" s="57">
        <f>I12/G12</f>
        <v>941.53470588235291</v>
      </c>
      <c r="I12" s="19">
        <v>16006.09</v>
      </c>
      <c r="J12" s="19">
        <f>K12/G12</f>
        <v>0</v>
      </c>
      <c r="K12" s="19">
        <v>0</v>
      </c>
      <c r="BC12" s="14"/>
      <c r="BD12" s="21" t="s">
        <v>4728</v>
      </c>
    </row>
    <row r="13" spans="1:56" s="3" customFormat="1" ht="21.6" x14ac:dyDescent="0.3">
      <c r="A13" s="16" t="s">
        <v>20</v>
      </c>
      <c r="B13" s="17" t="s">
        <v>4729</v>
      </c>
      <c r="C13" s="405" t="s">
        <v>4730</v>
      </c>
      <c r="D13" s="405"/>
      <c r="E13" s="405"/>
      <c r="F13" s="16" t="s">
        <v>4731</v>
      </c>
      <c r="G13" s="23">
        <v>17</v>
      </c>
      <c r="H13" s="57">
        <f t="shared" ref="H13:H17" si="0">I13/G13</f>
        <v>92.36</v>
      </c>
      <c r="I13" s="19">
        <v>1570.12</v>
      </c>
      <c r="J13" s="19">
        <f t="shared" ref="J13:J17" si="1">K13/G13</f>
        <v>0</v>
      </c>
      <c r="K13" s="19">
        <v>0</v>
      </c>
      <c r="BC13" s="14"/>
      <c r="BD13" s="21" t="s">
        <v>4730</v>
      </c>
    </row>
    <row r="14" spans="1:56" s="3" customFormat="1" ht="21.6" x14ac:dyDescent="0.3">
      <c r="A14" s="16" t="s">
        <v>22</v>
      </c>
      <c r="B14" s="17" t="s">
        <v>4732</v>
      </c>
      <c r="C14" s="405" t="s">
        <v>4733</v>
      </c>
      <c r="D14" s="405"/>
      <c r="E14" s="405"/>
      <c r="F14" s="16" t="s">
        <v>4734</v>
      </c>
      <c r="G14" s="23">
        <v>17</v>
      </c>
      <c r="H14" s="57">
        <f t="shared" si="0"/>
        <v>4995.5158823529418</v>
      </c>
      <c r="I14" s="19">
        <v>84923.77</v>
      </c>
      <c r="J14" s="19">
        <f t="shared" si="1"/>
        <v>0</v>
      </c>
      <c r="K14" s="19">
        <v>0</v>
      </c>
      <c r="BC14" s="14"/>
      <c r="BD14" s="21" t="s">
        <v>4733</v>
      </c>
    </row>
    <row r="15" spans="1:56" s="3" customFormat="1" ht="31.8" x14ac:dyDescent="0.3">
      <c r="A15" s="16" t="s">
        <v>27</v>
      </c>
      <c r="B15" s="17" t="s">
        <v>4735</v>
      </c>
      <c r="C15" s="405" t="s">
        <v>4736</v>
      </c>
      <c r="D15" s="405"/>
      <c r="E15" s="405"/>
      <c r="F15" s="16" t="s">
        <v>4737</v>
      </c>
      <c r="G15" s="31">
        <v>0.12</v>
      </c>
      <c r="H15" s="57">
        <f t="shared" si="0"/>
        <v>14880.750000000002</v>
      </c>
      <c r="I15" s="19">
        <v>1785.69</v>
      </c>
      <c r="J15" s="19">
        <f t="shared" si="1"/>
        <v>0</v>
      </c>
      <c r="K15" s="19">
        <v>0</v>
      </c>
      <c r="BC15" s="14"/>
      <c r="BD15" s="21" t="s">
        <v>4736</v>
      </c>
    </row>
    <row r="16" spans="1:56" s="3" customFormat="1" ht="21.6" x14ac:dyDescent="0.3">
      <c r="A16" s="16" t="s">
        <v>35</v>
      </c>
      <c r="B16" s="17" t="s">
        <v>4738</v>
      </c>
      <c r="C16" s="405" t="s">
        <v>4739</v>
      </c>
      <c r="D16" s="405"/>
      <c r="E16" s="405"/>
      <c r="F16" s="16" t="s">
        <v>4731</v>
      </c>
      <c r="G16" s="23">
        <v>12</v>
      </c>
      <c r="H16" s="57">
        <f t="shared" si="0"/>
        <v>1148.6716666666666</v>
      </c>
      <c r="I16" s="19">
        <v>13784.06</v>
      </c>
      <c r="J16" s="19">
        <f t="shared" si="1"/>
        <v>0</v>
      </c>
      <c r="K16" s="19">
        <v>0</v>
      </c>
      <c r="BC16" s="14"/>
      <c r="BD16" s="21" t="s">
        <v>4739</v>
      </c>
    </row>
    <row r="17" spans="1:56" s="3" customFormat="1" ht="21.6" x14ac:dyDescent="0.3">
      <c r="A17" s="16" t="s">
        <v>40</v>
      </c>
      <c r="B17" s="17" t="s">
        <v>4740</v>
      </c>
      <c r="C17" s="405" t="s">
        <v>4741</v>
      </c>
      <c r="D17" s="405"/>
      <c r="E17" s="405"/>
      <c r="F17" s="16" t="s">
        <v>4731</v>
      </c>
      <c r="G17" s="23">
        <v>12</v>
      </c>
      <c r="H17" s="57">
        <f t="shared" si="0"/>
        <v>1860.6525000000001</v>
      </c>
      <c r="I17" s="19">
        <v>22327.83</v>
      </c>
      <c r="J17" s="19">
        <f t="shared" si="1"/>
        <v>0</v>
      </c>
      <c r="K17" s="19">
        <v>0</v>
      </c>
      <c r="BC17" s="14"/>
      <c r="BD17" s="21" t="s">
        <v>4741</v>
      </c>
    </row>
    <row r="18" spans="1:56" s="3" customFormat="1" ht="20.25" customHeight="1" x14ac:dyDescent="0.3">
      <c r="A18" s="406" t="s">
        <v>57</v>
      </c>
      <c r="B18" s="407"/>
      <c r="C18" s="407"/>
      <c r="D18" s="407"/>
      <c r="E18" s="407"/>
      <c r="F18" s="407"/>
      <c r="G18" s="407"/>
      <c r="H18" s="66"/>
      <c r="I18" s="67">
        <f>SUM(I12:I17)</f>
        <v>140397.56</v>
      </c>
      <c r="J18" s="67"/>
      <c r="K18" s="87">
        <v>0</v>
      </c>
      <c r="M18" s="56"/>
    </row>
    <row r="19" spans="1:56" s="53" customFormat="1" ht="20.25" customHeight="1" thickBot="1" x14ac:dyDescent="0.35">
      <c r="A19" s="408" t="s">
        <v>5461</v>
      </c>
      <c r="B19" s="409"/>
      <c r="C19" s="409"/>
      <c r="D19" s="409"/>
      <c r="E19" s="409"/>
      <c r="F19" s="409"/>
      <c r="G19" s="409"/>
      <c r="H19" s="88"/>
      <c r="I19" s="410">
        <f>I18+K18</f>
        <v>140397.56</v>
      </c>
      <c r="J19" s="411"/>
      <c r="K19" s="412"/>
      <c r="M19" s="153"/>
    </row>
    <row r="20" spans="1:56" ht="11.25" customHeight="1" x14ac:dyDescent="0.2">
      <c r="M20" s="54"/>
    </row>
  </sheetData>
  <mergeCells count="17">
    <mergeCell ref="A2:K2"/>
    <mergeCell ref="A3:K3"/>
    <mergeCell ref="A5:K5"/>
    <mergeCell ref="A6:K6"/>
    <mergeCell ref="C7:G7"/>
    <mergeCell ref="A18:G18"/>
    <mergeCell ref="A19:G19"/>
    <mergeCell ref="I19:K19"/>
    <mergeCell ref="C9:E9"/>
    <mergeCell ref="C10:E10"/>
    <mergeCell ref="C15:E15"/>
    <mergeCell ref="C16:E16"/>
    <mergeCell ref="C17:E17"/>
    <mergeCell ref="A11:K11"/>
    <mergeCell ref="C12:E12"/>
    <mergeCell ref="C13:E13"/>
    <mergeCell ref="C14:E1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  <pageSetUpPr fitToPage="1"/>
  </sheetPr>
  <dimension ref="A1:BF19"/>
  <sheetViews>
    <sheetView workbookViewId="0">
      <selection activeCell="M8" sqref="M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5.5546875" style="1" customWidth="1"/>
    <col min="5" max="5" width="13.33203125" style="1" customWidth="1"/>
    <col min="6" max="6" width="14.33203125" style="1" customWidth="1"/>
    <col min="7" max="7" width="10.6640625" style="1" customWidth="1"/>
    <col min="8" max="10" width="15.6640625" style="1" customWidth="1"/>
    <col min="11" max="11" width="19.5546875" style="1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4" width="172.5546875" style="2" hidden="1" customWidth="1"/>
    <col min="55" max="55" width="34.109375" style="2" hidden="1" customWidth="1"/>
    <col min="56" max="58" width="127.5546875" style="2" hidden="1" customWidth="1"/>
    <col min="59" max="16384" width="9.109375" style="1"/>
  </cols>
  <sheetData>
    <row r="1" spans="1:55" s="3" customFormat="1" ht="14.4" x14ac:dyDescent="0.3">
      <c r="A1" s="95" t="s">
        <v>5573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5" s="3" customFormat="1" ht="30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5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5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5" s="3" customFormat="1" ht="14.4" x14ac:dyDescent="0.3">
      <c r="A5" s="403" t="s">
        <v>5439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AC5" s="6" t="s">
        <v>5439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5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5" s="3" customFormat="1" ht="14.4" x14ac:dyDescent="0.3">
      <c r="A7" s="4"/>
      <c r="B7" s="8" t="s">
        <v>5</v>
      </c>
      <c r="C7" s="402" t="s">
        <v>5440</v>
      </c>
      <c r="D7" s="402"/>
      <c r="E7" s="402"/>
      <c r="F7" s="402"/>
      <c r="G7" s="402"/>
      <c r="H7" s="11"/>
      <c r="I7" s="9"/>
      <c r="J7" s="9"/>
      <c r="K7" s="9"/>
    </row>
    <row r="8" spans="1:55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9"/>
      <c r="J8" s="9"/>
      <c r="K8" s="9"/>
    </row>
    <row r="9" spans="1:55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5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5" s="3" customFormat="1" ht="14.4" x14ac:dyDescent="0.3">
      <c r="A11" s="446" t="s">
        <v>4726</v>
      </c>
      <c r="B11" s="447"/>
      <c r="C11" s="447"/>
      <c r="D11" s="447"/>
      <c r="E11" s="447"/>
      <c r="F11" s="447"/>
      <c r="G11" s="447"/>
      <c r="H11" s="447"/>
      <c r="I11" s="447"/>
      <c r="J11" s="447"/>
      <c r="K11" s="448"/>
      <c r="BB11" s="14" t="s">
        <v>4726</v>
      </c>
    </row>
    <row r="12" spans="1:55" s="3" customFormat="1" ht="31.8" x14ac:dyDescent="0.3">
      <c r="A12" s="16" t="s">
        <v>15</v>
      </c>
      <c r="B12" s="17" t="s">
        <v>4727</v>
      </c>
      <c r="C12" s="405" t="s">
        <v>4728</v>
      </c>
      <c r="D12" s="405"/>
      <c r="E12" s="405"/>
      <c r="F12" s="16" t="s">
        <v>38</v>
      </c>
      <c r="G12" s="23">
        <v>8</v>
      </c>
      <c r="H12" s="23">
        <f>I12/G12</f>
        <v>941.53499999999997</v>
      </c>
      <c r="I12" s="19">
        <v>7532.28</v>
      </c>
      <c r="J12" s="19">
        <f>K12/G12</f>
        <v>0</v>
      </c>
      <c r="K12" s="19">
        <v>0</v>
      </c>
      <c r="BB12" s="14"/>
      <c r="BC12" s="21" t="s">
        <v>4728</v>
      </c>
    </row>
    <row r="13" spans="1:55" s="3" customFormat="1" ht="21.6" x14ac:dyDescent="0.3">
      <c r="A13" s="16" t="s">
        <v>20</v>
      </c>
      <c r="B13" s="17" t="s">
        <v>4729</v>
      </c>
      <c r="C13" s="405" t="s">
        <v>4730</v>
      </c>
      <c r="D13" s="405"/>
      <c r="E13" s="405"/>
      <c r="F13" s="16" t="s">
        <v>4731</v>
      </c>
      <c r="G13" s="23">
        <v>8</v>
      </c>
      <c r="H13" s="23">
        <f t="shared" ref="H13:H17" si="0">I13/G13</f>
        <v>92.361249999999998</v>
      </c>
      <c r="I13" s="19">
        <v>738.89</v>
      </c>
      <c r="J13" s="19">
        <f t="shared" ref="J13:J17" si="1">K13/G13</f>
        <v>0</v>
      </c>
      <c r="K13" s="19">
        <v>0</v>
      </c>
      <c r="BB13" s="14"/>
      <c r="BC13" s="21" t="s">
        <v>4730</v>
      </c>
    </row>
    <row r="14" spans="1:55" s="3" customFormat="1" ht="21.6" x14ac:dyDescent="0.3">
      <c r="A14" s="16" t="s">
        <v>22</v>
      </c>
      <c r="B14" s="17" t="s">
        <v>4732</v>
      </c>
      <c r="C14" s="405" t="s">
        <v>4733</v>
      </c>
      <c r="D14" s="405"/>
      <c r="E14" s="405"/>
      <c r="F14" s="16" t="s">
        <v>4734</v>
      </c>
      <c r="G14" s="23">
        <v>8</v>
      </c>
      <c r="H14" s="23">
        <f t="shared" si="0"/>
        <v>4995.5162499999997</v>
      </c>
      <c r="I14" s="19">
        <v>39964.129999999997</v>
      </c>
      <c r="J14" s="19">
        <f t="shared" si="1"/>
        <v>0</v>
      </c>
      <c r="K14" s="19">
        <v>0</v>
      </c>
      <c r="BB14" s="14"/>
      <c r="BC14" s="21" t="s">
        <v>4733</v>
      </c>
    </row>
    <row r="15" spans="1:55" s="3" customFormat="1" ht="31.8" x14ac:dyDescent="0.3">
      <c r="A15" s="16" t="s">
        <v>27</v>
      </c>
      <c r="B15" s="17" t="s">
        <v>4735</v>
      </c>
      <c r="C15" s="405" t="s">
        <v>4736</v>
      </c>
      <c r="D15" s="405"/>
      <c r="E15" s="405"/>
      <c r="F15" s="16" t="s">
        <v>4737</v>
      </c>
      <c r="G15" s="31">
        <v>0.39</v>
      </c>
      <c r="H15" s="23">
        <f t="shared" si="0"/>
        <v>14880.76923076923</v>
      </c>
      <c r="I15" s="19">
        <v>5803.5</v>
      </c>
      <c r="J15" s="19">
        <f t="shared" si="1"/>
        <v>0</v>
      </c>
      <c r="K15" s="19">
        <v>0</v>
      </c>
      <c r="BB15" s="14"/>
      <c r="BC15" s="21" t="s">
        <v>4736</v>
      </c>
    </row>
    <row r="16" spans="1:55" s="3" customFormat="1" ht="21.6" x14ac:dyDescent="0.3">
      <c r="A16" s="16" t="s">
        <v>35</v>
      </c>
      <c r="B16" s="17" t="s">
        <v>4738</v>
      </c>
      <c r="C16" s="405" t="s">
        <v>4739</v>
      </c>
      <c r="D16" s="405"/>
      <c r="E16" s="405"/>
      <c r="F16" s="16" t="s">
        <v>4731</v>
      </c>
      <c r="G16" s="23">
        <v>39</v>
      </c>
      <c r="H16" s="23">
        <f t="shared" si="0"/>
        <v>1148.6725641025641</v>
      </c>
      <c r="I16" s="19">
        <v>44798.23</v>
      </c>
      <c r="J16" s="19">
        <f t="shared" si="1"/>
        <v>0</v>
      </c>
      <c r="K16" s="19">
        <v>0</v>
      </c>
      <c r="BB16" s="14"/>
      <c r="BC16" s="21" t="s">
        <v>4739</v>
      </c>
    </row>
    <row r="17" spans="1:55" s="3" customFormat="1" ht="21.6" x14ac:dyDescent="0.3">
      <c r="A17" s="16" t="s">
        <v>40</v>
      </c>
      <c r="B17" s="17" t="s">
        <v>4740</v>
      </c>
      <c r="C17" s="405" t="s">
        <v>4741</v>
      </c>
      <c r="D17" s="405"/>
      <c r="E17" s="405"/>
      <c r="F17" s="16" t="s">
        <v>4731</v>
      </c>
      <c r="G17" s="23">
        <v>39</v>
      </c>
      <c r="H17" s="23">
        <f t="shared" si="0"/>
        <v>1860.6528205128207</v>
      </c>
      <c r="I17" s="19">
        <v>72565.460000000006</v>
      </c>
      <c r="J17" s="19">
        <f t="shared" si="1"/>
        <v>0</v>
      </c>
      <c r="K17" s="19">
        <v>0</v>
      </c>
      <c r="BB17" s="14"/>
      <c r="BC17" s="21" t="s">
        <v>4741</v>
      </c>
    </row>
    <row r="18" spans="1:55" s="3" customFormat="1" ht="20.25" customHeight="1" x14ac:dyDescent="0.3">
      <c r="A18" s="406" t="s">
        <v>57</v>
      </c>
      <c r="B18" s="407"/>
      <c r="C18" s="407"/>
      <c r="D18" s="407"/>
      <c r="E18" s="407"/>
      <c r="F18" s="407"/>
      <c r="G18" s="407"/>
      <c r="H18" s="66"/>
      <c r="I18" s="67">
        <f>SUM(I12:I17)</f>
        <v>171402.49</v>
      </c>
      <c r="J18" s="67"/>
      <c r="K18" s="87">
        <v>0</v>
      </c>
    </row>
    <row r="19" spans="1:55" s="53" customFormat="1" ht="20.25" customHeight="1" thickBot="1" x14ac:dyDescent="0.35">
      <c r="A19" s="408" t="s">
        <v>5461</v>
      </c>
      <c r="B19" s="409"/>
      <c r="C19" s="409"/>
      <c r="D19" s="409"/>
      <c r="E19" s="409"/>
      <c r="F19" s="409"/>
      <c r="G19" s="409"/>
      <c r="H19" s="88"/>
      <c r="I19" s="410">
        <f>I18+K18</f>
        <v>171402.49</v>
      </c>
      <c r="J19" s="411"/>
      <c r="K19" s="412"/>
    </row>
  </sheetData>
  <mergeCells count="17">
    <mergeCell ref="A2:K2"/>
    <mergeCell ref="A3:K3"/>
    <mergeCell ref="A5:K5"/>
    <mergeCell ref="A6:K6"/>
    <mergeCell ref="C7:G7"/>
    <mergeCell ref="A18:G18"/>
    <mergeCell ref="A19:G19"/>
    <mergeCell ref="I19:K19"/>
    <mergeCell ref="C9:E9"/>
    <mergeCell ref="C10:E10"/>
    <mergeCell ref="C15:E15"/>
    <mergeCell ref="C16:E16"/>
    <mergeCell ref="C17:E17"/>
    <mergeCell ref="A11:K11"/>
    <mergeCell ref="C12:E12"/>
    <mergeCell ref="C13:E13"/>
    <mergeCell ref="C14:E1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50"/>
    <pageSetUpPr fitToPage="1"/>
  </sheetPr>
  <dimension ref="A1:BK316"/>
  <sheetViews>
    <sheetView topLeftCell="A40" workbookViewId="0">
      <selection activeCell="BL46" sqref="BL46"/>
    </sheetView>
  </sheetViews>
  <sheetFormatPr defaultColWidth="9.109375" defaultRowHeight="11.25" customHeight="1" x14ac:dyDescent="0.2"/>
  <cols>
    <col min="1" max="1" width="10.44140625" style="1" customWidth="1"/>
    <col min="2" max="2" width="25.109375" style="1" customWidth="1"/>
    <col min="3" max="3" width="10.44140625" style="1" customWidth="1"/>
    <col min="4" max="4" width="15.5546875" style="1" customWidth="1"/>
    <col min="5" max="5" width="18.33203125" style="1" customWidth="1"/>
    <col min="6" max="7" width="10.6640625" style="1" customWidth="1"/>
    <col min="8" max="11" width="16.5546875" style="54" customWidth="1"/>
    <col min="12" max="12" width="10.6640625" style="1" customWidth="1"/>
    <col min="13" max="13" width="14.44140625" style="1" customWidth="1"/>
    <col min="14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5574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33.7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5156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5156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30.75" customHeight="1" x14ac:dyDescent="0.3">
      <c r="A7" s="4"/>
      <c r="B7" s="8" t="s">
        <v>5</v>
      </c>
      <c r="C7" s="402" t="s">
        <v>5157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5" customHeight="1" x14ac:dyDescent="0.3">
      <c r="A11" s="435" t="s">
        <v>5158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5158</v>
      </c>
    </row>
    <row r="12" spans="1:57" s="3" customFormat="1" ht="15" customHeight="1" x14ac:dyDescent="0.3">
      <c r="A12" s="437" t="s">
        <v>3335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C12" s="14"/>
      <c r="BD12" s="15" t="s">
        <v>3335</v>
      </c>
    </row>
    <row r="13" spans="1:57" s="3" customFormat="1" ht="31.8" x14ac:dyDescent="0.3">
      <c r="A13" s="16" t="s">
        <v>15</v>
      </c>
      <c r="B13" s="17" t="s">
        <v>592</v>
      </c>
      <c r="C13" s="405" t="s">
        <v>593</v>
      </c>
      <c r="D13" s="405"/>
      <c r="E13" s="405"/>
      <c r="F13" s="16" t="s">
        <v>43</v>
      </c>
      <c r="G13" s="44">
        <v>2.4549999999999999E-2</v>
      </c>
      <c r="H13" s="57">
        <f>I13/G13</f>
        <v>37096.537678207744</v>
      </c>
      <c r="I13" s="19">
        <f>910.72-K13</f>
        <v>910.72</v>
      </c>
      <c r="J13" s="19">
        <f>K13/G13</f>
        <v>0</v>
      </c>
      <c r="K13" s="19">
        <v>0</v>
      </c>
      <c r="BC13" s="14"/>
      <c r="BD13" s="15"/>
      <c r="BE13" s="21" t="s">
        <v>593</v>
      </c>
    </row>
    <row r="14" spans="1:57" s="3" customFormat="1" ht="26.25" customHeight="1" x14ac:dyDescent="0.3">
      <c r="A14" s="437" t="s">
        <v>3338</v>
      </c>
      <c r="B14" s="418"/>
      <c r="C14" s="418"/>
      <c r="D14" s="418"/>
      <c r="E14" s="418"/>
      <c r="F14" s="418"/>
      <c r="G14" s="418"/>
      <c r="H14" s="123"/>
      <c r="I14" s="123"/>
      <c r="J14" s="123"/>
      <c r="K14" s="124"/>
      <c r="BC14" s="14"/>
      <c r="BD14" s="15" t="s">
        <v>3338</v>
      </c>
      <c r="BE14" s="21"/>
    </row>
    <row r="15" spans="1:57" s="3" customFormat="1" ht="52.2" x14ac:dyDescent="0.3">
      <c r="A15" s="16" t="s">
        <v>20</v>
      </c>
      <c r="B15" s="17" t="s">
        <v>5159</v>
      </c>
      <c r="C15" s="405" t="s">
        <v>5160</v>
      </c>
      <c r="D15" s="405"/>
      <c r="E15" s="405"/>
      <c r="F15" s="16" t="s">
        <v>43</v>
      </c>
      <c r="G15" s="30">
        <v>9.1000000000000004E-3</v>
      </c>
      <c r="H15" s="57">
        <f>I15/G15</f>
        <v>60408.791208791212</v>
      </c>
      <c r="I15" s="19">
        <f>549.72-K15</f>
        <v>549.72</v>
      </c>
      <c r="J15" s="19">
        <f>K15/G15</f>
        <v>0</v>
      </c>
      <c r="K15" s="19">
        <v>0</v>
      </c>
      <c r="BC15" s="14"/>
      <c r="BD15" s="15"/>
      <c r="BE15" s="21" t="s">
        <v>5160</v>
      </c>
    </row>
    <row r="16" spans="1:57" s="3" customFormat="1" ht="42" x14ac:dyDescent="0.3">
      <c r="A16" s="16" t="s">
        <v>22</v>
      </c>
      <c r="B16" s="17" t="s">
        <v>48</v>
      </c>
      <c r="C16" s="405" t="s">
        <v>49</v>
      </c>
      <c r="D16" s="405"/>
      <c r="E16" s="405"/>
      <c r="F16" s="16" t="s">
        <v>50</v>
      </c>
      <c r="G16" s="24">
        <v>18.2</v>
      </c>
      <c r="H16" s="57">
        <f>I16/G16</f>
        <v>598.37582417582428</v>
      </c>
      <c r="I16" s="19">
        <v>10890.44</v>
      </c>
      <c r="J16" s="19">
        <f>K16/G16</f>
        <v>0</v>
      </c>
      <c r="K16" s="19">
        <v>0</v>
      </c>
      <c r="BC16" s="14"/>
      <c r="BD16" s="15"/>
      <c r="BE16" s="21" t="s">
        <v>49</v>
      </c>
    </row>
    <row r="17" spans="1:60" s="3" customFormat="1" ht="15" customHeight="1" x14ac:dyDescent="0.3">
      <c r="A17" s="437" t="s">
        <v>5161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24"/>
      <c r="BC17" s="14"/>
      <c r="BD17" s="15" t="s">
        <v>5161</v>
      </c>
      <c r="BE17" s="21"/>
    </row>
    <row r="18" spans="1:60" s="3" customFormat="1" ht="31.8" x14ac:dyDescent="0.3">
      <c r="A18" s="16" t="s">
        <v>27</v>
      </c>
      <c r="B18" s="17" t="s">
        <v>1732</v>
      </c>
      <c r="C18" s="405" t="s">
        <v>1733</v>
      </c>
      <c r="D18" s="405"/>
      <c r="E18" s="405"/>
      <c r="F18" s="16" t="s">
        <v>125</v>
      </c>
      <c r="G18" s="30">
        <v>3.7400000000000003E-2</v>
      </c>
      <c r="H18" s="57">
        <f>I18/G18</f>
        <v>140948.39572192513</v>
      </c>
      <c r="I18" s="19">
        <f>5271.47-K18</f>
        <v>5271.47</v>
      </c>
      <c r="J18" s="19">
        <f>K18/G18</f>
        <v>0</v>
      </c>
      <c r="K18" s="19">
        <v>0</v>
      </c>
      <c r="BC18" s="14"/>
      <c r="BD18" s="15"/>
      <c r="BE18" s="21" t="s">
        <v>1733</v>
      </c>
    </row>
    <row r="19" spans="1:60" s="3" customFormat="1" ht="15" customHeight="1" x14ac:dyDescent="0.3">
      <c r="A19" s="437" t="s">
        <v>5162</v>
      </c>
      <c r="B19" s="418"/>
      <c r="C19" s="418"/>
      <c r="D19" s="418"/>
      <c r="E19" s="418"/>
      <c r="F19" s="418"/>
      <c r="G19" s="418"/>
      <c r="H19" s="123"/>
      <c r="I19" s="123"/>
      <c r="J19" s="123"/>
      <c r="K19" s="124"/>
      <c r="BC19" s="14"/>
      <c r="BD19" s="15" t="s">
        <v>5162</v>
      </c>
      <c r="BE19" s="21"/>
    </row>
    <row r="20" spans="1:60" s="3" customFormat="1" ht="21.6" x14ac:dyDescent="0.3">
      <c r="A20" s="16" t="s">
        <v>35</v>
      </c>
      <c r="B20" s="17" t="s">
        <v>1601</v>
      </c>
      <c r="C20" s="405" t="s">
        <v>1602</v>
      </c>
      <c r="D20" s="405"/>
      <c r="E20" s="405"/>
      <c r="F20" s="16" t="s">
        <v>102</v>
      </c>
      <c r="G20" s="18">
        <v>0.30399999999999999</v>
      </c>
      <c r="H20" s="57">
        <f>I20/G20</f>
        <v>11010.065789473685</v>
      </c>
      <c r="I20" s="19">
        <f>5122.43-K20</f>
        <v>3347.0600000000004</v>
      </c>
      <c r="J20" s="19">
        <f>K20/G20</f>
        <v>5840.0328947368416</v>
      </c>
      <c r="K20" s="19">
        <v>1775.37</v>
      </c>
      <c r="BC20" s="14"/>
      <c r="BD20" s="15"/>
      <c r="BE20" s="21" t="s">
        <v>1602</v>
      </c>
    </row>
    <row r="21" spans="1:60" s="3" customFormat="1" ht="20.399999999999999" x14ac:dyDescent="0.3">
      <c r="A21" s="37" t="s">
        <v>143</v>
      </c>
      <c r="B21" s="38" t="s">
        <v>767</v>
      </c>
      <c r="C21" s="430" t="s">
        <v>768</v>
      </c>
      <c r="D21" s="430"/>
      <c r="E21" s="430"/>
      <c r="F21" s="39" t="s">
        <v>46</v>
      </c>
      <c r="G21" s="40" t="s">
        <v>5163</v>
      </c>
      <c r="H21" s="100"/>
      <c r="I21" s="41"/>
      <c r="J21" s="41"/>
      <c r="K21" s="42"/>
      <c r="BC21" s="14"/>
      <c r="BD21" s="15"/>
      <c r="BE21" s="21"/>
      <c r="BF21" s="43" t="s">
        <v>768</v>
      </c>
    </row>
    <row r="22" spans="1:60" s="3" customFormat="1" ht="21.6" x14ac:dyDescent="0.3">
      <c r="A22" s="25" t="s">
        <v>129</v>
      </c>
      <c r="B22" s="26" t="s">
        <v>205</v>
      </c>
      <c r="C22" s="419" t="s">
        <v>82</v>
      </c>
      <c r="D22" s="419"/>
      <c r="E22" s="419"/>
      <c r="F22" s="27" t="s">
        <v>46</v>
      </c>
      <c r="G22" s="22" t="s">
        <v>5163</v>
      </c>
      <c r="H22" s="57"/>
      <c r="I22" s="28"/>
      <c r="J22" s="19"/>
      <c r="K22" s="19"/>
      <c r="BC22" s="14"/>
      <c r="BD22" s="15"/>
      <c r="BE22" s="21"/>
      <c r="BF22" s="43"/>
      <c r="BG22" s="12" t="s">
        <v>82</v>
      </c>
    </row>
    <row r="23" spans="1:60" s="3" customFormat="1" ht="15" customHeight="1" x14ac:dyDescent="0.3">
      <c r="A23" s="437" t="s">
        <v>5164</v>
      </c>
      <c r="B23" s="418"/>
      <c r="C23" s="418"/>
      <c r="D23" s="418"/>
      <c r="E23" s="418"/>
      <c r="F23" s="418"/>
      <c r="G23" s="418"/>
      <c r="H23" s="123"/>
      <c r="I23" s="123"/>
      <c r="J23" s="123"/>
      <c r="K23" s="124"/>
      <c r="BC23" s="14"/>
      <c r="BD23" s="15" t="s">
        <v>5164</v>
      </c>
      <c r="BE23" s="21"/>
      <c r="BF23" s="43"/>
      <c r="BG23" s="12"/>
    </row>
    <row r="24" spans="1:60" s="3" customFormat="1" ht="31.8" x14ac:dyDescent="0.3">
      <c r="A24" s="16" t="s">
        <v>40</v>
      </c>
      <c r="B24" s="17" t="s">
        <v>5165</v>
      </c>
      <c r="C24" s="405" t="s">
        <v>5166</v>
      </c>
      <c r="D24" s="405"/>
      <c r="E24" s="405"/>
      <c r="F24" s="16" t="s">
        <v>67</v>
      </c>
      <c r="G24" s="18">
        <v>0.27200000000000002</v>
      </c>
      <c r="H24" s="57">
        <f>I24/G24</f>
        <v>54088.345588235294</v>
      </c>
      <c r="I24" s="19">
        <f>29165.34-K24</f>
        <v>14712.03</v>
      </c>
      <c r="J24" s="19">
        <f>K24/G24</f>
        <v>53137.169117647056</v>
      </c>
      <c r="K24" s="19">
        <v>14453.31</v>
      </c>
      <c r="BC24" s="14"/>
      <c r="BD24" s="15"/>
      <c r="BE24" s="21" t="s">
        <v>5166</v>
      </c>
      <c r="BF24" s="43"/>
      <c r="BG24" s="12"/>
    </row>
    <row r="25" spans="1:60" s="3" customFormat="1" ht="20.399999999999999" x14ac:dyDescent="0.3">
      <c r="A25" s="25"/>
      <c r="B25" s="26" t="s">
        <v>5167</v>
      </c>
      <c r="C25" s="419" t="s">
        <v>5168</v>
      </c>
      <c r="D25" s="419"/>
      <c r="E25" s="419"/>
      <c r="F25" s="27" t="s">
        <v>70</v>
      </c>
      <c r="G25" s="22" t="s">
        <v>5169</v>
      </c>
      <c r="H25" s="58"/>
      <c r="I25" s="28"/>
      <c r="J25" s="28"/>
      <c r="K25" s="29"/>
      <c r="BC25" s="14"/>
      <c r="BD25" s="15"/>
      <c r="BE25" s="21"/>
      <c r="BF25" s="43"/>
      <c r="BG25" s="12"/>
      <c r="BH25" s="12" t="s">
        <v>5168</v>
      </c>
    </row>
    <row r="26" spans="1:60" s="3" customFormat="1" ht="20.399999999999999" x14ac:dyDescent="0.3">
      <c r="A26" s="25"/>
      <c r="B26" s="26" t="s">
        <v>384</v>
      </c>
      <c r="C26" s="419" t="s">
        <v>385</v>
      </c>
      <c r="D26" s="419"/>
      <c r="E26" s="419"/>
      <c r="F26" s="27" t="s">
        <v>46</v>
      </c>
      <c r="G26" s="22" t="s">
        <v>5170</v>
      </c>
      <c r="H26" s="58"/>
      <c r="I26" s="28"/>
      <c r="J26" s="28"/>
      <c r="K26" s="29"/>
      <c r="BC26" s="14"/>
      <c r="BD26" s="15"/>
      <c r="BE26" s="21"/>
      <c r="BF26" s="43"/>
      <c r="BG26" s="12"/>
      <c r="BH26" s="12" t="s">
        <v>385</v>
      </c>
    </row>
    <row r="27" spans="1:60" s="3" customFormat="1" ht="20.399999999999999" x14ac:dyDescent="0.3">
      <c r="A27" s="25"/>
      <c r="B27" s="26" t="s">
        <v>154</v>
      </c>
      <c r="C27" s="419" t="s">
        <v>155</v>
      </c>
      <c r="D27" s="419"/>
      <c r="E27" s="419"/>
      <c r="F27" s="27" t="s">
        <v>46</v>
      </c>
      <c r="G27" s="22" t="s">
        <v>5171</v>
      </c>
      <c r="H27" s="58"/>
      <c r="I27" s="28"/>
      <c r="J27" s="28"/>
      <c r="K27" s="29"/>
      <c r="BC27" s="14"/>
      <c r="BD27" s="15"/>
      <c r="BE27" s="21"/>
      <c r="BF27" s="43"/>
      <c r="BG27" s="12"/>
      <c r="BH27" s="12" t="s">
        <v>155</v>
      </c>
    </row>
    <row r="28" spans="1:60" s="3" customFormat="1" ht="20.399999999999999" x14ac:dyDescent="0.3">
      <c r="A28" s="25"/>
      <c r="B28" s="26" t="s">
        <v>1783</v>
      </c>
      <c r="C28" s="419" t="s">
        <v>1784</v>
      </c>
      <c r="D28" s="419"/>
      <c r="E28" s="419"/>
      <c r="F28" s="27" t="s">
        <v>75</v>
      </c>
      <c r="G28" s="22" t="s">
        <v>5172</v>
      </c>
      <c r="H28" s="58"/>
      <c r="I28" s="28"/>
      <c r="J28" s="28"/>
      <c r="K28" s="29"/>
      <c r="BC28" s="14"/>
      <c r="BD28" s="15"/>
      <c r="BE28" s="21"/>
      <c r="BF28" s="43"/>
      <c r="BG28" s="12"/>
      <c r="BH28" s="12" t="s">
        <v>1784</v>
      </c>
    </row>
    <row r="29" spans="1:60" s="3" customFormat="1" ht="21.6" x14ac:dyDescent="0.3">
      <c r="A29" s="25"/>
      <c r="B29" s="26" t="s">
        <v>5173</v>
      </c>
      <c r="C29" s="419" t="s">
        <v>5174</v>
      </c>
      <c r="D29" s="419"/>
      <c r="E29" s="419"/>
      <c r="F29" s="27" t="s">
        <v>70</v>
      </c>
      <c r="G29" s="22" t="s">
        <v>5175</v>
      </c>
      <c r="H29" s="58"/>
      <c r="I29" s="28"/>
      <c r="J29" s="28"/>
      <c r="K29" s="29"/>
      <c r="BC29" s="14"/>
      <c r="BD29" s="15"/>
      <c r="BE29" s="21"/>
      <c r="BF29" s="43"/>
      <c r="BG29" s="12"/>
      <c r="BH29" s="12" t="s">
        <v>5174</v>
      </c>
    </row>
    <row r="30" spans="1:60" s="3" customFormat="1" ht="21.6" x14ac:dyDescent="0.3">
      <c r="A30" s="25"/>
      <c r="B30" s="26" t="s">
        <v>1810</v>
      </c>
      <c r="C30" s="419" t="s">
        <v>1811</v>
      </c>
      <c r="D30" s="419"/>
      <c r="E30" s="419"/>
      <c r="F30" s="27" t="s">
        <v>75</v>
      </c>
      <c r="G30" s="22" t="s">
        <v>5176</v>
      </c>
      <c r="H30" s="58"/>
      <c r="I30" s="28"/>
      <c r="J30" s="28"/>
      <c r="K30" s="29"/>
      <c r="BC30" s="14"/>
      <c r="BD30" s="15"/>
      <c r="BE30" s="21"/>
      <c r="BF30" s="43"/>
      <c r="BG30" s="12"/>
      <c r="BH30" s="12" t="s">
        <v>1811</v>
      </c>
    </row>
    <row r="31" spans="1:60" s="3" customFormat="1" ht="21.6" x14ac:dyDescent="0.3">
      <c r="A31" s="25"/>
      <c r="B31" s="26" t="s">
        <v>839</v>
      </c>
      <c r="C31" s="419" t="s">
        <v>840</v>
      </c>
      <c r="D31" s="419"/>
      <c r="E31" s="419"/>
      <c r="F31" s="27" t="s">
        <v>75</v>
      </c>
      <c r="G31" s="22" t="s">
        <v>5177</v>
      </c>
      <c r="H31" s="58"/>
      <c r="I31" s="28"/>
      <c r="J31" s="28"/>
      <c r="K31" s="29"/>
      <c r="BC31" s="14"/>
      <c r="BD31" s="15"/>
      <c r="BE31" s="21"/>
      <c r="BF31" s="43"/>
      <c r="BG31" s="12"/>
      <c r="BH31" s="12" t="s">
        <v>840</v>
      </c>
    </row>
    <row r="32" spans="1:60" s="3" customFormat="1" ht="31.8" x14ac:dyDescent="0.3">
      <c r="A32" s="25"/>
      <c r="B32" s="26" t="s">
        <v>1241</v>
      </c>
      <c r="C32" s="419" t="s">
        <v>1242</v>
      </c>
      <c r="D32" s="419"/>
      <c r="E32" s="419"/>
      <c r="F32" s="27" t="s">
        <v>70</v>
      </c>
      <c r="G32" s="22" t="s">
        <v>5178</v>
      </c>
      <c r="H32" s="58"/>
      <c r="I32" s="28"/>
      <c r="J32" s="28"/>
      <c r="K32" s="29"/>
      <c r="BC32" s="14"/>
      <c r="BD32" s="15"/>
      <c r="BE32" s="21"/>
      <c r="BF32" s="43"/>
      <c r="BG32" s="12"/>
      <c r="BH32" s="12" t="s">
        <v>1242</v>
      </c>
    </row>
    <row r="33" spans="1:60" s="3" customFormat="1" ht="20.399999999999999" x14ac:dyDescent="0.3">
      <c r="A33" s="37" t="s">
        <v>78</v>
      </c>
      <c r="B33" s="38" t="s">
        <v>1818</v>
      </c>
      <c r="C33" s="430" t="s">
        <v>1819</v>
      </c>
      <c r="D33" s="430"/>
      <c r="E33" s="430"/>
      <c r="F33" s="39" t="s">
        <v>38</v>
      </c>
      <c r="G33" s="40" t="s">
        <v>33</v>
      </c>
      <c r="H33" s="100"/>
      <c r="I33" s="41"/>
      <c r="J33" s="41"/>
      <c r="K33" s="42"/>
      <c r="BC33" s="14"/>
      <c r="BD33" s="15"/>
      <c r="BE33" s="21"/>
      <c r="BF33" s="43" t="s">
        <v>1819</v>
      </c>
      <c r="BG33" s="12"/>
      <c r="BH33" s="12"/>
    </row>
    <row r="34" spans="1:60" s="3" customFormat="1" ht="20.399999999999999" x14ac:dyDescent="0.3">
      <c r="A34" s="37" t="s">
        <v>143</v>
      </c>
      <c r="B34" s="38" t="s">
        <v>5179</v>
      </c>
      <c r="C34" s="430" t="s">
        <v>5180</v>
      </c>
      <c r="D34" s="430"/>
      <c r="E34" s="430"/>
      <c r="F34" s="39" t="s">
        <v>115</v>
      </c>
      <c r="G34" s="40" t="s">
        <v>5181</v>
      </c>
      <c r="H34" s="100"/>
      <c r="I34" s="41"/>
      <c r="J34" s="41"/>
      <c r="K34" s="42"/>
      <c r="BC34" s="14"/>
      <c r="BD34" s="15"/>
      <c r="BE34" s="21"/>
      <c r="BF34" s="43" t="s">
        <v>5180</v>
      </c>
      <c r="BG34" s="12"/>
      <c r="BH34" s="12"/>
    </row>
    <row r="35" spans="1:60" s="3" customFormat="1" ht="20.399999999999999" x14ac:dyDescent="0.3">
      <c r="A35" s="37" t="s">
        <v>78</v>
      </c>
      <c r="B35" s="38" t="s">
        <v>1820</v>
      </c>
      <c r="C35" s="430" t="s">
        <v>1523</v>
      </c>
      <c r="D35" s="430"/>
      <c r="E35" s="430"/>
      <c r="F35" s="39" t="s">
        <v>75</v>
      </c>
      <c r="G35" s="40" t="s">
        <v>33</v>
      </c>
      <c r="H35" s="100"/>
      <c r="I35" s="41"/>
      <c r="J35" s="41"/>
      <c r="K35" s="42"/>
      <c r="BC35" s="14"/>
      <c r="BD35" s="15"/>
      <c r="BE35" s="21"/>
      <c r="BF35" s="43" t="s">
        <v>1523</v>
      </c>
      <c r="BG35" s="12"/>
      <c r="BH35" s="12"/>
    </row>
    <row r="36" spans="1:60" s="3" customFormat="1" ht="42" x14ac:dyDescent="0.3">
      <c r="A36" s="25" t="s">
        <v>129</v>
      </c>
      <c r="B36" s="26" t="s">
        <v>5182</v>
      </c>
      <c r="C36" s="419" t="s">
        <v>5183</v>
      </c>
      <c r="D36" s="419"/>
      <c r="E36" s="419"/>
      <c r="F36" s="27" t="s">
        <v>115</v>
      </c>
      <c r="G36" s="22" t="s">
        <v>5181</v>
      </c>
      <c r="H36" s="57"/>
      <c r="I36" s="28"/>
      <c r="J36" s="19"/>
      <c r="K36" s="19"/>
      <c r="BC36" s="14"/>
      <c r="BD36" s="15"/>
      <c r="BE36" s="21"/>
      <c r="BF36" s="43"/>
      <c r="BG36" s="12" t="s">
        <v>5183</v>
      </c>
      <c r="BH36" s="12"/>
    </row>
    <row r="37" spans="1:60" s="3" customFormat="1" ht="15" customHeight="1" x14ac:dyDescent="0.3">
      <c r="A37" s="437" t="s">
        <v>5184</v>
      </c>
      <c r="B37" s="418"/>
      <c r="C37" s="418"/>
      <c r="D37" s="418"/>
      <c r="E37" s="418"/>
      <c r="F37" s="418"/>
      <c r="G37" s="418"/>
      <c r="H37" s="123"/>
      <c r="I37" s="123"/>
      <c r="J37" s="123"/>
      <c r="K37" s="124"/>
      <c r="BC37" s="14"/>
      <c r="BD37" s="15" t="s">
        <v>5184</v>
      </c>
      <c r="BE37" s="21"/>
      <c r="BF37" s="43"/>
      <c r="BG37" s="12"/>
      <c r="BH37" s="12"/>
    </row>
    <row r="38" spans="1:60" s="3" customFormat="1" ht="21.6" x14ac:dyDescent="0.3">
      <c r="A38" s="16" t="s">
        <v>47</v>
      </c>
      <c r="B38" s="17" t="s">
        <v>5185</v>
      </c>
      <c r="C38" s="405" t="s">
        <v>5186</v>
      </c>
      <c r="D38" s="405"/>
      <c r="E38" s="405"/>
      <c r="F38" s="16" t="s">
        <v>70</v>
      </c>
      <c r="G38" s="46">
        <v>8.8881000000000002E-2</v>
      </c>
      <c r="H38" s="57">
        <f>I38/G38</f>
        <v>54728.119620616337</v>
      </c>
      <c r="I38" s="19">
        <f>16255.77-K38</f>
        <v>4864.2900000000009</v>
      </c>
      <c r="J38" s="19">
        <f>K38/G38</f>
        <v>128165.52469031626</v>
      </c>
      <c r="K38" s="19">
        <v>11391.48</v>
      </c>
      <c r="BC38" s="14"/>
      <c r="BD38" s="15"/>
      <c r="BE38" s="21" t="s">
        <v>5186</v>
      </c>
      <c r="BF38" s="43"/>
      <c r="BG38" s="12"/>
      <c r="BH38" s="12"/>
    </row>
    <row r="39" spans="1:60" s="3" customFormat="1" ht="20.399999999999999" x14ac:dyDescent="0.3">
      <c r="A39" s="25"/>
      <c r="B39" s="26" t="s">
        <v>277</v>
      </c>
      <c r="C39" s="419" t="s">
        <v>278</v>
      </c>
      <c r="D39" s="419"/>
      <c r="E39" s="419"/>
      <c r="F39" s="27" t="s">
        <v>70</v>
      </c>
      <c r="G39" s="22" t="s">
        <v>5187</v>
      </c>
      <c r="H39" s="58"/>
      <c r="I39" s="28"/>
      <c r="J39" s="28"/>
      <c r="K39" s="29"/>
      <c r="BC39" s="14"/>
      <c r="BD39" s="15"/>
      <c r="BE39" s="21"/>
      <c r="BF39" s="43"/>
      <c r="BG39" s="12"/>
      <c r="BH39" s="12" t="s">
        <v>278</v>
      </c>
    </row>
    <row r="40" spans="1:60" s="3" customFormat="1" ht="20.399999999999999" x14ac:dyDescent="0.3">
      <c r="A40" s="37" t="s">
        <v>143</v>
      </c>
      <c r="B40" s="38" t="s">
        <v>5188</v>
      </c>
      <c r="C40" s="430" t="s">
        <v>399</v>
      </c>
      <c r="D40" s="430"/>
      <c r="E40" s="430"/>
      <c r="F40" s="39" t="s">
        <v>70</v>
      </c>
      <c r="G40" s="40" t="s">
        <v>5189</v>
      </c>
      <c r="H40" s="100"/>
      <c r="I40" s="41"/>
      <c r="J40" s="41"/>
      <c r="K40" s="42"/>
      <c r="BC40" s="14"/>
      <c r="BD40" s="15"/>
      <c r="BE40" s="21"/>
      <c r="BF40" s="43" t="s">
        <v>399</v>
      </c>
      <c r="BG40" s="12"/>
      <c r="BH40" s="12"/>
    </row>
    <row r="41" spans="1:60" s="3" customFormat="1" ht="42" x14ac:dyDescent="0.3">
      <c r="A41" s="25" t="s">
        <v>129</v>
      </c>
      <c r="B41" s="26" t="s">
        <v>5182</v>
      </c>
      <c r="C41" s="419" t="s">
        <v>5183</v>
      </c>
      <c r="D41" s="419"/>
      <c r="E41" s="419"/>
      <c r="F41" s="27" t="s">
        <v>115</v>
      </c>
      <c r="G41" s="22" t="s">
        <v>5190</v>
      </c>
      <c r="H41" s="57"/>
      <c r="I41" s="28"/>
      <c r="J41" s="19"/>
      <c r="K41" s="19"/>
      <c r="BC41" s="14"/>
      <c r="BD41" s="15"/>
      <c r="BE41" s="21"/>
      <c r="BF41" s="43"/>
      <c r="BG41" s="12" t="s">
        <v>5183</v>
      </c>
      <c r="BH41" s="12"/>
    </row>
    <row r="42" spans="1:60" s="3" customFormat="1" ht="15" customHeight="1" x14ac:dyDescent="0.3">
      <c r="A42" s="437" t="s">
        <v>5191</v>
      </c>
      <c r="B42" s="418"/>
      <c r="C42" s="418"/>
      <c r="D42" s="418"/>
      <c r="E42" s="418"/>
      <c r="F42" s="418"/>
      <c r="G42" s="418"/>
      <c r="H42" s="123"/>
      <c r="I42" s="123"/>
      <c r="J42" s="123"/>
      <c r="K42" s="124"/>
      <c r="BC42" s="14"/>
      <c r="BD42" s="15" t="s">
        <v>5191</v>
      </c>
      <c r="BE42" s="21"/>
      <c r="BF42" s="43"/>
      <c r="BG42" s="12"/>
      <c r="BH42" s="12"/>
    </row>
    <row r="43" spans="1:60" s="3" customFormat="1" ht="31.8" x14ac:dyDescent="0.3">
      <c r="A43" s="16" t="s">
        <v>52</v>
      </c>
      <c r="B43" s="17" t="s">
        <v>1605</v>
      </c>
      <c r="C43" s="405" t="s">
        <v>1606</v>
      </c>
      <c r="D43" s="405"/>
      <c r="E43" s="405"/>
      <c r="F43" s="16" t="s">
        <v>67</v>
      </c>
      <c r="G43" s="31">
        <v>0.19</v>
      </c>
      <c r="H43" s="57">
        <f>I43/G43</f>
        <v>3627.6842105263158</v>
      </c>
      <c r="I43" s="19">
        <f>690.4-K43</f>
        <v>689.26</v>
      </c>
      <c r="J43" s="19">
        <f>K43/G43</f>
        <v>5.9999999999999991</v>
      </c>
      <c r="K43" s="19">
        <v>1.1399999999999999</v>
      </c>
      <c r="BC43" s="14"/>
      <c r="BD43" s="15"/>
      <c r="BE43" s="21" t="s">
        <v>1606</v>
      </c>
      <c r="BF43" s="43"/>
      <c r="BG43" s="12"/>
      <c r="BH43" s="12"/>
    </row>
    <row r="44" spans="1:60" s="3" customFormat="1" ht="21.6" x14ac:dyDescent="0.3">
      <c r="A44" s="25"/>
      <c r="B44" s="26" t="s">
        <v>607</v>
      </c>
      <c r="C44" s="419" t="s">
        <v>608</v>
      </c>
      <c r="D44" s="419"/>
      <c r="E44" s="419"/>
      <c r="F44" s="27" t="s">
        <v>609</v>
      </c>
      <c r="G44" s="22" t="s">
        <v>5192</v>
      </c>
      <c r="H44" s="58"/>
      <c r="I44" s="28"/>
      <c r="J44" s="28"/>
      <c r="K44" s="29"/>
      <c r="BC44" s="14"/>
      <c r="BD44" s="15"/>
      <c r="BE44" s="21"/>
      <c r="BF44" s="43"/>
      <c r="BG44" s="12"/>
      <c r="BH44" s="12" t="s">
        <v>608</v>
      </c>
    </row>
    <row r="45" spans="1:60" s="3" customFormat="1" ht="42" x14ac:dyDescent="0.3">
      <c r="A45" s="16" t="s">
        <v>55</v>
      </c>
      <c r="B45" s="17" t="s">
        <v>5193</v>
      </c>
      <c r="C45" s="405" t="s">
        <v>5194</v>
      </c>
      <c r="D45" s="405"/>
      <c r="E45" s="405"/>
      <c r="F45" s="16" t="s">
        <v>115</v>
      </c>
      <c r="G45" s="31">
        <v>19.38</v>
      </c>
      <c r="H45" s="57">
        <f>I45/G45</f>
        <v>0</v>
      </c>
      <c r="I45" s="19"/>
      <c r="J45" s="19">
        <f>K45/G45</f>
        <v>332.93704850361195</v>
      </c>
      <c r="K45" s="19">
        <v>6452.32</v>
      </c>
      <c r="BC45" s="14"/>
      <c r="BD45" s="15"/>
      <c r="BE45" s="21" t="s">
        <v>5194</v>
      </c>
      <c r="BF45" s="43"/>
      <c r="BG45" s="12"/>
      <c r="BH45" s="12"/>
    </row>
    <row r="46" spans="1:60" s="3" customFormat="1" ht="15" customHeight="1" x14ac:dyDescent="0.3">
      <c r="A46" s="437" t="s">
        <v>5195</v>
      </c>
      <c r="B46" s="418"/>
      <c r="C46" s="418"/>
      <c r="D46" s="418"/>
      <c r="E46" s="418"/>
      <c r="F46" s="418"/>
      <c r="G46" s="418"/>
      <c r="H46" s="123"/>
      <c r="I46" s="123"/>
      <c r="J46" s="123"/>
      <c r="K46" s="124"/>
      <c r="BC46" s="14"/>
      <c r="BD46" s="15" t="s">
        <v>5195</v>
      </c>
      <c r="BE46" s="21"/>
      <c r="BF46" s="43"/>
      <c r="BG46" s="12"/>
      <c r="BH46" s="12"/>
    </row>
    <row r="47" spans="1:60" s="3" customFormat="1" ht="42" x14ac:dyDescent="0.3">
      <c r="A47" s="16" t="s">
        <v>56</v>
      </c>
      <c r="B47" s="17" t="s">
        <v>3336</v>
      </c>
      <c r="C47" s="405" t="s">
        <v>3337</v>
      </c>
      <c r="D47" s="405"/>
      <c r="E47" s="405"/>
      <c r="F47" s="16" t="s">
        <v>43</v>
      </c>
      <c r="G47" s="44">
        <v>6.0600000000000003E-3</v>
      </c>
      <c r="H47" s="57">
        <f>I47/G47</f>
        <v>5962.046204620462</v>
      </c>
      <c r="I47" s="19">
        <f>36.13-K47</f>
        <v>36.130000000000003</v>
      </c>
      <c r="J47" s="19">
        <f>K47/G47</f>
        <v>0</v>
      </c>
      <c r="K47" s="19">
        <v>0</v>
      </c>
      <c r="BC47" s="14"/>
      <c r="BD47" s="15"/>
      <c r="BE47" s="21" t="s">
        <v>3337</v>
      </c>
      <c r="BF47" s="43"/>
      <c r="BG47" s="12"/>
      <c r="BH47" s="12"/>
    </row>
    <row r="48" spans="1:60" s="3" customFormat="1" ht="21.6" x14ac:dyDescent="0.3">
      <c r="A48" s="16" t="s">
        <v>166</v>
      </c>
      <c r="B48" s="17" t="s">
        <v>205</v>
      </c>
      <c r="C48" s="405" t="s">
        <v>82</v>
      </c>
      <c r="D48" s="405"/>
      <c r="E48" s="405"/>
      <c r="F48" s="16" t="s">
        <v>46</v>
      </c>
      <c r="G48" s="18">
        <v>6.6660000000000004</v>
      </c>
      <c r="H48" s="57">
        <f>I48/G48</f>
        <v>0</v>
      </c>
      <c r="I48" s="19"/>
      <c r="J48" s="19">
        <f>K48/G48</f>
        <v>530.91209120912083</v>
      </c>
      <c r="K48" s="19">
        <v>3539.06</v>
      </c>
      <c r="BC48" s="14"/>
      <c r="BD48" s="15"/>
      <c r="BE48" s="21" t="s">
        <v>82</v>
      </c>
      <c r="BF48" s="43"/>
      <c r="BG48" s="12"/>
      <c r="BH48" s="12"/>
    </row>
    <row r="49" spans="1:60" s="3" customFormat="1" ht="15" customHeight="1" x14ac:dyDescent="0.3">
      <c r="A49" s="437" t="s">
        <v>5196</v>
      </c>
      <c r="B49" s="418"/>
      <c r="C49" s="418"/>
      <c r="D49" s="418"/>
      <c r="E49" s="418"/>
      <c r="F49" s="418"/>
      <c r="G49" s="418"/>
      <c r="H49" s="123"/>
      <c r="I49" s="123"/>
      <c r="J49" s="123"/>
      <c r="K49" s="124"/>
      <c r="BC49" s="14"/>
      <c r="BD49" s="15" t="s">
        <v>5196</v>
      </c>
      <c r="BE49" s="21"/>
      <c r="BF49" s="43"/>
      <c r="BG49" s="12"/>
      <c r="BH49" s="12"/>
    </row>
    <row r="50" spans="1:60" s="3" customFormat="1" ht="21.6" x14ac:dyDescent="0.3">
      <c r="A50" s="16" t="s">
        <v>169</v>
      </c>
      <c r="B50" s="17" t="s">
        <v>1656</v>
      </c>
      <c r="C50" s="405" t="s">
        <v>1657</v>
      </c>
      <c r="D50" s="405"/>
      <c r="E50" s="405"/>
      <c r="F50" s="16" t="s">
        <v>67</v>
      </c>
      <c r="G50" s="18">
        <v>0.84099999999999997</v>
      </c>
      <c r="H50" s="57">
        <f>I50/G50</f>
        <v>440.13079667063022</v>
      </c>
      <c r="I50" s="19">
        <f>370.75-K50</f>
        <v>370.15</v>
      </c>
      <c r="J50" s="19">
        <f>K50/G50</f>
        <v>0.71343638525564801</v>
      </c>
      <c r="K50" s="19">
        <v>0.6</v>
      </c>
      <c r="BC50" s="14"/>
      <c r="BD50" s="15"/>
      <c r="BE50" s="21" t="s">
        <v>1657</v>
      </c>
      <c r="BF50" s="43"/>
      <c r="BG50" s="12"/>
      <c r="BH50" s="12"/>
    </row>
    <row r="51" spans="1:60" s="3" customFormat="1" ht="21.6" x14ac:dyDescent="0.3">
      <c r="A51" s="25"/>
      <c r="B51" s="26" t="s">
        <v>607</v>
      </c>
      <c r="C51" s="419" t="s">
        <v>608</v>
      </c>
      <c r="D51" s="419"/>
      <c r="E51" s="419"/>
      <c r="F51" s="27" t="s">
        <v>609</v>
      </c>
      <c r="G51" s="22" t="s">
        <v>5197</v>
      </c>
      <c r="H51" s="58"/>
      <c r="I51" s="28"/>
      <c r="J51" s="28"/>
      <c r="K51" s="29"/>
      <c r="BC51" s="14"/>
      <c r="BD51" s="15"/>
      <c r="BE51" s="21"/>
      <c r="BF51" s="43"/>
      <c r="BG51" s="12"/>
      <c r="BH51" s="12" t="s">
        <v>608</v>
      </c>
    </row>
    <row r="52" spans="1:60" s="3" customFormat="1" ht="21.6" x14ac:dyDescent="0.3">
      <c r="A52" s="16" t="s">
        <v>170</v>
      </c>
      <c r="B52" s="17" t="s">
        <v>3409</v>
      </c>
      <c r="C52" s="405" t="s">
        <v>3410</v>
      </c>
      <c r="D52" s="405"/>
      <c r="E52" s="405"/>
      <c r="F52" s="16" t="s">
        <v>38</v>
      </c>
      <c r="G52" s="23">
        <v>1</v>
      </c>
      <c r="H52" s="57">
        <f>I52/G52</f>
        <v>0</v>
      </c>
      <c r="I52" s="19"/>
      <c r="J52" s="19">
        <f>K52/G52</f>
        <v>3335.92</v>
      </c>
      <c r="K52" s="19">
        <v>3335.92</v>
      </c>
      <c r="BC52" s="14"/>
      <c r="BD52" s="15"/>
      <c r="BE52" s="21" t="s">
        <v>3410</v>
      </c>
      <c r="BF52" s="43"/>
      <c r="BG52" s="12"/>
      <c r="BH52" s="12"/>
    </row>
    <row r="53" spans="1:60" s="3" customFormat="1" ht="15" customHeight="1" x14ac:dyDescent="0.3">
      <c r="A53" s="437" t="s">
        <v>5198</v>
      </c>
      <c r="B53" s="418"/>
      <c r="C53" s="418"/>
      <c r="D53" s="418"/>
      <c r="E53" s="418"/>
      <c r="F53" s="418"/>
      <c r="G53" s="418"/>
      <c r="H53" s="123"/>
      <c r="I53" s="123"/>
      <c r="J53" s="123"/>
      <c r="K53" s="124"/>
      <c r="BC53" s="14"/>
      <c r="BD53" s="15" t="s">
        <v>5198</v>
      </c>
      <c r="BE53" s="21"/>
      <c r="BF53" s="43"/>
      <c r="BG53" s="12"/>
      <c r="BH53" s="12"/>
    </row>
    <row r="54" spans="1:60" s="3" customFormat="1" ht="42" x14ac:dyDescent="0.3">
      <c r="A54" s="16" t="s">
        <v>173</v>
      </c>
      <c r="B54" s="17" t="s">
        <v>3336</v>
      </c>
      <c r="C54" s="405" t="s">
        <v>3337</v>
      </c>
      <c r="D54" s="405"/>
      <c r="E54" s="405"/>
      <c r="F54" s="16" t="s">
        <v>43</v>
      </c>
      <c r="G54" s="44">
        <v>2.8289999999999999E-2</v>
      </c>
      <c r="H54" s="57">
        <f>I54/G54</f>
        <v>5962.1774478614352</v>
      </c>
      <c r="I54" s="19">
        <f>168.67-K54</f>
        <v>168.67</v>
      </c>
      <c r="J54" s="19">
        <f>K54/G54</f>
        <v>0</v>
      </c>
      <c r="K54" s="19">
        <v>0</v>
      </c>
      <c r="BC54" s="14"/>
      <c r="BD54" s="15"/>
      <c r="BE54" s="21" t="s">
        <v>3337</v>
      </c>
      <c r="BF54" s="43"/>
      <c r="BG54" s="12"/>
      <c r="BH54" s="12"/>
    </row>
    <row r="55" spans="1:60" s="3" customFormat="1" ht="15" customHeight="1" x14ac:dyDescent="0.3">
      <c r="A55" s="435" t="s">
        <v>5199</v>
      </c>
      <c r="B55" s="436"/>
      <c r="C55" s="436"/>
      <c r="D55" s="436"/>
      <c r="E55" s="436"/>
      <c r="F55" s="436"/>
      <c r="G55" s="436"/>
      <c r="H55" s="103"/>
      <c r="I55" s="103"/>
      <c r="J55" s="103"/>
      <c r="K55" s="104"/>
      <c r="BC55" s="14" t="s">
        <v>5199</v>
      </c>
      <c r="BD55" s="15"/>
      <c r="BE55" s="21"/>
      <c r="BF55" s="43"/>
      <c r="BG55" s="12"/>
      <c r="BH55" s="12"/>
    </row>
    <row r="56" spans="1:60" s="3" customFormat="1" ht="15" customHeight="1" x14ac:dyDescent="0.3">
      <c r="A56" s="437" t="s">
        <v>5200</v>
      </c>
      <c r="B56" s="418"/>
      <c r="C56" s="418"/>
      <c r="D56" s="418"/>
      <c r="E56" s="418"/>
      <c r="F56" s="418"/>
      <c r="G56" s="418"/>
      <c r="H56" s="123"/>
      <c r="I56" s="123"/>
      <c r="J56" s="123"/>
      <c r="K56" s="124"/>
      <c r="BC56" s="14"/>
      <c r="BD56" s="15" t="s">
        <v>5200</v>
      </c>
      <c r="BE56" s="21"/>
      <c r="BF56" s="43"/>
      <c r="BG56" s="12"/>
      <c r="BH56" s="12"/>
    </row>
    <row r="57" spans="1:60" s="3" customFormat="1" ht="31.8" x14ac:dyDescent="0.3">
      <c r="A57" s="16" t="s">
        <v>1497</v>
      </c>
      <c r="B57" s="17" t="s">
        <v>5201</v>
      </c>
      <c r="C57" s="405" t="s">
        <v>5202</v>
      </c>
      <c r="D57" s="405"/>
      <c r="E57" s="405"/>
      <c r="F57" s="16" t="s">
        <v>1182</v>
      </c>
      <c r="G57" s="23">
        <v>2</v>
      </c>
      <c r="H57" s="57"/>
      <c r="I57" s="19"/>
      <c r="J57" s="19">
        <f>K57/G57</f>
        <v>9557966.9499999993</v>
      </c>
      <c r="K57" s="19">
        <v>19115933.899999999</v>
      </c>
      <c r="BC57" s="14"/>
      <c r="BD57" s="15"/>
      <c r="BE57" s="21" t="s">
        <v>5202</v>
      </c>
      <c r="BF57" s="43"/>
      <c r="BG57" s="12"/>
      <c r="BH57" s="12"/>
    </row>
    <row r="58" spans="1:60" s="3" customFormat="1" ht="20.399999999999999" x14ac:dyDescent="0.3">
      <c r="A58" s="16" t="s">
        <v>5203</v>
      </c>
      <c r="B58" s="17" t="s">
        <v>5204</v>
      </c>
      <c r="C58" s="405" t="s">
        <v>5205</v>
      </c>
      <c r="D58" s="405"/>
      <c r="E58" s="405"/>
      <c r="F58" s="16" t="s">
        <v>1182</v>
      </c>
      <c r="G58" s="23">
        <v>2</v>
      </c>
      <c r="H58" s="57"/>
      <c r="I58" s="19"/>
      <c r="J58" s="19">
        <f>K58/G58</f>
        <v>614002.17000000004</v>
      </c>
      <c r="K58" s="19">
        <v>1228004.3400000001</v>
      </c>
      <c r="BC58" s="14"/>
      <c r="BD58" s="15"/>
      <c r="BE58" s="21" t="s">
        <v>5205</v>
      </c>
      <c r="BF58" s="43"/>
      <c r="BG58" s="12"/>
      <c r="BH58" s="12"/>
    </row>
    <row r="59" spans="1:60" s="3" customFormat="1" ht="15" customHeight="1" x14ac:dyDescent="0.3">
      <c r="A59" s="437" t="s">
        <v>5206</v>
      </c>
      <c r="B59" s="418"/>
      <c r="C59" s="418"/>
      <c r="D59" s="418"/>
      <c r="E59" s="418"/>
      <c r="F59" s="418"/>
      <c r="G59" s="418"/>
      <c r="H59" s="123"/>
      <c r="I59" s="123"/>
      <c r="J59" s="123"/>
      <c r="K59" s="124"/>
      <c r="BC59" s="14"/>
      <c r="BD59" s="15" t="s">
        <v>5206</v>
      </c>
      <c r="BE59" s="21"/>
      <c r="BF59" s="43"/>
      <c r="BG59" s="12"/>
      <c r="BH59" s="12"/>
    </row>
    <row r="60" spans="1:60" s="3" customFormat="1" ht="14.4" x14ac:dyDescent="0.3">
      <c r="A60" s="16" t="s">
        <v>180</v>
      </c>
      <c r="B60" s="17" t="s">
        <v>5207</v>
      </c>
      <c r="C60" s="405" t="s">
        <v>5208</v>
      </c>
      <c r="D60" s="405"/>
      <c r="E60" s="405"/>
      <c r="F60" s="16" t="s">
        <v>38</v>
      </c>
      <c r="G60" s="23">
        <v>1</v>
      </c>
      <c r="H60" s="57">
        <f>I60/G60</f>
        <v>18413.37</v>
      </c>
      <c r="I60" s="19">
        <f>18826.67-K60</f>
        <v>18413.37</v>
      </c>
      <c r="J60" s="19">
        <f>K60/G60</f>
        <v>413.3</v>
      </c>
      <c r="K60" s="19">
        <v>413.3</v>
      </c>
      <c r="BC60" s="14"/>
      <c r="BD60" s="15"/>
      <c r="BE60" s="21" t="s">
        <v>5208</v>
      </c>
      <c r="BF60" s="43"/>
      <c r="BG60" s="12"/>
      <c r="BH60" s="12"/>
    </row>
    <row r="61" spans="1:60" s="3" customFormat="1" ht="21.6" x14ac:dyDescent="0.3">
      <c r="A61" s="25"/>
      <c r="B61" s="26" t="s">
        <v>1392</v>
      </c>
      <c r="C61" s="419" t="s">
        <v>1393</v>
      </c>
      <c r="D61" s="419"/>
      <c r="E61" s="419"/>
      <c r="F61" s="27" t="s">
        <v>75</v>
      </c>
      <c r="G61" s="22" t="s">
        <v>5209</v>
      </c>
      <c r="H61" s="58"/>
      <c r="I61" s="28"/>
      <c r="J61" s="28"/>
      <c r="K61" s="29"/>
      <c r="BC61" s="14"/>
      <c r="BD61" s="15"/>
      <c r="BE61" s="21"/>
      <c r="BF61" s="43"/>
      <c r="BG61" s="12"/>
      <c r="BH61" s="12" t="s">
        <v>1393</v>
      </c>
    </row>
    <row r="62" spans="1:60" s="3" customFormat="1" ht="21.6" x14ac:dyDescent="0.3">
      <c r="A62" s="25"/>
      <c r="B62" s="26" t="s">
        <v>5210</v>
      </c>
      <c r="C62" s="419" t="s">
        <v>5211</v>
      </c>
      <c r="D62" s="419"/>
      <c r="E62" s="419"/>
      <c r="F62" s="27" t="s">
        <v>75</v>
      </c>
      <c r="G62" s="22" t="s">
        <v>5212</v>
      </c>
      <c r="H62" s="58"/>
      <c r="I62" s="28"/>
      <c r="J62" s="28"/>
      <c r="K62" s="29"/>
      <c r="BC62" s="14"/>
      <c r="BD62" s="15"/>
      <c r="BE62" s="21"/>
      <c r="BF62" s="43"/>
      <c r="BG62" s="12"/>
      <c r="BH62" s="12" t="s">
        <v>5211</v>
      </c>
    </row>
    <row r="63" spans="1:60" s="3" customFormat="1" ht="20.399999999999999" x14ac:dyDescent="0.3">
      <c r="A63" s="25"/>
      <c r="B63" s="26" t="s">
        <v>5213</v>
      </c>
      <c r="C63" s="419" t="s">
        <v>5214</v>
      </c>
      <c r="D63" s="419"/>
      <c r="E63" s="419"/>
      <c r="F63" s="27" t="s">
        <v>115</v>
      </c>
      <c r="G63" s="22" t="s">
        <v>1179</v>
      </c>
      <c r="H63" s="58"/>
      <c r="I63" s="28"/>
      <c r="J63" s="28"/>
      <c r="K63" s="29"/>
      <c r="BC63" s="14"/>
      <c r="BD63" s="15"/>
      <c r="BE63" s="21"/>
      <c r="BF63" s="43"/>
      <c r="BG63" s="12"/>
      <c r="BH63" s="12" t="s">
        <v>5214</v>
      </c>
    </row>
    <row r="64" spans="1:60" s="3" customFormat="1" ht="21.6" x14ac:dyDescent="0.3">
      <c r="A64" s="25"/>
      <c r="B64" s="26" t="s">
        <v>5215</v>
      </c>
      <c r="C64" s="419" t="s">
        <v>5216</v>
      </c>
      <c r="D64" s="419"/>
      <c r="E64" s="419"/>
      <c r="F64" s="27" t="s">
        <v>70</v>
      </c>
      <c r="G64" s="22" t="s">
        <v>1471</v>
      </c>
      <c r="H64" s="58"/>
      <c r="I64" s="28"/>
      <c r="J64" s="28"/>
      <c r="K64" s="29"/>
      <c r="BC64" s="14"/>
      <c r="BD64" s="15"/>
      <c r="BE64" s="21"/>
      <c r="BF64" s="43"/>
      <c r="BG64" s="12"/>
      <c r="BH64" s="12" t="s">
        <v>5216</v>
      </c>
    </row>
    <row r="65" spans="1:60" s="3" customFormat="1" ht="20.399999999999999" x14ac:dyDescent="0.3">
      <c r="A65" s="25"/>
      <c r="B65" s="26" t="s">
        <v>1406</v>
      </c>
      <c r="C65" s="419" t="s">
        <v>1407</v>
      </c>
      <c r="D65" s="419"/>
      <c r="E65" s="419"/>
      <c r="F65" s="27" t="s">
        <v>70</v>
      </c>
      <c r="G65" s="22" t="s">
        <v>1472</v>
      </c>
      <c r="H65" s="58"/>
      <c r="I65" s="28"/>
      <c r="J65" s="28"/>
      <c r="K65" s="29"/>
      <c r="BC65" s="14"/>
      <c r="BD65" s="15"/>
      <c r="BE65" s="21"/>
      <c r="BF65" s="43"/>
      <c r="BG65" s="12"/>
      <c r="BH65" s="12" t="s">
        <v>1407</v>
      </c>
    </row>
    <row r="66" spans="1:60" s="3" customFormat="1" ht="21.6" x14ac:dyDescent="0.3">
      <c r="A66" s="25"/>
      <c r="B66" s="26" t="s">
        <v>5217</v>
      </c>
      <c r="C66" s="419" t="s">
        <v>5218</v>
      </c>
      <c r="D66" s="419"/>
      <c r="E66" s="419"/>
      <c r="F66" s="27" t="s">
        <v>142</v>
      </c>
      <c r="G66" s="22" t="s">
        <v>3944</v>
      </c>
      <c r="H66" s="58"/>
      <c r="I66" s="28"/>
      <c r="J66" s="28"/>
      <c r="K66" s="29"/>
      <c r="BC66" s="14"/>
      <c r="BD66" s="15"/>
      <c r="BE66" s="21"/>
      <c r="BF66" s="43"/>
      <c r="BG66" s="12"/>
      <c r="BH66" s="12" t="s">
        <v>5218</v>
      </c>
    </row>
    <row r="67" spans="1:60" s="3" customFormat="1" ht="21.6" x14ac:dyDescent="0.3">
      <c r="A67" s="25"/>
      <c r="B67" s="26" t="s">
        <v>607</v>
      </c>
      <c r="C67" s="419" t="s">
        <v>608</v>
      </c>
      <c r="D67" s="419"/>
      <c r="E67" s="419"/>
      <c r="F67" s="27" t="s">
        <v>609</v>
      </c>
      <c r="G67" s="22" t="s">
        <v>5219</v>
      </c>
      <c r="H67" s="58"/>
      <c r="I67" s="28"/>
      <c r="J67" s="28"/>
      <c r="K67" s="29"/>
      <c r="BC67" s="14"/>
      <c r="BD67" s="15"/>
      <c r="BE67" s="21"/>
      <c r="BF67" s="43"/>
      <c r="BG67" s="12"/>
      <c r="BH67" s="12" t="s">
        <v>608</v>
      </c>
    </row>
    <row r="68" spans="1:60" s="3" customFormat="1" ht="20.399999999999999" x14ac:dyDescent="0.3">
      <c r="A68" s="16" t="s">
        <v>5220</v>
      </c>
      <c r="B68" s="17" t="s">
        <v>5221</v>
      </c>
      <c r="C68" s="405" t="s">
        <v>5222</v>
      </c>
      <c r="D68" s="405"/>
      <c r="E68" s="405"/>
      <c r="F68" s="16" t="s">
        <v>1460</v>
      </c>
      <c r="G68" s="23">
        <v>1</v>
      </c>
      <c r="H68" s="57"/>
      <c r="I68" s="19"/>
      <c r="J68" s="19">
        <f>K68/G68</f>
        <v>389842.62</v>
      </c>
      <c r="K68" s="19">
        <v>389842.62</v>
      </c>
      <c r="BC68" s="14"/>
      <c r="BD68" s="15"/>
      <c r="BE68" s="21" t="s">
        <v>5222</v>
      </c>
      <c r="BF68" s="43"/>
      <c r="BG68" s="12"/>
      <c r="BH68" s="12"/>
    </row>
    <row r="69" spans="1:60" s="3" customFormat="1" ht="15" customHeight="1" x14ac:dyDescent="0.3">
      <c r="A69" s="437" t="s">
        <v>5223</v>
      </c>
      <c r="B69" s="418"/>
      <c r="C69" s="418"/>
      <c r="D69" s="418"/>
      <c r="E69" s="418"/>
      <c r="F69" s="418"/>
      <c r="G69" s="418"/>
      <c r="H69" s="123"/>
      <c r="I69" s="123"/>
      <c r="J69" s="123"/>
      <c r="K69" s="124"/>
      <c r="BC69" s="14"/>
      <c r="BD69" s="15" t="s">
        <v>5223</v>
      </c>
      <c r="BE69" s="21"/>
      <c r="BF69" s="43"/>
      <c r="BG69" s="12"/>
      <c r="BH69" s="12"/>
    </row>
    <row r="70" spans="1:60" s="3" customFormat="1" ht="21.6" x14ac:dyDescent="0.3">
      <c r="A70" s="16" t="s">
        <v>186</v>
      </c>
      <c r="B70" s="17" t="s">
        <v>4547</v>
      </c>
      <c r="C70" s="405" t="s">
        <v>4548</v>
      </c>
      <c r="D70" s="405"/>
      <c r="E70" s="405"/>
      <c r="F70" s="16" t="s">
        <v>38</v>
      </c>
      <c r="G70" s="23">
        <v>1</v>
      </c>
      <c r="H70" s="57">
        <f>I70/G70</f>
        <v>912.85</v>
      </c>
      <c r="I70" s="19">
        <f>914.44-K70</f>
        <v>912.85</v>
      </c>
      <c r="J70" s="19">
        <f>K70/G70</f>
        <v>1.59</v>
      </c>
      <c r="K70" s="19">
        <v>1.59</v>
      </c>
      <c r="BC70" s="14"/>
      <c r="BD70" s="15"/>
      <c r="BE70" s="21" t="s">
        <v>4548</v>
      </c>
      <c r="BF70" s="43"/>
      <c r="BG70" s="12"/>
      <c r="BH70" s="12"/>
    </row>
    <row r="71" spans="1:60" s="3" customFormat="1" ht="21.6" x14ac:dyDescent="0.3">
      <c r="A71" s="25"/>
      <c r="B71" s="26" t="s">
        <v>607</v>
      </c>
      <c r="C71" s="419" t="s">
        <v>608</v>
      </c>
      <c r="D71" s="419"/>
      <c r="E71" s="419"/>
      <c r="F71" s="27" t="s">
        <v>609</v>
      </c>
      <c r="G71" s="22" t="s">
        <v>1549</v>
      </c>
      <c r="H71" s="58"/>
      <c r="I71" s="28"/>
      <c r="J71" s="28"/>
      <c r="K71" s="29"/>
      <c r="BC71" s="14"/>
      <c r="BD71" s="15"/>
      <c r="BE71" s="21"/>
      <c r="BF71" s="43"/>
      <c r="BG71" s="12"/>
      <c r="BH71" s="12" t="s">
        <v>608</v>
      </c>
    </row>
    <row r="72" spans="1:60" s="3" customFormat="1" ht="21.6" x14ac:dyDescent="0.3">
      <c r="A72" s="16" t="s">
        <v>5224</v>
      </c>
      <c r="B72" s="17" t="s">
        <v>5225</v>
      </c>
      <c r="C72" s="405" t="s">
        <v>5226</v>
      </c>
      <c r="D72" s="405"/>
      <c r="E72" s="405"/>
      <c r="F72" s="16" t="s">
        <v>1460</v>
      </c>
      <c r="G72" s="23">
        <v>1</v>
      </c>
      <c r="H72" s="57"/>
      <c r="I72" s="19"/>
      <c r="J72" s="19">
        <f>K72/G72</f>
        <v>186321.86</v>
      </c>
      <c r="K72" s="19">
        <v>186321.86</v>
      </c>
      <c r="BC72" s="14"/>
      <c r="BD72" s="15"/>
      <c r="BE72" s="21" t="s">
        <v>5226</v>
      </c>
      <c r="BF72" s="43"/>
      <c r="BG72" s="12"/>
      <c r="BH72" s="12"/>
    </row>
    <row r="73" spans="1:60" s="3" customFormat="1" ht="15" customHeight="1" x14ac:dyDescent="0.3">
      <c r="A73" s="437" t="s">
        <v>5227</v>
      </c>
      <c r="B73" s="418"/>
      <c r="C73" s="418"/>
      <c r="D73" s="418"/>
      <c r="E73" s="418"/>
      <c r="F73" s="418"/>
      <c r="G73" s="418"/>
      <c r="H73" s="123"/>
      <c r="I73" s="123"/>
      <c r="J73" s="123"/>
      <c r="K73" s="124"/>
      <c r="BC73" s="14"/>
      <c r="BD73" s="15" t="s">
        <v>5227</v>
      </c>
      <c r="BE73" s="21"/>
      <c r="BF73" s="43"/>
      <c r="BG73" s="12"/>
      <c r="BH73" s="12"/>
    </row>
    <row r="74" spans="1:60" s="3" customFormat="1" ht="21.6" x14ac:dyDescent="0.3">
      <c r="A74" s="16" t="s">
        <v>196</v>
      </c>
      <c r="B74" s="17" t="s">
        <v>4547</v>
      </c>
      <c r="C74" s="405" t="s">
        <v>4548</v>
      </c>
      <c r="D74" s="405"/>
      <c r="E74" s="405"/>
      <c r="F74" s="16" t="s">
        <v>38</v>
      </c>
      <c r="G74" s="23">
        <v>4</v>
      </c>
      <c r="H74" s="57">
        <f>I74/G74</f>
        <v>912.85250000000008</v>
      </c>
      <c r="I74" s="19">
        <f>3657.78-K74</f>
        <v>3651.4100000000003</v>
      </c>
      <c r="J74" s="19">
        <f>K74/G74</f>
        <v>1.5925</v>
      </c>
      <c r="K74" s="19">
        <v>6.37</v>
      </c>
      <c r="BC74" s="14"/>
      <c r="BD74" s="15"/>
      <c r="BE74" s="21" t="s">
        <v>4548</v>
      </c>
      <c r="BF74" s="43"/>
      <c r="BG74" s="12"/>
      <c r="BH74" s="12"/>
    </row>
    <row r="75" spans="1:60" s="3" customFormat="1" ht="21.6" x14ac:dyDescent="0.3">
      <c r="A75" s="25"/>
      <c r="B75" s="26" t="s">
        <v>607</v>
      </c>
      <c r="C75" s="419" t="s">
        <v>608</v>
      </c>
      <c r="D75" s="419"/>
      <c r="E75" s="419"/>
      <c r="F75" s="27" t="s">
        <v>609</v>
      </c>
      <c r="G75" s="22" t="s">
        <v>5228</v>
      </c>
      <c r="H75" s="58"/>
      <c r="I75" s="28"/>
      <c r="J75" s="28"/>
      <c r="K75" s="29"/>
      <c r="BC75" s="14"/>
      <c r="BD75" s="15"/>
      <c r="BE75" s="21"/>
      <c r="BF75" s="43"/>
      <c r="BG75" s="12"/>
      <c r="BH75" s="12" t="s">
        <v>608</v>
      </c>
    </row>
    <row r="76" spans="1:60" s="3" customFormat="1" ht="31.8" x14ac:dyDescent="0.3">
      <c r="A76" s="16" t="s">
        <v>4516</v>
      </c>
      <c r="B76" s="17" t="s">
        <v>5229</v>
      </c>
      <c r="C76" s="405" t="s">
        <v>5230</v>
      </c>
      <c r="D76" s="405"/>
      <c r="E76" s="405"/>
      <c r="F76" s="16" t="s">
        <v>1182</v>
      </c>
      <c r="G76" s="23">
        <v>4</v>
      </c>
      <c r="H76" s="57"/>
      <c r="I76" s="19"/>
      <c r="J76" s="19">
        <f>K76/G76</f>
        <v>3822.8525</v>
      </c>
      <c r="K76" s="19">
        <v>15291.41</v>
      </c>
      <c r="BC76" s="14"/>
      <c r="BD76" s="15"/>
      <c r="BE76" s="21" t="s">
        <v>5230</v>
      </c>
      <c r="BF76" s="43"/>
      <c r="BG76" s="12"/>
      <c r="BH76" s="12"/>
    </row>
    <row r="77" spans="1:60" s="3" customFormat="1" ht="15" customHeight="1" x14ac:dyDescent="0.3">
      <c r="A77" s="437" t="s">
        <v>5231</v>
      </c>
      <c r="B77" s="418"/>
      <c r="C77" s="418"/>
      <c r="D77" s="418"/>
      <c r="E77" s="418"/>
      <c r="F77" s="418"/>
      <c r="G77" s="418"/>
      <c r="H77" s="123"/>
      <c r="I77" s="123"/>
      <c r="J77" s="123"/>
      <c r="K77" s="124"/>
      <c r="BC77" s="14"/>
      <c r="BD77" s="15" t="s">
        <v>5231</v>
      </c>
      <c r="BE77" s="21"/>
      <c r="BF77" s="43"/>
      <c r="BG77" s="12"/>
      <c r="BH77" s="12"/>
    </row>
    <row r="78" spans="1:60" s="3" customFormat="1" ht="21.6" x14ac:dyDescent="0.3">
      <c r="A78" s="16" t="s">
        <v>201</v>
      </c>
      <c r="B78" s="17" t="s">
        <v>4605</v>
      </c>
      <c r="C78" s="405" t="s">
        <v>4606</v>
      </c>
      <c r="D78" s="405"/>
      <c r="E78" s="405"/>
      <c r="F78" s="16" t="s">
        <v>38</v>
      </c>
      <c r="G78" s="23">
        <v>1</v>
      </c>
      <c r="H78" s="57">
        <f>I78/G78</f>
        <v>11118.480000000001</v>
      </c>
      <c r="I78" s="19">
        <f>11544.7-K78</f>
        <v>11118.480000000001</v>
      </c>
      <c r="J78" s="19">
        <f>K78/G78</f>
        <v>426.22</v>
      </c>
      <c r="K78" s="19">
        <v>426.22</v>
      </c>
      <c r="BC78" s="14"/>
      <c r="BD78" s="15"/>
      <c r="BE78" s="21" t="s">
        <v>4606</v>
      </c>
      <c r="BF78" s="43"/>
      <c r="BG78" s="12"/>
      <c r="BH78" s="12"/>
    </row>
    <row r="79" spans="1:60" s="3" customFormat="1" ht="20.399999999999999" x14ac:dyDescent="0.3">
      <c r="A79" s="25"/>
      <c r="B79" s="26" t="s">
        <v>3770</v>
      </c>
      <c r="C79" s="419" t="s">
        <v>3771</v>
      </c>
      <c r="D79" s="419"/>
      <c r="E79" s="419"/>
      <c r="F79" s="27" t="s">
        <v>75</v>
      </c>
      <c r="G79" s="22" t="s">
        <v>1473</v>
      </c>
      <c r="H79" s="58"/>
      <c r="I79" s="28"/>
      <c r="J79" s="28"/>
      <c r="K79" s="29"/>
      <c r="BC79" s="14"/>
      <c r="BD79" s="15"/>
      <c r="BE79" s="21"/>
      <c r="BF79" s="43"/>
      <c r="BG79" s="12"/>
      <c r="BH79" s="12" t="s">
        <v>3771</v>
      </c>
    </row>
    <row r="80" spans="1:60" s="3" customFormat="1" ht="31.8" x14ac:dyDescent="0.3">
      <c r="A80" s="25"/>
      <c r="B80" s="26" t="s">
        <v>4454</v>
      </c>
      <c r="C80" s="419" t="s">
        <v>4455</v>
      </c>
      <c r="D80" s="419"/>
      <c r="E80" s="419"/>
      <c r="F80" s="27" t="s">
        <v>75</v>
      </c>
      <c r="G80" s="22" t="s">
        <v>1173</v>
      </c>
      <c r="H80" s="58"/>
      <c r="I80" s="28"/>
      <c r="J80" s="28"/>
      <c r="K80" s="29"/>
      <c r="BC80" s="14"/>
      <c r="BD80" s="15"/>
      <c r="BE80" s="21"/>
      <c r="BF80" s="43"/>
      <c r="BG80" s="12"/>
      <c r="BH80" s="12" t="s">
        <v>4455</v>
      </c>
    </row>
    <row r="81" spans="1:60" s="3" customFormat="1" ht="20.399999999999999" x14ac:dyDescent="0.3">
      <c r="A81" s="25"/>
      <c r="B81" s="26" t="s">
        <v>391</v>
      </c>
      <c r="C81" s="419" t="s">
        <v>392</v>
      </c>
      <c r="D81" s="419"/>
      <c r="E81" s="419"/>
      <c r="F81" s="27" t="s">
        <v>75</v>
      </c>
      <c r="G81" s="22" t="s">
        <v>3930</v>
      </c>
      <c r="H81" s="58"/>
      <c r="I81" s="28"/>
      <c r="J81" s="28"/>
      <c r="K81" s="29"/>
      <c r="BC81" s="14"/>
      <c r="BD81" s="15"/>
      <c r="BE81" s="21"/>
      <c r="BF81" s="43"/>
      <c r="BG81" s="12"/>
      <c r="BH81" s="12" t="s">
        <v>392</v>
      </c>
    </row>
    <row r="82" spans="1:60" s="3" customFormat="1" ht="21.6" x14ac:dyDescent="0.3">
      <c r="A82" s="25"/>
      <c r="B82" s="26" t="s">
        <v>4505</v>
      </c>
      <c r="C82" s="419" t="s">
        <v>4506</v>
      </c>
      <c r="D82" s="419"/>
      <c r="E82" s="419"/>
      <c r="F82" s="27" t="s">
        <v>142</v>
      </c>
      <c r="G82" s="22" t="s">
        <v>1910</v>
      </c>
      <c r="H82" s="58"/>
      <c r="I82" s="28"/>
      <c r="J82" s="28"/>
      <c r="K82" s="29"/>
      <c r="BC82" s="14"/>
      <c r="BD82" s="15"/>
      <c r="BE82" s="21"/>
      <c r="BF82" s="43"/>
      <c r="BG82" s="12"/>
      <c r="BH82" s="12" t="s">
        <v>4506</v>
      </c>
    </row>
    <row r="83" spans="1:60" s="3" customFormat="1" ht="20.399999999999999" x14ac:dyDescent="0.3">
      <c r="A83" s="25"/>
      <c r="B83" s="26" t="s">
        <v>1916</v>
      </c>
      <c r="C83" s="419" t="s">
        <v>1917</v>
      </c>
      <c r="D83" s="419"/>
      <c r="E83" s="419"/>
      <c r="F83" s="27" t="s">
        <v>70</v>
      </c>
      <c r="G83" s="22" t="s">
        <v>4958</v>
      </c>
      <c r="H83" s="58"/>
      <c r="I83" s="28"/>
      <c r="J83" s="28"/>
      <c r="K83" s="29"/>
      <c r="BC83" s="14"/>
      <c r="BD83" s="15"/>
      <c r="BE83" s="21"/>
      <c r="BF83" s="43"/>
      <c r="BG83" s="12"/>
      <c r="BH83" s="12" t="s">
        <v>1917</v>
      </c>
    </row>
    <row r="84" spans="1:60" s="3" customFormat="1" ht="21.6" x14ac:dyDescent="0.3">
      <c r="A84" s="25"/>
      <c r="B84" s="26" t="s">
        <v>4611</v>
      </c>
      <c r="C84" s="419" t="s">
        <v>4612</v>
      </c>
      <c r="D84" s="419"/>
      <c r="E84" s="419"/>
      <c r="F84" s="27" t="s">
        <v>70</v>
      </c>
      <c r="G84" s="22" t="s">
        <v>4959</v>
      </c>
      <c r="H84" s="58"/>
      <c r="I84" s="28"/>
      <c r="J84" s="28"/>
      <c r="K84" s="29"/>
      <c r="BC84" s="14"/>
      <c r="BD84" s="15"/>
      <c r="BE84" s="21"/>
      <c r="BF84" s="43"/>
      <c r="BG84" s="12"/>
      <c r="BH84" s="12" t="s">
        <v>4612</v>
      </c>
    </row>
    <row r="85" spans="1:60" s="3" customFormat="1" ht="21.6" x14ac:dyDescent="0.3">
      <c r="A85" s="25"/>
      <c r="B85" s="26" t="s">
        <v>4509</v>
      </c>
      <c r="C85" s="419" t="s">
        <v>4510</v>
      </c>
      <c r="D85" s="419"/>
      <c r="E85" s="419"/>
      <c r="F85" s="27" t="s">
        <v>70</v>
      </c>
      <c r="G85" s="22" t="s">
        <v>4960</v>
      </c>
      <c r="H85" s="58"/>
      <c r="I85" s="28"/>
      <c r="J85" s="28"/>
      <c r="K85" s="29"/>
      <c r="BC85" s="14"/>
      <c r="BD85" s="15"/>
      <c r="BE85" s="21"/>
      <c r="BF85" s="43"/>
      <c r="BG85" s="12"/>
      <c r="BH85" s="12" t="s">
        <v>4510</v>
      </c>
    </row>
    <row r="86" spans="1:60" s="3" customFormat="1" ht="21.6" x14ac:dyDescent="0.3">
      <c r="A86" s="25"/>
      <c r="B86" s="26" t="s">
        <v>4615</v>
      </c>
      <c r="C86" s="419" t="s">
        <v>4616</v>
      </c>
      <c r="D86" s="419"/>
      <c r="E86" s="419"/>
      <c r="F86" s="27" t="s">
        <v>70</v>
      </c>
      <c r="G86" s="22" t="s">
        <v>1472</v>
      </c>
      <c r="H86" s="58"/>
      <c r="I86" s="28"/>
      <c r="J86" s="28"/>
      <c r="K86" s="29"/>
      <c r="BC86" s="14"/>
      <c r="BD86" s="15"/>
      <c r="BE86" s="21"/>
      <c r="BF86" s="43"/>
      <c r="BG86" s="12"/>
      <c r="BH86" s="12" t="s">
        <v>4616</v>
      </c>
    </row>
    <row r="87" spans="1:60" s="3" customFormat="1" ht="20.399999999999999" x14ac:dyDescent="0.3">
      <c r="A87" s="25"/>
      <c r="B87" s="26" t="s">
        <v>1934</v>
      </c>
      <c r="C87" s="419" t="s">
        <v>1935</v>
      </c>
      <c r="D87" s="419"/>
      <c r="E87" s="419"/>
      <c r="F87" s="27" t="s">
        <v>75</v>
      </c>
      <c r="G87" s="22" t="s">
        <v>1159</v>
      </c>
      <c r="H87" s="58"/>
      <c r="I87" s="28"/>
      <c r="J87" s="28"/>
      <c r="K87" s="29"/>
      <c r="BC87" s="14"/>
      <c r="BD87" s="15"/>
      <c r="BE87" s="21"/>
      <c r="BF87" s="43"/>
      <c r="BG87" s="12"/>
      <c r="BH87" s="12" t="s">
        <v>1935</v>
      </c>
    </row>
    <row r="88" spans="1:60" s="3" customFormat="1" ht="20.399999999999999" x14ac:dyDescent="0.3">
      <c r="A88" s="25"/>
      <c r="B88" s="26" t="s">
        <v>4618</v>
      </c>
      <c r="C88" s="419" t="s">
        <v>4619</v>
      </c>
      <c r="D88" s="419"/>
      <c r="E88" s="419"/>
      <c r="F88" s="27" t="s">
        <v>142</v>
      </c>
      <c r="G88" s="22" t="s">
        <v>1910</v>
      </c>
      <c r="H88" s="58"/>
      <c r="I88" s="28"/>
      <c r="J88" s="28"/>
      <c r="K88" s="29"/>
      <c r="BC88" s="14"/>
      <c r="BD88" s="15"/>
      <c r="BE88" s="21"/>
      <c r="BF88" s="43"/>
      <c r="BG88" s="12"/>
      <c r="BH88" s="12" t="s">
        <v>4619</v>
      </c>
    </row>
    <row r="89" spans="1:60" s="3" customFormat="1" ht="20.399999999999999" x14ac:dyDescent="0.3">
      <c r="A89" s="25"/>
      <c r="B89" s="26" t="s">
        <v>4620</v>
      </c>
      <c r="C89" s="419" t="s">
        <v>4621</v>
      </c>
      <c r="D89" s="419"/>
      <c r="E89" s="419"/>
      <c r="F89" s="27" t="s">
        <v>75</v>
      </c>
      <c r="G89" s="22" t="s">
        <v>1173</v>
      </c>
      <c r="H89" s="58"/>
      <c r="I89" s="28"/>
      <c r="J89" s="28"/>
      <c r="K89" s="29"/>
      <c r="BC89" s="14"/>
      <c r="BD89" s="15"/>
      <c r="BE89" s="21"/>
      <c r="BF89" s="43"/>
      <c r="BG89" s="12"/>
      <c r="BH89" s="12" t="s">
        <v>4621</v>
      </c>
    </row>
    <row r="90" spans="1:60" s="3" customFormat="1" ht="21.6" x14ac:dyDescent="0.3">
      <c r="A90" s="25"/>
      <c r="B90" s="26" t="s">
        <v>4622</v>
      </c>
      <c r="C90" s="419" t="s">
        <v>4623</v>
      </c>
      <c r="D90" s="419"/>
      <c r="E90" s="419"/>
      <c r="F90" s="27" t="s">
        <v>75</v>
      </c>
      <c r="G90" s="22" t="s">
        <v>1496</v>
      </c>
      <c r="H90" s="58"/>
      <c r="I90" s="28"/>
      <c r="J90" s="28"/>
      <c r="K90" s="29"/>
      <c r="BC90" s="14"/>
      <c r="BD90" s="15"/>
      <c r="BE90" s="21"/>
      <c r="BF90" s="43"/>
      <c r="BG90" s="12"/>
      <c r="BH90" s="12" t="s">
        <v>4623</v>
      </c>
    </row>
    <row r="91" spans="1:60" s="3" customFormat="1" ht="21.6" x14ac:dyDescent="0.3">
      <c r="A91" s="25"/>
      <c r="B91" s="26" t="s">
        <v>607</v>
      </c>
      <c r="C91" s="419" t="s">
        <v>608</v>
      </c>
      <c r="D91" s="419"/>
      <c r="E91" s="419"/>
      <c r="F91" s="27" t="s">
        <v>609</v>
      </c>
      <c r="G91" s="22" t="s">
        <v>4961</v>
      </c>
      <c r="H91" s="58"/>
      <c r="I91" s="28"/>
      <c r="J91" s="28"/>
      <c r="K91" s="29"/>
      <c r="BC91" s="14"/>
      <c r="BD91" s="15"/>
      <c r="BE91" s="21"/>
      <c r="BF91" s="43"/>
      <c r="BG91" s="12"/>
      <c r="BH91" s="12" t="s">
        <v>608</v>
      </c>
    </row>
    <row r="92" spans="1:60" s="3" customFormat="1" ht="31.8" x14ac:dyDescent="0.3">
      <c r="A92" s="16" t="s">
        <v>1891</v>
      </c>
      <c r="B92" s="17" t="s">
        <v>5232</v>
      </c>
      <c r="C92" s="405" t="s">
        <v>5233</v>
      </c>
      <c r="D92" s="405"/>
      <c r="E92" s="405"/>
      <c r="F92" s="16" t="s">
        <v>1460</v>
      </c>
      <c r="G92" s="23">
        <v>1</v>
      </c>
      <c r="H92" s="57"/>
      <c r="I92" s="19"/>
      <c r="J92" s="19">
        <f>K92/G92</f>
        <v>14929.76</v>
      </c>
      <c r="K92" s="19">
        <v>14929.76</v>
      </c>
      <c r="BC92" s="14"/>
      <c r="BD92" s="15"/>
      <c r="BE92" s="21" t="s">
        <v>5233</v>
      </c>
      <c r="BF92" s="43"/>
      <c r="BG92" s="12"/>
      <c r="BH92" s="12"/>
    </row>
    <row r="93" spans="1:60" s="3" customFormat="1" ht="15" customHeight="1" x14ac:dyDescent="0.3">
      <c r="A93" s="437" t="s">
        <v>5234</v>
      </c>
      <c r="B93" s="418"/>
      <c r="C93" s="418"/>
      <c r="D93" s="418"/>
      <c r="E93" s="418"/>
      <c r="F93" s="418"/>
      <c r="G93" s="418"/>
      <c r="H93" s="123"/>
      <c r="I93" s="123"/>
      <c r="J93" s="123"/>
      <c r="K93" s="124"/>
      <c r="BC93" s="14"/>
      <c r="BD93" s="15" t="s">
        <v>5234</v>
      </c>
      <c r="BE93" s="21"/>
      <c r="BF93" s="43"/>
      <c r="BG93" s="12"/>
      <c r="BH93" s="12"/>
    </row>
    <row r="94" spans="1:60" s="3" customFormat="1" ht="14.4" x14ac:dyDescent="0.3">
      <c r="A94" s="16" t="s">
        <v>222</v>
      </c>
      <c r="B94" s="17" t="s">
        <v>4946</v>
      </c>
      <c r="C94" s="405" t="s">
        <v>4947</v>
      </c>
      <c r="D94" s="405"/>
      <c r="E94" s="405"/>
      <c r="F94" s="16" t="s">
        <v>38</v>
      </c>
      <c r="G94" s="23">
        <v>1</v>
      </c>
      <c r="H94" s="57">
        <f>I94/G94</f>
        <v>6463.5199999999995</v>
      </c>
      <c r="I94" s="19">
        <f>6662.03-K94</f>
        <v>6463.5199999999995</v>
      </c>
      <c r="J94" s="19">
        <f>K94/G94</f>
        <v>198.51</v>
      </c>
      <c r="K94" s="19">
        <v>198.51</v>
      </c>
      <c r="BC94" s="14"/>
      <c r="BD94" s="15"/>
      <c r="BE94" s="21" t="s">
        <v>4947</v>
      </c>
      <c r="BF94" s="43"/>
      <c r="BG94" s="12"/>
      <c r="BH94" s="12"/>
    </row>
    <row r="95" spans="1:60" s="3" customFormat="1" ht="20.399999999999999" x14ac:dyDescent="0.3">
      <c r="A95" s="25"/>
      <c r="B95" s="26" t="s">
        <v>1964</v>
      </c>
      <c r="C95" s="419" t="s">
        <v>1965</v>
      </c>
      <c r="D95" s="419"/>
      <c r="E95" s="419"/>
      <c r="F95" s="27" t="s">
        <v>70</v>
      </c>
      <c r="G95" s="22" t="s">
        <v>5235</v>
      </c>
      <c r="H95" s="58"/>
      <c r="I95" s="28"/>
      <c r="J95" s="28"/>
      <c r="K95" s="29"/>
      <c r="BC95" s="14"/>
      <c r="BD95" s="15"/>
      <c r="BE95" s="21"/>
      <c r="BF95" s="43"/>
      <c r="BG95" s="12"/>
      <c r="BH95" s="12" t="s">
        <v>1965</v>
      </c>
    </row>
    <row r="96" spans="1:60" s="3" customFormat="1" ht="21.6" x14ac:dyDescent="0.3">
      <c r="A96" s="25"/>
      <c r="B96" s="26" t="s">
        <v>4509</v>
      </c>
      <c r="C96" s="419" t="s">
        <v>4510</v>
      </c>
      <c r="D96" s="419"/>
      <c r="E96" s="419"/>
      <c r="F96" s="27" t="s">
        <v>70</v>
      </c>
      <c r="G96" s="22" t="s">
        <v>5236</v>
      </c>
      <c r="H96" s="58"/>
      <c r="I96" s="28"/>
      <c r="J96" s="28"/>
      <c r="K96" s="29"/>
      <c r="BC96" s="14"/>
      <c r="BD96" s="15"/>
      <c r="BE96" s="21"/>
      <c r="BF96" s="43"/>
      <c r="BG96" s="12"/>
      <c r="BH96" s="12" t="s">
        <v>4510</v>
      </c>
    </row>
    <row r="97" spans="1:60" s="3" customFormat="1" ht="20.399999999999999" x14ac:dyDescent="0.3">
      <c r="A97" s="25"/>
      <c r="B97" s="26" t="s">
        <v>4950</v>
      </c>
      <c r="C97" s="419" t="s">
        <v>4951</v>
      </c>
      <c r="D97" s="419"/>
      <c r="E97" s="419"/>
      <c r="F97" s="27" t="s">
        <v>1049</v>
      </c>
      <c r="G97" s="22" t="s">
        <v>5237</v>
      </c>
      <c r="H97" s="58"/>
      <c r="I97" s="28"/>
      <c r="J97" s="28"/>
      <c r="K97" s="29"/>
      <c r="BC97" s="14"/>
      <c r="BD97" s="15"/>
      <c r="BE97" s="21"/>
      <c r="BF97" s="43"/>
      <c r="BG97" s="12"/>
      <c r="BH97" s="12" t="s">
        <v>4951</v>
      </c>
    </row>
    <row r="98" spans="1:60" s="3" customFormat="1" ht="21.6" x14ac:dyDescent="0.3">
      <c r="A98" s="25"/>
      <c r="B98" s="26" t="s">
        <v>607</v>
      </c>
      <c r="C98" s="419" t="s">
        <v>608</v>
      </c>
      <c r="D98" s="419"/>
      <c r="E98" s="419"/>
      <c r="F98" s="27" t="s">
        <v>609</v>
      </c>
      <c r="G98" s="22" t="s">
        <v>5238</v>
      </c>
      <c r="H98" s="58"/>
      <c r="I98" s="28"/>
      <c r="J98" s="28"/>
      <c r="K98" s="29"/>
      <c r="BC98" s="14"/>
      <c r="BD98" s="15"/>
      <c r="BE98" s="21"/>
      <c r="BF98" s="43"/>
      <c r="BG98" s="12"/>
      <c r="BH98" s="12" t="s">
        <v>608</v>
      </c>
    </row>
    <row r="99" spans="1:60" s="3" customFormat="1" ht="52.2" x14ac:dyDescent="0.3">
      <c r="A99" s="16" t="s">
        <v>4531</v>
      </c>
      <c r="B99" s="17" t="s">
        <v>5239</v>
      </c>
      <c r="C99" s="405" t="s">
        <v>5240</v>
      </c>
      <c r="D99" s="405"/>
      <c r="E99" s="405"/>
      <c r="F99" s="16" t="s">
        <v>1460</v>
      </c>
      <c r="G99" s="23">
        <v>1</v>
      </c>
      <c r="H99" s="57"/>
      <c r="I99" s="19"/>
      <c r="J99" s="19">
        <f>K99/G99</f>
        <v>115664.87</v>
      </c>
      <c r="K99" s="19">
        <v>115664.87</v>
      </c>
      <c r="BC99" s="14"/>
      <c r="BD99" s="15"/>
      <c r="BE99" s="21" t="s">
        <v>5240</v>
      </c>
      <c r="BF99" s="43"/>
      <c r="BG99" s="12"/>
      <c r="BH99" s="12"/>
    </row>
    <row r="100" spans="1:60" s="3" customFormat="1" ht="15" customHeight="1" x14ac:dyDescent="0.3">
      <c r="A100" s="437" t="s">
        <v>5241</v>
      </c>
      <c r="B100" s="418"/>
      <c r="C100" s="418"/>
      <c r="D100" s="418"/>
      <c r="E100" s="418"/>
      <c r="F100" s="418"/>
      <c r="G100" s="418"/>
      <c r="H100" s="123"/>
      <c r="I100" s="123"/>
      <c r="J100" s="317"/>
      <c r="K100" s="124"/>
      <c r="BC100" s="14"/>
      <c r="BD100" s="15" t="s">
        <v>5241</v>
      </c>
      <c r="BE100" s="21"/>
      <c r="BF100" s="43"/>
      <c r="BG100" s="12"/>
      <c r="BH100" s="12"/>
    </row>
    <row r="101" spans="1:60" s="3" customFormat="1" ht="21.6" x14ac:dyDescent="0.3">
      <c r="A101" s="16" t="s">
        <v>227</v>
      </c>
      <c r="B101" s="17" t="s">
        <v>4605</v>
      </c>
      <c r="C101" s="405" t="s">
        <v>4606</v>
      </c>
      <c r="D101" s="405"/>
      <c r="E101" s="405"/>
      <c r="F101" s="16" t="s">
        <v>38</v>
      </c>
      <c r="G101" s="23">
        <v>1</v>
      </c>
      <c r="H101" s="57">
        <f>I101/G101</f>
        <v>11118.480000000001</v>
      </c>
      <c r="I101" s="19">
        <f>11544.7-K101</f>
        <v>11118.480000000001</v>
      </c>
      <c r="J101" s="19">
        <f>K101/G101</f>
        <v>426.22</v>
      </c>
      <c r="K101" s="19">
        <v>426.22</v>
      </c>
      <c r="BC101" s="14"/>
      <c r="BD101" s="15"/>
      <c r="BE101" s="21" t="s">
        <v>4606</v>
      </c>
      <c r="BF101" s="43"/>
      <c r="BG101" s="12"/>
      <c r="BH101" s="12"/>
    </row>
    <row r="102" spans="1:60" s="3" customFormat="1" ht="20.399999999999999" x14ac:dyDescent="0.3">
      <c r="A102" s="25"/>
      <c r="B102" s="26" t="s">
        <v>3770</v>
      </c>
      <c r="C102" s="419" t="s">
        <v>3771</v>
      </c>
      <c r="D102" s="419"/>
      <c r="E102" s="419"/>
      <c r="F102" s="27" t="s">
        <v>75</v>
      </c>
      <c r="G102" s="22" t="s">
        <v>1473</v>
      </c>
      <c r="H102" s="58"/>
      <c r="I102" s="28"/>
      <c r="J102" s="28"/>
      <c r="K102" s="29"/>
      <c r="BC102" s="14"/>
      <c r="BD102" s="15"/>
      <c r="BE102" s="21"/>
      <c r="BF102" s="43"/>
      <c r="BG102" s="12"/>
      <c r="BH102" s="12" t="s">
        <v>3771</v>
      </c>
    </row>
    <row r="103" spans="1:60" s="3" customFormat="1" ht="31.8" x14ac:dyDescent="0.3">
      <c r="A103" s="25"/>
      <c r="B103" s="26" t="s">
        <v>4454</v>
      </c>
      <c r="C103" s="419" t="s">
        <v>4455</v>
      </c>
      <c r="D103" s="419"/>
      <c r="E103" s="419"/>
      <c r="F103" s="27" t="s">
        <v>75</v>
      </c>
      <c r="G103" s="22" t="s">
        <v>1173</v>
      </c>
      <c r="H103" s="58"/>
      <c r="I103" s="28"/>
      <c r="J103" s="28"/>
      <c r="K103" s="29"/>
      <c r="BC103" s="14"/>
      <c r="BD103" s="15"/>
      <c r="BE103" s="21"/>
      <c r="BF103" s="43"/>
      <c r="BG103" s="12"/>
      <c r="BH103" s="12" t="s">
        <v>4455</v>
      </c>
    </row>
    <row r="104" spans="1:60" s="3" customFormat="1" ht="20.399999999999999" x14ac:dyDescent="0.3">
      <c r="A104" s="25"/>
      <c r="B104" s="26" t="s">
        <v>391</v>
      </c>
      <c r="C104" s="419" t="s">
        <v>392</v>
      </c>
      <c r="D104" s="419"/>
      <c r="E104" s="419"/>
      <c r="F104" s="27" t="s">
        <v>75</v>
      </c>
      <c r="G104" s="22" t="s">
        <v>3930</v>
      </c>
      <c r="H104" s="58"/>
      <c r="I104" s="28"/>
      <c r="J104" s="28"/>
      <c r="K104" s="29"/>
      <c r="BC104" s="14"/>
      <c r="BD104" s="15"/>
      <c r="BE104" s="21"/>
      <c r="BF104" s="43"/>
      <c r="BG104" s="12"/>
      <c r="BH104" s="12" t="s">
        <v>392</v>
      </c>
    </row>
    <row r="105" spans="1:60" s="3" customFormat="1" ht="21.6" x14ac:dyDescent="0.3">
      <c r="A105" s="25"/>
      <c r="B105" s="26" t="s">
        <v>4505</v>
      </c>
      <c r="C105" s="419" t="s">
        <v>4506</v>
      </c>
      <c r="D105" s="419"/>
      <c r="E105" s="419"/>
      <c r="F105" s="27" t="s">
        <v>142</v>
      </c>
      <c r="G105" s="22" t="s">
        <v>1910</v>
      </c>
      <c r="H105" s="58"/>
      <c r="I105" s="28"/>
      <c r="J105" s="28"/>
      <c r="K105" s="29"/>
      <c r="BC105" s="14"/>
      <c r="BD105" s="15"/>
      <c r="BE105" s="21"/>
      <c r="BF105" s="43"/>
      <c r="BG105" s="12"/>
      <c r="BH105" s="12" t="s">
        <v>4506</v>
      </c>
    </row>
    <row r="106" spans="1:60" s="3" customFormat="1" ht="20.399999999999999" x14ac:dyDescent="0.3">
      <c r="A106" s="25"/>
      <c r="B106" s="26" t="s">
        <v>1916</v>
      </c>
      <c r="C106" s="419" t="s">
        <v>1917</v>
      </c>
      <c r="D106" s="419"/>
      <c r="E106" s="419"/>
      <c r="F106" s="27" t="s">
        <v>70</v>
      </c>
      <c r="G106" s="22" t="s">
        <v>4958</v>
      </c>
      <c r="H106" s="58"/>
      <c r="I106" s="28"/>
      <c r="J106" s="28"/>
      <c r="K106" s="29"/>
      <c r="BC106" s="14"/>
      <c r="BD106" s="15"/>
      <c r="BE106" s="21"/>
      <c r="BF106" s="43"/>
      <c r="BG106" s="12"/>
      <c r="BH106" s="12" t="s">
        <v>1917</v>
      </c>
    </row>
    <row r="107" spans="1:60" s="3" customFormat="1" ht="21.6" x14ac:dyDescent="0.3">
      <c r="A107" s="25"/>
      <c r="B107" s="26" t="s">
        <v>4611</v>
      </c>
      <c r="C107" s="419" t="s">
        <v>4612</v>
      </c>
      <c r="D107" s="419"/>
      <c r="E107" s="419"/>
      <c r="F107" s="27" t="s">
        <v>70</v>
      </c>
      <c r="G107" s="22" t="s">
        <v>4959</v>
      </c>
      <c r="H107" s="58"/>
      <c r="I107" s="28"/>
      <c r="J107" s="28"/>
      <c r="K107" s="29"/>
      <c r="BC107" s="14"/>
      <c r="BD107" s="15"/>
      <c r="BE107" s="21"/>
      <c r="BF107" s="43"/>
      <c r="BG107" s="12"/>
      <c r="BH107" s="12" t="s">
        <v>4612</v>
      </c>
    </row>
    <row r="108" spans="1:60" s="3" customFormat="1" ht="21.6" x14ac:dyDescent="0.3">
      <c r="A108" s="25"/>
      <c r="B108" s="26" t="s">
        <v>4509</v>
      </c>
      <c r="C108" s="419" t="s">
        <v>4510</v>
      </c>
      <c r="D108" s="419"/>
      <c r="E108" s="419"/>
      <c r="F108" s="27" t="s">
        <v>70</v>
      </c>
      <c r="G108" s="22" t="s">
        <v>4960</v>
      </c>
      <c r="H108" s="58"/>
      <c r="I108" s="28"/>
      <c r="J108" s="28"/>
      <c r="K108" s="29"/>
      <c r="BC108" s="14"/>
      <c r="BD108" s="15"/>
      <c r="BE108" s="21"/>
      <c r="BF108" s="43"/>
      <c r="BG108" s="12"/>
      <c r="BH108" s="12" t="s">
        <v>4510</v>
      </c>
    </row>
    <row r="109" spans="1:60" s="3" customFormat="1" ht="21.6" x14ac:dyDescent="0.3">
      <c r="A109" s="25"/>
      <c r="B109" s="26" t="s">
        <v>4615</v>
      </c>
      <c r="C109" s="419" t="s">
        <v>4616</v>
      </c>
      <c r="D109" s="419"/>
      <c r="E109" s="419"/>
      <c r="F109" s="27" t="s">
        <v>70</v>
      </c>
      <c r="G109" s="22" t="s">
        <v>1472</v>
      </c>
      <c r="H109" s="58"/>
      <c r="I109" s="28"/>
      <c r="J109" s="28"/>
      <c r="K109" s="29"/>
      <c r="BC109" s="14"/>
      <c r="BD109" s="15"/>
      <c r="BE109" s="21"/>
      <c r="BF109" s="43"/>
      <c r="BG109" s="12"/>
      <c r="BH109" s="12" t="s">
        <v>4616</v>
      </c>
    </row>
    <row r="110" spans="1:60" s="3" customFormat="1" ht="20.399999999999999" x14ac:dyDescent="0.3">
      <c r="A110" s="25"/>
      <c r="B110" s="26" t="s">
        <v>1934</v>
      </c>
      <c r="C110" s="419" t="s">
        <v>1935</v>
      </c>
      <c r="D110" s="419"/>
      <c r="E110" s="419"/>
      <c r="F110" s="27" t="s">
        <v>75</v>
      </c>
      <c r="G110" s="22" t="s">
        <v>1159</v>
      </c>
      <c r="H110" s="58"/>
      <c r="I110" s="28"/>
      <c r="J110" s="28"/>
      <c r="K110" s="29"/>
      <c r="BC110" s="14"/>
      <c r="BD110" s="15"/>
      <c r="BE110" s="21"/>
      <c r="BF110" s="43"/>
      <c r="BG110" s="12"/>
      <c r="BH110" s="12" t="s">
        <v>1935</v>
      </c>
    </row>
    <row r="111" spans="1:60" s="3" customFormat="1" ht="20.399999999999999" x14ac:dyDescent="0.3">
      <c r="A111" s="25"/>
      <c r="B111" s="26" t="s">
        <v>4618</v>
      </c>
      <c r="C111" s="419" t="s">
        <v>4619</v>
      </c>
      <c r="D111" s="419"/>
      <c r="E111" s="419"/>
      <c r="F111" s="27" t="s">
        <v>142</v>
      </c>
      <c r="G111" s="22" t="s">
        <v>1910</v>
      </c>
      <c r="H111" s="58"/>
      <c r="I111" s="28"/>
      <c r="J111" s="28"/>
      <c r="K111" s="29"/>
      <c r="BC111" s="14"/>
      <c r="BD111" s="15"/>
      <c r="BE111" s="21"/>
      <c r="BF111" s="43"/>
      <c r="BG111" s="12"/>
      <c r="BH111" s="12" t="s">
        <v>4619</v>
      </c>
    </row>
    <row r="112" spans="1:60" s="3" customFormat="1" ht="20.399999999999999" x14ac:dyDescent="0.3">
      <c r="A112" s="25"/>
      <c r="B112" s="26" t="s">
        <v>4620</v>
      </c>
      <c r="C112" s="419" t="s">
        <v>4621</v>
      </c>
      <c r="D112" s="419"/>
      <c r="E112" s="419"/>
      <c r="F112" s="27" t="s">
        <v>75</v>
      </c>
      <c r="G112" s="22" t="s">
        <v>1173</v>
      </c>
      <c r="H112" s="58"/>
      <c r="I112" s="28"/>
      <c r="J112" s="28"/>
      <c r="K112" s="29"/>
      <c r="BC112" s="14"/>
      <c r="BD112" s="15"/>
      <c r="BE112" s="21"/>
      <c r="BF112" s="43"/>
      <c r="BG112" s="12"/>
      <c r="BH112" s="12" t="s">
        <v>4621</v>
      </c>
    </row>
    <row r="113" spans="1:60" s="3" customFormat="1" ht="21.6" x14ac:dyDescent="0.3">
      <c r="A113" s="25"/>
      <c r="B113" s="26" t="s">
        <v>4622</v>
      </c>
      <c r="C113" s="419" t="s">
        <v>4623</v>
      </c>
      <c r="D113" s="419"/>
      <c r="E113" s="419"/>
      <c r="F113" s="27" t="s">
        <v>75</v>
      </c>
      <c r="G113" s="22" t="s">
        <v>1496</v>
      </c>
      <c r="H113" s="58"/>
      <c r="I113" s="28"/>
      <c r="J113" s="28"/>
      <c r="K113" s="29"/>
      <c r="BC113" s="14"/>
      <c r="BD113" s="15"/>
      <c r="BE113" s="21"/>
      <c r="BF113" s="43"/>
      <c r="BG113" s="12"/>
      <c r="BH113" s="12" t="s">
        <v>4623</v>
      </c>
    </row>
    <row r="114" spans="1:60" s="3" customFormat="1" ht="21.6" x14ac:dyDescent="0.3">
      <c r="A114" s="25"/>
      <c r="B114" s="26" t="s">
        <v>607</v>
      </c>
      <c r="C114" s="419" t="s">
        <v>608</v>
      </c>
      <c r="D114" s="419"/>
      <c r="E114" s="419"/>
      <c r="F114" s="27" t="s">
        <v>609</v>
      </c>
      <c r="G114" s="22" t="s">
        <v>4961</v>
      </c>
      <c r="H114" s="58"/>
      <c r="I114" s="28"/>
      <c r="J114" s="28"/>
      <c r="K114" s="29"/>
      <c r="BC114" s="14"/>
      <c r="BD114" s="15"/>
      <c r="BE114" s="21"/>
      <c r="BF114" s="43"/>
      <c r="BG114" s="12"/>
      <c r="BH114" s="12" t="s">
        <v>608</v>
      </c>
    </row>
    <row r="115" spans="1:60" s="3" customFormat="1" ht="42" x14ac:dyDescent="0.3">
      <c r="A115" s="16" t="s">
        <v>4541</v>
      </c>
      <c r="B115" s="17" t="s">
        <v>5242</v>
      </c>
      <c r="C115" s="405" t="s">
        <v>5243</v>
      </c>
      <c r="D115" s="405"/>
      <c r="E115" s="405"/>
      <c r="F115" s="16" t="s">
        <v>1460</v>
      </c>
      <c r="G115" s="23">
        <v>1</v>
      </c>
      <c r="H115" s="57"/>
      <c r="I115" s="19"/>
      <c r="J115" s="19">
        <f>K115/G115</f>
        <v>70962.69</v>
      </c>
      <c r="K115" s="19">
        <v>70962.69</v>
      </c>
      <c r="BC115" s="14"/>
      <c r="BD115" s="15"/>
      <c r="BE115" s="21" t="s">
        <v>5243</v>
      </c>
      <c r="BF115" s="43"/>
      <c r="BG115" s="12"/>
      <c r="BH115" s="12"/>
    </row>
    <row r="116" spans="1:60" s="3" customFormat="1" ht="15" customHeight="1" x14ac:dyDescent="0.3">
      <c r="A116" s="437" t="s">
        <v>5244</v>
      </c>
      <c r="B116" s="418"/>
      <c r="C116" s="418"/>
      <c r="D116" s="418"/>
      <c r="E116" s="418"/>
      <c r="F116" s="418"/>
      <c r="G116" s="418"/>
      <c r="H116" s="123"/>
      <c r="I116" s="123"/>
      <c r="J116" s="317"/>
      <c r="K116" s="124"/>
      <c r="BC116" s="14"/>
      <c r="BD116" s="15" t="s">
        <v>5244</v>
      </c>
      <c r="BE116" s="21"/>
      <c r="BF116" s="43"/>
      <c r="BG116" s="12"/>
      <c r="BH116" s="12"/>
    </row>
    <row r="117" spans="1:60" s="3" customFormat="1" ht="31.8" x14ac:dyDescent="0.3">
      <c r="A117" s="16" t="s">
        <v>233</v>
      </c>
      <c r="B117" s="17" t="s">
        <v>4897</v>
      </c>
      <c r="C117" s="405" t="s">
        <v>4898</v>
      </c>
      <c r="D117" s="405"/>
      <c r="E117" s="405"/>
      <c r="F117" s="16" t="s">
        <v>38</v>
      </c>
      <c r="G117" s="23">
        <v>1</v>
      </c>
      <c r="H117" s="57">
        <f>I117/G117</f>
        <v>3406.05</v>
      </c>
      <c r="I117" s="19">
        <f>3428.88-K117</f>
        <v>3406.05</v>
      </c>
      <c r="J117" s="19">
        <f>K117/G117</f>
        <v>22.83</v>
      </c>
      <c r="K117" s="19">
        <v>22.83</v>
      </c>
      <c r="BC117" s="14"/>
      <c r="BD117" s="15"/>
      <c r="BE117" s="21" t="s">
        <v>4898</v>
      </c>
      <c r="BF117" s="43"/>
      <c r="BG117" s="12"/>
      <c r="BH117" s="12"/>
    </row>
    <row r="118" spans="1:60" s="3" customFormat="1" ht="21.6" x14ac:dyDescent="0.3">
      <c r="A118" s="25"/>
      <c r="B118" s="26" t="s">
        <v>4537</v>
      </c>
      <c r="C118" s="419" t="s">
        <v>4538</v>
      </c>
      <c r="D118" s="419"/>
      <c r="E118" s="419"/>
      <c r="F118" s="27" t="s">
        <v>75</v>
      </c>
      <c r="G118" s="22" t="s">
        <v>3932</v>
      </c>
      <c r="H118" s="58"/>
      <c r="I118" s="28"/>
      <c r="J118" s="28"/>
      <c r="K118" s="29"/>
      <c r="BC118" s="14"/>
      <c r="BD118" s="15"/>
      <c r="BE118" s="21"/>
      <c r="BF118" s="43"/>
      <c r="BG118" s="12"/>
      <c r="BH118" s="12" t="s">
        <v>4538</v>
      </c>
    </row>
    <row r="119" spans="1:60" s="3" customFormat="1" ht="21.6" x14ac:dyDescent="0.3">
      <c r="A119" s="25"/>
      <c r="B119" s="26" t="s">
        <v>607</v>
      </c>
      <c r="C119" s="419" t="s">
        <v>608</v>
      </c>
      <c r="D119" s="419"/>
      <c r="E119" s="419"/>
      <c r="F119" s="27" t="s">
        <v>609</v>
      </c>
      <c r="G119" s="22" t="s">
        <v>5245</v>
      </c>
      <c r="H119" s="58"/>
      <c r="I119" s="28"/>
      <c r="J119" s="28"/>
      <c r="K119" s="29"/>
      <c r="BC119" s="14"/>
      <c r="BD119" s="15"/>
      <c r="BE119" s="21"/>
      <c r="BF119" s="43"/>
      <c r="BG119" s="12"/>
      <c r="BH119" s="12" t="s">
        <v>608</v>
      </c>
    </row>
    <row r="120" spans="1:60" s="3" customFormat="1" ht="21.6" x14ac:dyDescent="0.3">
      <c r="A120" s="16" t="s">
        <v>5246</v>
      </c>
      <c r="B120" s="17" t="s">
        <v>5247</v>
      </c>
      <c r="C120" s="405" t="s">
        <v>5248</v>
      </c>
      <c r="D120" s="405"/>
      <c r="E120" s="405"/>
      <c r="F120" s="16" t="s">
        <v>1460</v>
      </c>
      <c r="G120" s="23">
        <v>1</v>
      </c>
      <c r="H120" s="57"/>
      <c r="I120" s="19"/>
      <c r="J120" s="19">
        <f>K120/G120</f>
        <v>2861.25</v>
      </c>
      <c r="K120" s="19">
        <v>2861.25</v>
      </c>
      <c r="BC120" s="14"/>
      <c r="BD120" s="15"/>
      <c r="BE120" s="21" t="s">
        <v>5248</v>
      </c>
      <c r="BF120" s="43"/>
      <c r="BG120" s="12"/>
      <c r="BH120" s="12"/>
    </row>
    <row r="121" spans="1:60" s="3" customFormat="1" ht="15" customHeight="1" x14ac:dyDescent="0.3">
      <c r="A121" s="437" t="s">
        <v>5249</v>
      </c>
      <c r="B121" s="418"/>
      <c r="C121" s="418"/>
      <c r="D121" s="418"/>
      <c r="E121" s="418"/>
      <c r="F121" s="418"/>
      <c r="G121" s="418"/>
      <c r="H121" s="123"/>
      <c r="I121" s="123"/>
      <c r="J121" s="317"/>
      <c r="K121" s="124"/>
      <c r="BC121" s="14"/>
      <c r="BD121" s="15" t="s">
        <v>5249</v>
      </c>
      <c r="BE121" s="21"/>
      <c r="BF121" s="43"/>
      <c r="BG121" s="12"/>
      <c r="BH121" s="12"/>
    </row>
    <row r="122" spans="1:60" s="3" customFormat="1" ht="21.6" x14ac:dyDescent="0.3">
      <c r="A122" s="16" t="s">
        <v>237</v>
      </c>
      <c r="B122" s="17" t="s">
        <v>4547</v>
      </c>
      <c r="C122" s="405" t="s">
        <v>4548</v>
      </c>
      <c r="D122" s="405"/>
      <c r="E122" s="405"/>
      <c r="F122" s="16" t="s">
        <v>38</v>
      </c>
      <c r="G122" s="23">
        <v>1</v>
      </c>
      <c r="H122" s="57">
        <f>I122/G122</f>
        <v>912.85</v>
      </c>
      <c r="I122" s="19">
        <f>914.44-K122</f>
        <v>912.85</v>
      </c>
      <c r="J122" s="19">
        <f>K122/G122</f>
        <v>1.59</v>
      </c>
      <c r="K122" s="19">
        <v>1.59</v>
      </c>
      <c r="BC122" s="14"/>
      <c r="BD122" s="15"/>
      <c r="BE122" s="21" t="s">
        <v>4548</v>
      </c>
      <c r="BF122" s="43"/>
      <c r="BG122" s="12"/>
      <c r="BH122" s="12"/>
    </row>
    <row r="123" spans="1:60" s="3" customFormat="1" ht="21.6" x14ac:dyDescent="0.3">
      <c r="A123" s="25"/>
      <c r="B123" s="26" t="s">
        <v>607</v>
      </c>
      <c r="C123" s="419" t="s">
        <v>608</v>
      </c>
      <c r="D123" s="419"/>
      <c r="E123" s="419"/>
      <c r="F123" s="27" t="s">
        <v>609</v>
      </c>
      <c r="G123" s="22" t="s">
        <v>1549</v>
      </c>
      <c r="H123" s="58"/>
      <c r="I123" s="28"/>
      <c r="J123" s="28"/>
      <c r="K123" s="29"/>
      <c r="BC123" s="14"/>
      <c r="BD123" s="15"/>
      <c r="BE123" s="21"/>
      <c r="BF123" s="43"/>
      <c r="BG123" s="12"/>
      <c r="BH123" s="12" t="s">
        <v>608</v>
      </c>
    </row>
    <row r="124" spans="1:60" s="3" customFormat="1" ht="21.6" x14ac:dyDescent="0.3">
      <c r="A124" s="16" t="s">
        <v>4552</v>
      </c>
      <c r="B124" s="17" t="s">
        <v>5250</v>
      </c>
      <c r="C124" s="405" t="s">
        <v>5251</v>
      </c>
      <c r="D124" s="405"/>
      <c r="E124" s="405"/>
      <c r="F124" s="16" t="s">
        <v>1460</v>
      </c>
      <c r="G124" s="23">
        <v>1</v>
      </c>
      <c r="H124" s="57"/>
      <c r="I124" s="19"/>
      <c r="J124" s="19">
        <f>K124/G124</f>
        <v>6484.87</v>
      </c>
      <c r="K124" s="19">
        <v>6484.87</v>
      </c>
      <c r="BC124" s="14"/>
      <c r="BD124" s="15"/>
      <c r="BE124" s="21" t="s">
        <v>5251</v>
      </c>
      <c r="BF124" s="43"/>
      <c r="BG124" s="12"/>
      <c r="BH124" s="12"/>
    </row>
    <row r="125" spans="1:60" s="3" customFormat="1" ht="15" customHeight="1" x14ac:dyDescent="0.3">
      <c r="A125" s="437" t="s">
        <v>5252</v>
      </c>
      <c r="B125" s="418"/>
      <c r="C125" s="418"/>
      <c r="D125" s="418"/>
      <c r="E125" s="418"/>
      <c r="F125" s="418"/>
      <c r="G125" s="418"/>
      <c r="H125" s="123"/>
      <c r="I125" s="123"/>
      <c r="J125" s="317"/>
      <c r="K125" s="124"/>
      <c r="BC125" s="14"/>
      <c r="BD125" s="15" t="s">
        <v>5252</v>
      </c>
      <c r="BE125" s="21"/>
      <c r="BF125" s="43"/>
      <c r="BG125" s="12"/>
      <c r="BH125" s="12"/>
    </row>
    <row r="126" spans="1:60" s="3" customFormat="1" ht="14.4" x14ac:dyDescent="0.3">
      <c r="A126" s="16" t="s">
        <v>244</v>
      </c>
      <c r="B126" s="17" t="s">
        <v>5253</v>
      </c>
      <c r="C126" s="405" t="s">
        <v>5254</v>
      </c>
      <c r="D126" s="405"/>
      <c r="E126" s="405"/>
      <c r="F126" s="16" t="s">
        <v>5255</v>
      </c>
      <c r="G126" s="23">
        <v>1</v>
      </c>
      <c r="H126" s="57">
        <f>I126/G126</f>
        <v>16614.12</v>
      </c>
      <c r="I126" s="19">
        <f>17461.51-K126</f>
        <v>16614.12</v>
      </c>
      <c r="J126" s="19">
        <f>K126/G126</f>
        <v>847.39</v>
      </c>
      <c r="K126" s="19">
        <v>847.39</v>
      </c>
      <c r="BC126" s="14"/>
      <c r="BD126" s="15"/>
      <c r="BE126" s="21" t="s">
        <v>5254</v>
      </c>
      <c r="BF126" s="43"/>
      <c r="BG126" s="12"/>
      <c r="BH126" s="12"/>
    </row>
    <row r="127" spans="1:60" s="3" customFormat="1" ht="20.399999999999999" x14ac:dyDescent="0.3">
      <c r="A127" s="25"/>
      <c r="B127" s="26" t="s">
        <v>599</v>
      </c>
      <c r="C127" s="419" t="s">
        <v>600</v>
      </c>
      <c r="D127" s="419"/>
      <c r="E127" s="419"/>
      <c r="F127" s="27" t="s">
        <v>406</v>
      </c>
      <c r="G127" s="22" t="s">
        <v>5256</v>
      </c>
      <c r="H127" s="58"/>
      <c r="I127" s="28"/>
      <c r="J127" s="28"/>
      <c r="K127" s="29"/>
      <c r="BC127" s="14"/>
      <c r="BD127" s="15"/>
      <c r="BE127" s="21"/>
      <c r="BF127" s="43"/>
      <c r="BG127" s="12"/>
      <c r="BH127" s="12" t="s">
        <v>600</v>
      </c>
    </row>
    <row r="128" spans="1:60" s="3" customFormat="1" ht="20.399999999999999" x14ac:dyDescent="0.3">
      <c r="A128" s="25"/>
      <c r="B128" s="26" t="s">
        <v>391</v>
      </c>
      <c r="C128" s="419" t="s">
        <v>392</v>
      </c>
      <c r="D128" s="419"/>
      <c r="E128" s="419"/>
      <c r="F128" s="27" t="s">
        <v>75</v>
      </c>
      <c r="G128" s="22" t="s">
        <v>5257</v>
      </c>
      <c r="H128" s="58"/>
      <c r="I128" s="28"/>
      <c r="J128" s="28"/>
      <c r="K128" s="29"/>
      <c r="BC128" s="14"/>
      <c r="BD128" s="15"/>
      <c r="BE128" s="21"/>
      <c r="BF128" s="43"/>
      <c r="BG128" s="12"/>
      <c r="BH128" s="12" t="s">
        <v>392</v>
      </c>
    </row>
    <row r="129" spans="1:60" s="3" customFormat="1" ht="20.399999999999999" x14ac:dyDescent="0.3">
      <c r="A129" s="25"/>
      <c r="B129" s="26" t="s">
        <v>1936</v>
      </c>
      <c r="C129" s="419" t="s">
        <v>1937</v>
      </c>
      <c r="D129" s="419"/>
      <c r="E129" s="419"/>
      <c r="F129" s="27" t="s">
        <v>1261</v>
      </c>
      <c r="G129" s="22" t="s">
        <v>1910</v>
      </c>
      <c r="H129" s="58"/>
      <c r="I129" s="28"/>
      <c r="J129" s="28"/>
      <c r="K129" s="29"/>
      <c r="BC129" s="14"/>
      <c r="BD129" s="15"/>
      <c r="BE129" s="21"/>
      <c r="BF129" s="43"/>
      <c r="BG129" s="12"/>
      <c r="BH129" s="12" t="s">
        <v>1937</v>
      </c>
    </row>
    <row r="130" spans="1:60" s="3" customFormat="1" ht="21.6" x14ac:dyDescent="0.3">
      <c r="A130" s="25"/>
      <c r="B130" s="26" t="s">
        <v>5258</v>
      </c>
      <c r="C130" s="419" t="s">
        <v>5259</v>
      </c>
      <c r="D130" s="419"/>
      <c r="E130" s="419"/>
      <c r="F130" s="27" t="s">
        <v>142</v>
      </c>
      <c r="G130" s="22" t="s">
        <v>5260</v>
      </c>
      <c r="H130" s="58"/>
      <c r="I130" s="28"/>
      <c r="J130" s="28"/>
      <c r="K130" s="29"/>
      <c r="BC130" s="14"/>
      <c r="BD130" s="15"/>
      <c r="BE130" s="21"/>
      <c r="BF130" s="43"/>
      <c r="BG130" s="12"/>
      <c r="BH130" s="12" t="s">
        <v>5259</v>
      </c>
    </row>
    <row r="131" spans="1:60" s="3" customFormat="1" ht="20.399999999999999" x14ac:dyDescent="0.3">
      <c r="A131" s="25"/>
      <c r="B131" s="26" t="s">
        <v>5261</v>
      </c>
      <c r="C131" s="419" t="s">
        <v>5262</v>
      </c>
      <c r="D131" s="419"/>
      <c r="E131" s="419"/>
      <c r="F131" s="27" t="s">
        <v>75</v>
      </c>
      <c r="G131" s="22" t="s">
        <v>5263</v>
      </c>
      <c r="H131" s="58"/>
      <c r="I131" s="28"/>
      <c r="J131" s="28"/>
      <c r="K131" s="29"/>
      <c r="BC131" s="14"/>
      <c r="BD131" s="15"/>
      <c r="BE131" s="21"/>
      <c r="BF131" s="43"/>
      <c r="BG131" s="12"/>
      <c r="BH131" s="12" t="s">
        <v>5262</v>
      </c>
    </row>
    <row r="132" spans="1:60" s="3" customFormat="1" ht="21.6" x14ac:dyDescent="0.3">
      <c r="A132" s="25"/>
      <c r="B132" s="26" t="s">
        <v>607</v>
      </c>
      <c r="C132" s="419" t="s">
        <v>608</v>
      </c>
      <c r="D132" s="419"/>
      <c r="E132" s="419"/>
      <c r="F132" s="27" t="s">
        <v>609</v>
      </c>
      <c r="G132" s="22" t="s">
        <v>5264</v>
      </c>
      <c r="H132" s="58"/>
      <c r="I132" s="28"/>
      <c r="J132" s="28"/>
      <c r="K132" s="29"/>
      <c r="BC132" s="14"/>
      <c r="BD132" s="15"/>
      <c r="BE132" s="21"/>
      <c r="BF132" s="43"/>
      <c r="BG132" s="12"/>
      <c r="BH132" s="12" t="s">
        <v>608</v>
      </c>
    </row>
    <row r="133" spans="1:60" s="3" customFormat="1" ht="31.8" x14ac:dyDescent="0.3">
      <c r="A133" s="16" t="s">
        <v>4558</v>
      </c>
      <c r="B133" s="17" t="s">
        <v>5265</v>
      </c>
      <c r="C133" s="405" t="s">
        <v>5266</v>
      </c>
      <c r="D133" s="405"/>
      <c r="E133" s="405"/>
      <c r="F133" s="16" t="s">
        <v>1460</v>
      </c>
      <c r="G133" s="23">
        <v>1</v>
      </c>
      <c r="H133" s="57"/>
      <c r="I133" s="19"/>
      <c r="J133" s="19">
        <f>K133/G133</f>
        <v>28054.62</v>
      </c>
      <c r="K133" s="19">
        <v>28054.62</v>
      </c>
      <c r="BC133" s="14"/>
      <c r="BD133" s="15"/>
      <c r="BE133" s="21" t="s">
        <v>5266</v>
      </c>
      <c r="BF133" s="43"/>
      <c r="BG133" s="12"/>
      <c r="BH133" s="12"/>
    </row>
    <row r="134" spans="1:60" s="3" customFormat="1" ht="15" customHeight="1" x14ac:dyDescent="0.3">
      <c r="A134" s="437" t="s">
        <v>5267</v>
      </c>
      <c r="B134" s="418"/>
      <c r="C134" s="418"/>
      <c r="D134" s="418"/>
      <c r="E134" s="418"/>
      <c r="F134" s="418"/>
      <c r="G134" s="418"/>
      <c r="H134" s="123"/>
      <c r="I134" s="123"/>
      <c r="J134" s="317"/>
      <c r="K134" s="124"/>
      <c r="BC134" s="14"/>
      <c r="BD134" s="15" t="s">
        <v>5267</v>
      </c>
      <c r="BE134" s="21"/>
      <c r="BF134" s="43"/>
      <c r="BG134" s="12"/>
      <c r="BH134" s="12"/>
    </row>
    <row r="135" spans="1:60" s="3" customFormat="1" ht="21.6" x14ac:dyDescent="0.3">
      <c r="A135" s="16" t="s">
        <v>247</v>
      </c>
      <c r="B135" s="17" t="s">
        <v>5268</v>
      </c>
      <c r="C135" s="405" t="s">
        <v>5269</v>
      </c>
      <c r="D135" s="405"/>
      <c r="E135" s="405"/>
      <c r="F135" s="16" t="s">
        <v>38</v>
      </c>
      <c r="G135" s="23">
        <v>3</v>
      </c>
      <c r="H135" s="57">
        <f>I135/G135</f>
        <v>111.85666666666668</v>
      </c>
      <c r="I135" s="19">
        <f>336.1-K135</f>
        <v>335.57000000000005</v>
      </c>
      <c r="J135" s="19">
        <f>K135/G135</f>
        <v>0.17666666666666667</v>
      </c>
      <c r="K135" s="19">
        <v>0.53</v>
      </c>
      <c r="BC135" s="14"/>
      <c r="BD135" s="15"/>
      <c r="BE135" s="21" t="s">
        <v>5269</v>
      </c>
      <c r="BF135" s="43"/>
      <c r="BG135" s="12"/>
      <c r="BH135" s="12"/>
    </row>
    <row r="136" spans="1:60" s="3" customFormat="1" ht="21.6" x14ac:dyDescent="0.3">
      <c r="A136" s="25"/>
      <c r="B136" s="26" t="s">
        <v>607</v>
      </c>
      <c r="C136" s="419" t="s">
        <v>608</v>
      </c>
      <c r="D136" s="419"/>
      <c r="E136" s="419"/>
      <c r="F136" s="27" t="s">
        <v>609</v>
      </c>
      <c r="G136" s="22" t="s">
        <v>4607</v>
      </c>
      <c r="H136" s="58"/>
      <c r="I136" s="28"/>
      <c r="J136" s="28"/>
      <c r="K136" s="29"/>
      <c r="BC136" s="14"/>
      <c r="BD136" s="15"/>
      <c r="BE136" s="21"/>
      <c r="BF136" s="43"/>
      <c r="BG136" s="12"/>
      <c r="BH136" s="12" t="s">
        <v>608</v>
      </c>
    </row>
    <row r="137" spans="1:60" s="3" customFormat="1" ht="21.6" x14ac:dyDescent="0.3">
      <c r="A137" s="16" t="s">
        <v>4564</v>
      </c>
      <c r="B137" s="17" t="s">
        <v>5270</v>
      </c>
      <c r="C137" s="405" t="s">
        <v>5271</v>
      </c>
      <c r="D137" s="405"/>
      <c r="E137" s="405"/>
      <c r="F137" s="16" t="s">
        <v>1460</v>
      </c>
      <c r="G137" s="23">
        <v>1</v>
      </c>
      <c r="H137" s="57"/>
      <c r="I137" s="19"/>
      <c r="J137" s="19">
        <f t="shared" ref="J137:J139" si="0">K137/G137</f>
        <v>5818.38</v>
      </c>
      <c r="K137" s="19">
        <v>5818.38</v>
      </c>
      <c r="BC137" s="14"/>
      <c r="BD137" s="15"/>
      <c r="BE137" s="21" t="s">
        <v>5271</v>
      </c>
      <c r="BF137" s="43"/>
      <c r="BG137" s="12"/>
      <c r="BH137" s="12"/>
    </row>
    <row r="138" spans="1:60" s="3" customFormat="1" ht="21.6" x14ac:dyDescent="0.3">
      <c r="A138" s="16" t="s">
        <v>533</v>
      </c>
      <c r="B138" s="17" t="s">
        <v>5272</v>
      </c>
      <c r="C138" s="405" t="s">
        <v>5273</v>
      </c>
      <c r="D138" s="405"/>
      <c r="E138" s="405"/>
      <c r="F138" s="16" t="s">
        <v>1460</v>
      </c>
      <c r="G138" s="23">
        <v>1</v>
      </c>
      <c r="H138" s="57"/>
      <c r="I138" s="19"/>
      <c r="J138" s="19">
        <f t="shared" si="0"/>
        <v>2928.55</v>
      </c>
      <c r="K138" s="19">
        <v>2928.55</v>
      </c>
      <c r="BC138" s="14"/>
      <c r="BD138" s="15"/>
      <c r="BE138" s="21" t="s">
        <v>5273</v>
      </c>
      <c r="BF138" s="43"/>
      <c r="BG138" s="12"/>
      <c r="BH138" s="12"/>
    </row>
    <row r="139" spans="1:60" s="3" customFormat="1" ht="21.6" x14ac:dyDescent="0.3">
      <c r="A139" s="16" t="s">
        <v>539</v>
      </c>
      <c r="B139" s="17" t="s">
        <v>5274</v>
      </c>
      <c r="C139" s="405" t="s">
        <v>5275</v>
      </c>
      <c r="D139" s="405"/>
      <c r="E139" s="405"/>
      <c r="F139" s="16" t="s">
        <v>1460</v>
      </c>
      <c r="G139" s="23">
        <v>1</v>
      </c>
      <c r="H139" s="57"/>
      <c r="I139" s="19"/>
      <c r="J139" s="19">
        <f t="shared" si="0"/>
        <v>1575.3</v>
      </c>
      <c r="K139" s="19">
        <v>1575.3</v>
      </c>
      <c r="BC139" s="14"/>
      <c r="BD139" s="15"/>
      <c r="BE139" s="21" t="s">
        <v>5275</v>
      </c>
      <c r="BF139" s="43"/>
      <c r="BG139" s="12"/>
      <c r="BH139" s="12"/>
    </row>
    <row r="140" spans="1:60" s="3" customFormat="1" ht="15" customHeight="1" x14ac:dyDescent="0.3">
      <c r="A140" s="437" t="s">
        <v>5276</v>
      </c>
      <c r="B140" s="418"/>
      <c r="C140" s="418"/>
      <c r="D140" s="418"/>
      <c r="E140" s="418"/>
      <c r="F140" s="418"/>
      <c r="G140" s="418"/>
      <c r="H140" s="123"/>
      <c r="I140" s="123"/>
      <c r="J140" s="317"/>
      <c r="K140" s="124"/>
      <c r="BC140" s="14"/>
      <c r="BD140" s="15" t="s">
        <v>5276</v>
      </c>
      <c r="BE140" s="21"/>
      <c r="BF140" s="43"/>
      <c r="BG140" s="12"/>
      <c r="BH140" s="12"/>
    </row>
    <row r="141" spans="1:60" s="3" customFormat="1" ht="21.6" x14ac:dyDescent="0.3">
      <c r="A141" s="16" t="s">
        <v>542</v>
      </c>
      <c r="B141" s="17" t="s">
        <v>4904</v>
      </c>
      <c r="C141" s="405" t="s">
        <v>4905</v>
      </c>
      <c r="D141" s="405"/>
      <c r="E141" s="405"/>
      <c r="F141" s="16" t="s">
        <v>38</v>
      </c>
      <c r="G141" s="23">
        <v>2</v>
      </c>
      <c r="H141" s="57">
        <f>I141/G141</f>
        <v>543.46499999999992</v>
      </c>
      <c r="I141" s="19">
        <f>1497.57-K141</f>
        <v>1086.9299999999998</v>
      </c>
      <c r="J141" s="19">
        <f>K141/G141</f>
        <v>205.32</v>
      </c>
      <c r="K141" s="19">
        <v>410.64</v>
      </c>
      <c r="BC141" s="14"/>
      <c r="BD141" s="15"/>
      <c r="BE141" s="21" t="s">
        <v>4905</v>
      </c>
      <c r="BF141" s="43"/>
      <c r="BG141" s="12"/>
      <c r="BH141" s="12"/>
    </row>
    <row r="142" spans="1:60" s="3" customFormat="1" ht="20.399999999999999" x14ac:dyDescent="0.3">
      <c r="A142" s="25"/>
      <c r="B142" s="26" t="s">
        <v>277</v>
      </c>
      <c r="C142" s="419" t="s">
        <v>278</v>
      </c>
      <c r="D142" s="419"/>
      <c r="E142" s="419"/>
      <c r="F142" s="27" t="s">
        <v>70</v>
      </c>
      <c r="G142" s="22" t="s">
        <v>1405</v>
      </c>
      <c r="H142" s="58"/>
      <c r="I142" s="28"/>
      <c r="J142" s="28"/>
      <c r="K142" s="29"/>
      <c r="BC142" s="14"/>
      <c r="BD142" s="15"/>
      <c r="BE142" s="21"/>
      <c r="BF142" s="43"/>
      <c r="BG142" s="12"/>
      <c r="BH142" s="12" t="s">
        <v>278</v>
      </c>
    </row>
    <row r="143" spans="1:60" s="3" customFormat="1" ht="21.6" x14ac:dyDescent="0.3">
      <c r="A143" s="25"/>
      <c r="B143" s="26" t="s">
        <v>1392</v>
      </c>
      <c r="C143" s="419" t="s">
        <v>1393</v>
      </c>
      <c r="D143" s="419"/>
      <c r="E143" s="419"/>
      <c r="F143" s="27" t="s">
        <v>75</v>
      </c>
      <c r="G143" s="22" t="s">
        <v>1394</v>
      </c>
      <c r="H143" s="58"/>
      <c r="I143" s="28"/>
      <c r="J143" s="28"/>
      <c r="K143" s="29"/>
      <c r="BC143" s="14"/>
      <c r="BD143" s="15"/>
      <c r="BE143" s="21"/>
      <c r="BF143" s="43"/>
      <c r="BG143" s="12"/>
      <c r="BH143" s="12" t="s">
        <v>1393</v>
      </c>
    </row>
    <row r="144" spans="1:60" s="3" customFormat="1" ht="20.399999999999999" x14ac:dyDescent="0.3">
      <c r="A144" s="25"/>
      <c r="B144" s="26" t="s">
        <v>1395</v>
      </c>
      <c r="C144" s="419" t="s">
        <v>1396</v>
      </c>
      <c r="D144" s="419"/>
      <c r="E144" s="419"/>
      <c r="F144" s="27" t="s">
        <v>142</v>
      </c>
      <c r="G144" s="22" t="s">
        <v>1696</v>
      </c>
      <c r="H144" s="58"/>
      <c r="I144" s="28"/>
      <c r="J144" s="28"/>
      <c r="K144" s="29"/>
      <c r="BC144" s="14"/>
      <c r="BD144" s="15"/>
      <c r="BE144" s="21"/>
      <c r="BF144" s="43"/>
      <c r="BG144" s="12"/>
      <c r="BH144" s="12" t="s">
        <v>1396</v>
      </c>
    </row>
    <row r="145" spans="1:60" s="3" customFormat="1" ht="21.6" x14ac:dyDescent="0.3">
      <c r="A145" s="25"/>
      <c r="B145" s="26" t="s">
        <v>1397</v>
      </c>
      <c r="C145" s="419" t="s">
        <v>1398</v>
      </c>
      <c r="D145" s="419"/>
      <c r="E145" s="419"/>
      <c r="F145" s="27" t="s">
        <v>70</v>
      </c>
      <c r="G145" s="22" t="s">
        <v>1399</v>
      </c>
      <c r="H145" s="58"/>
      <c r="I145" s="28"/>
      <c r="J145" s="28"/>
      <c r="K145" s="29"/>
      <c r="BC145" s="14"/>
      <c r="BD145" s="15"/>
      <c r="BE145" s="21"/>
      <c r="BF145" s="43"/>
      <c r="BG145" s="12"/>
      <c r="BH145" s="12" t="s">
        <v>1398</v>
      </c>
    </row>
    <row r="146" spans="1:60" s="3" customFormat="1" ht="21.6" x14ac:dyDescent="0.3">
      <c r="A146" s="25"/>
      <c r="B146" s="26" t="s">
        <v>1402</v>
      </c>
      <c r="C146" s="419" t="s">
        <v>1403</v>
      </c>
      <c r="D146" s="419"/>
      <c r="E146" s="419"/>
      <c r="F146" s="27" t="s">
        <v>115</v>
      </c>
      <c r="G146" s="22" t="s">
        <v>1404</v>
      </c>
      <c r="H146" s="58"/>
      <c r="I146" s="28"/>
      <c r="J146" s="28"/>
      <c r="K146" s="29"/>
      <c r="BC146" s="14"/>
      <c r="BD146" s="15"/>
      <c r="BE146" s="21"/>
      <c r="BF146" s="43"/>
      <c r="BG146" s="12"/>
      <c r="BH146" s="12" t="s">
        <v>1403</v>
      </c>
    </row>
    <row r="147" spans="1:60" s="3" customFormat="1" ht="20.399999999999999" x14ac:dyDescent="0.3">
      <c r="A147" s="25"/>
      <c r="B147" s="26" t="s">
        <v>415</v>
      </c>
      <c r="C147" s="419" t="s">
        <v>416</v>
      </c>
      <c r="D147" s="419"/>
      <c r="E147" s="419"/>
      <c r="F147" s="27" t="s">
        <v>70</v>
      </c>
      <c r="G147" s="22" t="s">
        <v>5277</v>
      </c>
      <c r="H147" s="58"/>
      <c r="I147" s="28"/>
      <c r="J147" s="28"/>
      <c r="K147" s="29"/>
      <c r="BC147" s="14"/>
      <c r="BD147" s="15"/>
      <c r="BE147" s="21"/>
      <c r="BF147" s="43"/>
      <c r="BG147" s="12"/>
      <c r="BH147" s="12" t="s">
        <v>416</v>
      </c>
    </row>
    <row r="148" spans="1:60" s="3" customFormat="1" ht="20.399999999999999" x14ac:dyDescent="0.3">
      <c r="A148" s="25"/>
      <c r="B148" s="26" t="s">
        <v>1406</v>
      </c>
      <c r="C148" s="419" t="s">
        <v>1407</v>
      </c>
      <c r="D148" s="419"/>
      <c r="E148" s="419"/>
      <c r="F148" s="27" t="s">
        <v>70</v>
      </c>
      <c r="G148" s="22" t="s">
        <v>5277</v>
      </c>
      <c r="H148" s="58"/>
      <c r="I148" s="28"/>
      <c r="J148" s="28"/>
      <c r="K148" s="29"/>
      <c r="BC148" s="14"/>
      <c r="BD148" s="15"/>
      <c r="BE148" s="21"/>
      <c r="BF148" s="43"/>
      <c r="BG148" s="12"/>
      <c r="BH148" s="12" t="s">
        <v>1407</v>
      </c>
    </row>
    <row r="149" spans="1:60" s="3" customFormat="1" ht="20.399999999999999" x14ac:dyDescent="0.3">
      <c r="A149" s="25"/>
      <c r="B149" s="26" t="s">
        <v>370</v>
      </c>
      <c r="C149" s="419" t="s">
        <v>371</v>
      </c>
      <c r="D149" s="419"/>
      <c r="E149" s="419"/>
      <c r="F149" s="27" t="s">
        <v>75</v>
      </c>
      <c r="G149" s="22" t="s">
        <v>1696</v>
      </c>
      <c r="H149" s="58"/>
      <c r="I149" s="28"/>
      <c r="J149" s="28"/>
      <c r="K149" s="29"/>
      <c r="BC149" s="14"/>
      <c r="BD149" s="15"/>
      <c r="BE149" s="21"/>
      <c r="BF149" s="43"/>
      <c r="BG149" s="12"/>
      <c r="BH149" s="12" t="s">
        <v>371</v>
      </c>
    </row>
    <row r="150" spans="1:60" s="3" customFormat="1" ht="20.399999999999999" x14ac:dyDescent="0.3">
      <c r="A150" s="25"/>
      <c r="B150" s="26" t="s">
        <v>353</v>
      </c>
      <c r="C150" s="419" t="s">
        <v>354</v>
      </c>
      <c r="D150" s="419"/>
      <c r="E150" s="419"/>
      <c r="F150" s="27" t="s">
        <v>75</v>
      </c>
      <c r="G150" s="22" t="s">
        <v>1394</v>
      </c>
      <c r="H150" s="58"/>
      <c r="I150" s="28"/>
      <c r="J150" s="28"/>
      <c r="K150" s="29"/>
      <c r="BC150" s="14"/>
      <c r="BD150" s="15"/>
      <c r="BE150" s="21"/>
      <c r="BF150" s="43"/>
      <c r="BG150" s="12"/>
      <c r="BH150" s="12" t="s">
        <v>354</v>
      </c>
    </row>
    <row r="151" spans="1:60" s="3" customFormat="1" ht="21.6" x14ac:dyDescent="0.3">
      <c r="A151" s="25"/>
      <c r="B151" s="26" t="s">
        <v>607</v>
      </c>
      <c r="C151" s="419" t="s">
        <v>608</v>
      </c>
      <c r="D151" s="419"/>
      <c r="E151" s="419"/>
      <c r="F151" s="27" t="s">
        <v>609</v>
      </c>
      <c r="G151" s="22" t="s">
        <v>1408</v>
      </c>
      <c r="H151" s="58"/>
      <c r="I151" s="28"/>
      <c r="J151" s="28"/>
      <c r="K151" s="29"/>
      <c r="BC151" s="14"/>
      <c r="BD151" s="15"/>
      <c r="BE151" s="21"/>
      <c r="BF151" s="43"/>
      <c r="BG151" s="12"/>
      <c r="BH151" s="12" t="s">
        <v>608</v>
      </c>
    </row>
    <row r="152" spans="1:60" s="3" customFormat="1" ht="21.6" x14ac:dyDescent="0.3">
      <c r="A152" s="16" t="s">
        <v>547</v>
      </c>
      <c r="B152" s="17" t="s">
        <v>5278</v>
      </c>
      <c r="C152" s="405" t="s">
        <v>5279</v>
      </c>
      <c r="D152" s="405"/>
      <c r="E152" s="405"/>
      <c r="F152" s="16" t="s">
        <v>1460</v>
      </c>
      <c r="G152" s="23">
        <v>2</v>
      </c>
      <c r="H152" s="57"/>
      <c r="I152" s="19"/>
      <c r="J152" s="19">
        <f>K152/G152</f>
        <v>551.35500000000002</v>
      </c>
      <c r="K152" s="19">
        <v>1102.71</v>
      </c>
      <c r="BC152" s="14"/>
      <c r="BD152" s="15"/>
      <c r="BE152" s="21" t="s">
        <v>5279</v>
      </c>
      <c r="BF152" s="43"/>
      <c r="BG152" s="12"/>
      <c r="BH152" s="12"/>
    </row>
    <row r="153" spans="1:60" s="3" customFormat="1" ht="15" customHeight="1" x14ac:dyDescent="0.3">
      <c r="A153" s="437" t="s">
        <v>5280</v>
      </c>
      <c r="B153" s="418"/>
      <c r="C153" s="418"/>
      <c r="D153" s="418"/>
      <c r="E153" s="418"/>
      <c r="F153" s="418"/>
      <c r="G153" s="418"/>
      <c r="H153" s="123"/>
      <c r="I153" s="123"/>
      <c r="J153" s="317"/>
      <c r="K153" s="124"/>
      <c r="BC153" s="14"/>
      <c r="BD153" s="15" t="s">
        <v>5280</v>
      </c>
      <c r="BE153" s="21"/>
      <c r="BF153" s="43"/>
      <c r="BG153" s="12"/>
      <c r="BH153" s="12"/>
    </row>
    <row r="154" spans="1:60" s="3" customFormat="1" ht="21.6" x14ac:dyDescent="0.3">
      <c r="A154" s="16" t="s">
        <v>549</v>
      </c>
      <c r="B154" s="17" t="s">
        <v>5268</v>
      </c>
      <c r="C154" s="405" t="s">
        <v>5269</v>
      </c>
      <c r="D154" s="405"/>
      <c r="E154" s="405"/>
      <c r="F154" s="16" t="s">
        <v>38</v>
      </c>
      <c r="G154" s="23">
        <v>3</v>
      </c>
      <c r="H154" s="57">
        <f>I154/G154</f>
        <v>111.85666666666668</v>
      </c>
      <c r="I154" s="19">
        <f>336.1-K154</f>
        <v>335.57000000000005</v>
      </c>
      <c r="J154" s="19">
        <f>K154/G154</f>
        <v>0.17666666666666667</v>
      </c>
      <c r="K154" s="19">
        <v>0.53</v>
      </c>
      <c r="BC154" s="14"/>
      <c r="BD154" s="15"/>
      <c r="BE154" s="21" t="s">
        <v>5269</v>
      </c>
      <c r="BF154" s="43"/>
      <c r="BG154" s="12"/>
      <c r="BH154" s="12"/>
    </row>
    <row r="155" spans="1:60" s="3" customFormat="1" ht="21.6" x14ac:dyDescent="0.3">
      <c r="A155" s="25"/>
      <c r="B155" s="26" t="s">
        <v>607</v>
      </c>
      <c r="C155" s="419" t="s">
        <v>608</v>
      </c>
      <c r="D155" s="419"/>
      <c r="E155" s="419"/>
      <c r="F155" s="27" t="s">
        <v>609</v>
      </c>
      <c r="G155" s="22" t="s">
        <v>4607</v>
      </c>
      <c r="H155" s="58"/>
      <c r="I155" s="28"/>
      <c r="J155" s="28"/>
      <c r="K155" s="29"/>
      <c r="BC155" s="14"/>
      <c r="BD155" s="15"/>
      <c r="BE155" s="21"/>
      <c r="BF155" s="43"/>
      <c r="BG155" s="12"/>
      <c r="BH155" s="12" t="s">
        <v>608</v>
      </c>
    </row>
    <row r="156" spans="1:60" s="3" customFormat="1" ht="31.8" x14ac:dyDescent="0.3">
      <c r="A156" s="16" t="s">
        <v>570</v>
      </c>
      <c r="B156" s="17" t="s">
        <v>5281</v>
      </c>
      <c r="C156" s="405" t="s">
        <v>5282</v>
      </c>
      <c r="D156" s="405"/>
      <c r="E156" s="405"/>
      <c r="F156" s="16" t="s">
        <v>1460</v>
      </c>
      <c r="G156" s="23">
        <v>1</v>
      </c>
      <c r="H156" s="57"/>
      <c r="I156" s="19"/>
      <c r="J156" s="19">
        <f t="shared" ref="J156:J160" si="1">K156/G156</f>
        <v>1725.66</v>
      </c>
      <c r="K156" s="19">
        <v>1725.66</v>
      </c>
      <c r="BC156" s="14"/>
      <c r="BD156" s="15"/>
      <c r="BE156" s="21" t="s">
        <v>5282</v>
      </c>
      <c r="BF156" s="43"/>
      <c r="BG156" s="12"/>
      <c r="BH156" s="12"/>
    </row>
    <row r="157" spans="1:60" s="3" customFormat="1" ht="21.6" x14ac:dyDescent="0.3">
      <c r="A157" s="16" t="s">
        <v>584</v>
      </c>
      <c r="B157" s="17" t="s">
        <v>5283</v>
      </c>
      <c r="C157" s="405" t="s">
        <v>5284</v>
      </c>
      <c r="D157" s="405"/>
      <c r="E157" s="405"/>
      <c r="F157" s="16" t="s">
        <v>1460</v>
      </c>
      <c r="G157" s="23">
        <v>1</v>
      </c>
      <c r="H157" s="57"/>
      <c r="I157" s="19"/>
      <c r="J157" s="19">
        <f t="shared" si="1"/>
        <v>680.21</v>
      </c>
      <c r="K157" s="19">
        <v>680.21</v>
      </c>
      <c r="BC157" s="14"/>
      <c r="BD157" s="15"/>
      <c r="BE157" s="21" t="s">
        <v>5284</v>
      </c>
      <c r="BF157" s="43"/>
      <c r="BG157" s="12"/>
      <c r="BH157" s="12"/>
    </row>
    <row r="158" spans="1:60" s="3" customFormat="1" ht="21.6" x14ac:dyDescent="0.3">
      <c r="A158" s="16" t="s">
        <v>585</v>
      </c>
      <c r="B158" s="17" t="s">
        <v>5285</v>
      </c>
      <c r="C158" s="405" t="s">
        <v>5286</v>
      </c>
      <c r="D158" s="405"/>
      <c r="E158" s="405"/>
      <c r="F158" s="16" t="s">
        <v>1460</v>
      </c>
      <c r="G158" s="23">
        <v>1</v>
      </c>
      <c r="H158" s="57"/>
      <c r="I158" s="19"/>
      <c r="J158" s="19">
        <f t="shared" si="1"/>
        <v>744.73</v>
      </c>
      <c r="K158" s="19">
        <v>744.73</v>
      </c>
      <c r="BC158" s="14"/>
      <c r="BD158" s="15"/>
      <c r="BE158" s="21" t="s">
        <v>5286</v>
      </c>
      <c r="BF158" s="43"/>
      <c r="BG158" s="12"/>
      <c r="BH158" s="12"/>
    </row>
    <row r="159" spans="1:60" s="3" customFormat="1" ht="20.399999999999999" x14ac:dyDescent="0.3">
      <c r="A159" s="16" t="s">
        <v>2137</v>
      </c>
      <c r="B159" s="17" t="s">
        <v>5287</v>
      </c>
      <c r="C159" s="405" t="s">
        <v>5288</v>
      </c>
      <c r="D159" s="405"/>
      <c r="E159" s="405"/>
      <c r="F159" s="16" t="s">
        <v>1460</v>
      </c>
      <c r="G159" s="23">
        <v>1</v>
      </c>
      <c r="H159" s="57"/>
      <c r="I159" s="19"/>
      <c r="J159" s="19">
        <f t="shared" si="1"/>
        <v>2048.5100000000002</v>
      </c>
      <c r="K159" s="19">
        <v>2048.5100000000002</v>
      </c>
      <c r="BC159" s="14"/>
      <c r="BD159" s="15"/>
      <c r="BE159" s="21" t="s">
        <v>5288</v>
      </c>
      <c r="BF159" s="43"/>
      <c r="BG159" s="12"/>
      <c r="BH159" s="12"/>
    </row>
    <row r="160" spans="1:60" s="3" customFormat="1" ht="21.6" x14ac:dyDescent="0.3">
      <c r="A160" s="16" t="s">
        <v>2138</v>
      </c>
      <c r="B160" s="17" t="s">
        <v>5289</v>
      </c>
      <c r="C160" s="405" t="s">
        <v>5290</v>
      </c>
      <c r="D160" s="405"/>
      <c r="E160" s="405"/>
      <c r="F160" s="16" t="s">
        <v>1460</v>
      </c>
      <c r="G160" s="23">
        <v>1</v>
      </c>
      <c r="H160" s="57"/>
      <c r="I160" s="19"/>
      <c r="J160" s="19">
        <f t="shared" si="1"/>
        <v>137.35</v>
      </c>
      <c r="K160" s="19">
        <v>137.35</v>
      </c>
      <c r="BC160" s="14"/>
      <c r="BD160" s="15"/>
      <c r="BE160" s="21" t="s">
        <v>5290</v>
      </c>
      <c r="BF160" s="43"/>
      <c r="BG160" s="12"/>
      <c r="BH160" s="12"/>
    </row>
    <row r="161" spans="1:60" s="3" customFormat="1" ht="15" customHeight="1" x14ac:dyDescent="0.3">
      <c r="A161" s="437" t="s">
        <v>5291</v>
      </c>
      <c r="B161" s="418"/>
      <c r="C161" s="418"/>
      <c r="D161" s="418"/>
      <c r="E161" s="418"/>
      <c r="F161" s="418"/>
      <c r="G161" s="418"/>
      <c r="H161" s="123"/>
      <c r="I161" s="123"/>
      <c r="J161" s="317"/>
      <c r="K161" s="124"/>
      <c r="BC161" s="14"/>
      <c r="BD161" s="15" t="s">
        <v>5291</v>
      </c>
      <c r="BE161" s="21"/>
      <c r="BF161" s="43"/>
      <c r="BG161" s="12"/>
      <c r="BH161" s="12"/>
    </row>
    <row r="162" spans="1:60" s="3" customFormat="1" ht="14.4" x14ac:dyDescent="0.3">
      <c r="A162" s="16" t="s">
        <v>2139</v>
      </c>
      <c r="B162" s="17" t="s">
        <v>4632</v>
      </c>
      <c r="C162" s="405" t="s">
        <v>4633</v>
      </c>
      <c r="D162" s="405"/>
      <c r="E162" s="405"/>
      <c r="F162" s="16" t="s">
        <v>38</v>
      </c>
      <c r="G162" s="23">
        <v>3</v>
      </c>
      <c r="H162" s="57">
        <f>I162/G162</f>
        <v>1082.2533333333333</v>
      </c>
      <c r="I162" s="19">
        <f>3256.85-K162</f>
        <v>3246.7599999999998</v>
      </c>
      <c r="J162" s="19">
        <f>K162/G162</f>
        <v>3.3633333333333333</v>
      </c>
      <c r="K162" s="19">
        <v>10.09</v>
      </c>
      <c r="BC162" s="14"/>
      <c r="BD162" s="15"/>
      <c r="BE162" s="21" t="s">
        <v>4633</v>
      </c>
      <c r="BF162" s="43"/>
      <c r="BG162" s="12"/>
      <c r="BH162" s="12"/>
    </row>
    <row r="163" spans="1:60" s="3" customFormat="1" ht="20.399999999999999" x14ac:dyDescent="0.3">
      <c r="A163" s="25"/>
      <c r="B163" s="26" t="s">
        <v>391</v>
      </c>
      <c r="C163" s="419" t="s">
        <v>392</v>
      </c>
      <c r="D163" s="419"/>
      <c r="E163" s="419"/>
      <c r="F163" s="27" t="s">
        <v>75</v>
      </c>
      <c r="G163" s="22" t="s">
        <v>4607</v>
      </c>
      <c r="H163" s="58"/>
      <c r="I163" s="28"/>
      <c r="J163" s="28"/>
      <c r="K163" s="29"/>
      <c r="BC163" s="14"/>
      <c r="BD163" s="15"/>
      <c r="BE163" s="21"/>
      <c r="BF163" s="43"/>
      <c r="BG163" s="12"/>
      <c r="BH163" s="12" t="s">
        <v>392</v>
      </c>
    </row>
    <row r="164" spans="1:60" s="3" customFormat="1" ht="21.6" x14ac:dyDescent="0.3">
      <c r="A164" s="25"/>
      <c r="B164" s="26" t="s">
        <v>607</v>
      </c>
      <c r="C164" s="419" t="s">
        <v>608</v>
      </c>
      <c r="D164" s="419"/>
      <c r="E164" s="419"/>
      <c r="F164" s="27" t="s">
        <v>609</v>
      </c>
      <c r="G164" s="22" t="s">
        <v>5292</v>
      </c>
      <c r="H164" s="58"/>
      <c r="I164" s="28"/>
      <c r="J164" s="28"/>
      <c r="K164" s="29"/>
      <c r="BC164" s="14"/>
      <c r="BD164" s="15"/>
      <c r="BE164" s="21"/>
      <c r="BF164" s="43"/>
      <c r="BG164" s="12"/>
      <c r="BH164" s="12" t="s">
        <v>608</v>
      </c>
    </row>
    <row r="165" spans="1:60" s="3" customFormat="1" ht="21.6" x14ac:dyDescent="0.3">
      <c r="A165" s="16" t="s">
        <v>5293</v>
      </c>
      <c r="B165" s="17" t="s">
        <v>5294</v>
      </c>
      <c r="C165" s="405" t="s">
        <v>5295</v>
      </c>
      <c r="D165" s="405"/>
      <c r="E165" s="405"/>
      <c r="F165" s="16" t="s">
        <v>1460</v>
      </c>
      <c r="G165" s="23">
        <v>1</v>
      </c>
      <c r="H165" s="57"/>
      <c r="I165" s="19"/>
      <c r="J165" s="19">
        <f t="shared" ref="J165:J166" si="2">K165/G165</f>
        <v>1463.93</v>
      </c>
      <c r="K165" s="19">
        <v>1463.93</v>
      </c>
      <c r="BC165" s="14"/>
      <c r="BD165" s="15"/>
      <c r="BE165" s="21" t="s">
        <v>5295</v>
      </c>
      <c r="BF165" s="43"/>
      <c r="BG165" s="12"/>
      <c r="BH165" s="12"/>
    </row>
    <row r="166" spans="1:60" s="3" customFormat="1" ht="21.6" x14ac:dyDescent="0.3">
      <c r="A166" s="16" t="s">
        <v>2169</v>
      </c>
      <c r="B166" s="17" t="s">
        <v>5296</v>
      </c>
      <c r="C166" s="405" t="s">
        <v>5297</v>
      </c>
      <c r="D166" s="405"/>
      <c r="E166" s="405"/>
      <c r="F166" s="16" t="s">
        <v>1460</v>
      </c>
      <c r="G166" s="23">
        <v>2</v>
      </c>
      <c r="H166" s="57"/>
      <c r="I166" s="19"/>
      <c r="J166" s="19">
        <f t="shared" si="2"/>
        <v>1187.67</v>
      </c>
      <c r="K166" s="19">
        <v>2375.34</v>
      </c>
      <c r="BC166" s="14"/>
      <c r="BD166" s="15"/>
      <c r="BE166" s="21" t="s">
        <v>5297</v>
      </c>
      <c r="BF166" s="43"/>
      <c r="BG166" s="12"/>
      <c r="BH166" s="12"/>
    </row>
    <row r="167" spans="1:60" s="3" customFormat="1" ht="15" customHeight="1" x14ac:dyDescent="0.3">
      <c r="A167" s="435" t="s">
        <v>5298</v>
      </c>
      <c r="B167" s="436"/>
      <c r="C167" s="436"/>
      <c r="D167" s="436"/>
      <c r="E167" s="436"/>
      <c r="F167" s="436"/>
      <c r="G167" s="436"/>
      <c r="H167" s="103"/>
      <c r="I167" s="103"/>
      <c r="J167" s="103"/>
      <c r="K167" s="104"/>
      <c r="BC167" s="14" t="s">
        <v>5298</v>
      </c>
      <c r="BD167" s="15"/>
      <c r="BE167" s="21"/>
      <c r="BF167" s="43"/>
      <c r="BG167" s="12"/>
      <c r="BH167" s="12"/>
    </row>
    <row r="168" spans="1:60" s="3" customFormat="1" ht="15" customHeight="1" x14ac:dyDescent="0.3">
      <c r="A168" s="437" t="s">
        <v>5299</v>
      </c>
      <c r="B168" s="418"/>
      <c r="C168" s="418"/>
      <c r="D168" s="418"/>
      <c r="E168" s="418"/>
      <c r="F168" s="418"/>
      <c r="G168" s="418"/>
      <c r="H168" s="123"/>
      <c r="I168" s="123"/>
      <c r="J168" s="123"/>
      <c r="K168" s="124"/>
      <c r="BC168" s="14"/>
      <c r="BD168" s="15" t="s">
        <v>5299</v>
      </c>
      <c r="BE168" s="21"/>
      <c r="BF168" s="43"/>
      <c r="BG168" s="12"/>
      <c r="BH168" s="12"/>
    </row>
    <row r="169" spans="1:60" s="3" customFormat="1" ht="31.8" x14ac:dyDescent="0.3">
      <c r="A169" s="16" t="s">
        <v>2179</v>
      </c>
      <c r="B169" s="17" t="s">
        <v>4924</v>
      </c>
      <c r="C169" s="405" t="s">
        <v>4886</v>
      </c>
      <c r="D169" s="405"/>
      <c r="E169" s="405"/>
      <c r="F169" s="16" t="s">
        <v>38</v>
      </c>
      <c r="G169" s="23">
        <v>3</v>
      </c>
      <c r="H169" s="57">
        <f>I169/G169</f>
        <v>208.60000000000002</v>
      </c>
      <c r="I169" s="19">
        <f>626.86-K169</f>
        <v>625.80000000000007</v>
      </c>
      <c r="J169" s="19">
        <f>K169/G169</f>
        <v>0.35333333333333333</v>
      </c>
      <c r="K169" s="19">
        <v>1.06</v>
      </c>
      <c r="BC169" s="14"/>
      <c r="BD169" s="15"/>
      <c r="BE169" s="21" t="s">
        <v>4886</v>
      </c>
      <c r="BF169" s="43"/>
      <c r="BG169" s="12"/>
      <c r="BH169" s="12"/>
    </row>
    <row r="170" spans="1:60" s="3" customFormat="1" ht="21.6" x14ac:dyDescent="0.3">
      <c r="A170" s="25"/>
      <c r="B170" s="26" t="s">
        <v>607</v>
      </c>
      <c r="C170" s="419" t="s">
        <v>608</v>
      </c>
      <c r="D170" s="419"/>
      <c r="E170" s="419"/>
      <c r="F170" s="27" t="s">
        <v>609</v>
      </c>
      <c r="G170" s="22" t="s">
        <v>5300</v>
      </c>
      <c r="H170" s="58"/>
      <c r="I170" s="28"/>
      <c r="J170" s="28"/>
      <c r="K170" s="29"/>
      <c r="BC170" s="14"/>
      <c r="BD170" s="15"/>
      <c r="BE170" s="21"/>
      <c r="BF170" s="43"/>
      <c r="BG170" s="12"/>
      <c r="BH170" s="12" t="s">
        <v>608</v>
      </c>
    </row>
    <row r="171" spans="1:60" s="3" customFormat="1" ht="31.8" x14ac:dyDescent="0.3">
      <c r="A171" s="16" t="s">
        <v>2180</v>
      </c>
      <c r="B171" s="17" t="s">
        <v>5301</v>
      </c>
      <c r="C171" s="405" t="s">
        <v>5302</v>
      </c>
      <c r="D171" s="405"/>
      <c r="E171" s="405"/>
      <c r="F171" s="16" t="s">
        <v>1460</v>
      </c>
      <c r="G171" s="23">
        <v>3</v>
      </c>
      <c r="H171" s="57"/>
      <c r="I171" s="19"/>
      <c r="J171" s="19">
        <f>K171/G171</f>
        <v>573.03666666666663</v>
      </c>
      <c r="K171" s="19">
        <v>1719.11</v>
      </c>
      <c r="BC171" s="14"/>
      <c r="BD171" s="15"/>
      <c r="BE171" s="21" t="s">
        <v>5302</v>
      </c>
      <c r="BF171" s="43"/>
      <c r="BG171" s="12"/>
      <c r="BH171" s="12"/>
    </row>
    <row r="172" spans="1:60" s="3" customFormat="1" ht="15" customHeight="1" x14ac:dyDescent="0.3">
      <c r="A172" s="437" t="s">
        <v>5303</v>
      </c>
      <c r="B172" s="418"/>
      <c r="C172" s="418"/>
      <c r="D172" s="418"/>
      <c r="E172" s="418"/>
      <c r="F172" s="418"/>
      <c r="G172" s="418"/>
      <c r="H172" s="123"/>
      <c r="I172" s="123"/>
      <c r="J172" s="123"/>
      <c r="K172" s="124"/>
      <c r="BC172" s="14"/>
      <c r="BD172" s="15" t="s">
        <v>5303</v>
      </c>
      <c r="BE172" s="21"/>
      <c r="BF172" s="43"/>
      <c r="BG172" s="12"/>
      <c r="BH172" s="12"/>
    </row>
    <row r="173" spans="1:60" s="3" customFormat="1" ht="31.8" x14ac:dyDescent="0.3">
      <c r="A173" s="16" t="s">
        <v>2183</v>
      </c>
      <c r="B173" s="17" t="s">
        <v>4924</v>
      </c>
      <c r="C173" s="405" t="s">
        <v>4886</v>
      </c>
      <c r="D173" s="405"/>
      <c r="E173" s="405"/>
      <c r="F173" s="16" t="s">
        <v>38</v>
      </c>
      <c r="G173" s="23">
        <v>4</v>
      </c>
      <c r="H173" s="57">
        <f>I173/G173</f>
        <v>208.60000000000002</v>
      </c>
      <c r="I173" s="19">
        <f>835.82-K173</f>
        <v>834.40000000000009</v>
      </c>
      <c r="J173" s="19">
        <f>K173/G173</f>
        <v>0.35499999999999998</v>
      </c>
      <c r="K173" s="19">
        <v>1.42</v>
      </c>
      <c r="BC173" s="14"/>
      <c r="BD173" s="15"/>
      <c r="BE173" s="21" t="s">
        <v>4886</v>
      </c>
      <c r="BF173" s="43"/>
      <c r="BG173" s="12"/>
      <c r="BH173" s="12"/>
    </row>
    <row r="174" spans="1:60" s="3" customFormat="1" ht="21.6" x14ac:dyDescent="0.3">
      <c r="A174" s="25"/>
      <c r="B174" s="26" t="s">
        <v>607</v>
      </c>
      <c r="C174" s="419" t="s">
        <v>608</v>
      </c>
      <c r="D174" s="419"/>
      <c r="E174" s="419"/>
      <c r="F174" s="27" t="s">
        <v>609</v>
      </c>
      <c r="G174" s="22" t="s">
        <v>5304</v>
      </c>
      <c r="H174" s="58"/>
      <c r="I174" s="28"/>
      <c r="J174" s="28"/>
      <c r="K174" s="29"/>
      <c r="BC174" s="14"/>
      <c r="BD174" s="15"/>
      <c r="BE174" s="21"/>
      <c r="BF174" s="43"/>
      <c r="BG174" s="12"/>
      <c r="BH174" s="12" t="s">
        <v>608</v>
      </c>
    </row>
    <row r="175" spans="1:60" s="3" customFormat="1" ht="21.6" x14ac:dyDescent="0.3">
      <c r="A175" s="16" t="s">
        <v>2210</v>
      </c>
      <c r="B175" s="17" t="s">
        <v>5305</v>
      </c>
      <c r="C175" s="405" t="s">
        <v>5306</v>
      </c>
      <c r="D175" s="405"/>
      <c r="E175" s="405"/>
      <c r="F175" s="16" t="s">
        <v>1460</v>
      </c>
      <c r="G175" s="23">
        <v>4</v>
      </c>
      <c r="H175" s="57"/>
      <c r="I175" s="19"/>
      <c r="J175" s="19">
        <f>K175/G175</f>
        <v>91.51</v>
      </c>
      <c r="K175" s="19">
        <v>366.04</v>
      </c>
      <c r="BC175" s="14"/>
      <c r="BD175" s="15"/>
      <c r="BE175" s="21" t="s">
        <v>5306</v>
      </c>
      <c r="BF175" s="43"/>
      <c r="BG175" s="12"/>
      <c r="BH175" s="12"/>
    </row>
    <row r="176" spans="1:60" s="3" customFormat="1" ht="15" customHeight="1" x14ac:dyDescent="0.3">
      <c r="A176" s="437" t="s">
        <v>5307</v>
      </c>
      <c r="B176" s="418"/>
      <c r="C176" s="418"/>
      <c r="D176" s="418"/>
      <c r="E176" s="418"/>
      <c r="F176" s="418"/>
      <c r="G176" s="418"/>
      <c r="H176" s="123"/>
      <c r="I176" s="123"/>
      <c r="J176" s="123"/>
      <c r="K176" s="124"/>
      <c r="BC176" s="14"/>
      <c r="BD176" s="15" t="s">
        <v>5307</v>
      </c>
      <c r="BE176" s="21"/>
      <c r="BF176" s="43"/>
      <c r="BG176" s="12"/>
      <c r="BH176" s="12"/>
    </row>
    <row r="177" spans="1:60" s="3" customFormat="1" ht="21.6" x14ac:dyDescent="0.3">
      <c r="A177" s="16" t="s">
        <v>2214</v>
      </c>
      <c r="B177" s="17" t="s">
        <v>4113</v>
      </c>
      <c r="C177" s="405" t="s">
        <v>4114</v>
      </c>
      <c r="D177" s="405"/>
      <c r="E177" s="405"/>
      <c r="F177" s="16" t="s">
        <v>142</v>
      </c>
      <c r="G177" s="23">
        <v>2</v>
      </c>
      <c r="H177" s="57">
        <f>I177/G177</f>
        <v>32124.264999999999</v>
      </c>
      <c r="I177" s="19">
        <f>65349.82-K177</f>
        <v>64248.53</v>
      </c>
      <c r="J177" s="19">
        <f>K177/G177</f>
        <v>550.64499999999998</v>
      </c>
      <c r="K177" s="19">
        <v>1101.29</v>
      </c>
      <c r="BC177" s="14"/>
      <c r="BD177" s="15"/>
      <c r="BE177" s="21" t="s">
        <v>4114</v>
      </c>
      <c r="BF177" s="43"/>
      <c r="BG177" s="12"/>
      <c r="BH177" s="12"/>
    </row>
    <row r="178" spans="1:60" s="3" customFormat="1" ht="31.8" x14ac:dyDescent="0.3">
      <c r="A178" s="25"/>
      <c r="B178" s="26" t="s">
        <v>1703</v>
      </c>
      <c r="C178" s="419" t="s">
        <v>1704</v>
      </c>
      <c r="D178" s="419"/>
      <c r="E178" s="419"/>
      <c r="F178" s="27" t="s">
        <v>75</v>
      </c>
      <c r="G178" s="22" t="s">
        <v>5308</v>
      </c>
      <c r="H178" s="58"/>
      <c r="I178" s="28"/>
      <c r="J178" s="28"/>
      <c r="K178" s="29"/>
      <c r="BC178" s="14"/>
      <c r="BD178" s="15"/>
      <c r="BE178" s="21"/>
      <c r="BF178" s="43"/>
      <c r="BG178" s="12"/>
      <c r="BH178" s="12" t="s">
        <v>1704</v>
      </c>
    </row>
    <row r="179" spans="1:60" s="3" customFormat="1" ht="20.399999999999999" x14ac:dyDescent="0.3">
      <c r="A179" s="25"/>
      <c r="B179" s="26" t="s">
        <v>391</v>
      </c>
      <c r="C179" s="419" t="s">
        <v>392</v>
      </c>
      <c r="D179" s="419"/>
      <c r="E179" s="419"/>
      <c r="F179" s="27" t="s">
        <v>75</v>
      </c>
      <c r="G179" s="22" t="s">
        <v>5309</v>
      </c>
      <c r="H179" s="58"/>
      <c r="I179" s="28"/>
      <c r="J179" s="28"/>
      <c r="K179" s="29"/>
      <c r="BC179" s="14"/>
      <c r="BD179" s="15"/>
      <c r="BE179" s="21"/>
      <c r="BF179" s="43"/>
      <c r="BG179" s="12"/>
      <c r="BH179" s="12" t="s">
        <v>392</v>
      </c>
    </row>
    <row r="180" spans="1:60" s="3" customFormat="1" ht="20.399999999999999" x14ac:dyDescent="0.3">
      <c r="A180" s="25"/>
      <c r="B180" s="26" t="s">
        <v>1916</v>
      </c>
      <c r="C180" s="419" t="s">
        <v>1917</v>
      </c>
      <c r="D180" s="419"/>
      <c r="E180" s="419"/>
      <c r="F180" s="27" t="s">
        <v>70</v>
      </c>
      <c r="G180" s="22" t="s">
        <v>5310</v>
      </c>
      <c r="H180" s="58"/>
      <c r="I180" s="28"/>
      <c r="J180" s="28"/>
      <c r="K180" s="29"/>
      <c r="BC180" s="14"/>
      <c r="BD180" s="15"/>
      <c r="BE180" s="21"/>
      <c r="BF180" s="43"/>
      <c r="BG180" s="12"/>
      <c r="BH180" s="12" t="s">
        <v>1917</v>
      </c>
    </row>
    <row r="181" spans="1:60" s="3" customFormat="1" ht="20.399999999999999" x14ac:dyDescent="0.3">
      <c r="A181" s="25"/>
      <c r="B181" s="26" t="s">
        <v>1084</v>
      </c>
      <c r="C181" s="419" t="s">
        <v>1085</v>
      </c>
      <c r="D181" s="419"/>
      <c r="E181" s="419"/>
      <c r="F181" s="27" t="s">
        <v>1086</v>
      </c>
      <c r="G181" s="22" t="s">
        <v>5311</v>
      </c>
      <c r="H181" s="58"/>
      <c r="I181" s="28"/>
      <c r="J181" s="28"/>
      <c r="K181" s="29"/>
      <c r="BC181" s="14"/>
      <c r="BD181" s="15"/>
      <c r="BE181" s="21"/>
      <c r="BF181" s="43"/>
      <c r="BG181" s="12"/>
      <c r="BH181" s="12" t="s">
        <v>1085</v>
      </c>
    </row>
    <row r="182" spans="1:60" s="3" customFormat="1" ht="21.6" x14ac:dyDescent="0.3">
      <c r="A182" s="25"/>
      <c r="B182" s="26" t="s">
        <v>607</v>
      </c>
      <c r="C182" s="419" t="s">
        <v>608</v>
      </c>
      <c r="D182" s="419"/>
      <c r="E182" s="419"/>
      <c r="F182" s="27" t="s">
        <v>609</v>
      </c>
      <c r="G182" s="22" t="s">
        <v>5312</v>
      </c>
      <c r="H182" s="58"/>
      <c r="I182" s="28"/>
      <c r="J182" s="28"/>
      <c r="K182" s="29"/>
      <c r="BC182" s="14"/>
      <c r="BD182" s="15"/>
      <c r="BE182" s="21"/>
      <c r="BF182" s="43"/>
      <c r="BG182" s="12"/>
      <c r="BH182" s="12" t="s">
        <v>608</v>
      </c>
    </row>
    <row r="183" spans="1:60" s="3" customFormat="1" ht="20.399999999999999" x14ac:dyDescent="0.3">
      <c r="A183" s="16" t="s">
        <v>2222</v>
      </c>
      <c r="B183" s="17" t="s">
        <v>5313</v>
      </c>
      <c r="C183" s="405" t="s">
        <v>5314</v>
      </c>
      <c r="D183" s="405"/>
      <c r="E183" s="405"/>
      <c r="F183" s="16" t="s">
        <v>1460</v>
      </c>
      <c r="G183" s="23">
        <v>2</v>
      </c>
      <c r="H183" s="57"/>
      <c r="I183" s="19"/>
      <c r="J183" s="19">
        <f>K183/G183</f>
        <v>761.89499999999998</v>
      </c>
      <c r="K183" s="19">
        <v>1523.79</v>
      </c>
      <c r="BC183" s="14"/>
      <c r="BD183" s="15"/>
      <c r="BE183" s="21" t="s">
        <v>5314</v>
      </c>
      <c r="BF183" s="43"/>
      <c r="BG183" s="12"/>
      <c r="BH183" s="12"/>
    </row>
    <row r="184" spans="1:60" s="3" customFormat="1" ht="15" customHeight="1" x14ac:dyDescent="0.3">
      <c r="A184" s="437" t="s">
        <v>5315</v>
      </c>
      <c r="B184" s="418"/>
      <c r="C184" s="418"/>
      <c r="D184" s="418"/>
      <c r="E184" s="418"/>
      <c r="F184" s="418"/>
      <c r="G184" s="418"/>
      <c r="H184" s="123"/>
      <c r="I184" s="123"/>
      <c r="J184" s="123"/>
      <c r="K184" s="124"/>
      <c r="BC184" s="14"/>
      <c r="BD184" s="15" t="s">
        <v>5315</v>
      </c>
      <c r="BE184" s="21"/>
      <c r="BF184" s="43"/>
      <c r="BG184" s="12"/>
      <c r="BH184" s="12"/>
    </row>
    <row r="185" spans="1:60" s="3" customFormat="1" ht="14.4" x14ac:dyDescent="0.3">
      <c r="A185" s="16" t="s">
        <v>2226</v>
      </c>
      <c r="B185" s="17" t="s">
        <v>1961</v>
      </c>
      <c r="C185" s="405" t="s">
        <v>1962</v>
      </c>
      <c r="D185" s="405"/>
      <c r="E185" s="405"/>
      <c r="F185" s="16" t="s">
        <v>67</v>
      </c>
      <c r="G185" s="31">
        <v>0.04</v>
      </c>
      <c r="H185" s="57">
        <f>I185/G185</f>
        <v>16418.25</v>
      </c>
      <c r="I185" s="19">
        <f>674.97-K185</f>
        <v>656.73</v>
      </c>
      <c r="J185" s="19">
        <f>K185/G185</f>
        <v>455.99999999999994</v>
      </c>
      <c r="K185" s="19">
        <v>18.239999999999998</v>
      </c>
      <c r="BC185" s="14"/>
      <c r="BD185" s="15"/>
      <c r="BE185" s="21" t="s">
        <v>1962</v>
      </c>
      <c r="BF185" s="43"/>
      <c r="BG185" s="12"/>
      <c r="BH185" s="12"/>
    </row>
    <row r="186" spans="1:60" s="3" customFormat="1" ht="21.6" x14ac:dyDescent="0.3">
      <c r="A186" s="25"/>
      <c r="B186" s="26" t="s">
        <v>1419</v>
      </c>
      <c r="C186" s="419" t="s">
        <v>1420</v>
      </c>
      <c r="D186" s="419"/>
      <c r="E186" s="419"/>
      <c r="F186" s="27" t="s">
        <v>1086</v>
      </c>
      <c r="G186" s="22" t="s">
        <v>1761</v>
      </c>
      <c r="H186" s="58"/>
      <c r="I186" s="28"/>
      <c r="J186" s="28"/>
      <c r="K186" s="29"/>
      <c r="BC186" s="14"/>
      <c r="BD186" s="15"/>
      <c r="BE186" s="21"/>
      <c r="BF186" s="43"/>
      <c r="BG186" s="12"/>
      <c r="BH186" s="12" t="s">
        <v>1420</v>
      </c>
    </row>
    <row r="187" spans="1:60" s="3" customFormat="1" ht="20.399999999999999" x14ac:dyDescent="0.3">
      <c r="A187" s="25"/>
      <c r="B187" s="26" t="s">
        <v>1964</v>
      </c>
      <c r="C187" s="419" t="s">
        <v>1965</v>
      </c>
      <c r="D187" s="419"/>
      <c r="E187" s="419"/>
      <c r="F187" s="27" t="s">
        <v>70</v>
      </c>
      <c r="G187" s="22" t="s">
        <v>5316</v>
      </c>
      <c r="H187" s="58"/>
      <c r="I187" s="28"/>
      <c r="J187" s="28"/>
      <c r="K187" s="29"/>
      <c r="BC187" s="14"/>
      <c r="BD187" s="15"/>
      <c r="BE187" s="21"/>
      <c r="BF187" s="43"/>
      <c r="BG187" s="12"/>
      <c r="BH187" s="12" t="s">
        <v>1965</v>
      </c>
    </row>
    <row r="188" spans="1:60" s="3" customFormat="1" ht="21.6" x14ac:dyDescent="0.3">
      <c r="A188" s="25"/>
      <c r="B188" s="26" t="s">
        <v>607</v>
      </c>
      <c r="C188" s="419" t="s">
        <v>608</v>
      </c>
      <c r="D188" s="419"/>
      <c r="E188" s="419"/>
      <c r="F188" s="27" t="s">
        <v>609</v>
      </c>
      <c r="G188" s="22" t="s">
        <v>5317</v>
      </c>
      <c r="H188" s="58"/>
      <c r="I188" s="28"/>
      <c r="J188" s="28"/>
      <c r="K188" s="29"/>
      <c r="BC188" s="14"/>
      <c r="BD188" s="15"/>
      <c r="BE188" s="21"/>
      <c r="BF188" s="43"/>
      <c r="BG188" s="12"/>
      <c r="BH188" s="12" t="s">
        <v>608</v>
      </c>
    </row>
    <row r="189" spans="1:60" s="3" customFormat="1" ht="14.4" x14ac:dyDescent="0.3">
      <c r="A189" s="16" t="s">
        <v>2229</v>
      </c>
      <c r="B189" s="17" t="s">
        <v>5318</v>
      </c>
      <c r="C189" s="405" t="s">
        <v>5319</v>
      </c>
      <c r="D189" s="405"/>
      <c r="E189" s="405"/>
      <c r="F189" s="16" t="s">
        <v>115</v>
      </c>
      <c r="G189" s="23">
        <v>4</v>
      </c>
      <c r="H189" s="57">
        <f>I189/G189</f>
        <v>0</v>
      </c>
      <c r="I189" s="19"/>
      <c r="J189" s="19">
        <f>K189/G189</f>
        <v>15.1325</v>
      </c>
      <c r="K189" s="19">
        <v>60.53</v>
      </c>
      <c r="BC189" s="14"/>
      <c r="BD189" s="15"/>
      <c r="BE189" s="21" t="s">
        <v>5319</v>
      </c>
      <c r="BF189" s="43"/>
      <c r="BG189" s="12"/>
      <c r="BH189" s="12"/>
    </row>
    <row r="190" spans="1:60" s="3" customFormat="1" ht="15" customHeight="1" x14ac:dyDescent="0.3">
      <c r="A190" s="461" t="s">
        <v>5320</v>
      </c>
      <c r="B190" s="462"/>
      <c r="C190" s="462"/>
      <c r="D190" s="462"/>
      <c r="E190" s="462"/>
      <c r="F190" s="462"/>
      <c r="G190" s="462"/>
      <c r="H190" s="123"/>
      <c r="I190" s="123"/>
      <c r="J190" s="123"/>
      <c r="K190" s="124"/>
      <c r="BC190" s="14"/>
      <c r="BD190" s="15" t="s">
        <v>5320</v>
      </c>
      <c r="BE190" s="21"/>
      <c r="BF190" s="43"/>
      <c r="BG190" s="12"/>
      <c r="BH190" s="12"/>
    </row>
    <row r="191" spans="1:60" s="3" customFormat="1" ht="14.4" x14ac:dyDescent="0.3">
      <c r="A191" s="16" t="s">
        <v>2230</v>
      </c>
      <c r="B191" s="17" t="s">
        <v>5321</v>
      </c>
      <c r="C191" s="405" t="s">
        <v>5322</v>
      </c>
      <c r="D191" s="405"/>
      <c r="E191" s="405"/>
      <c r="F191" s="16" t="s">
        <v>67</v>
      </c>
      <c r="G191" s="31">
        <v>0.03</v>
      </c>
      <c r="H191" s="57">
        <f>I191/G191</f>
        <v>18532.999999999996</v>
      </c>
      <c r="I191" s="19">
        <f>574.56-K191</f>
        <v>555.9899999999999</v>
      </c>
      <c r="J191" s="19">
        <f>K191/G191</f>
        <v>619</v>
      </c>
      <c r="K191" s="19">
        <v>18.57</v>
      </c>
      <c r="BC191" s="14"/>
      <c r="BD191" s="15"/>
      <c r="BE191" s="21" t="s">
        <v>5322</v>
      </c>
      <c r="BF191" s="43"/>
      <c r="BG191" s="12"/>
      <c r="BH191" s="12"/>
    </row>
    <row r="192" spans="1:60" s="3" customFormat="1" ht="21.6" x14ac:dyDescent="0.3">
      <c r="A192" s="25"/>
      <c r="B192" s="26" t="s">
        <v>1419</v>
      </c>
      <c r="C192" s="419" t="s">
        <v>1420</v>
      </c>
      <c r="D192" s="419"/>
      <c r="E192" s="419"/>
      <c r="F192" s="27" t="s">
        <v>1086</v>
      </c>
      <c r="G192" s="22" t="s">
        <v>5323</v>
      </c>
      <c r="H192" s="58"/>
      <c r="I192" s="28"/>
      <c r="J192" s="28"/>
      <c r="K192" s="29"/>
      <c r="BC192" s="14"/>
      <c r="BD192" s="15"/>
      <c r="BE192" s="21"/>
      <c r="BF192" s="43"/>
      <c r="BG192" s="12"/>
      <c r="BH192" s="12" t="s">
        <v>1420</v>
      </c>
    </row>
    <row r="193" spans="1:60" s="3" customFormat="1" ht="20.399999999999999" x14ac:dyDescent="0.3">
      <c r="A193" s="25"/>
      <c r="B193" s="26" t="s">
        <v>1964</v>
      </c>
      <c r="C193" s="419" t="s">
        <v>1965</v>
      </c>
      <c r="D193" s="419"/>
      <c r="E193" s="419"/>
      <c r="F193" s="27" t="s">
        <v>70</v>
      </c>
      <c r="G193" s="22" t="s">
        <v>5324</v>
      </c>
      <c r="H193" s="58"/>
      <c r="I193" s="28"/>
      <c r="J193" s="28"/>
      <c r="K193" s="29"/>
      <c r="BC193" s="14"/>
      <c r="BD193" s="15"/>
      <c r="BE193" s="21"/>
      <c r="BF193" s="43"/>
      <c r="BG193" s="12"/>
      <c r="BH193" s="12" t="s">
        <v>1965</v>
      </c>
    </row>
    <row r="194" spans="1:60" s="3" customFormat="1" ht="21.6" x14ac:dyDescent="0.3">
      <c r="A194" s="25"/>
      <c r="B194" s="26" t="s">
        <v>607</v>
      </c>
      <c r="C194" s="419" t="s">
        <v>608</v>
      </c>
      <c r="D194" s="419"/>
      <c r="E194" s="419"/>
      <c r="F194" s="27" t="s">
        <v>609</v>
      </c>
      <c r="G194" s="22" t="s">
        <v>5325</v>
      </c>
      <c r="H194" s="58"/>
      <c r="I194" s="28"/>
      <c r="J194" s="28"/>
      <c r="K194" s="29"/>
      <c r="BC194" s="14"/>
      <c r="BD194" s="15"/>
      <c r="BE194" s="21"/>
      <c r="BF194" s="43"/>
      <c r="BG194" s="12"/>
      <c r="BH194" s="12" t="s">
        <v>608</v>
      </c>
    </row>
    <row r="195" spans="1:60" s="3" customFormat="1" ht="14.4" x14ac:dyDescent="0.3">
      <c r="A195" s="16" t="s">
        <v>2232</v>
      </c>
      <c r="B195" s="17" t="s">
        <v>5326</v>
      </c>
      <c r="C195" s="405" t="s">
        <v>5327</v>
      </c>
      <c r="D195" s="405"/>
      <c r="E195" s="405"/>
      <c r="F195" s="16" t="s">
        <v>115</v>
      </c>
      <c r="G195" s="23">
        <v>3</v>
      </c>
      <c r="H195" s="57">
        <f>I195/G195</f>
        <v>0</v>
      </c>
      <c r="I195" s="19"/>
      <c r="J195" s="19">
        <f>K195/G195</f>
        <v>60.18</v>
      </c>
      <c r="K195" s="19">
        <v>180.54</v>
      </c>
      <c r="BC195" s="14"/>
      <c r="BD195" s="15"/>
      <c r="BE195" s="21" t="s">
        <v>5327</v>
      </c>
      <c r="BF195" s="43"/>
      <c r="BG195" s="12"/>
      <c r="BH195" s="12"/>
    </row>
    <row r="196" spans="1:60" s="3" customFormat="1" ht="15" customHeight="1" x14ac:dyDescent="0.3">
      <c r="A196" s="437" t="s">
        <v>5328</v>
      </c>
      <c r="B196" s="418"/>
      <c r="C196" s="418"/>
      <c r="D196" s="418"/>
      <c r="E196" s="418"/>
      <c r="F196" s="418"/>
      <c r="G196" s="418"/>
      <c r="H196" s="123"/>
      <c r="I196" s="123"/>
      <c r="J196" s="123"/>
      <c r="K196" s="124"/>
      <c r="BC196" s="14"/>
      <c r="BD196" s="15" t="s">
        <v>5328</v>
      </c>
      <c r="BE196" s="21"/>
      <c r="BF196" s="43"/>
      <c r="BG196" s="12"/>
      <c r="BH196" s="12"/>
    </row>
    <row r="197" spans="1:60" s="3" customFormat="1" ht="42" x14ac:dyDescent="0.3">
      <c r="A197" s="16" t="s">
        <v>2872</v>
      </c>
      <c r="B197" s="17" t="s">
        <v>1611</v>
      </c>
      <c r="C197" s="405" t="s">
        <v>1612</v>
      </c>
      <c r="D197" s="405"/>
      <c r="E197" s="405"/>
      <c r="F197" s="16" t="s">
        <v>67</v>
      </c>
      <c r="G197" s="31">
        <v>0.15</v>
      </c>
      <c r="H197" s="57">
        <f>I197/G197</f>
        <v>14776.666666666668</v>
      </c>
      <c r="I197" s="19">
        <f>2238.79-K197</f>
        <v>2216.5</v>
      </c>
      <c r="J197" s="19">
        <f>K197/G197</f>
        <v>148.6</v>
      </c>
      <c r="K197" s="19">
        <v>22.29</v>
      </c>
      <c r="BC197" s="14"/>
      <c r="BD197" s="15"/>
      <c r="BE197" s="21" t="s">
        <v>1612</v>
      </c>
      <c r="BF197" s="43"/>
      <c r="BG197" s="12"/>
      <c r="BH197" s="12"/>
    </row>
    <row r="198" spans="1:60" s="3" customFormat="1" ht="20.399999999999999" x14ac:dyDescent="0.3">
      <c r="A198" s="25"/>
      <c r="B198" s="26" t="s">
        <v>1613</v>
      </c>
      <c r="C198" s="419" t="s">
        <v>1614</v>
      </c>
      <c r="D198" s="419"/>
      <c r="E198" s="419"/>
      <c r="F198" s="27" t="s">
        <v>142</v>
      </c>
      <c r="G198" s="22" t="s">
        <v>5329</v>
      </c>
      <c r="H198" s="58"/>
      <c r="I198" s="28"/>
      <c r="J198" s="28"/>
      <c r="K198" s="29"/>
      <c r="BC198" s="14"/>
      <c r="BD198" s="15"/>
      <c r="BE198" s="21"/>
      <c r="BF198" s="43"/>
      <c r="BG198" s="12"/>
      <c r="BH198" s="12" t="s">
        <v>1614</v>
      </c>
    </row>
    <row r="199" spans="1:60" s="3" customFormat="1" ht="21.6" x14ac:dyDescent="0.3">
      <c r="A199" s="25"/>
      <c r="B199" s="26" t="s">
        <v>607</v>
      </c>
      <c r="C199" s="419" t="s">
        <v>608</v>
      </c>
      <c r="D199" s="419"/>
      <c r="E199" s="419"/>
      <c r="F199" s="27" t="s">
        <v>609</v>
      </c>
      <c r="G199" s="22" t="s">
        <v>5330</v>
      </c>
      <c r="H199" s="58"/>
      <c r="I199" s="28"/>
      <c r="J199" s="28"/>
      <c r="K199" s="29"/>
      <c r="BC199" s="14"/>
      <c r="BD199" s="15"/>
      <c r="BE199" s="21"/>
      <c r="BF199" s="43"/>
      <c r="BG199" s="12"/>
      <c r="BH199" s="12" t="s">
        <v>608</v>
      </c>
    </row>
    <row r="200" spans="1:60" s="3" customFormat="1" ht="31.8" x14ac:dyDescent="0.3">
      <c r="A200" s="16" t="s">
        <v>2880</v>
      </c>
      <c r="B200" s="17" t="s">
        <v>5331</v>
      </c>
      <c r="C200" s="405" t="s">
        <v>5332</v>
      </c>
      <c r="D200" s="405"/>
      <c r="E200" s="405"/>
      <c r="F200" s="16" t="s">
        <v>406</v>
      </c>
      <c r="G200" s="24">
        <v>1.5</v>
      </c>
      <c r="H200" s="57">
        <f t="shared" ref="H200:H201" si="3">I200/G200</f>
        <v>0</v>
      </c>
      <c r="I200" s="19"/>
      <c r="J200" s="19">
        <f t="shared" ref="J200:J201" si="4">K200/G200</f>
        <v>187.62</v>
      </c>
      <c r="K200" s="19">
        <v>281.43</v>
      </c>
      <c r="BC200" s="14"/>
      <c r="BD200" s="15"/>
      <c r="BE200" s="21" t="s">
        <v>5332</v>
      </c>
      <c r="BF200" s="43"/>
      <c r="BG200" s="12"/>
      <c r="BH200" s="12"/>
    </row>
    <row r="201" spans="1:60" s="3" customFormat="1" ht="21.6" x14ac:dyDescent="0.3">
      <c r="A201" s="16" t="s">
        <v>2895</v>
      </c>
      <c r="B201" s="17" t="s">
        <v>3955</v>
      </c>
      <c r="C201" s="405" t="s">
        <v>3956</v>
      </c>
      <c r="D201" s="405"/>
      <c r="E201" s="405"/>
      <c r="F201" s="16" t="s">
        <v>1261</v>
      </c>
      <c r="G201" s="24">
        <v>4.4000000000000004</v>
      </c>
      <c r="H201" s="57">
        <f t="shared" si="3"/>
        <v>0</v>
      </c>
      <c r="I201" s="19"/>
      <c r="J201" s="19">
        <f t="shared" si="4"/>
        <v>25.665909090909089</v>
      </c>
      <c r="K201" s="19">
        <v>112.93</v>
      </c>
      <c r="BC201" s="14"/>
      <c r="BD201" s="15"/>
      <c r="BE201" s="21" t="s">
        <v>3956</v>
      </c>
      <c r="BF201" s="43"/>
      <c r="BG201" s="12"/>
      <c r="BH201" s="12"/>
    </row>
    <row r="202" spans="1:60" s="3" customFormat="1" ht="15" customHeight="1" x14ac:dyDescent="0.3">
      <c r="A202" s="437" t="s">
        <v>5333</v>
      </c>
      <c r="B202" s="418"/>
      <c r="C202" s="418"/>
      <c r="D202" s="418"/>
      <c r="E202" s="418"/>
      <c r="F202" s="418"/>
      <c r="G202" s="418"/>
      <c r="H202" s="123"/>
      <c r="I202" s="123"/>
      <c r="J202" s="123"/>
      <c r="K202" s="124"/>
      <c r="BC202" s="14"/>
      <c r="BD202" s="15" t="s">
        <v>5333</v>
      </c>
      <c r="BE202" s="21"/>
      <c r="BF202" s="43"/>
      <c r="BG202" s="12"/>
      <c r="BH202" s="12"/>
    </row>
    <row r="203" spans="1:60" s="3" customFormat="1" ht="42" x14ac:dyDescent="0.3">
      <c r="A203" s="16" t="s">
        <v>2899</v>
      </c>
      <c r="B203" s="17" t="s">
        <v>5334</v>
      </c>
      <c r="C203" s="405" t="s">
        <v>5335</v>
      </c>
      <c r="D203" s="405"/>
      <c r="E203" s="405"/>
      <c r="F203" s="16" t="s">
        <v>5336</v>
      </c>
      <c r="G203" s="31">
        <v>0.02</v>
      </c>
      <c r="H203" s="57">
        <f>I203/G203</f>
        <v>6126.5</v>
      </c>
      <c r="I203" s="19">
        <f>122.53-K203</f>
        <v>122.53</v>
      </c>
      <c r="J203" s="19">
        <f>K203/G203</f>
        <v>0</v>
      </c>
      <c r="K203" s="19">
        <v>0</v>
      </c>
      <c r="BC203" s="14"/>
      <c r="BD203" s="15"/>
      <c r="BE203" s="21" t="s">
        <v>5335</v>
      </c>
      <c r="BF203" s="43"/>
      <c r="BG203" s="12"/>
      <c r="BH203" s="12"/>
    </row>
    <row r="204" spans="1:60" s="3" customFormat="1" ht="20.399999999999999" x14ac:dyDescent="0.3">
      <c r="A204" s="37" t="s">
        <v>78</v>
      </c>
      <c r="B204" s="38" t="s">
        <v>5337</v>
      </c>
      <c r="C204" s="430" t="s">
        <v>5338</v>
      </c>
      <c r="D204" s="430"/>
      <c r="E204" s="430"/>
      <c r="F204" s="39" t="s">
        <v>38</v>
      </c>
      <c r="G204" s="40" t="s">
        <v>33</v>
      </c>
      <c r="H204" s="100"/>
      <c r="I204" s="41"/>
      <c r="J204" s="41"/>
      <c r="K204" s="42"/>
      <c r="BC204" s="14"/>
      <c r="BD204" s="15"/>
      <c r="BE204" s="21"/>
      <c r="BF204" s="43" t="s">
        <v>5338</v>
      </c>
      <c r="BG204" s="12"/>
      <c r="BH204" s="12"/>
    </row>
    <row r="205" spans="1:60" s="3" customFormat="1" ht="31.8" x14ac:dyDescent="0.3">
      <c r="A205" s="16" t="s">
        <v>2916</v>
      </c>
      <c r="B205" s="17" t="s">
        <v>5339</v>
      </c>
      <c r="C205" s="405" t="s">
        <v>5340</v>
      </c>
      <c r="D205" s="405"/>
      <c r="E205" s="405"/>
      <c r="F205" s="16" t="s">
        <v>67</v>
      </c>
      <c r="G205" s="18">
        <v>5.0000000000000001E-3</v>
      </c>
      <c r="H205" s="57">
        <f>I205/G205</f>
        <v>41661.999999999993</v>
      </c>
      <c r="I205" s="19">
        <f>313.84-K205</f>
        <v>208.30999999999997</v>
      </c>
      <c r="J205" s="19">
        <f>K205/G205</f>
        <v>21106</v>
      </c>
      <c r="K205" s="19">
        <v>105.53</v>
      </c>
      <c r="BC205" s="14"/>
      <c r="BD205" s="15"/>
      <c r="BE205" s="21" t="s">
        <v>5340</v>
      </c>
      <c r="BF205" s="43"/>
      <c r="BG205" s="12"/>
      <c r="BH205" s="12"/>
    </row>
    <row r="206" spans="1:60" s="3" customFormat="1" ht="20.399999999999999" x14ac:dyDescent="0.3">
      <c r="A206" s="25"/>
      <c r="B206" s="26" t="s">
        <v>5167</v>
      </c>
      <c r="C206" s="419" t="s">
        <v>5168</v>
      </c>
      <c r="D206" s="419"/>
      <c r="E206" s="419"/>
      <c r="F206" s="27" t="s">
        <v>70</v>
      </c>
      <c r="G206" s="22" t="s">
        <v>5341</v>
      </c>
      <c r="H206" s="58"/>
      <c r="I206" s="28"/>
      <c r="J206" s="28"/>
      <c r="K206" s="29"/>
      <c r="BC206" s="14"/>
      <c r="BD206" s="15"/>
      <c r="BE206" s="21"/>
      <c r="BF206" s="43"/>
      <c r="BG206" s="12"/>
      <c r="BH206" s="12" t="s">
        <v>5168</v>
      </c>
    </row>
    <row r="207" spans="1:60" s="3" customFormat="1" ht="20.399999999999999" x14ac:dyDescent="0.3">
      <c r="A207" s="25"/>
      <c r="B207" s="26" t="s">
        <v>384</v>
      </c>
      <c r="C207" s="419" t="s">
        <v>385</v>
      </c>
      <c r="D207" s="419"/>
      <c r="E207" s="419"/>
      <c r="F207" s="27" t="s">
        <v>46</v>
      </c>
      <c r="G207" s="22" t="s">
        <v>5342</v>
      </c>
      <c r="H207" s="58"/>
      <c r="I207" s="28"/>
      <c r="J207" s="28"/>
      <c r="K207" s="29"/>
      <c r="BC207" s="14"/>
      <c r="BD207" s="15"/>
      <c r="BE207" s="21"/>
      <c r="BF207" s="43"/>
      <c r="BG207" s="12"/>
      <c r="BH207" s="12" t="s">
        <v>385</v>
      </c>
    </row>
    <row r="208" spans="1:60" s="3" customFormat="1" ht="20.399999999999999" x14ac:dyDescent="0.3">
      <c r="A208" s="25"/>
      <c r="B208" s="26" t="s">
        <v>154</v>
      </c>
      <c r="C208" s="419" t="s">
        <v>155</v>
      </c>
      <c r="D208" s="419"/>
      <c r="E208" s="419"/>
      <c r="F208" s="27" t="s">
        <v>46</v>
      </c>
      <c r="G208" s="22" t="s">
        <v>5343</v>
      </c>
      <c r="H208" s="58"/>
      <c r="I208" s="28"/>
      <c r="J208" s="28"/>
      <c r="K208" s="29"/>
      <c r="BC208" s="14"/>
      <c r="BD208" s="15"/>
      <c r="BE208" s="21"/>
      <c r="BF208" s="43"/>
      <c r="BG208" s="12"/>
      <c r="BH208" s="12" t="s">
        <v>155</v>
      </c>
    </row>
    <row r="209" spans="1:60" s="3" customFormat="1" ht="20.399999999999999" x14ac:dyDescent="0.3">
      <c r="A209" s="25"/>
      <c r="B209" s="26" t="s">
        <v>1783</v>
      </c>
      <c r="C209" s="419" t="s">
        <v>1784</v>
      </c>
      <c r="D209" s="419"/>
      <c r="E209" s="419"/>
      <c r="F209" s="27" t="s">
        <v>75</v>
      </c>
      <c r="G209" s="22" t="s">
        <v>5344</v>
      </c>
      <c r="H209" s="58"/>
      <c r="I209" s="28"/>
      <c r="J209" s="28"/>
      <c r="K209" s="29"/>
      <c r="BC209" s="14"/>
      <c r="BD209" s="15"/>
      <c r="BE209" s="21"/>
      <c r="BF209" s="43"/>
      <c r="BG209" s="12"/>
      <c r="BH209" s="12" t="s">
        <v>1784</v>
      </c>
    </row>
    <row r="210" spans="1:60" s="3" customFormat="1" ht="21.6" x14ac:dyDescent="0.3">
      <c r="A210" s="25"/>
      <c r="B210" s="26" t="s">
        <v>5173</v>
      </c>
      <c r="C210" s="419" t="s">
        <v>5174</v>
      </c>
      <c r="D210" s="419"/>
      <c r="E210" s="419"/>
      <c r="F210" s="27" t="s">
        <v>70</v>
      </c>
      <c r="G210" s="22" t="s">
        <v>5345</v>
      </c>
      <c r="H210" s="58"/>
      <c r="I210" s="28"/>
      <c r="J210" s="28"/>
      <c r="K210" s="29"/>
      <c r="BC210" s="14"/>
      <c r="BD210" s="15"/>
      <c r="BE210" s="21"/>
      <c r="BF210" s="43"/>
      <c r="BG210" s="12"/>
      <c r="BH210" s="12" t="s">
        <v>5174</v>
      </c>
    </row>
    <row r="211" spans="1:60" s="3" customFormat="1" ht="21.6" x14ac:dyDescent="0.3">
      <c r="A211" s="25"/>
      <c r="B211" s="26" t="s">
        <v>1810</v>
      </c>
      <c r="C211" s="419" t="s">
        <v>1811</v>
      </c>
      <c r="D211" s="419"/>
      <c r="E211" s="419"/>
      <c r="F211" s="27" t="s">
        <v>75</v>
      </c>
      <c r="G211" s="22" t="s">
        <v>5346</v>
      </c>
      <c r="H211" s="58"/>
      <c r="I211" s="28"/>
      <c r="J211" s="28"/>
      <c r="K211" s="29"/>
      <c r="BC211" s="14"/>
      <c r="BD211" s="15"/>
      <c r="BE211" s="21"/>
      <c r="BF211" s="43"/>
      <c r="BG211" s="12"/>
      <c r="BH211" s="12" t="s">
        <v>1811</v>
      </c>
    </row>
    <row r="212" spans="1:60" s="3" customFormat="1" ht="21.6" x14ac:dyDescent="0.3">
      <c r="A212" s="25"/>
      <c r="B212" s="26" t="s">
        <v>839</v>
      </c>
      <c r="C212" s="419" t="s">
        <v>840</v>
      </c>
      <c r="D212" s="419"/>
      <c r="E212" s="419"/>
      <c r="F212" s="27" t="s">
        <v>75</v>
      </c>
      <c r="G212" s="22" t="s">
        <v>5343</v>
      </c>
      <c r="H212" s="58"/>
      <c r="I212" s="28"/>
      <c r="J212" s="28"/>
      <c r="K212" s="29"/>
      <c r="BC212" s="14"/>
      <c r="BD212" s="15"/>
      <c r="BE212" s="21"/>
      <c r="BF212" s="43"/>
      <c r="BG212" s="12"/>
      <c r="BH212" s="12" t="s">
        <v>840</v>
      </c>
    </row>
    <row r="213" spans="1:60" s="3" customFormat="1" ht="31.8" x14ac:dyDescent="0.3">
      <c r="A213" s="25"/>
      <c r="B213" s="26" t="s">
        <v>1241</v>
      </c>
      <c r="C213" s="419" t="s">
        <v>1242</v>
      </c>
      <c r="D213" s="419"/>
      <c r="E213" s="419"/>
      <c r="F213" s="27" t="s">
        <v>70</v>
      </c>
      <c r="G213" s="22" t="s">
        <v>5347</v>
      </c>
      <c r="H213" s="58"/>
      <c r="I213" s="28"/>
      <c r="J213" s="28"/>
      <c r="K213" s="29"/>
      <c r="BC213" s="14"/>
      <c r="BD213" s="15"/>
      <c r="BE213" s="21"/>
      <c r="BF213" s="43"/>
      <c r="BG213" s="12"/>
      <c r="BH213" s="12" t="s">
        <v>1242</v>
      </c>
    </row>
    <row r="214" spans="1:60" s="3" customFormat="1" ht="20.399999999999999" x14ac:dyDescent="0.3">
      <c r="A214" s="37" t="s">
        <v>78</v>
      </c>
      <c r="B214" s="38" t="s">
        <v>1818</v>
      </c>
      <c r="C214" s="430" t="s">
        <v>1819</v>
      </c>
      <c r="D214" s="430"/>
      <c r="E214" s="430"/>
      <c r="F214" s="39" t="s">
        <v>38</v>
      </c>
      <c r="G214" s="40" t="s">
        <v>33</v>
      </c>
      <c r="H214" s="100"/>
      <c r="I214" s="41"/>
      <c r="J214" s="41"/>
      <c r="K214" s="42"/>
      <c r="BC214" s="14"/>
      <c r="BD214" s="15"/>
      <c r="BE214" s="21"/>
      <c r="BF214" s="43" t="s">
        <v>1819</v>
      </c>
      <c r="BG214" s="12"/>
      <c r="BH214" s="12"/>
    </row>
    <row r="215" spans="1:60" s="3" customFormat="1" ht="20.399999999999999" x14ac:dyDescent="0.3">
      <c r="A215" s="37" t="s">
        <v>143</v>
      </c>
      <c r="B215" s="38" t="s">
        <v>5179</v>
      </c>
      <c r="C215" s="430" t="s">
        <v>5180</v>
      </c>
      <c r="D215" s="430"/>
      <c r="E215" s="430"/>
      <c r="F215" s="39" t="s">
        <v>115</v>
      </c>
      <c r="G215" s="40" t="s">
        <v>5348</v>
      </c>
      <c r="H215" s="100"/>
      <c r="I215" s="41"/>
      <c r="J215" s="41"/>
      <c r="K215" s="42"/>
      <c r="BC215" s="14"/>
      <c r="BD215" s="15"/>
      <c r="BE215" s="21"/>
      <c r="BF215" s="43" t="s">
        <v>5180</v>
      </c>
      <c r="BG215" s="12"/>
      <c r="BH215" s="12"/>
    </row>
    <row r="216" spans="1:60" s="3" customFormat="1" ht="20.399999999999999" x14ac:dyDescent="0.3">
      <c r="A216" s="37" t="s">
        <v>78</v>
      </c>
      <c r="B216" s="38" t="s">
        <v>1820</v>
      </c>
      <c r="C216" s="430" t="s">
        <v>1523</v>
      </c>
      <c r="D216" s="430"/>
      <c r="E216" s="430"/>
      <c r="F216" s="39" t="s">
        <v>75</v>
      </c>
      <c r="G216" s="40" t="s">
        <v>33</v>
      </c>
      <c r="H216" s="100"/>
      <c r="I216" s="41"/>
      <c r="J216" s="41"/>
      <c r="K216" s="42"/>
      <c r="BC216" s="14"/>
      <c r="BD216" s="15"/>
      <c r="BE216" s="21"/>
      <c r="BF216" s="43" t="s">
        <v>1523</v>
      </c>
      <c r="BG216" s="12"/>
      <c r="BH216" s="12"/>
    </row>
    <row r="217" spans="1:60" s="3" customFormat="1" ht="42" x14ac:dyDescent="0.3">
      <c r="A217" s="25" t="s">
        <v>129</v>
      </c>
      <c r="B217" s="26" t="s">
        <v>5349</v>
      </c>
      <c r="C217" s="419" t="s">
        <v>5350</v>
      </c>
      <c r="D217" s="419"/>
      <c r="E217" s="419"/>
      <c r="F217" s="27" t="s">
        <v>115</v>
      </c>
      <c r="G217" s="22" t="s">
        <v>5348</v>
      </c>
      <c r="H217" s="57"/>
      <c r="I217" s="28"/>
      <c r="J217" s="19"/>
      <c r="K217" s="29"/>
      <c r="BC217" s="14"/>
      <c r="BD217" s="15"/>
      <c r="BE217" s="21"/>
      <c r="BF217" s="43"/>
      <c r="BG217" s="12" t="s">
        <v>5350</v>
      </c>
      <c r="BH217" s="12"/>
    </row>
    <row r="218" spans="1:60" s="3" customFormat="1" ht="15" customHeight="1" x14ac:dyDescent="0.3">
      <c r="A218" s="435" t="s">
        <v>5351</v>
      </c>
      <c r="B218" s="436"/>
      <c r="C218" s="436"/>
      <c r="D218" s="436"/>
      <c r="E218" s="436"/>
      <c r="F218" s="436"/>
      <c r="G218" s="436"/>
      <c r="H218" s="103"/>
      <c r="I218" s="103"/>
      <c r="J218" s="103"/>
      <c r="K218" s="104"/>
      <c r="BC218" s="14" t="s">
        <v>5351</v>
      </c>
      <c r="BD218" s="15"/>
      <c r="BE218" s="21"/>
      <c r="BF218" s="43"/>
      <c r="BG218" s="12"/>
      <c r="BH218" s="12"/>
    </row>
    <row r="219" spans="1:60" s="3" customFormat="1" ht="15" customHeight="1" x14ac:dyDescent="0.3">
      <c r="A219" s="437" t="s">
        <v>5352</v>
      </c>
      <c r="B219" s="418"/>
      <c r="C219" s="418"/>
      <c r="D219" s="418"/>
      <c r="E219" s="418"/>
      <c r="F219" s="418"/>
      <c r="G219" s="418"/>
      <c r="H219" s="123"/>
      <c r="I219" s="123"/>
      <c r="J219" s="123"/>
      <c r="K219" s="124"/>
      <c r="BC219" s="14"/>
      <c r="BD219" s="15" t="s">
        <v>5352</v>
      </c>
      <c r="BE219" s="21"/>
      <c r="BF219" s="43"/>
      <c r="BG219" s="12"/>
      <c r="BH219" s="12"/>
    </row>
    <row r="220" spans="1:60" s="3" customFormat="1" ht="21.6" x14ac:dyDescent="0.3">
      <c r="A220" s="16" t="s">
        <v>2921</v>
      </c>
      <c r="B220" s="17" t="s">
        <v>1945</v>
      </c>
      <c r="C220" s="405" t="s">
        <v>1946</v>
      </c>
      <c r="D220" s="405"/>
      <c r="E220" s="405"/>
      <c r="F220" s="16" t="s">
        <v>67</v>
      </c>
      <c r="G220" s="31">
        <v>0.16</v>
      </c>
      <c r="H220" s="57">
        <f>I220/G220</f>
        <v>10823.3125</v>
      </c>
      <c r="I220" s="19">
        <f>1784.16-K220</f>
        <v>1731.73</v>
      </c>
      <c r="J220" s="19">
        <f>K220/G220</f>
        <v>327.6875</v>
      </c>
      <c r="K220" s="19">
        <v>52.43</v>
      </c>
      <c r="BC220" s="14"/>
      <c r="BD220" s="15"/>
      <c r="BE220" s="21" t="s">
        <v>1946</v>
      </c>
      <c r="BF220" s="43"/>
      <c r="BG220" s="12"/>
      <c r="BH220" s="12"/>
    </row>
    <row r="221" spans="1:60" s="3" customFormat="1" ht="20.399999999999999" x14ac:dyDescent="0.3">
      <c r="A221" s="25"/>
      <c r="B221" s="26" t="s">
        <v>599</v>
      </c>
      <c r="C221" s="419" t="s">
        <v>600</v>
      </c>
      <c r="D221" s="419"/>
      <c r="E221" s="419"/>
      <c r="F221" s="27" t="s">
        <v>406</v>
      </c>
      <c r="G221" s="22" t="s">
        <v>5353</v>
      </c>
      <c r="H221" s="58"/>
      <c r="I221" s="28"/>
      <c r="J221" s="28"/>
      <c r="K221" s="29"/>
      <c r="BC221" s="14"/>
      <c r="BD221" s="15"/>
      <c r="BE221" s="21"/>
      <c r="BF221" s="43"/>
      <c r="BG221" s="12"/>
      <c r="BH221" s="12" t="s">
        <v>600</v>
      </c>
    </row>
    <row r="222" spans="1:60" s="3" customFormat="1" ht="21.6" x14ac:dyDescent="0.3">
      <c r="A222" s="25"/>
      <c r="B222" s="26" t="s">
        <v>1766</v>
      </c>
      <c r="C222" s="419" t="s">
        <v>1767</v>
      </c>
      <c r="D222" s="419"/>
      <c r="E222" s="419"/>
      <c r="F222" s="27" t="s">
        <v>70</v>
      </c>
      <c r="G222" s="22" t="s">
        <v>5354</v>
      </c>
      <c r="H222" s="58"/>
      <c r="I222" s="28"/>
      <c r="J222" s="28"/>
      <c r="K222" s="29"/>
      <c r="BC222" s="14"/>
      <c r="BD222" s="15"/>
      <c r="BE222" s="21"/>
      <c r="BF222" s="43"/>
      <c r="BG222" s="12"/>
      <c r="BH222" s="12" t="s">
        <v>1767</v>
      </c>
    </row>
    <row r="223" spans="1:60" s="3" customFormat="1" ht="20.399999999999999" x14ac:dyDescent="0.3">
      <c r="A223" s="25"/>
      <c r="B223" s="26" t="s">
        <v>89</v>
      </c>
      <c r="C223" s="419" t="s">
        <v>90</v>
      </c>
      <c r="D223" s="419"/>
      <c r="E223" s="419"/>
      <c r="F223" s="27" t="s">
        <v>70</v>
      </c>
      <c r="G223" s="22" t="s">
        <v>5355</v>
      </c>
      <c r="H223" s="58"/>
      <c r="I223" s="28"/>
      <c r="J223" s="28"/>
      <c r="K223" s="29"/>
      <c r="BC223" s="14"/>
      <c r="BD223" s="15"/>
      <c r="BE223" s="21"/>
      <c r="BF223" s="43"/>
      <c r="BG223" s="12"/>
      <c r="BH223" s="12" t="s">
        <v>90</v>
      </c>
    </row>
    <row r="224" spans="1:60" s="3" customFormat="1" ht="21.6" x14ac:dyDescent="0.3">
      <c r="A224" s="25"/>
      <c r="B224" s="26" t="s">
        <v>607</v>
      </c>
      <c r="C224" s="419" t="s">
        <v>608</v>
      </c>
      <c r="D224" s="419"/>
      <c r="E224" s="419"/>
      <c r="F224" s="27" t="s">
        <v>609</v>
      </c>
      <c r="G224" s="22" t="s">
        <v>5356</v>
      </c>
      <c r="H224" s="58"/>
      <c r="I224" s="28"/>
      <c r="J224" s="28"/>
      <c r="K224" s="29"/>
      <c r="BC224" s="14"/>
      <c r="BD224" s="15"/>
      <c r="BE224" s="21"/>
      <c r="BF224" s="43"/>
      <c r="BG224" s="12"/>
      <c r="BH224" s="12" t="s">
        <v>608</v>
      </c>
    </row>
    <row r="225" spans="1:60" s="3" customFormat="1" ht="31.8" x14ac:dyDescent="0.3">
      <c r="A225" s="16" t="s">
        <v>2930</v>
      </c>
      <c r="B225" s="17" t="s">
        <v>5357</v>
      </c>
      <c r="C225" s="405" t="s">
        <v>5358</v>
      </c>
      <c r="D225" s="405"/>
      <c r="E225" s="405"/>
      <c r="F225" s="16" t="s">
        <v>115</v>
      </c>
      <c r="G225" s="24">
        <v>10.199999999999999</v>
      </c>
      <c r="H225" s="57"/>
      <c r="I225" s="19"/>
      <c r="J225" s="19">
        <f t="shared" ref="J225:J226" si="5">K225/G225</f>
        <v>94.42941176470589</v>
      </c>
      <c r="K225" s="19">
        <v>963.18</v>
      </c>
      <c r="BC225" s="14"/>
      <c r="BD225" s="15"/>
      <c r="BE225" s="21" t="s">
        <v>5358</v>
      </c>
      <c r="BF225" s="43"/>
      <c r="BG225" s="12"/>
      <c r="BH225" s="12"/>
    </row>
    <row r="226" spans="1:60" s="3" customFormat="1" ht="21.6" x14ac:dyDescent="0.3">
      <c r="A226" s="16" t="s">
        <v>2939</v>
      </c>
      <c r="B226" s="17" t="s">
        <v>5359</v>
      </c>
      <c r="C226" s="405" t="s">
        <v>5360</v>
      </c>
      <c r="D226" s="405"/>
      <c r="E226" s="405"/>
      <c r="F226" s="16" t="s">
        <v>115</v>
      </c>
      <c r="G226" s="31">
        <v>6.12</v>
      </c>
      <c r="H226" s="57"/>
      <c r="I226" s="19"/>
      <c r="J226" s="19">
        <f t="shared" si="5"/>
        <v>144.52124183006535</v>
      </c>
      <c r="K226" s="19">
        <v>884.47</v>
      </c>
      <c r="BC226" s="14"/>
      <c r="BD226" s="15"/>
      <c r="BE226" s="21" t="s">
        <v>5360</v>
      </c>
      <c r="BF226" s="43"/>
      <c r="BG226" s="12"/>
      <c r="BH226" s="12"/>
    </row>
    <row r="227" spans="1:60" s="3" customFormat="1" ht="15" customHeight="1" x14ac:dyDescent="0.3">
      <c r="A227" s="437" t="s">
        <v>5361</v>
      </c>
      <c r="B227" s="418"/>
      <c r="C227" s="418"/>
      <c r="D227" s="418"/>
      <c r="E227" s="418"/>
      <c r="F227" s="418"/>
      <c r="G227" s="418"/>
      <c r="H227" s="123"/>
      <c r="I227" s="123"/>
      <c r="J227" s="123"/>
      <c r="K227" s="124"/>
      <c r="BC227" s="14"/>
      <c r="BD227" s="15" t="s">
        <v>5361</v>
      </c>
      <c r="BE227" s="21"/>
      <c r="BF227" s="43"/>
      <c r="BG227" s="12"/>
      <c r="BH227" s="12"/>
    </row>
    <row r="228" spans="1:60" s="3" customFormat="1" ht="21.6" x14ac:dyDescent="0.3">
      <c r="A228" s="16" t="s">
        <v>2946</v>
      </c>
      <c r="B228" s="17" t="s">
        <v>1945</v>
      </c>
      <c r="C228" s="405" t="s">
        <v>1946</v>
      </c>
      <c r="D228" s="405"/>
      <c r="E228" s="405"/>
      <c r="F228" s="16" t="s">
        <v>67</v>
      </c>
      <c r="G228" s="31">
        <v>0.47</v>
      </c>
      <c r="H228" s="57">
        <f>I228/G228</f>
        <v>10823.340425531916</v>
      </c>
      <c r="I228" s="19">
        <f>5241-K228</f>
        <v>5086.97</v>
      </c>
      <c r="J228" s="19">
        <f>K228/G228</f>
        <v>327.72340425531917</v>
      </c>
      <c r="K228" s="19">
        <v>154.03</v>
      </c>
      <c r="BC228" s="14"/>
      <c r="BD228" s="15"/>
      <c r="BE228" s="21" t="s">
        <v>1946</v>
      </c>
      <c r="BF228" s="43"/>
      <c r="BG228" s="12"/>
      <c r="BH228" s="12"/>
    </row>
    <row r="229" spans="1:60" s="3" customFormat="1" ht="20.399999999999999" x14ac:dyDescent="0.3">
      <c r="A229" s="25"/>
      <c r="B229" s="26" t="s">
        <v>599</v>
      </c>
      <c r="C229" s="419" t="s">
        <v>600</v>
      </c>
      <c r="D229" s="419"/>
      <c r="E229" s="419"/>
      <c r="F229" s="27" t="s">
        <v>406</v>
      </c>
      <c r="G229" s="22" t="s">
        <v>5362</v>
      </c>
      <c r="H229" s="58"/>
      <c r="I229" s="28"/>
      <c r="J229" s="28"/>
      <c r="K229" s="29"/>
      <c r="BC229" s="14"/>
      <c r="BD229" s="15"/>
      <c r="BE229" s="21"/>
      <c r="BF229" s="43"/>
      <c r="BG229" s="12"/>
      <c r="BH229" s="12" t="s">
        <v>600</v>
      </c>
    </row>
    <row r="230" spans="1:60" s="3" customFormat="1" ht="21.6" x14ac:dyDescent="0.3">
      <c r="A230" s="25"/>
      <c r="B230" s="26" t="s">
        <v>1766</v>
      </c>
      <c r="C230" s="419" t="s">
        <v>1767</v>
      </c>
      <c r="D230" s="419"/>
      <c r="E230" s="419"/>
      <c r="F230" s="27" t="s">
        <v>70</v>
      </c>
      <c r="G230" s="22" t="s">
        <v>5363</v>
      </c>
      <c r="H230" s="58"/>
      <c r="I230" s="28"/>
      <c r="J230" s="28"/>
      <c r="K230" s="29"/>
      <c r="BC230" s="14"/>
      <c r="BD230" s="15"/>
      <c r="BE230" s="21"/>
      <c r="BF230" s="43"/>
      <c r="BG230" s="12"/>
      <c r="BH230" s="12" t="s">
        <v>1767</v>
      </c>
    </row>
    <row r="231" spans="1:60" s="3" customFormat="1" ht="20.399999999999999" x14ac:dyDescent="0.3">
      <c r="A231" s="25"/>
      <c r="B231" s="26" t="s">
        <v>89</v>
      </c>
      <c r="C231" s="419" t="s">
        <v>90</v>
      </c>
      <c r="D231" s="419"/>
      <c r="E231" s="419"/>
      <c r="F231" s="27" t="s">
        <v>70</v>
      </c>
      <c r="G231" s="22" t="s">
        <v>5364</v>
      </c>
      <c r="H231" s="58"/>
      <c r="I231" s="28"/>
      <c r="J231" s="28"/>
      <c r="K231" s="29"/>
      <c r="BC231" s="14"/>
      <c r="BD231" s="15"/>
      <c r="BE231" s="21"/>
      <c r="BF231" s="43"/>
      <c r="BG231" s="12"/>
      <c r="BH231" s="12" t="s">
        <v>90</v>
      </c>
    </row>
    <row r="232" spans="1:60" s="3" customFormat="1" ht="21.6" x14ac:dyDescent="0.3">
      <c r="A232" s="25"/>
      <c r="B232" s="26" t="s">
        <v>607</v>
      </c>
      <c r="C232" s="419" t="s">
        <v>608</v>
      </c>
      <c r="D232" s="419"/>
      <c r="E232" s="419"/>
      <c r="F232" s="27" t="s">
        <v>609</v>
      </c>
      <c r="G232" s="22" t="s">
        <v>5365</v>
      </c>
      <c r="H232" s="58"/>
      <c r="I232" s="28"/>
      <c r="J232" s="28"/>
      <c r="K232" s="29"/>
      <c r="BC232" s="14"/>
      <c r="BD232" s="15"/>
      <c r="BE232" s="21"/>
      <c r="BF232" s="43"/>
      <c r="BG232" s="12"/>
      <c r="BH232" s="12" t="s">
        <v>608</v>
      </c>
    </row>
    <row r="233" spans="1:60" s="3" customFormat="1" ht="31.8" x14ac:dyDescent="0.3">
      <c r="A233" s="16" t="s">
        <v>2953</v>
      </c>
      <c r="B233" s="17" t="s">
        <v>5357</v>
      </c>
      <c r="C233" s="405" t="s">
        <v>5358</v>
      </c>
      <c r="D233" s="405"/>
      <c r="E233" s="405"/>
      <c r="F233" s="16" t="s">
        <v>115</v>
      </c>
      <c r="G233" s="31">
        <v>7.14</v>
      </c>
      <c r="H233" s="57"/>
      <c r="I233" s="19"/>
      <c r="J233" s="19">
        <f t="shared" ref="J233:J235" si="6">K233/G233</f>
        <v>94.429971988795529</v>
      </c>
      <c r="K233" s="19">
        <v>674.23</v>
      </c>
      <c r="BC233" s="14"/>
      <c r="BD233" s="15"/>
      <c r="BE233" s="21" t="s">
        <v>5358</v>
      </c>
      <c r="BF233" s="43"/>
      <c r="BG233" s="12"/>
      <c r="BH233" s="12"/>
    </row>
    <row r="234" spans="1:60" s="3" customFormat="1" ht="21.6" x14ac:dyDescent="0.3">
      <c r="A234" s="16" t="s">
        <v>2958</v>
      </c>
      <c r="B234" s="17" t="s">
        <v>5366</v>
      </c>
      <c r="C234" s="405" t="s">
        <v>5367</v>
      </c>
      <c r="D234" s="405"/>
      <c r="E234" s="405"/>
      <c r="F234" s="16" t="s">
        <v>115</v>
      </c>
      <c r="G234" s="24">
        <v>20.399999999999999</v>
      </c>
      <c r="H234" s="57"/>
      <c r="I234" s="19"/>
      <c r="J234" s="19">
        <f t="shared" si="6"/>
        <v>249.65833333333333</v>
      </c>
      <c r="K234" s="19">
        <v>5093.03</v>
      </c>
      <c r="BC234" s="14"/>
      <c r="BD234" s="15"/>
      <c r="BE234" s="21" t="s">
        <v>5367</v>
      </c>
      <c r="BF234" s="43"/>
      <c r="BG234" s="12"/>
      <c r="BH234" s="12"/>
    </row>
    <row r="235" spans="1:60" s="3" customFormat="1" ht="21.6" x14ac:dyDescent="0.3">
      <c r="A235" s="16" t="s">
        <v>2978</v>
      </c>
      <c r="B235" s="17" t="s">
        <v>5368</v>
      </c>
      <c r="C235" s="405" t="s">
        <v>5369</v>
      </c>
      <c r="D235" s="405"/>
      <c r="E235" s="405"/>
      <c r="F235" s="16" t="s">
        <v>115</v>
      </c>
      <c r="G235" s="24">
        <v>20.399999999999999</v>
      </c>
      <c r="H235" s="57"/>
      <c r="I235" s="19"/>
      <c r="J235" s="19">
        <f t="shared" si="6"/>
        <v>143.63529411764705</v>
      </c>
      <c r="K235" s="19">
        <v>2930.16</v>
      </c>
      <c r="BC235" s="14"/>
      <c r="BD235" s="15"/>
      <c r="BE235" s="21" t="s">
        <v>5369</v>
      </c>
      <c r="BF235" s="43"/>
      <c r="BG235" s="12"/>
      <c r="BH235" s="12"/>
    </row>
    <row r="236" spans="1:60" s="3" customFormat="1" ht="31.8" x14ac:dyDescent="0.3">
      <c r="A236" s="16" t="s">
        <v>3002</v>
      </c>
      <c r="B236" s="17" t="s">
        <v>5370</v>
      </c>
      <c r="C236" s="405" t="s">
        <v>5371</v>
      </c>
      <c r="D236" s="405"/>
      <c r="E236" s="405"/>
      <c r="F236" s="16" t="s">
        <v>4809</v>
      </c>
      <c r="G236" s="31">
        <v>0.43</v>
      </c>
      <c r="H236" s="57">
        <f>I236/G236</f>
        <v>16933.325581395347</v>
      </c>
      <c r="I236" s="19">
        <f>7342.41-K236</f>
        <v>7281.33</v>
      </c>
      <c r="J236" s="19">
        <f>K236/G236</f>
        <v>142.04651162790697</v>
      </c>
      <c r="K236" s="19">
        <v>61.08</v>
      </c>
      <c r="BC236" s="14"/>
      <c r="BD236" s="15"/>
      <c r="BE236" s="21" t="s">
        <v>5371</v>
      </c>
      <c r="BF236" s="43"/>
      <c r="BG236" s="12"/>
      <c r="BH236" s="12"/>
    </row>
    <row r="237" spans="1:60" s="3" customFormat="1" ht="20.399999999999999" x14ac:dyDescent="0.3">
      <c r="A237" s="25"/>
      <c r="B237" s="26" t="s">
        <v>4503</v>
      </c>
      <c r="C237" s="419" t="s">
        <v>4504</v>
      </c>
      <c r="D237" s="419"/>
      <c r="E237" s="419"/>
      <c r="F237" s="27" t="s">
        <v>75</v>
      </c>
      <c r="G237" s="22" t="s">
        <v>5372</v>
      </c>
      <c r="H237" s="58"/>
      <c r="I237" s="28"/>
      <c r="J237" s="28"/>
      <c r="K237" s="29"/>
      <c r="BC237" s="14"/>
      <c r="BD237" s="15"/>
      <c r="BE237" s="21"/>
      <c r="BF237" s="43"/>
      <c r="BG237" s="12"/>
      <c r="BH237" s="12" t="s">
        <v>4504</v>
      </c>
    </row>
    <row r="238" spans="1:60" s="3" customFormat="1" ht="31.8" x14ac:dyDescent="0.3">
      <c r="A238" s="25"/>
      <c r="B238" s="26" t="s">
        <v>1703</v>
      </c>
      <c r="C238" s="419" t="s">
        <v>1704</v>
      </c>
      <c r="D238" s="419"/>
      <c r="E238" s="419"/>
      <c r="F238" s="27" t="s">
        <v>75</v>
      </c>
      <c r="G238" s="22" t="s">
        <v>5373</v>
      </c>
      <c r="H238" s="58"/>
      <c r="I238" s="28"/>
      <c r="J238" s="28"/>
      <c r="K238" s="29"/>
      <c r="BC238" s="14"/>
      <c r="BD238" s="15"/>
      <c r="BE238" s="21"/>
      <c r="BF238" s="43"/>
      <c r="BG238" s="12"/>
      <c r="BH238" s="12" t="s">
        <v>1704</v>
      </c>
    </row>
    <row r="239" spans="1:60" s="3" customFormat="1" ht="20.399999999999999" x14ac:dyDescent="0.3">
      <c r="A239" s="25"/>
      <c r="B239" s="26" t="s">
        <v>4812</v>
      </c>
      <c r="C239" s="419" t="s">
        <v>4813</v>
      </c>
      <c r="D239" s="419"/>
      <c r="E239" s="419"/>
      <c r="F239" s="27" t="s">
        <v>70</v>
      </c>
      <c r="G239" s="22" t="s">
        <v>5372</v>
      </c>
      <c r="H239" s="58"/>
      <c r="I239" s="28"/>
      <c r="J239" s="28"/>
      <c r="K239" s="29"/>
      <c r="BC239" s="14"/>
      <c r="BD239" s="15"/>
      <c r="BE239" s="21"/>
      <c r="BF239" s="43"/>
      <c r="BG239" s="12"/>
      <c r="BH239" s="12" t="s">
        <v>4813</v>
      </c>
    </row>
    <row r="240" spans="1:60" s="3" customFormat="1" ht="21.6" x14ac:dyDescent="0.3">
      <c r="A240" s="25"/>
      <c r="B240" s="26" t="s">
        <v>607</v>
      </c>
      <c r="C240" s="419" t="s">
        <v>608</v>
      </c>
      <c r="D240" s="419"/>
      <c r="E240" s="419"/>
      <c r="F240" s="27" t="s">
        <v>609</v>
      </c>
      <c r="G240" s="22" t="s">
        <v>5374</v>
      </c>
      <c r="H240" s="58"/>
      <c r="I240" s="28"/>
      <c r="J240" s="28"/>
      <c r="K240" s="29"/>
      <c r="BC240" s="14"/>
      <c r="BD240" s="15"/>
      <c r="BE240" s="21"/>
      <c r="BF240" s="43"/>
      <c r="BG240" s="12"/>
      <c r="BH240" s="12" t="s">
        <v>608</v>
      </c>
    </row>
    <row r="241" spans="1:60" s="3" customFormat="1" ht="21.6" x14ac:dyDescent="0.3">
      <c r="A241" s="16" t="s">
        <v>3008</v>
      </c>
      <c r="B241" s="17" t="s">
        <v>5359</v>
      </c>
      <c r="C241" s="405" t="s">
        <v>5360</v>
      </c>
      <c r="D241" s="405"/>
      <c r="E241" s="405"/>
      <c r="F241" s="16" t="s">
        <v>115</v>
      </c>
      <c r="G241" s="31">
        <v>57.86</v>
      </c>
      <c r="H241" s="57"/>
      <c r="I241" s="19"/>
      <c r="J241" s="19">
        <f>K241/G241</f>
        <v>144.52056688558588</v>
      </c>
      <c r="K241" s="19">
        <v>8361.9599999999991</v>
      </c>
      <c r="BC241" s="14"/>
      <c r="BD241" s="15"/>
      <c r="BE241" s="21" t="s">
        <v>5360</v>
      </c>
      <c r="BF241" s="43"/>
      <c r="BG241" s="12"/>
      <c r="BH241" s="12"/>
    </row>
    <row r="242" spans="1:60" s="3" customFormat="1" ht="15" customHeight="1" x14ac:dyDescent="0.3">
      <c r="A242" s="437" t="s">
        <v>5375</v>
      </c>
      <c r="B242" s="418"/>
      <c r="C242" s="418"/>
      <c r="D242" s="418"/>
      <c r="E242" s="418"/>
      <c r="F242" s="418"/>
      <c r="G242" s="418"/>
      <c r="H242" s="123"/>
      <c r="I242" s="123"/>
      <c r="J242" s="123"/>
      <c r="K242" s="124"/>
      <c r="BC242" s="14"/>
      <c r="BD242" s="15" t="s">
        <v>5375</v>
      </c>
      <c r="BE242" s="21"/>
      <c r="BF242" s="43"/>
      <c r="BG242" s="12"/>
      <c r="BH242" s="12"/>
    </row>
    <row r="243" spans="1:60" s="3" customFormat="1" ht="21.6" x14ac:dyDescent="0.3">
      <c r="A243" s="16" t="s">
        <v>3012</v>
      </c>
      <c r="B243" s="17" t="s">
        <v>5376</v>
      </c>
      <c r="C243" s="405" t="s">
        <v>5377</v>
      </c>
      <c r="D243" s="405"/>
      <c r="E243" s="405"/>
      <c r="F243" s="16" t="s">
        <v>67</v>
      </c>
      <c r="G243" s="31">
        <v>0.32</v>
      </c>
      <c r="H243" s="57">
        <f>I243/G243</f>
        <v>13858.124999999998</v>
      </c>
      <c r="I243" s="19">
        <f>4461.99-K243</f>
        <v>4434.5999999999995</v>
      </c>
      <c r="J243" s="19">
        <f>K243/G243</f>
        <v>85.59375</v>
      </c>
      <c r="K243" s="19">
        <v>27.39</v>
      </c>
      <c r="BC243" s="14"/>
      <c r="BD243" s="15"/>
      <c r="BE243" s="21" t="s">
        <v>5377</v>
      </c>
      <c r="BF243" s="43"/>
      <c r="BG243" s="12"/>
      <c r="BH243" s="12"/>
    </row>
    <row r="244" spans="1:60" s="3" customFormat="1" ht="21.6" x14ac:dyDescent="0.3">
      <c r="A244" s="25"/>
      <c r="B244" s="26" t="s">
        <v>1484</v>
      </c>
      <c r="C244" s="419" t="s">
        <v>1485</v>
      </c>
      <c r="D244" s="419"/>
      <c r="E244" s="419"/>
      <c r="F244" s="27" t="s">
        <v>75</v>
      </c>
      <c r="G244" s="22" t="s">
        <v>5378</v>
      </c>
      <c r="H244" s="58"/>
      <c r="I244" s="28"/>
      <c r="J244" s="28"/>
      <c r="K244" s="29"/>
      <c r="BC244" s="14"/>
      <c r="BD244" s="15"/>
      <c r="BE244" s="21"/>
      <c r="BF244" s="43"/>
      <c r="BG244" s="12"/>
      <c r="BH244" s="12" t="s">
        <v>1485</v>
      </c>
    </row>
    <row r="245" spans="1:60" s="3" customFormat="1" ht="20.399999999999999" x14ac:dyDescent="0.3">
      <c r="A245" s="25"/>
      <c r="B245" s="26" t="s">
        <v>4988</v>
      </c>
      <c r="C245" s="419" t="s">
        <v>4989</v>
      </c>
      <c r="D245" s="419"/>
      <c r="E245" s="419"/>
      <c r="F245" s="27" t="s">
        <v>142</v>
      </c>
      <c r="G245" s="22" t="s">
        <v>5379</v>
      </c>
      <c r="H245" s="58"/>
      <c r="I245" s="28"/>
      <c r="J245" s="28"/>
      <c r="K245" s="29"/>
      <c r="BC245" s="14"/>
      <c r="BD245" s="15"/>
      <c r="BE245" s="21"/>
      <c r="BF245" s="43"/>
      <c r="BG245" s="12"/>
      <c r="BH245" s="12" t="s">
        <v>4989</v>
      </c>
    </row>
    <row r="246" spans="1:60" s="3" customFormat="1" ht="21.6" x14ac:dyDescent="0.3">
      <c r="A246" s="25"/>
      <c r="B246" s="26" t="s">
        <v>607</v>
      </c>
      <c r="C246" s="419" t="s">
        <v>608</v>
      </c>
      <c r="D246" s="419"/>
      <c r="E246" s="419"/>
      <c r="F246" s="27" t="s">
        <v>609</v>
      </c>
      <c r="G246" s="22" t="s">
        <v>5380</v>
      </c>
      <c r="H246" s="58"/>
      <c r="I246" s="28"/>
      <c r="J246" s="28"/>
      <c r="K246" s="29"/>
      <c r="BC246" s="14"/>
      <c r="BD246" s="15"/>
      <c r="BE246" s="21"/>
      <c r="BF246" s="43"/>
      <c r="BG246" s="12"/>
      <c r="BH246" s="12" t="s">
        <v>608</v>
      </c>
    </row>
    <row r="247" spans="1:60" s="3" customFormat="1" ht="31.8" x14ac:dyDescent="0.3">
      <c r="A247" s="16" t="s">
        <v>3015</v>
      </c>
      <c r="B247" s="17" t="s">
        <v>5357</v>
      </c>
      <c r="C247" s="405" t="s">
        <v>5358</v>
      </c>
      <c r="D247" s="405"/>
      <c r="E247" s="405"/>
      <c r="F247" s="16" t="s">
        <v>115</v>
      </c>
      <c r="G247" s="23">
        <v>4</v>
      </c>
      <c r="H247" s="57"/>
      <c r="I247" s="19"/>
      <c r="J247" s="19">
        <f t="shared" ref="J247:J250" si="7">K247/G247</f>
        <v>94.43</v>
      </c>
      <c r="K247" s="19">
        <v>377.72</v>
      </c>
      <c r="BC247" s="14"/>
      <c r="BD247" s="15"/>
      <c r="BE247" s="21" t="s">
        <v>5358</v>
      </c>
      <c r="BF247" s="43"/>
      <c r="BG247" s="12"/>
      <c r="BH247" s="12"/>
    </row>
    <row r="248" spans="1:60" s="3" customFormat="1" ht="21.6" x14ac:dyDescent="0.3">
      <c r="A248" s="16" t="s">
        <v>3016</v>
      </c>
      <c r="B248" s="17" t="s">
        <v>5366</v>
      </c>
      <c r="C248" s="405" t="s">
        <v>5367</v>
      </c>
      <c r="D248" s="405"/>
      <c r="E248" s="405"/>
      <c r="F248" s="16" t="s">
        <v>115</v>
      </c>
      <c r="G248" s="23">
        <v>10</v>
      </c>
      <c r="H248" s="57"/>
      <c r="I248" s="19"/>
      <c r="J248" s="19">
        <f t="shared" si="7"/>
        <v>249.65900000000002</v>
      </c>
      <c r="K248" s="19">
        <v>2496.59</v>
      </c>
      <c r="BC248" s="14"/>
      <c r="BD248" s="15"/>
      <c r="BE248" s="21" t="s">
        <v>5367</v>
      </c>
      <c r="BF248" s="43"/>
      <c r="BG248" s="12"/>
      <c r="BH248" s="12"/>
    </row>
    <row r="249" spans="1:60" s="3" customFormat="1" ht="21.6" x14ac:dyDescent="0.3">
      <c r="A249" s="16" t="s">
        <v>3019</v>
      </c>
      <c r="B249" s="17" t="s">
        <v>5368</v>
      </c>
      <c r="C249" s="405" t="s">
        <v>5369</v>
      </c>
      <c r="D249" s="405"/>
      <c r="E249" s="405"/>
      <c r="F249" s="16" t="s">
        <v>115</v>
      </c>
      <c r="G249" s="23">
        <v>10</v>
      </c>
      <c r="H249" s="57"/>
      <c r="I249" s="19"/>
      <c r="J249" s="19">
        <f t="shared" si="7"/>
        <v>143.636</v>
      </c>
      <c r="K249" s="19">
        <v>1436.36</v>
      </c>
      <c r="BC249" s="14"/>
      <c r="BD249" s="15"/>
      <c r="BE249" s="21" t="s">
        <v>5369</v>
      </c>
      <c r="BF249" s="43"/>
      <c r="BG249" s="12"/>
      <c r="BH249" s="12"/>
    </row>
    <row r="250" spans="1:60" s="3" customFormat="1" ht="21.6" x14ac:dyDescent="0.3">
      <c r="A250" s="16" t="s">
        <v>3022</v>
      </c>
      <c r="B250" s="17" t="s">
        <v>5359</v>
      </c>
      <c r="C250" s="405" t="s">
        <v>5360</v>
      </c>
      <c r="D250" s="405"/>
      <c r="E250" s="405"/>
      <c r="F250" s="16" t="s">
        <v>115</v>
      </c>
      <c r="G250" s="23">
        <v>8</v>
      </c>
      <c r="H250" s="57"/>
      <c r="I250" s="19"/>
      <c r="J250" s="19">
        <f t="shared" si="7"/>
        <v>144.52000000000001</v>
      </c>
      <c r="K250" s="19">
        <v>1156.1600000000001</v>
      </c>
      <c r="BC250" s="14"/>
      <c r="BD250" s="15"/>
      <c r="BE250" s="21" t="s">
        <v>5360</v>
      </c>
      <c r="BF250" s="43"/>
      <c r="BG250" s="12"/>
      <c r="BH250" s="12"/>
    </row>
    <row r="251" spans="1:60" s="3" customFormat="1" ht="15" customHeight="1" x14ac:dyDescent="0.3">
      <c r="A251" s="437" t="s">
        <v>5381</v>
      </c>
      <c r="B251" s="418"/>
      <c r="C251" s="418"/>
      <c r="D251" s="418"/>
      <c r="E251" s="418"/>
      <c r="F251" s="418"/>
      <c r="G251" s="418"/>
      <c r="H251" s="123"/>
      <c r="I251" s="123"/>
      <c r="J251" s="123"/>
      <c r="K251" s="124"/>
      <c r="BC251" s="14"/>
      <c r="BD251" s="15" t="s">
        <v>5381</v>
      </c>
      <c r="BE251" s="21"/>
      <c r="BF251" s="43"/>
      <c r="BG251" s="12"/>
      <c r="BH251" s="12"/>
    </row>
    <row r="252" spans="1:60" s="3" customFormat="1" ht="21.6" x14ac:dyDescent="0.3">
      <c r="A252" s="16" t="s">
        <v>3027</v>
      </c>
      <c r="B252" s="17" t="s">
        <v>5382</v>
      </c>
      <c r="C252" s="405" t="s">
        <v>5383</v>
      </c>
      <c r="D252" s="405"/>
      <c r="E252" s="405"/>
      <c r="F252" s="16" t="s">
        <v>5384</v>
      </c>
      <c r="G252" s="18">
        <v>0.13500000000000001</v>
      </c>
      <c r="H252" s="57">
        <f>I252/G252</f>
        <v>220865.18518518517</v>
      </c>
      <c r="I252" s="19">
        <f>29826.94-K252</f>
        <v>29816.799999999999</v>
      </c>
      <c r="J252" s="19">
        <f>K252/G252</f>
        <v>75.111111111111114</v>
      </c>
      <c r="K252" s="19">
        <v>10.14</v>
      </c>
      <c r="BC252" s="14"/>
      <c r="BD252" s="15"/>
      <c r="BE252" s="21" t="s">
        <v>5383</v>
      </c>
      <c r="BF252" s="43"/>
      <c r="BG252" s="12"/>
      <c r="BH252" s="12"/>
    </row>
    <row r="253" spans="1:60" s="3" customFormat="1" ht="21.6" x14ac:dyDescent="0.3">
      <c r="A253" s="25"/>
      <c r="B253" s="26" t="s">
        <v>607</v>
      </c>
      <c r="C253" s="419" t="s">
        <v>608</v>
      </c>
      <c r="D253" s="419"/>
      <c r="E253" s="419"/>
      <c r="F253" s="27" t="s">
        <v>609</v>
      </c>
      <c r="G253" s="22" t="s">
        <v>5385</v>
      </c>
      <c r="H253" s="58"/>
      <c r="I253" s="28"/>
      <c r="J253" s="28"/>
      <c r="K253" s="29"/>
      <c r="BC253" s="14"/>
      <c r="BD253" s="15"/>
      <c r="BE253" s="21"/>
      <c r="BF253" s="43"/>
      <c r="BG253" s="12"/>
      <c r="BH253" s="12" t="s">
        <v>608</v>
      </c>
    </row>
    <row r="254" spans="1:60" s="3" customFormat="1" ht="21.6" x14ac:dyDescent="0.3">
      <c r="A254" s="16" t="s">
        <v>3050</v>
      </c>
      <c r="B254" s="17" t="s">
        <v>5359</v>
      </c>
      <c r="C254" s="405" t="s">
        <v>5360</v>
      </c>
      <c r="D254" s="405"/>
      <c r="E254" s="405"/>
      <c r="F254" s="16" t="s">
        <v>115</v>
      </c>
      <c r="G254" s="24">
        <v>137.69999999999999</v>
      </c>
      <c r="H254" s="57"/>
      <c r="I254" s="19"/>
      <c r="J254" s="19">
        <f>K254/G254</f>
        <v>144.52047930283226</v>
      </c>
      <c r="K254" s="19">
        <v>19900.47</v>
      </c>
      <c r="BC254" s="14"/>
      <c r="BD254" s="15"/>
      <c r="BE254" s="21" t="s">
        <v>5360</v>
      </c>
      <c r="BF254" s="43"/>
      <c r="BG254" s="12"/>
      <c r="BH254" s="12"/>
    </row>
    <row r="255" spans="1:60" s="3" customFormat="1" ht="21.6" x14ac:dyDescent="0.3">
      <c r="A255" s="16" t="s">
        <v>3063</v>
      </c>
      <c r="B255" s="17" t="s">
        <v>5386</v>
      </c>
      <c r="C255" s="405" t="s">
        <v>5387</v>
      </c>
      <c r="D255" s="405"/>
      <c r="E255" s="405"/>
      <c r="F255" s="16" t="s">
        <v>142</v>
      </c>
      <c r="G255" s="31">
        <v>0.18</v>
      </c>
      <c r="H255" s="57">
        <f>I255/G255</f>
        <v>0</v>
      </c>
      <c r="I255" s="19"/>
      <c r="J255" s="19">
        <f>K255/G255</f>
        <v>177</v>
      </c>
      <c r="K255" s="19">
        <v>31.86</v>
      </c>
      <c r="BC255" s="14"/>
      <c r="BD255" s="15"/>
      <c r="BE255" s="21" t="s">
        <v>5387</v>
      </c>
      <c r="BF255" s="43"/>
      <c r="BG255" s="12"/>
      <c r="BH255" s="12"/>
    </row>
    <row r="256" spans="1:60" s="3" customFormat="1" ht="15" customHeight="1" x14ac:dyDescent="0.3">
      <c r="A256" s="437" t="s">
        <v>5388</v>
      </c>
      <c r="B256" s="418"/>
      <c r="C256" s="418"/>
      <c r="D256" s="418"/>
      <c r="E256" s="418"/>
      <c r="F256" s="418"/>
      <c r="G256" s="418"/>
      <c r="H256" s="123"/>
      <c r="I256" s="123"/>
      <c r="J256" s="123"/>
      <c r="K256" s="124"/>
      <c r="BC256" s="14"/>
      <c r="BD256" s="15" t="s">
        <v>5388</v>
      </c>
      <c r="BE256" s="21"/>
      <c r="BF256" s="43"/>
      <c r="BG256" s="12"/>
      <c r="BH256" s="12"/>
    </row>
    <row r="257" spans="1:60" s="3" customFormat="1" ht="21.6" x14ac:dyDescent="0.3">
      <c r="A257" s="16" t="s">
        <v>3080</v>
      </c>
      <c r="B257" s="17" t="s">
        <v>3768</v>
      </c>
      <c r="C257" s="405" t="s">
        <v>3769</v>
      </c>
      <c r="D257" s="405"/>
      <c r="E257" s="405"/>
      <c r="F257" s="16" t="s">
        <v>38</v>
      </c>
      <c r="G257" s="23">
        <v>2</v>
      </c>
      <c r="H257" s="57">
        <f>I257/G257</f>
        <v>24331.480000000003</v>
      </c>
      <c r="I257" s="19">
        <f>74955.96-K257</f>
        <v>48662.960000000006</v>
      </c>
      <c r="J257" s="19">
        <f>K257/G257</f>
        <v>13146.5</v>
      </c>
      <c r="K257" s="19">
        <v>26293</v>
      </c>
      <c r="BC257" s="14"/>
      <c r="BD257" s="15"/>
      <c r="BE257" s="21" t="s">
        <v>3769</v>
      </c>
      <c r="BF257" s="43"/>
      <c r="BG257" s="12"/>
      <c r="BH257" s="12"/>
    </row>
    <row r="258" spans="1:60" s="3" customFormat="1" ht="20.399999999999999" x14ac:dyDescent="0.3">
      <c r="A258" s="25"/>
      <c r="B258" s="26" t="s">
        <v>3770</v>
      </c>
      <c r="C258" s="419" t="s">
        <v>3771</v>
      </c>
      <c r="D258" s="419"/>
      <c r="E258" s="419"/>
      <c r="F258" s="27" t="s">
        <v>75</v>
      </c>
      <c r="G258" s="22" t="s">
        <v>1394</v>
      </c>
      <c r="H258" s="58"/>
      <c r="I258" s="28"/>
      <c r="J258" s="28"/>
      <c r="K258" s="29"/>
      <c r="BC258" s="14"/>
      <c r="BD258" s="15"/>
      <c r="BE258" s="21"/>
      <c r="BF258" s="43"/>
      <c r="BG258" s="12"/>
      <c r="BH258" s="12" t="s">
        <v>3771</v>
      </c>
    </row>
    <row r="259" spans="1:60" s="3" customFormat="1" ht="20.399999999999999" x14ac:dyDescent="0.3">
      <c r="A259" s="25"/>
      <c r="B259" s="26" t="s">
        <v>3773</v>
      </c>
      <c r="C259" s="419" t="s">
        <v>3774</v>
      </c>
      <c r="D259" s="419"/>
      <c r="E259" s="419"/>
      <c r="F259" s="27" t="s">
        <v>75</v>
      </c>
      <c r="G259" s="22" t="s">
        <v>5389</v>
      </c>
      <c r="H259" s="58"/>
      <c r="I259" s="28"/>
      <c r="J259" s="28"/>
      <c r="K259" s="29"/>
      <c r="BC259" s="14"/>
      <c r="BD259" s="15"/>
      <c r="BE259" s="21"/>
      <c r="BF259" s="43"/>
      <c r="BG259" s="12"/>
      <c r="BH259" s="12" t="s">
        <v>3774</v>
      </c>
    </row>
    <row r="260" spans="1:60" s="3" customFormat="1" ht="20.399999999999999" x14ac:dyDescent="0.3">
      <c r="A260" s="25"/>
      <c r="B260" s="26" t="s">
        <v>3776</v>
      </c>
      <c r="C260" s="419" t="s">
        <v>3777</v>
      </c>
      <c r="D260" s="419"/>
      <c r="E260" s="419"/>
      <c r="F260" s="27" t="s">
        <v>75</v>
      </c>
      <c r="G260" s="22" t="s">
        <v>5390</v>
      </c>
      <c r="H260" s="58"/>
      <c r="I260" s="28"/>
      <c r="J260" s="28"/>
      <c r="K260" s="29"/>
      <c r="BC260" s="14"/>
      <c r="BD260" s="15"/>
      <c r="BE260" s="21"/>
      <c r="BF260" s="43"/>
      <c r="BG260" s="12"/>
      <c r="BH260" s="12" t="s">
        <v>3777</v>
      </c>
    </row>
    <row r="261" spans="1:60" s="3" customFormat="1" ht="20.399999999999999" x14ac:dyDescent="0.3">
      <c r="A261" s="25"/>
      <c r="B261" s="26" t="s">
        <v>391</v>
      </c>
      <c r="C261" s="419" t="s">
        <v>392</v>
      </c>
      <c r="D261" s="419"/>
      <c r="E261" s="419"/>
      <c r="F261" s="27" t="s">
        <v>75</v>
      </c>
      <c r="G261" s="22" t="s">
        <v>5391</v>
      </c>
      <c r="H261" s="58"/>
      <c r="I261" s="28"/>
      <c r="J261" s="28"/>
      <c r="K261" s="29"/>
      <c r="BC261" s="14"/>
      <c r="BD261" s="15"/>
      <c r="BE261" s="21"/>
      <c r="BF261" s="43"/>
      <c r="BG261" s="12"/>
      <c r="BH261" s="12" t="s">
        <v>392</v>
      </c>
    </row>
    <row r="262" spans="1:60" s="3" customFormat="1" ht="20.399999999999999" x14ac:dyDescent="0.3">
      <c r="A262" s="25"/>
      <c r="B262" s="26" t="s">
        <v>1964</v>
      </c>
      <c r="C262" s="419" t="s">
        <v>1965</v>
      </c>
      <c r="D262" s="419"/>
      <c r="E262" s="419"/>
      <c r="F262" s="27" t="s">
        <v>70</v>
      </c>
      <c r="G262" s="22" t="s">
        <v>5277</v>
      </c>
      <c r="H262" s="58"/>
      <c r="I262" s="28"/>
      <c r="J262" s="28"/>
      <c r="K262" s="29"/>
      <c r="BC262" s="14"/>
      <c r="BD262" s="15"/>
      <c r="BE262" s="21"/>
      <c r="BF262" s="43"/>
      <c r="BG262" s="12"/>
      <c r="BH262" s="12" t="s">
        <v>1965</v>
      </c>
    </row>
    <row r="263" spans="1:60" s="3" customFormat="1" ht="20.399999999999999" x14ac:dyDescent="0.3">
      <c r="A263" s="25"/>
      <c r="B263" s="26" t="s">
        <v>3781</v>
      </c>
      <c r="C263" s="419" t="s">
        <v>3782</v>
      </c>
      <c r="D263" s="419"/>
      <c r="E263" s="419"/>
      <c r="F263" s="27" t="s">
        <v>70</v>
      </c>
      <c r="G263" s="22" t="s">
        <v>1418</v>
      </c>
      <c r="H263" s="58"/>
      <c r="I263" s="28"/>
      <c r="J263" s="28"/>
      <c r="K263" s="29"/>
      <c r="BC263" s="14"/>
      <c r="BD263" s="15"/>
      <c r="BE263" s="21"/>
      <c r="BF263" s="43"/>
      <c r="BG263" s="12"/>
      <c r="BH263" s="12" t="s">
        <v>3782</v>
      </c>
    </row>
    <row r="264" spans="1:60" s="3" customFormat="1" ht="20.399999999999999" x14ac:dyDescent="0.3">
      <c r="A264" s="25"/>
      <c r="B264" s="26" t="s">
        <v>3784</v>
      </c>
      <c r="C264" s="419" t="s">
        <v>3785</v>
      </c>
      <c r="D264" s="419"/>
      <c r="E264" s="419"/>
      <c r="F264" s="27" t="s">
        <v>75</v>
      </c>
      <c r="G264" s="22" t="s">
        <v>5392</v>
      </c>
      <c r="H264" s="58"/>
      <c r="I264" s="28"/>
      <c r="J264" s="28"/>
      <c r="K264" s="29"/>
      <c r="BC264" s="14"/>
      <c r="BD264" s="15"/>
      <c r="BE264" s="21"/>
      <c r="BF264" s="43"/>
      <c r="BG264" s="12"/>
      <c r="BH264" s="12" t="s">
        <v>3785</v>
      </c>
    </row>
    <row r="265" spans="1:60" s="3" customFormat="1" ht="21.6" x14ac:dyDescent="0.3">
      <c r="A265" s="25"/>
      <c r="B265" s="26" t="s">
        <v>3787</v>
      </c>
      <c r="C265" s="419" t="s">
        <v>3788</v>
      </c>
      <c r="D265" s="419"/>
      <c r="E265" s="419"/>
      <c r="F265" s="27" t="s">
        <v>75</v>
      </c>
      <c r="G265" s="22" t="s">
        <v>1483</v>
      </c>
      <c r="H265" s="58"/>
      <c r="I265" s="28"/>
      <c r="J265" s="28"/>
      <c r="K265" s="29"/>
      <c r="BC265" s="14"/>
      <c r="BD265" s="15"/>
      <c r="BE265" s="21"/>
      <c r="BF265" s="43"/>
      <c r="BG265" s="12"/>
      <c r="BH265" s="12" t="s">
        <v>3788</v>
      </c>
    </row>
    <row r="266" spans="1:60" s="3" customFormat="1" ht="21.6" x14ac:dyDescent="0.3">
      <c r="A266" s="25"/>
      <c r="B266" s="26" t="s">
        <v>603</v>
      </c>
      <c r="C266" s="419" t="s">
        <v>604</v>
      </c>
      <c r="D266" s="419"/>
      <c r="E266" s="419"/>
      <c r="F266" s="27" t="s">
        <v>70</v>
      </c>
      <c r="G266" s="22" t="s">
        <v>5393</v>
      </c>
      <c r="H266" s="58"/>
      <c r="I266" s="28"/>
      <c r="J266" s="28"/>
      <c r="K266" s="29"/>
      <c r="BC266" s="14"/>
      <c r="BD266" s="15"/>
      <c r="BE266" s="21"/>
      <c r="BF266" s="43"/>
      <c r="BG266" s="12"/>
      <c r="BH266" s="12" t="s">
        <v>604</v>
      </c>
    </row>
    <row r="267" spans="1:60" s="3" customFormat="1" ht="21.6" x14ac:dyDescent="0.3">
      <c r="A267" s="25"/>
      <c r="B267" s="26" t="s">
        <v>3791</v>
      </c>
      <c r="C267" s="419" t="s">
        <v>3792</v>
      </c>
      <c r="D267" s="419"/>
      <c r="E267" s="419"/>
      <c r="F267" s="27" t="s">
        <v>70</v>
      </c>
      <c r="G267" s="22" t="s">
        <v>5277</v>
      </c>
      <c r="H267" s="58"/>
      <c r="I267" s="28"/>
      <c r="J267" s="28"/>
      <c r="K267" s="29"/>
      <c r="BC267" s="14"/>
      <c r="BD267" s="15"/>
      <c r="BE267" s="21"/>
      <c r="BF267" s="43"/>
      <c r="BG267" s="12"/>
      <c r="BH267" s="12" t="s">
        <v>3792</v>
      </c>
    </row>
    <row r="268" spans="1:60" s="3" customFormat="1" ht="21.6" x14ac:dyDescent="0.3">
      <c r="A268" s="25"/>
      <c r="B268" s="26" t="s">
        <v>3793</v>
      </c>
      <c r="C268" s="419" t="s">
        <v>3794</v>
      </c>
      <c r="D268" s="419"/>
      <c r="E268" s="419"/>
      <c r="F268" s="27" t="s">
        <v>70</v>
      </c>
      <c r="G268" s="22" t="s">
        <v>5394</v>
      </c>
      <c r="H268" s="58"/>
      <c r="I268" s="28"/>
      <c r="J268" s="28"/>
      <c r="K268" s="29"/>
      <c r="BC268" s="14"/>
      <c r="BD268" s="15"/>
      <c r="BE268" s="21"/>
      <c r="BF268" s="43"/>
      <c r="BG268" s="12"/>
      <c r="BH268" s="12" t="s">
        <v>3794</v>
      </c>
    </row>
    <row r="269" spans="1:60" s="3" customFormat="1" ht="20.399999999999999" x14ac:dyDescent="0.3">
      <c r="A269" s="25"/>
      <c r="B269" s="26" t="s">
        <v>3796</v>
      </c>
      <c r="C269" s="419" t="s">
        <v>3797</v>
      </c>
      <c r="D269" s="419"/>
      <c r="E269" s="419"/>
      <c r="F269" s="27" t="s">
        <v>70</v>
      </c>
      <c r="G269" s="22" t="s">
        <v>5395</v>
      </c>
      <c r="H269" s="58"/>
      <c r="I269" s="28"/>
      <c r="J269" s="28"/>
      <c r="K269" s="29"/>
      <c r="BC269" s="14"/>
      <c r="BD269" s="15"/>
      <c r="BE269" s="21"/>
      <c r="BF269" s="43"/>
      <c r="BG269" s="12"/>
      <c r="BH269" s="12" t="s">
        <v>3797</v>
      </c>
    </row>
    <row r="270" spans="1:60" s="3" customFormat="1" ht="20.399999999999999" x14ac:dyDescent="0.3">
      <c r="A270" s="25"/>
      <c r="B270" s="26" t="s">
        <v>3799</v>
      </c>
      <c r="C270" s="419" t="s">
        <v>3800</v>
      </c>
      <c r="D270" s="419"/>
      <c r="E270" s="419"/>
      <c r="F270" s="27" t="s">
        <v>25</v>
      </c>
      <c r="G270" s="22" t="s">
        <v>1426</v>
      </c>
      <c r="H270" s="58"/>
      <c r="I270" s="28"/>
      <c r="J270" s="28"/>
      <c r="K270" s="29"/>
      <c r="BC270" s="14"/>
      <c r="BD270" s="15"/>
      <c r="BE270" s="21"/>
      <c r="BF270" s="43"/>
      <c r="BG270" s="12"/>
      <c r="BH270" s="12" t="s">
        <v>3800</v>
      </c>
    </row>
    <row r="271" spans="1:60" s="3" customFormat="1" ht="21.6" x14ac:dyDescent="0.3">
      <c r="A271" s="25"/>
      <c r="B271" s="26" t="s">
        <v>3802</v>
      </c>
      <c r="C271" s="419" t="s">
        <v>3803</v>
      </c>
      <c r="D271" s="419"/>
      <c r="E271" s="419"/>
      <c r="F271" s="27" t="s">
        <v>75</v>
      </c>
      <c r="G271" s="22" t="s">
        <v>5396</v>
      </c>
      <c r="H271" s="58"/>
      <c r="I271" s="28"/>
      <c r="J271" s="28"/>
      <c r="K271" s="29"/>
      <c r="BC271" s="14"/>
      <c r="BD271" s="15"/>
      <c r="BE271" s="21"/>
      <c r="BF271" s="43"/>
      <c r="BG271" s="12"/>
      <c r="BH271" s="12" t="s">
        <v>3803</v>
      </c>
    </row>
    <row r="272" spans="1:60" s="3" customFormat="1" ht="20.399999999999999" x14ac:dyDescent="0.3">
      <c r="A272" s="25"/>
      <c r="B272" s="26" t="s">
        <v>3805</v>
      </c>
      <c r="C272" s="419" t="s">
        <v>3806</v>
      </c>
      <c r="D272" s="419"/>
      <c r="E272" s="419"/>
      <c r="F272" s="27" t="s">
        <v>1049</v>
      </c>
      <c r="G272" s="22" t="s">
        <v>1394</v>
      </c>
      <c r="H272" s="58"/>
      <c r="I272" s="28"/>
      <c r="J272" s="28"/>
      <c r="K272" s="29"/>
      <c r="BC272" s="14"/>
      <c r="BD272" s="15"/>
      <c r="BE272" s="21"/>
      <c r="BF272" s="43"/>
      <c r="BG272" s="12"/>
      <c r="BH272" s="12" t="s">
        <v>3806</v>
      </c>
    </row>
    <row r="273" spans="1:60" s="3" customFormat="1" ht="20.399999999999999" x14ac:dyDescent="0.3">
      <c r="A273" s="25"/>
      <c r="B273" s="26" t="s">
        <v>3807</v>
      </c>
      <c r="C273" s="419" t="s">
        <v>3808</v>
      </c>
      <c r="D273" s="419"/>
      <c r="E273" s="419"/>
      <c r="F273" s="27" t="s">
        <v>38</v>
      </c>
      <c r="G273" s="22" t="s">
        <v>1426</v>
      </c>
      <c r="H273" s="58"/>
      <c r="I273" s="28"/>
      <c r="J273" s="28"/>
      <c r="K273" s="29"/>
      <c r="BC273" s="14"/>
      <c r="BD273" s="15"/>
      <c r="BE273" s="21"/>
      <c r="BF273" s="43"/>
      <c r="BG273" s="12"/>
      <c r="BH273" s="12" t="s">
        <v>3808</v>
      </c>
    </row>
    <row r="274" spans="1:60" s="3" customFormat="1" ht="31.8" x14ac:dyDescent="0.3">
      <c r="A274" s="25"/>
      <c r="B274" s="26" t="s">
        <v>3809</v>
      </c>
      <c r="C274" s="419" t="s">
        <v>3810</v>
      </c>
      <c r="D274" s="419"/>
      <c r="E274" s="419"/>
      <c r="F274" s="27" t="s">
        <v>38</v>
      </c>
      <c r="G274" s="22" t="s">
        <v>5397</v>
      </c>
      <c r="H274" s="58"/>
      <c r="I274" s="28"/>
      <c r="J274" s="28"/>
      <c r="K274" s="29"/>
      <c r="BC274" s="14"/>
      <c r="BD274" s="15"/>
      <c r="BE274" s="21"/>
      <c r="BF274" s="43"/>
      <c r="BG274" s="12"/>
      <c r="BH274" s="12" t="s">
        <v>3810</v>
      </c>
    </row>
    <row r="275" spans="1:60" s="3" customFormat="1" ht="21.6" x14ac:dyDescent="0.3">
      <c r="A275" s="25"/>
      <c r="B275" s="26" t="s">
        <v>607</v>
      </c>
      <c r="C275" s="419" t="s">
        <v>608</v>
      </c>
      <c r="D275" s="419"/>
      <c r="E275" s="419"/>
      <c r="F275" s="27" t="s">
        <v>609</v>
      </c>
      <c r="G275" s="22" t="s">
        <v>5398</v>
      </c>
      <c r="H275" s="58"/>
      <c r="I275" s="28"/>
      <c r="J275" s="28"/>
      <c r="K275" s="29"/>
      <c r="BC275" s="14"/>
      <c r="BD275" s="15"/>
      <c r="BE275" s="21"/>
      <c r="BF275" s="43"/>
      <c r="BG275" s="12"/>
      <c r="BH275" s="12" t="s">
        <v>608</v>
      </c>
    </row>
    <row r="276" spans="1:60" s="3" customFormat="1" ht="15" customHeight="1" x14ac:dyDescent="0.3">
      <c r="A276" s="437" t="s">
        <v>5399</v>
      </c>
      <c r="B276" s="418"/>
      <c r="C276" s="418"/>
      <c r="D276" s="418"/>
      <c r="E276" s="418"/>
      <c r="F276" s="418"/>
      <c r="G276" s="418"/>
      <c r="H276" s="123"/>
      <c r="I276" s="123"/>
      <c r="J276" s="123"/>
      <c r="K276" s="124"/>
      <c r="BC276" s="14"/>
      <c r="BD276" s="15" t="s">
        <v>5399</v>
      </c>
      <c r="BE276" s="21"/>
      <c r="BF276" s="43"/>
      <c r="BG276" s="12"/>
      <c r="BH276" s="12"/>
    </row>
    <row r="277" spans="1:60" s="3" customFormat="1" ht="31.8" x14ac:dyDescent="0.3">
      <c r="A277" s="16" t="s">
        <v>3092</v>
      </c>
      <c r="B277" s="17" t="s">
        <v>3994</v>
      </c>
      <c r="C277" s="405" t="s">
        <v>3995</v>
      </c>
      <c r="D277" s="405"/>
      <c r="E277" s="405"/>
      <c r="F277" s="16" t="s">
        <v>38</v>
      </c>
      <c r="G277" s="23">
        <v>7</v>
      </c>
      <c r="H277" s="57">
        <f>I277/G277</f>
        <v>378.04857142857145</v>
      </c>
      <c r="I277" s="19">
        <f>2646.34-K277</f>
        <v>2646.34</v>
      </c>
      <c r="J277" s="19">
        <f>K277/G277</f>
        <v>0</v>
      </c>
      <c r="K277" s="19">
        <v>0</v>
      </c>
      <c r="BC277" s="14"/>
      <c r="BD277" s="15"/>
      <c r="BE277" s="21" t="s">
        <v>3995</v>
      </c>
      <c r="BF277" s="43"/>
      <c r="BG277" s="12"/>
      <c r="BH277" s="12"/>
    </row>
    <row r="278" spans="1:60" s="3" customFormat="1" ht="21.6" x14ac:dyDescent="0.3">
      <c r="A278" s="25"/>
      <c r="B278" s="26" t="s">
        <v>3996</v>
      </c>
      <c r="C278" s="419" t="s">
        <v>3997</v>
      </c>
      <c r="D278" s="419"/>
      <c r="E278" s="419"/>
      <c r="F278" s="27" t="s">
        <v>70</v>
      </c>
      <c r="G278" s="22" t="s">
        <v>33</v>
      </c>
      <c r="H278" s="58"/>
      <c r="I278" s="28"/>
      <c r="J278" s="28"/>
      <c r="K278" s="29"/>
      <c r="BC278" s="14"/>
      <c r="BD278" s="15"/>
      <c r="BE278" s="21"/>
      <c r="BF278" s="43"/>
      <c r="BG278" s="12"/>
      <c r="BH278" s="12" t="s">
        <v>3997</v>
      </c>
    </row>
    <row r="279" spans="1:60" s="3" customFormat="1" ht="20.399999999999999" x14ac:dyDescent="0.3">
      <c r="A279" s="25"/>
      <c r="B279" s="26" t="s">
        <v>73</v>
      </c>
      <c r="C279" s="419" t="s">
        <v>74</v>
      </c>
      <c r="D279" s="419"/>
      <c r="E279" s="419"/>
      <c r="F279" s="27" t="s">
        <v>75</v>
      </c>
      <c r="G279" s="22" t="s">
        <v>33</v>
      </c>
      <c r="H279" s="58"/>
      <c r="I279" s="28"/>
      <c r="J279" s="28"/>
      <c r="K279" s="29"/>
      <c r="BC279" s="14"/>
      <c r="BD279" s="15"/>
      <c r="BE279" s="21"/>
      <c r="BF279" s="43"/>
      <c r="BG279" s="12"/>
      <c r="BH279" s="12" t="s">
        <v>74</v>
      </c>
    </row>
    <row r="280" spans="1:60" s="3" customFormat="1" ht="20.399999999999999" x14ac:dyDescent="0.3">
      <c r="A280" s="25"/>
      <c r="B280" s="26" t="s">
        <v>4000</v>
      </c>
      <c r="C280" s="419" t="s">
        <v>4001</v>
      </c>
      <c r="D280" s="419"/>
      <c r="E280" s="419"/>
      <c r="F280" s="27" t="s">
        <v>75</v>
      </c>
      <c r="G280" s="22" t="s">
        <v>33</v>
      </c>
      <c r="H280" s="58"/>
      <c r="I280" s="28"/>
      <c r="J280" s="28"/>
      <c r="K280" s="29"/>
      <c r="BC280" s="14"/>
      <c r="BD280" s="15"/>
      <c r="BE280" s="21"/>
      <c r="BF280" s="43"/>
      <c r="BG280" s="12"/>
      <c r="BH280" s="12" t="s">
        <v>4001</v>
      </c>
    </row>
    <row r="281" spans="1:60" s="3" customFormat="1" ht="21.6" x14ac:dyDescent="0.3">
      <c r="A281" s="25"/>
      <c r="B281" s="26" t="s">
        <v>607</v>
      </c>
      <c r="C281" s="419" t="s">
        <v>608</v>
      </c>
      <c r="D281" s="419"/>
      <c r="E281" s="419"/>
      <c r="F281" s="27" t="s">
        <v>609</v>
      </c>
      <c r="G281" s="22" t="s">
        <v>33</v>
      </c>
      <c r="H281" s="58"/>
      <c r="I281" s="28"/>
      <c r="J281" s="28"/>
      <c r="K281" s="29"/>
      <c r="BC281" s="14"/>
      <c r="BD281" s="15"/>
      <c r="BE281" s="21"/>
      <c r="BF281" s="43"/>
      <c r="BG281" s="12"/>
      <c r="BH281" s="12" t="s">
        <v>608</v>
      </c>
    </row>
    <row r="282" spans="1:60" s="3" customFormat="1" ht="21.6" x14ac:dyDescent="0.3">
      <c r="A282" s="16" t="s">
        <v>3095</v>
      </c>
      <c r="B282" s="17" t="s">
        <v>3741</v>
      </c>
      <c r="C282" s="405" t="s">
        <v>3742</v>
      </c>
      <c r="D282" s="405"/>
      <c r="E282" s="405"/>
      <c r="F282" s="16" t="s">
        <v>1460</v>
      </c>
      <c r="G282" s="23">
        <v>7</v>
      </c>
      <c r="H282" s="57"/>
      <c r="I282" s="19"/>
      <c r="J282" s="19">
        <f>K282/G282</f>
        <v>374.97428571428571</v>
      </c>
      <c r="K282" s="19">
        <v>2624.82</v>
      </c>
      <c r="BC282" s="14"/>
      <c r="BD282" s="15"/>
      <c r="BE282" s="21" t="s">
        <v>3742</v>
      </c>
      <c r="BF282" s="43"/>
      <c r="BG282" s="12"/>
      <c r="BH282" s="12"/>
    </row>
    <row r="283" spans="1:60" s="3" customFormat="1" ht="15" customHeight="1" x14ac:dyDescent="0.3">
      <c r="A283" s="437" t="s">
        <v>5400</v>
      </c>
      <c r="B283" s="418"/>
      <c r="C283" s="418"/>
      <c r="D283" s="418"/>
      <c r="E283" s="418"/>
      <c r="F283" s="418"/>
      <c r="G283" s="418"/>
      <c r="H283" s="123"/>
      <c r="I283" s="123"/>
      <c r="J283" s="123"/>
      <c r="K283" s="124"/>
      <c r="BC283" s="14"/>
      <c r="BD283" s="15" t="s">
        <v>5400</v>
      </c>
      <c r="BE283" s="21"/>
      <c r="BF283" s="43"/>
      <c r="BG283" s="12"/>
      <c r="BH283" s="12"/>
    </row>
    <row r="284" spans="1:60" s="3" customFormat="1" ht="31.8" x14ac:dyDescent="0.3">
      <c r="A284" s="16" t="s">
        <v>3110</v>
      </c>
      <c r="B284" s="17" t="s">
        <v>5401</v>
      </c>
      <c r="C284" s="405" t="s">
        <v>5400</v>
      </c>
      <c r="D284" s="405"/>
      <c r="E284" s="405"/>
      <c r="F284" s="16" t="s">
        <v>4867</v>
      </c>
      <c r="G284" s="23">
        <v>4</v>
      </c>
      <c r="H284" s="57">
        <f>I284/G284</f>
        <v>8226.0150000000012</v>
      </c>
      <c r="I284" s="19">
        <f>32961.76-K284</f>
        <v>32904.060000000005</v>
      </c>
      <c r="J284" s="19">
        <f>K284/G284</f>
        <v>14.425000000000001</v>
      </c>
      <c r="K284" s="19">
        <v>57.7</v>
      </c>
      <c r="BC284" s="14"/>
      <c r="BD284" s="15"/>
      <c r="BE284" s="21" t="s">
        <v>5400</v>
      </c>
      <c r="BF284" s="43"/>
      <c r="BG284" s="12"/>
      <c r="BH284" s="12"/>
    </row>
    <row r="285" spans="1:60" s="3" customFormat="1" ht="21.6" x14ac:dyDescent="0.3">
      <c r="A285" s="25"/>
      <c r="B285" s="26" t="s">
        <v>607</v>
      </c>
      <c r="C285" s="419" t="s">
        <v>608</v>
      </c>
      <c r="D285" s="419"/>
      <c r="E285" s="419"/>
      <c r="F285" s="27" t="s">
        <v>609</v>
      </c>
      <c r="G285" s="22" t="s">
        <v>5402</v>
      </c>
      <c r="H285" s="58"/>
      <c r="I285" s="28"/>
      <c r="J285" s="28"/>
      <c r="K285" s="29"/>
      <c r="BC285" s="14"/>
      <c r="BD285" s="15"/>
      <c r="BE285" s="21"/>
      <c r="BF285" s="43"/>
      <c r="BG285" s="12"/>
      <c r="BH285" s="12" t="s">
        <v>608</v>
      </c>
    </row>
    <row r="286" spans="1:60" s="3" customFormat="1" ht="15" customHeight="1" x14ac:dyDescent="0.3">
      <c r="A286" s="437" t="s">
        <v>5403</v>
      </c>
      <c r="B286" s="418"/>
      <c r="C286" s="418"/>
      <c r="D286" s="418"/>
      <c r="E286" s="418"/>
      <c r="F286" s="418"/>
      <c r="G286" s="418"/>
      <c r="H286" s="123"/>
      <c r="I286" s="123"/>
      <c r="J286" s="123"/>
      <c r="K286" s="124"/>
      <c r="BC286" s="14"/>
      <c r="BD286" s="15" t="s">
        <v>5403</v>
      </c>
      <c r="BE286" s="21"/>
      <c r="BF286" s="43"/>
      <c r="BG286" s="12"/>
      <c r="BH286" s="12"/>
    </row>
    <row r="287" spans="1:60" s="3" customFormat="1" ht="14.4" x14ac:dyDescent="0.3">
      <c r="A287" s="16" t="s">
        <v>3124</v>
      </c>
      <c r="B287" s="17" t="s">
        <v>5404</v>
      </c>
      <c r="C287" s="405" t="s">
        <v>5405</v>
      </c>
      <c r="D287" s="405"/>
      <c r="E287" s="405"/>
      <c r="F287" s="16" t="s">
        <v>5406</v>
      </c>
      <c r="G287" s="23">
        <v>16</v>
      </c>
      <c r="H287" s="57">
        <f>I287/G287</f>
        <v>325.03562499999998</v>
      </c>
      <c r="I287" s="19">
        <f>5422.88-K287</f>
        <v>5200.57</v>
      </c>
      <c r="J287" s="19">
        <f>K287/G287</f>
        <v>13.894375</v>
      </c>
      <c r="K287" s="19">
        <v>222.31</v>
      </c>
      <c r="BC287" s="14"/>
      <c r="BD287" s="15"/>
      <c r="BE287" s="21" t="s">
        <v>5405</v>
      </c>
      <c r="BF287" s="43"/>
      <c r="BG287" s="12"/>
      <c r="BH287" s="12"/>
    </row>
    <row r="288" spans="1:60" s="3" customFormat="1" ht="21.6" x14ac:dyDescent="0.3">
      <c r="A288" s="25"/>
      <c r="B288" s="26" t="s">
        <v>4537</v>
      </c>
      <c r="C288" s="419" t="s">
        <v>4538</v>
      </c>
      <c r="D288" s="419"/>
      <c r="E288" s="419"/>
      <c r="F288" s="27" t="s">
        <v>75</v>
      </c>
      <c r="G288" s="22" t="s">
        <v>5407</v>
      </c>
      <c r="H288" s="58"/>
      <c r="I288" s="28"/>
      <c r="J288" s="28"/>
      <c r="K288" s="29"/>
      <c r="BC288" s="14"/>
      <c r="BD288" s="15"/>
      <c r="BE288" s="21"/>
      <c r="BF288" s="43"/>
      <c r="BG288" s="12"/>
      <c r="BH288" s="12" t="s">
        <v>4538</v>
      </c>
    </row>
    <row r="289" spans="1:60" s="3" customFormat="1" ht="21.6" x14ac:dyDescent="0.3">
      <c r="A289" s="25"/>
      <c r="B289" s="26" t="s">
        <v>5408</v>
      </c>
      <c r="C289" s="419" t="s">
        <v>5409</v>
      </c>
      <c r="D289" s="419"/>
      <c r="E289" s="419"/>
      <c r="F289" s="27" t="s">
        <v>38</v>
      </c>
      <c r="G289" s="22" t="s">
        <v>5410</v>
      </c>
      <c r="H289" s="58"/>
      <c r="I289" s="28"/>
      <c r="J289" s="28"/>
      <c r="K289" s="29"/>
      <c r="BC289" s="14"/>
      <c r="BD289" s="15"/>
      <c r="BE289" s="21"/>
      <c r="BF289" s="43"/>
      <c r="BG289" s="12"/>
      <c r="BH289" s="12" t="s">
        <v>5409</v>
      </c>
    </row>
    <row r="290" spans="1:60" s="3" customFormat="1" ht="31.8" x14ac:dyDescent="0.3">
      <c r="A290" s="25"/>
      <c r="B290" s="26" t="s">
        <v>5411</v>
      </c>
      <c r="C290" s="419" t="s">
        <v>5412</v>
      </c>
      <c r="D290" s="419"/>
      <c r="E290" s="419"/>
      <c r="F290" s="27" t="s">
        <v>1086</v>
      </c>
      <c r="G290" s="22" t="s">
        <v>5413</v>
      </c>
      <c r="H290" s="58"/>
      <c r="I290" s="28"/>
      <c r="J290" s="28"/>
      <c r="K290" s="29"/>
      <c r="BC290" s="14"/>
      <c r="BD290" s="15"/>
      <c r="BE290" s="21"/>
      <c r="BF290" s="43"/>
      <c r="BG290" s="12"/>
      <c r="BH290" s="12" t="s">
        <v>5412</v>
      </c>
    </row>
    <row r="291" spans="1:60" s="3" customFormat="1" ht="21.6" x14ac:dyDescent="0.3">
      <c r="A291" s="25"/>
      <c r="B291" s="26" t="s">
        <v>607</v>
      </c>
      <c r="C291" s="419" t="s">
        <v>608</v>
      </c>
      <c r="D291" s="419"/>
      <c r="E291" s="419"/>
      <c r="F291" s="27" t="s">
        <v>609</v>
      </c>
      <c r="G291" s="22" t="s">
        <v>5414</v>
      </c>
      <c r="H291" s="58"/>
      <c r="I291" s="28"/>
      <c r="J291" s="28"/>
      <c r="K291" s="29"/>
      <c r="BC291" s="14"/>
      <c r="BD291" s="15"/>
      <c r="BE291" s="21"/>
      <c r="BF291" s="43"/>
      <c r="BG291" s="12"/>
      <c r="BH291" s="12" t="s">
        <v>608</v>
      </c>
    </row>
    <row r="292" spans="1:60" s="3" customFormat="1" ht="15" customHeight="1" x14ac:dyDescent="0.3">
      <c r="A292" s="437" t="s">
        <v>5415</v>
      </c>
      <c r="B292" s="418"/>
      <c r="C292" s="418"/>
      <c r="D292" s="418"/>
      <c r="E292" s="418"/>
      <c r="F292" s="418"/>
      <c r="G292" s="418"/>
      <c r="H292" s="123"/>
      <c r="I292" s="123"/>
      <c r="J292" s="123"/>
      <c r="K292" s="124"/>
      <c r="BC292" s="14"/>
      <c r="BD292" s="15" t="s">
        <v>5415</v>
      </c>
      <c r="BE292" s="21"/>
      <c r="BF292" s="43"/>
      <c r="BG292" s="12"/>
      <c r="BH292" s="12"/>
    </row>
    <row r="293" spans="1:60" s="3" customFormat="1" ht="42" x14ac:dyDescent="0.3">
      <c r="A293" s="16" t="s">
        <v>3126</v>
      </c>
      <c r="B293" s="17" t="s">
        <v>5416</v>
      </c>
      <c r="C293" s="405" t="s">
        <v>5417</v>
      </c>
      <c r="D293" s="405"/>
      <c r="E293" s="405"/>
      <c r="F293" s="16" t="s">
        <v>4737</v>
      </c>
      <c r="G293" s="31">
        <v>0.02</v>
      </c>
      <c r="H293" s="57">
        <f>I293/G293</f>
        <v>4552.5</v>
      </c>
      <c r="I293" s="19">
        <f>91.23-K293</f>
        <v>91.05</v>
      </c>
      <c r="J293" s="19">
        <f>K293/G293</f>
        <v>9</v>
      </c>
      <c r="K293" s="19">
        <v>0.18</v>
      </c>
      <c r="BC293" s="14"/>
      <c r="BD293" s="15"/>
      <c r="BE293" s="21" t="s">
        <v>5417</v>
      </c>
      <c r="BF293" s="43"/>
      <c r="BG293" s="12"/>
      <c r="BH293" s="12"/>
    </row>
    <row r="294" spans="1:60" s="3" customFormat="1" ht="21.6" x14ac:dyDescent="0.3">
      <c r="A294" s="25"/>
      <c r="B294" s="26" t="s">
        <v>4537</v>
      </c>
      <c r="C294" s="419" t="s">
        <v>4538</v>
      </c>
      <c r="D294" s="419"/>
      <c r="E294" s="419"/>
      <c r="F294" s="27" t="s">
        <v>75</v>
      </c>
      <c r="G294" s="22" t="s">
        <v>5418</v>
      </c>
      <c r="H294" s="58"/>
      <c r="I294" s="28"/>
      <c r="J294" s="28"/>
      <c r="K294" s="29"/>
      <c r="BC294" s="14"/>
      <c r="BD294" s="15"/>
      <c r="BE294" s="21"/>
      <c r="BF294" s="43"/>
      <c r="BG294" s="12"/>
      <c r="BH294" s="12" t="s">
        <v>4538</v>
      </c>
    </row>
    <row r="295" spans="1:60" s="3" customFormat="1" ht="21.6" x14ac:dyDescent="0.3">
      <c r="A295" s="25"/>
      <c r="B295" s="26" t="s">
        <v>607</v>
      </c>
      <c r="C295" s="419" t="s">
        <v>608</v>
      </c>
      <c r="D295" s="419"/>
      <c r="E295" s="419"/>
      <c r="F295" s="27" t="s">
        <v>609</v>
      </c>
      <c r="G295" s="22" t="s">
        <v>5419</v>
      </c>
      <c r="H295" s="58"/>
      <c r="I295" s="28"/>
      <c r="J295" s="28"/>
      <c r="K295" s="29"/>
      <c r="BC295" s="14"/>
      <c r="BD295" s="15"/>
      <c r="BE295" s="21"/>
      <c r="BF295" s="43"/>
      <c r="BG295" s="12"/>
      <c r="BH295" s="12" t="s">
        <v>608</v>
      </c>
    </row>
    <row r="296" spans="1:60" s="3" customFormat="1" ht="15" customHeight="1" x14ac:dyDescent="0.3">
      <c r="A296" s="437" t="s">
        <v>5420</v>
      </c>
      <c r="B296" s="418"/>
      <c r="C296" s="418"/>
      <c r="D296" s="418"/>
      <c r="E296" s="418"/>
      <c r="F296" s="418"/>
      <c r="G296" s="418"/>
      <c r="H296" s="123"/>
      <c r="I296" s="123"/>
      <c r="J296" s="123"/>
      <c r="K296" s="124"/>
      <c r="BC296" s="14"/>
      <c r="BD296" s="15" t="s">
        <v>5420</v>
      </c>
      <c r="BE296" s="21"/>
      <c r="BF296" s="43"/>
      <c r="BG296" s="12"/>
      <c r="BH296" s="12"/>
    </row>
    <row r="297" spans="1:60" s="3" customFormat="1" ht="31.8" x14ac:dyDescent="0.3">
      <c r="A297" s="16" t="s">
        <v>3132</v>
      </c>
      <c r="B297" s="17" t="s">
        <v>5421</v>
      </c>
      <c r="C297" s="405" t="s">
        <v>5422</v>
      </c>
      <c r="D297" s="405"/>
      <c r="E297" s="405"/>
      <c r="F297" s="16" t="s">
        <v>5423</v>
      </c>
      <c r="G297" s="23">
        <v>3</v>
      </c>
      <c r="H297" s="57">
        <f>I297/G297</f>
        <v>3491.7666666666664</v>
      </c>
      <c r="I297" s="19">
        <f>10484.59-K297</f>
        <v>10475.299999999999</v>
      </c>
      <c r="J297" s="19">
        <f>K297/G297</f>
        <v>3.0966666666666662</v>
      </c>
      <c r="K297" s="19">
        <v>9.2899999999999991</v>
      </c>
      <c r="BC297" s="14"/>
      <c r="BD297" s="15"/>
      <c r="BE297" s="21" t="s">
        <v>5422</v>
      </c>
      <c r="BF297" s="43"/>
      <c r="BG297" s="12"/>
      <c r="BH297" s="12"/>
    </row>
    <row r="298" spans="1:60" s="3" customFormat="1" ht="21.6" x14ac:dyDescent="0.3">
      <c r="A298" s="25"/>
      <c r="B298" s="26" t="s">
        <v>607</v>
      </c>
      <c r="C298" s="419" t="s">
        <v>608</v>
      </c>
      <c r="D298" s="419"/>
      <c r="E298" s="419"/>
      <c r="F298" s="27" t="s">
        <v>609</v>
      </c>
      <c r="G298" s="22" t="s">
        <v>5424</v>
      </c>
      <c r="H298" s="58"/>
      <c r="I298" s="28"/>
      <c r="J298" s="28"/>
      <c r="K298" s="29"/>
      <c r="BC298" s="14"/>
      <c r="BD298" s="15"/>
      <c r="BE298" s="21"/>
      <c r="BF298" s="43"/>
      <c r="BG298" s="12"/>
      <c r="BH298" s="12" t="s">
        <v>608</v>
      </c>
    </row>
    <row r="299" spans="1:60" s="3" customFormat="1" ht="15" customHeight="1" x14ac:dyDescent="0.3">
      <c r="A299" s="435" t="s">
        <v>5425</v>
      </c>
      <c r="B299" s="436"/>
      <c r="C299" s="436"/>
      <c r="D299" s="436"/>
      <c r="E299" s="436"/>
      <c r="F299" s="436"/>
      <c r="G299" s="436"/>
      <c r="H299" s="103"/>
      <c r="I299" s="103"/>
      <c r="J299" s="103"/>
      <c r="K299" s="104"/>
      <c r="BC299" s="14" t="s">
        <v>5425</v>
      </c>
      <c r="BD299" s="15"/>
      <c r="BE299" s="21"/>
      <c r="BF299" s="43"/>
      <c r="BG299" s="12"/>
      <c r="BH299" s="12"/>
    </row>
    <row r="300" spans="1:60" s="3" customFormat="1" ht="15" customHeight="1" x14ac:dyDescent="0.3">
      <c r="A300" s="437" t="s">
        <v>5426</v>
      </c>
      <c r="B300" s="418"/>
      <c r="C300" s="418"/>
      <c r="D300" s="418"/>
      <c r="E300" s="418"/>
      <c r="F300" s="418"/>
      <c r="G300" s="418"/>
      <c r="H300" s="123"/>
      <c r="I300" s="123"/>
      <c r="J300" s="123"/>
      <c r="K300" s="124"/>
      <c r="BC300" s="14"/>
      <c r="BD300" s="15" t="s">
        <v>5426</v>
      </c>
      <c r="BE300" s="21"/>
      <c r="BF300" s="43"/>
      <c r="BG300" s="12"/>
      <c r="BH300" s="12"/>
    </row>
    <row r="301" spans="1:60" s="3" customFormat="1" ht="31.8" x14ac:dyDescent="0.3">
      <c r="A301" s="16" t="s">
        <v>3135</v>
      </c>
      <c r="B301" s="17" t="s">
        <v>1732</v>
      </c>
      <c r="C301" s="405" t="s">
        <v>1733</v>
      </c>
      <c r="D301" s="405"/>
      <c r="E301" s="405"/>
      <c r="F301" s="16" t="s">
        <v>125</v>
      </c>
      <c r="G301" s="18">
        <v>2.4E-2</v>
      </c>
      <c r="H301" s="57">
        <f>I301/G301</f>
        <v>117457.08333333333</v>
      </c>
      <c r="I301" s="19">
        <f>2818.97-K301</f>
        <v>2818.97</v>
      </c>
      <c r="J301" s="19">
        <f>K301/G301</f>
        <v>0</v>
      </c>
      <c r="K301" s="19">
        <v>0</v>
      </c>
      <c r="BC301" s="14"/>
      <c r="BD301" s="15"/>
      <c r="BE301" s="21" t="s">
        <v>1733</v>
      </c>
      <c r="BF301" s="43"/>
      <c r="BG301" s="12"/>
      <c r="BH301" s="12"/>
    </row>
    <row r="302" spans="1:60" s="3" customFormat="1" ht="15" customHeight="1" x14ac:dyDescent="0.3">
      <c r="A302" s="437" t="s">
        <v>5427</v>
      </c>
      <c r="B302" s="418"/>
      <c r="C302" s="418"/>
      <c r="D302" s="418"/>
      <c r="E302" s="418"/>
      <c r="F302" s="418"/>
      <c r="G302" s="418"/>
      <c r="H302" s="123"/>
      <c r="I302" s="123"/>
      <c r="J302" s="123"/>
      <c r="K302" s="124"/>
      <c r="BC302" s="14"/>
      <c r="BD302" s="15" t="s">
        <v>5427</v>
      </c>
      <c r="BE302" s="21"/>
      <c r="BF302" s="43"/>
      <c r="BG302" s="12"/>
      <c r="BH302" s="12"/>
    </row>
    <row r="303" spans="1:60" s="3" customFormat="1" ht="21.6" x14ac:dyDescent="0.3">
      <c r="A303" s="16" t="s">
        <v>3148</v>
      </c>
      <c r="B303" s="17" t="s">
        <v>5428</v>
      </c>
      <c r="C303" s="405" t="s">
        <v>5429</v>
      </c>
      <c r="D303" s="405"/>
      <c r="E303" s="405"/>
      <c r="F303" s="16" t="s">
        <v>38</v>
      </c>
      <c r="G303" s="23">
        <v>6</v>
      </c>
      <c r="H303" s="57">
        <f>I303/G303</f>
        <v>1466.0666666666666</v>
      </c>
      <c r="I303" s="19">
        <f>10540.74-K303</f>
        <v>8796.4</v>
      </c>
      <c r="J303" s="19">
        <f>K303/G303</f>
        <v>290.7233333333333</v>
      </c>
      <c r="K303" s="19">
        <v>1744.34</v>
      </c>
      <c r="BC303" s="14"/>
      <c r="BD303" s="15"/>
      <c r="BE303" s="21" t="s">
        <v>5429</v>
      </c>
      <c r="BF303" s="43"/>
      <c r="BG303" s="12"/>
      <c r="BH303" s="12"/>
    </row>
    <row r="304" spans="1:60" s="3" customFormat="1" ht="20.399999999999999" x14ac:dyDescent="0.3">
      <c r="A304" s="25"/>
      <c r="B304" s="26" t="s">
        <v>277</v>
      </c>
      <c r="C304" s="419" t="s">
        <v>278</v>
      </c>
      <c r="D304" s="419"/>
      <c r="E304" s="419"/>
      <c r="F304" s="27" t="s">
        <v>70</v>
      </c>
      <c r="G304" s="22" t="s">
        <v>5430</v>
      </c>
      <c r="H304" s="58"/>
      <c r="I304" s="28"/>
      <c r="J304" s="28"/>
      <c r="K304" s="29"/>
      <c r="BC304" s="14"/>
      <c r="BD304" s="15"/>
      <c r="BE304" s="21"/>
      <c r="BF304" s="43"/>
      <c r="BG304" s="12"/>
      <c r="BH304" s="12" t="s">
        <v>278</v>
      </c>
    </row>
    <row r="305" spans="1:60" s="3" customFormat="1" ht="21.6" x14ac:dyDescent="0.3">
      <c r="A305" s="25"/>
      <c r="B305" s="26" t="s">
        <v>5431</v>
      </c>
      <c r="C305" s="419" t="s">
        <v>5432</v>
      </c>
      <c r="D305" s="419"/>
      <c r="E305" s="419"/>
      <c r="F305" s="27" t="s">
        <v>70</v>
      </c>
      <c r="G305" s="22" t="s">
        <v>5433</v>
      </c>
      <c r="H305" s="58"/>
      <c r="I305" s="28"/>
      <c r="J305" s="28"/>
      <c r="K305" s="29"/>
      <c r="BC305" s="14"/>
      <c r="BD305" s="15"/>
      <c r="BE305" s="21"/>
      <c r="BF305" s="43"/>
      <c r="BG305" s="12"/>
      <c r="BH305" s="12" t="s">
        <v>5432</v>
      </c>
    </row>
    <row r="306" spans="1:60" s="3" customFormat="1" ht="15" customHeight="1" x14ac:dyDescent="0.3">
      <c r="A306" s="437" t="s">
        <v>1734</v>
      </c>
      <c r="B306" s="418"/>
      <c r="C306" s="418"/>
      <c r="D306" s="418"/>
      <c r="E306" s="418"/>
      <c r="F306" s="418"/>
      <c r="G306" s="418"/>
      <c r="H306" s="123"/>
      <c r="I306" s="123"/>
      <c r="J306" s="123"/>
      <c r="K306" s="124"/>
      <c r="BC306" s="14"/>
      <c r="BD306" s="15" t="s">
        <v>1734</v>
      </c>
      <c r="BE306" s="21"/>
      <c r="BF306" s="43"/>
      <c r="BG306" s="12"/>
      <c r="BH306" s="12"/>
    </row>
    <row r="307" spans="1:60" s="3" customFormat="1" ht="21.6" x14ac:dyDescent="0.3">
      <c r="A307" s="16" t="s">
        <v>3151</v>
      </c>
      <c r="B307" s="17" t="s">
        <v>1735</v>
      </c>
      <c r="C307" s="405" t="s">
        <v>1736</v>
      </c>
      <c r="D307" s="405"/>
      <c r="E307" s="405"/>
      <c r="F307" s="16" t="s">
        <v>67</v>
      </c>
      <c r="G307" s="31">
        <v>0.13</v>
      </c>
      <c r="H307" s="57">
        <f>I307/G307</f>
        <v>15444.230769230768</v>
      </c>
      <c r="I307" s="19">
        <f>3036.99-K307</f>
        <v>2007.7499999999998</v>
      </c>
      <c r="J307" s="19">
        <f>K307/G307</f>
        <v>7917.2307692307686</v>
      </c>
      <c r="K307" s="19">
        <v>1029.24</v>
      </c>
      <c r="BC307" s="14"/>
      <c r="BD307" s="15"/>
      <c r="BE307" s="21" t="s">
        <v>1736</v>
      </c>
      <c r="BF307" s="43"/>
      <c r="BG307" s="12"/>
      <c r="BH307" s="12"/>
    </row>
    <row r="308" spans="1:60" s="3" customFormat="1" ht="20.399999999999999" x14ac:dyDescent="0.3">
      <c r="A308" s="25"/>
      <c r="B308" s="26" t="s">
        <v>1693</v>
      </c>
      <c r="C308" s="419" t="s">
        <v>1694</v>
      </c>
      <c r="D308" s="419"/>
      <c r="E308" s="419"/>
      <c r="F308" s="27" t="s">
        <v>75</v>
      </c>
      <c r="G308" s="22" t="s">
        <v>5434</v>
      </c>
      <c r="H308" s="58"/>
      <c r="I308" s="28"/>
      <c r="J308" s="28"/>
      <c r="K308" s="29"/>
      <c r="BC308" s="14"/>
      <c r="BD308" s="15"/>
      <c r="BE308" s="21"/>
      <c r="BF308" s="43"/>
      <c r="BG308" s="12"/>
      <c r="BH308" s="12" t="s">
        <v>1694</v>
      </c>
    </row>
    <row r="309" spans="1:60" s="3" customFormat="1" ht="20.399999999999999" x14ac:dyDescent="0.3">
      <c r="A309" s="25"/>
      <c r="B309" s="26" t="s">
        <v>1738</v>
      </c>
      <c r="C309" s="419" t="s">
        <v>1739</v>
      </c>
      <c r="D309" s="419"/>
      <c r="E309" s="419"/>
      <c r="F309" s="27" t="s">
        <v>75</v>
      </c>
      <c r="G309" s="22" t="s">
        <v>5435</v>
      </c>
      <c r="H309" s="58"/>
      <c r="I309" s="28"/>
      <c r="J309" s="28"/>
      <c r="K309" s="29"/>
      <c r="BC309" s="14"/>
      <c r="BD309" s="15"/>
      <c r="BE309" s="21"/>
      <c r="BF309" s="43"/>
      <c r="BG309" s="12"/>
      <c r="BH309" s="12" t="s">
        <v>1739</v>
      </c>
    </row>
    <row r="310" spans="1:60" s="3" customFormat="1" ht="21.6" x14ac:dyDescent="0.3">
      <c r="A310" s="25"/>
      <c r="B310" s="26" t="s">
        <v>607</v>
      </c>
      <c r="C310" s="419" t="s">
        <v>608</v>
      </c>
      <c r="D310" s="419"/>
      <c r="E310" s="419"/>
      <c r="F310" s="27" t="s">
        <v>609</v>
      </c>
      <c r="G310" s="22" t="s">
        <v>5436</v>
      </c>
      <c r="H310" s="58"/>
      <c r="I310" s="28"/>
      <c r="J310" s="28"/>
      <c r="K310" s="29"/>
      <c r="BC310" s="14"/>
      <c r="BD310" s="15"/>
      <c r="BE310" s="21"/>
      <c r="BF310" s="43"/>
      <c r="BG310" s="12"/>
      <c r="BH310" s="12" t="s">
        <v>608</v>
      </c>
    </row>
    <row r="311" spans="1:60" s="3" customFormat="1" ht="21.6" x14ac:dyDescent="0.3">
      <c r="A311" s="16" t="s">
        <v>3154</v>
      </c>
      <c r="B311" s="17" t="s">
        <v>5437</v>
      </c>
      <c r="C311" s="405" t="s">
        <v>4430</v>
      </c>
      <c r="D311" s="405"/>
      <c r="E311" s="405"/>
      <c r="F311" s="16" t="s">
        <v>70</v>
      </c>
      <c r="G311" s="46">
        <v>1.6327999999999999E-2</v>
      </c>
      <c r="H311" s="57">
        <f>I311/G311</f>
        <v>0</v>
      </c>
      <c r="I311" s="19"/>
      <c r="J311" s="19">
        <f>K311/G311</f>
        <v>53985.178833904953</v>
      </c>
      <c r="K311" s="19">
        <v>881.47</v>
      </c>
      <c r="BC311" s="14"/>
      <c r="BD311" s="15"/>
      <c r="BE311" s="21" t="s">
        <v>4430</v>
      </c>
      <c r="BF311" s="43"/>
      <c r="BG311" s="12"/>
      <c r="BH311" s="12"/>
    </row>
    <row r="312" spans="1:60" s="3" customFormat="1" ht="15" customHeight="1" x14ac:dyDescent="0.3">
      <c r="A312" s="437" t="s">
        <v>5438</v>
      </c>
      <c r="B312" s="418"/>
      <c r="C312" s="418"/>
      <c r="D312" s="418"/>
      <c r="E312" s="418"/>
      <c r="F312" s="418"/>
      <c r="G312" s="418"/>
      <c r="H312" s="123"/>
      <c r="I312" s="123"/>
      <c r="J312" s="123"/>
      <c r="K312" s="124"/>
      <c r="BC312" s="14"/>
      <c r="BD312" s="15" t="s">
        <v>5438</v>
      </c>
      <c r="BE312" s="21"/>
      <c r="BF312" s="43"/>
      <c r="BG312" s="12"/>
      <c r="BH312" s="12"/>
    </row>
    <row r="313" spans="1:60" s="3" customFormat="1" ht="21.6" x14ac:dyDescent="0.3">
      <c r="A313" s="16" t="s">
        <v>3159</v>
      </c>
      <c r="B313" s="17" t="s">
        <v>123</v>
      </c>
      <c r="C313" s="405" t="s">
        <v>124</v>
      </c>
      <c r="D313" s="405"/>
      <c r="E313" s="405"/>
      <c r="F313" s="16" t="s">
        <v>125</v>
      </c>
      <c r="G313" s="18">
        <v>2.4E-2</v>
      </c>
      <c r="H313" s="57">
        <f>I313/G313</f>
        <v>64903.333333333336</v>
      </c>
      <c r="I313" s="19">
        <f>1557.68-K313</f>
        <v>1557.68</v>
      </c>
      <c r="J313" s="19">
        <f>K313/G313</f>
        <v>0</v>
      </c>
      <c r="K313" s="19">
        <v>0</v>
      </c>
      <c r="BC313" s="14"/>
      <c r="BD313" s="15"/>
      <c r="BE313" s="21" t="s">
        <v>124</v>
      </c>
      <c r="BF313" s="43"/>
      <c r="BG313" s="12"/>
      <c r="BH313" s="12"/>
    </row>
    <row r="314" spans="1:60" s="3" customFormat="1" ht="20.25" customHeight="1" x14ac:dyDescent="0.3">
      <c r="A314" s="406" t="s">
        <v>57</v>
      </c>
      <c r="B314" s="407"/>
      <c r="C314" s="407"/>
      <c r="D314" s="407"/>
      <c r="E314" s="407"/>
      <c r="F314" s="407"/>
      <c r="G314" s="407"/>
      <c r="H314" s="66"/>
      <c r="I314" s="67">
        <f>SUM(I13:I313)</f>
        <v>352407.2</v>
      </c>
      <c r="J314" s="67"/>
      <c r="K314" s="67">
        <f>SUM(K13:K313)</f>
        <v>21321654.25</v>
      </c>
    </row>
    <row r="315" spans="1:60" s="53" customFormat="1" ht="20.25" customHeight="1" thickBot="1" x14ac:dyDescent="0.35">
      <c r="A315" s="408" t="s">
        <v>5461</v>
      </c>
      <c r="B315" s="409"/>
      <c r="C315" s="409"/>
      <c r="D315" s="409"/>
      <c r="E315" s="409"/>
      <c r="F315" s="409"/>
      <c r="G315" s="409"/>
      <c r="H315" s="88"/>
      <c r="I315" s="410">
        <f>I314+K314</f>
        <v>21674061.449999999</v>
      </c>
      <c r="J315" s="411"/>
      <c r="K315" s="412"/>
      <c r="M315" s="153"/>
    </row>
    <row r="316" spans="1:60" ht="11.25" customHeight="1" x14ac:dyDescent="0.2">
      <c r="M316" s="54"/>
    </row>
  </sheetData>
  <mergeCells count="313">
    <mergeCell ref="C310:E310"/>
    <mergeCell ref="C311:E311"/>
    <mergeCell ref="C313:E313"/>
    <mergeCell ref="C305:E305"/>
    <mergeCell ref="C307:E307"/>
    <mergeCell ref="C308:E308"/>
    <mergeCell ref="C309:E309"/>
    <mergeCell ref="A312:G312"/>
    <mergeCell ref="A306:G306"/>
    <mergeCell ref="C301:E301"/>
    <mergeCell ref="C303:E303"/>
    <mergeCell ref="C304:E304"/>
    <mergeCell ref="C295:E295"/>
    <mergeCell ref="C297:E297"/>
    <mergeCell ref="C298:E298"/>
    <mergeCell ref="A302:G302"/>
    <mergeCell ref="A300:G300"/>
    <mergeCell ref="A296:G296"/>
    <mergeCell ref="C290:E290"/>
    <mergeCell ref="C291:E291"/>
    <mergeCell ref="C293:E293"/>
    <mergeCell ref="C294:E294"/>
    <mergeCell ref="C285:E285"/>
    <mergeCell ref="C287:E287"/>
    <mergeCell ref="C288:E288"/>
    <mergeCell ref="C289:E289"/>
    <mergeCell ref="A292:G292"/>
    <mergeCell ref="A286:G286"/>
    <mergeCell ref="C280:E280"/>
    <mergeCell ref="C281:E281"/>
    <mergeCell ref="C282:E282"/>
    <mergeCell ref="C284:E284"/>
    <mergeCell ref="C275:E275"/>
    <mergeCell ref="C277:E277"/>
    <mergeCell ref="C278:E278"/>
    <mergeCell ref="C279:E279"/>
    <mergeCell ref="A283:G283"/>
    <mergeCell ref="A276:G276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7:E257"/>
    <mergeCell ref="C258:E258"/>
    <mergeCell ref="C259:E259"/>
    <mergeCell ref="A256:G256"/>
    <mergeCell ref="C250:E250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A251:G251"/>
    <mergeCell ref="C240:E240"/>
    <mergeCell ref="C241:E241"/>
    <mergeCell ref="C243:E243"/>
    <mergeCell ref="C244:E244"/>
    <mergeCell ref="C235:E235"/>
    <mergeCell ref="C236:E236"/>
    <mergeCell ref="C237:E237"/>
    <mergeCell ref="C238:E238"/>
    <mergeCell ref="C239:E239"/>
    <mergeCell ref="A242:G242"/>
    <mergeCell ref="C230:E230"/>
    <mergeCell ref="C231:E231"/>
    <mergeCell ref="C232:E232"/>
    <mergeCell ref="C233:E233"/>
    <mergeCell ref="C234:E234"/>
    <mergeCell ref="C225:E225"/>
    <mergeCell ref="C226:E226"/>
    <mergeCell ref="C228:E228"/>
    <mergeCell ref="C229:E229"/>
    <mergeCell ref="A227:G227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A219:G219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3:E203"/>
    <mergeCell ref="C204:E204"/>
    <mergeCell ref="C195:E195"/>
    <mergeCell ref="C197:E197"/>
    <mergeCell ref="C198:E198"/>
    <mergeCell ref="C199:E199"/>
    <mergeCell ref="A202:G202"/>
    <mergeCell ref="A196:G196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1:E181"/>
    <mergeCell ref="C182:E182"/>
    <mergeCell ref="C183:E183"/>
    <mergeCell ref="C175:E175"/>
    <mergeCell ref="C177:E177"/>
    <mergeCell ref="C178:E178"/>
    <mergeCell ref="C179:E179"/>
    <mergeCell ref="A184:G184"/>
    <mergeCell ref="A176:G176"/>
    <mergeCell ref="C171:E171"/>
    <mergeCell ref="C173:E173"/>
    <mergeCell ref="C174:E174"/>
    <mergeCell ref="C165:E165"/>
    <mergeCell ref="C166:E166"/>
    <mergeCell ref="C169:E169"/>
    <mergeCell ref="A172:G172"/>
    <mergeCell ref="A168:G168"/>
    <mergeCell ref="C180:E180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0:E170"/>
    <mergeCell ref="C151:E151"/>
    <mergeCell ref="C152:E152"/>
    <mergeCell ref="C154:E154"/>
    <mergeCell ref="C145:E145"/>
    <mergeCell ref="C146:E146"/>
    <mergeCell ref="C147:E147"/>
    <mergeCell ref="C148:E148"/>
    <mergeCell ref="C149:E149"/>
    <mergeCell ref="C160:E160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30:E130"/>
    <mergeCell ref="C131:E131"/>
    <mergeCell ref="C132:E132"/>
    <mergeCell ref="C133:E133"/>
    <mergeCell ref="C126:E126"/>
    <mergeCell ref="C127:E127"/>
    <mergeCell ref="C128:E128"/>
    <mergeCell ref="C129:E129"/>
    <mergeCell ref="C141:E141"/>
    <mergeCell ref="C120:E120"/>
    <mergeCell ref="C122:E122"/>
    <mergeCell ref="C123:E123"/>
    <mergeCell ref="C124:E124"/>
    <mergeCell ref="C115:E115"/>
    <mergeCell ref="C117:E117"/>
    <mergeCell ref="C118:E118"/>
    <mergeCell ref="C119:E119"/>
    <mergeCell ref="A121:G121"/>
    <mergeCell ref="A116:G116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100:G100"/>
    <mergeCell ref="C90:E90"/>
    <mergeCell ref="C91:E91"/>
    <mergeCell ref="C92:E92"/>
    <mergeCell ref="C94:E94"/>
    <mergeCell ref="C85:E85"/>
    <mergeCell ref="C86:E86"/>
    <mergeCell ref="C87:E87"/>
    <mergeCell ref="C88:E88"/>
    <mergeCell ref="C89:E89"/>
    <mergeCell ref="A93:G93"/>
    <mergeCell ref="C80:E80"/>
    <mergeCell ref="C81:E81"/>
    <mergeCell ref="C82:E82"/>
    <mergeCell ref="C83:E83"/>
    <mergeCell ref="C84:E84"/>
    <mergeCell ref="C75:E75"/>
    <mergeCell ref="C76:E76"/>
    <mergeCell ref="C78:E78"/>
    <mergeCell ref="C79:E79"/>
    <mergeCell ref="A77:G77"/>
    <mergeCell ref="C64:E64"/>
    <mergeCell ref="C57:E57"/>
    <mergeCell ref="C58:E58"/>
    <mergeCell ref="A59:G59"/>
    <mergeCell ref="A56:G56"/>
    <mergeCell ref="C70:E70"/>
    <mergeCell ref="C71:E71"/>
    <mergeCell ref="C72:E72"/>
    <mergeCell ref="C74:E74"/>
    <mergeCell ref="C65:E65"/>
    <mergeCell ref="C66:E66"/>
    <mergeCell ref="C67:E67"/>
    <mergeCell ref="C68:E68"/>
    <mergeCell ref="A73:G73"/>
    <mergeCell ref="A69:G69"/>
    <mergeCell ref="C52:E52"/>
    <mergeCell ref="C54:E54"/>
    <mergeCell ref="C45:E45"/>
    <mergeCell ref="C47:E47"/>
    <mergeCell ref="C48:E48"/>
    <mergeCell ref="C60:E60"/>
    <mergeCell ref="C61:E61"/>
    <mergeCell ref="C62:E62"/>
    <mergeCell ref="C63:E63"/>
    <mergeCell ref="C40:E40"/>
    <mergeCell ref="C41:E41"/>
    <mergeCell ref="C43:E43"/>
    <mergeCell ref="C44:E44"/>
    <mergeCell ref="C36:E36"/>
    <mergeCell ref="C38:E38"/>
    <mergeCell ref="C39:E39"/>
    <mergeCell ref="C50:E50"/>
    <mergeCell ref="C51:E51"/>
    <mergeCell ref="C35:E35"/>
    <mergeCell ref="C18:E18"/>
    <mergeCell ref="C13:E13"/>
    <mergeCell ref="C25:E25"/>
    <mergeCell ref="C26:E26"/>
    <mergeCell ref="C30:E30"/>
    <mergeCell ref="C31:E31"/>
    <mergeCell ref="C32:E32"/>
    <mergeCell ref="C33:E33"/>
    <mergeCell ref="C34:E34"/>
    <mergeCell ref="C27:E27"/>
    <mergeCell ref="C28:E28"/>
    <mergeCell ref="C29:E29"/>
    <mergeCell ref="C20:E20"/>
    <mergeCell ref="C21:E21"/>
    <mergeCell ref="C22:E22"/>
    <mergeCell ref="C24:E24"/>
    <mergeCell ref="A2:K2"/>
    <mergeCell ref="A3:K3"/>
    <mergeCell ref="A5:K5"/>
    <mergeCell ref="C9:E9"/>
    <mergeCell ref="C10:E10"/>
    <mergeCell ref="A6:K6"/>
    <mergeCell ref="C7:G7"/>
    <mergeCell ref="C15:E15"/>
    <mergeCell ref="C16:E16"/>
    <mergeCell ref="A314:G314"/>
    <mergeCell ref="A315:G315"/>
    <mergeCell ref="I315:K315"/>
    <mergeCell ref="A299:G299"/>
    <mergeCell ref="A218:G218"/>
    <mergeCell ref="A190:G190"/>
    <mergeCell ref="A167:G167"/>
    <mergeCell ref="A55:G55"/>
    <mergeCell ref="A11:G11"/>
    <mergeCell ref="A53:G53"/>
    <mergeCell ref="A49:G49"/>
    <mergeCell ref="A46:G46"/>
    <mergeCell ref="A42:G42"/>
    <mergeCell ref="A37:G37"/>
    <mergeCell ref="A23:G23"/>
    <mergeCell ref="A19:G19"/>
    <mergeCell ref="A17:G17"/>
    <mergeCell ref="A14:G14"/>
    <mergeCell ref="A12:G12"/>
    <mergeCell ref="A161:G161"/>
    <mergeCell ref="A153:G153"/>
    <mergeCell ref="A140:G140"/>
    <mergeCell ref="A134:G134"/>
    <mergeCell ref="A125:G12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BK241"/>
  <sheetViews>
    <sheetView workbookViewId="0">
      <selection activeCell="M7" sqref="M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3.33203125" style="1" customWidth="1"/>
    <col min="5" max="5" width="29" style="1" customWidth="1"/>
    <col min="6" max="7" width="10.6640625" style="1" customWidth="1"/>
    <col min="8" max="11" width="16.664062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5" t="s">
        <v>5592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8" s="3" customFormat="1" ht="35.25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1774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8" s="3" customFormat="1" ht="14.4" x14ac:dyDescent="0.3">
      <c r="A5" s="404" t="s">
        <v>1970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1970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8" s="3" customFormat="1" ht="14.4" x14ac:dyDescent="0.3">
      <c r="A7" s="4"/>
      <c r="B7" s="8" t="s">
        <v>5</v>
      </c>
      <c r="C7" s="402" t="s">
        <v>1971</v>
      </c>
      <c r="D7" s="402"/>
      <c r="E7" s="402"/>
      <c r="F7" s="402"/>
      <c r="G7" s="402"/>
      <c r="H7" s="55"/>
      <c r="I7" s="109"/>
      <c r="J7" s="109"/>
      <c r="K7" s="10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5" customHeight="1" x14ac:dyDescent="0.3">
      <c r="A11" s="435" t="s">
        <v>1303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1303</v>
      </c>
    </row>
    <row r="12" spans="1:58" s="3" customFormat="1" ht="15" customHeight="1" x14ac:dyDescent="0.3">
      <c r="A12" s="437" t="s">
        <v>1972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C12" s="14"/>
      <c r="BD12" s="15" t="s">
        <v>1972</v>
      </c>
    </row>
    <row r="13" spans="1:58" s="3" customFormat="1" ht="42" x14ac:dyDescent="0.3">
      <c r="A13" s="16" t="s">
        <v>15</v>
      </c>
      <c r="B13" s="17" t="s">
        <v>1973</v>
      </c>
      <c r="C13" s="405" t="s">
        <v>1974</v>
      </c>
      <c r="D13" s="405"/>
      <c r="E13" s="405"/>
      <c r="F13" s="16" t="s">
        <v>43</v>
      </c>
      <c r="G13" s="44">
        <v>3.041E-2</v>
      </c>
      <c r="H13" s="57">
        <f>I13/G13</f>
        <v>57302.203222624143</v>
      </c>
      <c r="I13" s="19">
        <f>1743.43-K13</f>
        <v>1742.5600000000002</v>
      </c>
      <c r="J13" s="19">
        <f>K13/G13</f>
        <v>28.609010194015127</v>
      </c>
      <c r="K13" s="19">
        <v>0.87</v>
      </c>
      <c r="BC13" s="14"/>
      <c r="BD13" s="15"/>
      <c r="BE13" s="21" t="s">
        <v>1974</v>
      </c>
    </row>
    <row r="14" spans="1:58" s="3" customFormat="1" ht="20.399999999999999" x14ac:dyDescent="0.3">
      <c r="A14" s="25"/>
      <c r="B14" s="26" t="s">
        <v>44</v>
      </c>
      <c r="C14" s="419" t="s">
        <v>45</v>
      </c>
      <c r="D14" s="419"/>
      <c r="E14" s="419"/>
      <c r="F14" s="27" t="s">
        <v>46</v>
      </c>
      <c r="G14" s="22" t="s">
        <v>1975</v>
      </c>
      <c r="H14" s="58"/>
      <c r="I14" s="28"/>
      <c r="J14" s="28"/>
      <c r="K14" s="29"/>
      <c r="BC14" s="14"/>
      <c r="BD14" s="15"/>
      <c r="BE14" s="21"/>
      <c r="BF14" s="12" t="s">
        <v>45</v>
      </c>
    </row>
    <row r="15" spans="1:58" s="3" customFormat="1" ht="15" customHeight="1" x14ac:dyDescent="0.3">
      <c r="A15" s="437" t="s">
        <v>1976</v>
      </c>
      <c r="B15" s="418"/>
      <c r="C15" s="418"/>
      <c r="D15" s="418"/>
      <c r="E15" s="418"/>
      <c r="F15" s="418"/>
      <c r="G15" s="418"/>
      <c r="H15" s="123"/>
      <c r="I15" s="123"/>
      <c r="J15" s="123"/>
      <c r="K15" s="124"/>
      <c r="BC15" s="14"/>
      <c r="BD15" s="15" t="s">
        <v>1976</v>
      </c>
      <c r="BE15" s="21"/>
      <c r="BF15" s="12"/>
    </row>
    <row r="16" spans="1:58" s="3" customFormat="1" ht="42" x14ac:dyDescent="0.3">
      <c r="A16" s="16" t="s">
        <v>20</v>
      </c>
      <c r="B16" s="17" t="s">
        <v>1973</v>
      </c>
      <c r="C16" s="405" t="s">
        <v>1974</v>
      </c>
      <c r="D16" s="405"/>
      <c r="E16" s="405"/>
      <c r="F16" s="16" t="s">
        <v>43</v>
      </c>
      <c r="G16" s="30">
        <v>6.7999999999999996E-3</v>
      </c>
      <c r="H16" s="57">
        <f>I16/G16</f>
        <v>57304.411764705888</v>
      </c>
      <c r="I16" s="19">
        <f>389.87-K16</f>
        <v>389.67</v>
      </c>
      <c r="J16" s="19">
        <f>K16/G16</f>
        <v>29.411764705882355</v>
      </c>
      <c r="K16" s="19">
        <v>0.2</v>
      </c>
      <c r="BC16" s="14"/>
      <c r="BD16" s="15"/>
      <c r="BE16" s="21" t="s">
        <v>1974</v>
      </c>
      <c r="BF16" s="12"/>
    </row>
    <row r="17" spans="1:59" s="3" customFormat="1" ht="20.399999999999999" x14ac:dyDescent="0.3">
      <c r="A17" s="25"/>
      <c r="B17" s="26" t="s">
        <v>44</v>
      </c>
      <c r="C17" s="419" t="s">
        <v>45</v>
      </c>
      <c r="D17" s="419"/>
      <c r="E17" s="419"/>
      <c r="F17" s="27" t="s">
        <v>46</v>
      </c>
      <c r="G17" s="22" t="s">
        <v>1977</v>
      </c>
      <c r="H17" s="58"/>
      <c r="I17" s="28"/>
      <c r="J17" s="28"/>
      <c r="K17" s="29"/>
      <c r="BC17" s="14"/>
      <c r="BD17" s="15"/>
      <c r="BE17" s="21"/>
      <c r="BF17" s="12" t="s">
        <v>45</v>
      </c>
    </row>
    <row r="18" spans="1:59" s="3" customFormat="1" ht="15" customHeight="1" x14ac:dyDescent="0.3">
      <c r="A18" s="437" t="s">
        <v>1978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24"/>
      <c r="BC18" s="14"/>
      <c r="BD18" s="15" t="s">
        <v>1978</v>
      </c>
      <c r="BE18" s="21"/>
      <c r="BF18" s="12"/>
    </row>
    <row r="19" spans="1:59" s="3" customFormat="1" ht="31.8" x14ac:dyDescent="0.3">
      <c r="A19" s="16" t="s">
        <v>22</v>
      </c>
      <c r="B19" s="17" t="s">
        <v>1979</v>
      </c>
      <c r="C19" s="405" t="s">
        <v>1980</v>
      </c>
      <c r="D19" s="405"/>
      <c r="E19" s="405"/>
      <c r="F19" s="16" t="s">
        <v>125</v>
      </c>
      <c r="G19" s="30">
        <v>0.11219999999999999</v>
      </c>
      <c r="H19" s="57">
        <f>I19/G19</f>
        <v>185844.74153297683</v>
      </c>
      <c r="I19" s="19">
        <f>20851.78-K19</f>
        <v>20851.78</v>
      </c>
      <c r="J19" s="19">
        <f>K19/G19</f>
        <v>0</v>
      </c>
      <c r="K19" s="19">
        <v>0</v>
      </c>
      <c r="BC19" s="14"/>
      <c r="BD19" s="15"/>
      <c r="BE19" s="21" t="s">
        <v>1980</v>
      </c>
      <c r="BF19" s="12"/>
    </row>
    <row r="20" spans="1:59" s="3" customFormat="1" ht="15" customHeight="1" x14ac:dyDescent="0.3">
      <c r="A20" s="437" t="s">
        <v>1981</v>
      </c>
      <c r="B20" s="418"/>
      <c r="C20" s="418"/>
      <c r="D20" s="418"/>
      <c r="E20" s="418"/>
      <c r="F20" s="418"/>
      <c r="G20" s="418"/>
      <c r="H20" s="123"/>
      <c r="I20" s="123"/>
      <c r="J20" s="123"/>
      <c r="K20" s="124"/>
      <c r="BC20" s="14"/>
      <c r="BD20" s="15" t="s">
        <v>1981</v>
      </c>
      <c r="BE20" s="21"/>
      <c r="BF20" s="12"/>
    </row>
    <row r="21" spans="1:59" s="3" customFormat="1" ht="42" x14ac:dyDescent="0.3">
      <c r="A21" s="16" t="s">
        <v>27</v>
      </c>
      <c r="B21" s="17" t="s">
        <v>41</v>
      </c>
      <c r="C21" s="405" t="s">
        <v>42</v>
      </c>
      <c r="D21" s="405"/>
      <c r="E21" s="405"/>
      <c r="F21" s="16" t="s">
        <v>43</v>
      </c>
      <c r="G21" s="44">
        <v>1.1220000000000001E-2</v>
      </c>
      <c r="H21" s="57">
        <f>I21/G21</f>
        <v>46204.991087344024</v>
      </c>
      <c r="I21" s="19">
        <f>518.64-K21</f>
        <v>518.41999999999996</v>
      </c>
      <c r="J21" s="19">
        <f>K21/G21</f>
        <v>19.6078431372549</v>
      </c>
      <c r="K21" s="19">
        <v>0.22</v>
      </c>
      <c r="BC21" s="14"/>
      <c r="BD21" s="15"/>
      <c r="BE21" s="21" t="s">
        <v>42</v>
      </c>
      <c r="BF21" s="12"/>
    </row>
    <row r="22" spans="1:59" s="3" customFormat="1" ht="20.399999999999999" x14ac:dyDescent="0.3">
      <c r="A22" s="25"/>
      <c r="B22" s="26" t="s">
        <v>44</v>
      </c>
      <c r="C22" s="419" t="s">
        <v>45</v>
      </c>
      <c r="D22" s="419"/>
      <c r="E22" s="419"/>
      <c r="F22" s="27" t="s">
        <v>46</v>
      </c>
      <c r="G22" s="22" t="s">
        <v>1982</v>
      </c>
      <c r="H22" s="58"/>
      <c r="I22" s="28"/>
      <c r="J22" s="28"/>
      <c r="K22" s="29"/>
      <c r="BC22" s="14"/>
      <c r="BD22" s="15"/>
      <c r="BE22" s="21"/>
      <c r="BF22" s="12" t="s">
        <v>45</v>
      </c>
    </row>
    <row r="23" spans="1:59" s="3" customFormat="1" ht="42" x14ac:dyDescent="0.3">
      <c r="A23" s="16" t="s">
        <v>35</v>
      </c>
      <c r="B23" s="17" t="s">
        <v>48</v>
      </c>
      <c r="C23" s="405" t="s">
        <v>49</v>
      </c>
      <c r="D23" s="405"/>
      <c r="E23" s="405"/>
      <c r="F23" s="16" t="s">
        <v>50</v>
      </c>
      <c r="G23" s="31">
        <v>96.86</v>
      </c>
      <c r="H23" s="57">
        <f>I23/G23</f>
        <v>598.37580012389014</v>
      </c>
      <c r="I23" s="19">
        <v>57958.68</v>
      </c>
      <c r="J23" s="19">
        <f>K23/G23</f>
        <v>0</v>
      </c>
      <c r="K23" s="19">
        <v>0</v>
      </c>
      <c r="BC23" s="14"/>
      <c r="BD23" s="15"/>
      <c r="BE23" s="21" t="s">
        <v>49</v>
      </c>
      <c r="BF23" s="12"/>
    </row>
    <row r="24" spans="1:59" s="3" customFormat="1" ht="15" customHeight="1" x14ac:dyDescent="0.3">
      <c r="A24" s="437" t="s">
        <v>1983</v>
      </c>
      <c r="B24" s="418"/>
      <c r="C24" s="418"/>
      <c r="D24" s="418"/>
      <c r="E24" s="418"/>
      <c r="F24" s="418"/>
      <c r="G24" s="418"/>
      <c r="H24" s="123"/>
      <c r="I24" s="123"/>
      <c r="J24" s="123"/>
      <c r="K24" s="124"/>
      <c r="BC24" s="14"/>
      <c r="BD24" s="15" t="s">
        <v>1983</v>
      </c>
      <c r="BE24" s="21"/>
      <c r="BF24" s="12"/>
    </row>
    <row r="25" spans="1:59" s="3" customFormat="1" ht="42" x14ac:dyDescent="0.3">
      <c r="A25" s="16" t="s">
        <v>40</v>
      </c>
      <c r="B25" s="17" t="s">
        <v>257</v>
      </c>
      <c r="C25" s="405" t="s">
        <v>258</v>
      </c>
      <c r="D25" s="405"/>
      <c r="E25" s="405"/>
      <c r="F25" s="16" t="s">
        <v>43</v>
      </c>
      <c r="G25" s="44">
        <v>2.068E-2</v>
      </c>
      <c r="H25" s="57">
        <f>I25/G25</f>
        <v>11166.344294003868</v>
      </c>
      <c r="I25" s="19">
        <f>230.92-K25</f>
        <v>230.92</v>
      </c>
      <c r="J25" s="19">
        <f>K25/G25</f>
        <v>0</v>
      </c>
      <c r="K25" s="19">
        <v>0</v>
      </c>
      <c r="BC25" s="14"/>
      <c r="BD25" s="15"/>
      <c r="BE25" s="21" t="s">
        <v>258</v>
      </c>
      <c r="BF25" s="12"/>
    </row>
    <row r="26" spans="1:59" s="3" customFormat="1" ht="21.6" x14ac:dyDescent="0.3">
      <c r="A26" s="16" t="s">
        <v>47</v>
      </c>
      <c r="B26" s="17" t="s">
        <v>205</v>
      </c>
      <c r="C26" s="405" t="s">
        <v>82</v>
      </c>
      <c r="D26" s="405"/>
      <c r="E26" s="405"/>
      <c r="F26" s="16" t="s">
        <v>46</v>
      </c>
      <c r="G26" s="18">
        <v>22.748000000000001</v>
      </c>
      <c r="H26" s="57">
        <f>I26/G26</f>
        <v>0</v>
      </c>
      <c r="I26" s="19">
        <v>0</v>
      </c>
      <c r="J26" s="19">
        <f>K26/G26</f>
        <v>530.9112889045191</v>
      </c>
      <c r="K26" s="19">
        <v>12077.17</v>
      </c>
      <c r="BC26" s="14"/>
      <c r="BD26" s="15"/>
      <c r="BE26" s="21" t="s">
        <v>82</v>
      </c>
      <c r="BF26" s="12"/>
    </row>
    <row r="27" spans="1:59" s="3" customFormat="1" ht="15" customHeight="1" x14ac:dyDescent="0.3">
      <c r="A27" s="437" t="s">
        <v>1984</v>
      </c>
      <c r="B27" s="418"/>
      <c r="C27" s="418"/>
      <c r="D27" s="418"/>
      <c r="E27" s="418"/>
      <c r="F27" s="418"/>
      <c r="G27" s="418"/>
      <c r="H27" s="123"/>
      <c r="I27" s="123"/>
      <c r="J27" s="123"/>
      <c r="K27" s="124"/>
      <c r="BC27" s="14"/>
      <c r="BD27" s="15" t="s">
        <v>1984</v>
      </c>
      <c r="BE27" s="21"/>
      <c r="BF27" s="12"/>
    </row>
    <row r="28" spans="1:59" s="3" customFormat="1" ht="15" customHeight="1" x14ac:dyDescent="0.3">
      <c r="A28" s="435" t="s">
        <v>1985</v>
      </c>
      <c r="B28" s="436"/>
      <c r="C28" s="436"/>
      <c r="D28" s="436"/>
      <c r="E28" s="436"/>
      <c r="F28" s="436"/>
      <c r="G28" s="436"/>
      <c r="H28" s="103"/>
      <c r="I28" s="103"/>
      <c r="J28" s="103"/>
      <c r="K28" s="104"/>
      <c r="BC28" s="14" t="s">
        <v>1985</v>
      </c>
      <c r="BD28" s="15"/>
      <c r="BE28" s="21"/>
      <c r="BF28" s="12"/>
    </row>
    <row r="29" spans="1:59" s="3" customFormat="1" ht="15" customHeight="1" x14ac:dyDescent="0.3">
      <c r="A29" s="437" t="s">
        <v>1986</v>
      </c>
      <c r="B29" s="418"/>
      <c r="C29" s="418"/>
      <c r="D29" s="418"/>
      <c r="E29" s="418"/>
      <c r="F29" s="418"/>
      <c r="G29" s="418"/>
      <c r="H29" s="154"/>
      <c r="I29" s="154"/>
      <c r="J29" s="154"/>
      <c r="K29" s="155"/>
      <c r="BC29" s="14"/>
      <c r="BD29" s="15" t="s">
        <v>1986</v>
      </c>
      <c r="BE29" s="21"/>
      <c r="BF29" s="12"/>
    </row>
    <row r="30" spans="1:59" s="3" customFormat="1" ht="31.8" x14ac:dyDescent="0.3">
      <c r="A30" s="16" t="s">
        <v>52</v>
      </c>
      <c r="B30" s="17" t="s">
        <v>1183</v>
      </c>
      <c r="C30" s="405" t="s">
        <v>1184</v>
      </c>
      <c r="D30" s="405"/>
      <c r="E30" s="405"/>
      <c r="F30" s="16" t="s">
        <v>189</v>
      </c>
      <c r="G30" s="30">
        <v>7.0800000000000002E-2</v>
      </c>
      <c r="H30" s="57">
        <f>I30/G30</f>
        <v>49544.209039548019</v>
      </c>
      <c r="I30" s="19">
        <f>5920.55-K30</f>
        <v>3507.73</v>
      </c>
      <c r="J30" s="19">
        <f>K30/G30</f>
        <v>34079.378531073446</v>
      </c>
      <c r="K30" s="19">
        <v>2412.8200000000002</v>
      </c>
      <c r="BC30" s="14"/>
      <c r="BD30" s="15"/>
      <c r="BE30" s="21" t="s">
        <v>1184</v>
      </c>
      <c r="BF30" s="12"/>
    </row>
    <row r="31" spans="1:59" s="3" customFormat="1" ht="21.6" x14ac:dyDescent="0.3">
      <c r="A31" s="37" t="s">
        <v>78</v>
      </c>
      <c r="B31" s="38" t="s">
        <v>1185</v>
      </c>
      <c r="C31" s="430" t="s">
        <v>1186</v>
      </c>
      <c r="D31" s="430"/>
      <c r="E31" s="430"/>
      <c r="F31" s="39" t="s">
        <v>158</v>
      </c>
      <c r="G31" s="40" t="s">
        <v>33</v>
      </c>
      <c r="H31" s="100"/>
      <c r="I31" s="41"/>
      <c r="J31" s="41"/>
      <c r="K31" s="42"/>
      <c r="BC31" s="14"/>
      <c r="BD31" s="15"/>
      <c r="BE31" s="21"/>
      <c r="BF31" s="12"/>
      <c r="BG31" s="43" t="s">
        <v>1186</v>
      </c>
    </row>
    <row r="32" spans="1:59" s="3" customFormat="1" ht="20.399999999999999" x14ac:dyDescent="0.3">
      <c r="A32" s="25"/>
      <c r="B32" s="26" t="s">
        <v>648</v>
      </c>
      <c r="C32" s="419" t="s">
        <v>649</v>
      </c>
      <c r="D32" s="419"/>
      <c r="E32" s="419"/>
      <c r="F32" s="27" t="s">
        <v>70</v>
      </c>
      <c r="G32" s="22" t="s">
        <v>1987</v>
      </c>
      <c r="H32" s="58"/>
      <c r="I32" s="28"/>
      <c r="J32" s="28"/>
      <c r="K32" s="29"/>
      <c r="BC32" s="14"/>
      <c r="BD32" s="15"/>
      <c r="BE32" s="21"/>
      <c r="BF32" s="12" t="s">
        <v>649</v>
      </c>
      <c r="BG32" s="43"/>
    </row>
    <row r="33" spans="1:60" s="3" customFormat="1" ht="21.6" x14ac:dyDescent="0.3">
      <c r="A33" s="25" t="s">
        <v>129</v>
      </c>
      <c r="B33" s="26" t="s">
        <v>1988</v>
      </c>
      <c r="C33" s="419" t="s">
        <v>1989</v>
      </c>
      <c r="D33" s="419"/>
      <c r="E33" s="419"/>
      <c r="F33" s="27" t="s">
        <v>158</v>
      </c>
      <c r="G33" s="22" t="s">
        <v>1990</v>
      </c>
      <c r="H33" s="57"/>
      <c r="I33" s="28"/>
      <c r="J33" s="19"/>
      <c r="K33" s="29"/>
      <c r="BC33" s="14"/>
      <c r="BD33" s="15"/>
      <c r="BE33" s="21"/>
      <c r="BF33" s="12"/>
      <c r="BG33" s="43"/>
      <c r="BH33" s="12" t="s">
        <v>1989</v>
      </c>
    </row>
    <row r="34" spans="1:60" s="3" customFormat="1" ht="15" customHeight="1" x14ac:dyDescent="0.3">
      <c r="A34" s="437" t="s">
        <v>1991</v>
      </c>
      <c r="B34" s="418"/>
      <c r="C34" s="418"/>
      <c r="D34" s="418"/>
      <c r="E34" s="418"/>
      <c r="F34" s="418"/>
      <c r="G34" s="418"/>
      <c r="H34" s="154"/>
      <c r="I34" s="154"/>
      <c r="J34" s="154"/>
      <c r="K34" s="155"/>
      <c r="BC34" s="14"/>
      <c r="BD34" s="15" t="s">
        <v>1991</v>
      </c>
      <c r="BE34" s="21"/>
      <c r="BF34" s="12"/>
      <c r="BG34" s="43"/>
      <c r="BH34" s="12"/>
    </row>
    <row r="35" spans="1:60" s="3" customFormat="1" ht="14.4" x14ac:dyDescent="0.3">
      <c r="A35" s="16" t="s">
        <v>55</v>
      </c>
      <c r="B35" s="17" t="s">
        <v>152</v>
      </c>
      <c r="C35" s="405" t="s">
        <v>153</v>
      </c>
      <c r="D35" s="405"/>
      <c r="E35" s="405"/>
      <c r="F35" s="16" t="s">
        <v>125</v>
      </c>
      <c r="G35" s="30">
        <v>4.1300000000000003E-2</v>
      </c>
      <c r="H35" s="57">
        <f>I35/G35</f>
        <v>154977.72397094427</v>
      </c>
      <c r="I35" s="19">
        <f>27610.57-K35</f>
        <v>6400.5799999999981</v>
      </c>
      <c r="J35" s="19">
        <f>K35/G35</f>
        <v>513559.07990314771</v>
      </c>
      <c r="K35" s="19">
        <v>21209.99</v>
      </c>
      <c r="BC35" s="14"/>
      <c r="BD35" s="15"/>
      <c r="BE35" s="21" t="s">
        <v>153</v>
      </c>
      <c r="BF35" s="12"/>
      <c r="BG35" s="43"/>
      <c r="BH35" s="12"/>
    </row>
    <row r="36" spans="1:60" s="3" customFormat="1" ht="20.399999999999999" x14ac:dyDescent="0.3">
      <c r="A36" s="25"/>
      <c r="B36" s="26" t="s">
        <v>154</v>
      </c>
      <c r="C36" s="419" t="s">
        <v>155</v>
      </c>
      <c r="D36" s="419"/>
      <c r="E36" s="419"/>
      <c r="F36" s="27" t="s">
        <v>46</v>
      </c>
      <c r="G36" s="22" t="s">
        <v>1992</v>
      </c>
      <c r="H36" s="58"/>
      <c r="I36" s="28"/>
      <c r="J36" s="28"/>
      <c r="K36" s="29"/>
      <c r="BC36" s="14"/>
      <c r="BD36" s="15"/>
      <c r="BE36" s="21"/>
      <c r="BF36" s="12" t="s">
        <v>155</v>
      </c>
      <c r="BG36" s="43"/>
      <c r="BH36" s="12"/>
    </row>
    <row r="37" spans="1:60" s="3" customFormat="1" ht="20.399999999999999" x14ac:dyDescent="0.3">
      <c r="A37" s="25"/>
      <c r="B37" s="26" t="s">
        <v>156</v>
      </c>
      <c r="C37" s="419" t="s">
        <v>157</v>
      </c>
      <c r="D37" s="419"/>
      <c r="E37" s="419"/>
      <c r="F37" s="27" t="s">
        <v>158</v>
      </c>
      <c r="G37" s="22" t="s">
        <v>1993</v>
      </c>
      <c r="H37" s="58"/>
      <c r="I37" s="28"/>
      <c r="J37" s="28"/>
      <c r="K37" s="29"/>
      <c r="BC37" s="14"/>
      <c r="BD37" s="15"/>
      <c r="BE37" s="21"/>
      <c r="BF37" s="12" t="s">
        <v>157</v>
      </c>
      <c r="BG37" s="43"/>
      <c r="BH37" s="12"/>
    </row>
    <row r="38" spans="1:60" s="3" customFormat="1" ht="20.399999999999999" x14ac:dyDescent="0.3">
      <c r="A38" s="37" t="s">
        <v>143</v>
      </c>
      <c r="B38" s="38" t="s">
        <v>159</v>
      </c>
      <c r="C38" s="430" t="s">
        <v>160</v>
      </c>
      <c r="D38" s="430"/>
      <c r="E38" s="430"/>
      <c r="F38" s="39" t="s">
        <v>46</v>
      </c>
      <c r="G38" s="40" t="s">
        <v>1994</v>
      </c>
      <c r="H38" s="100"/>
      <c r="I38" s="41"/>
      <c r="J38" s="41"/>
      <c r="K38" s="42"/>
      <c r="BC38" s="14"/>
      <c r="BD38" s="15"/>
      <c r="BE38" s="21"/>
      <c r="BF38" s="12"/>
      <c r="BG38" s="43" t="s">
        <v>160</v>
      </c>
      <c r="BH38" s="12"/>
    </row>
    <row r="39" spans="1:60" s="3" customFormat="1" ht="21.6" x14ac:dyDescent="0.3">
      <c r="A39" s="25" t="s">
        <v>129</v>
      </c>
      <c r="B39" s="26" t="s">
        <v>1995</v>
      </c>
      <c r="C39" s="419" t="s">
        <v>1996</v>
      </c>
      <c r="D39" s="419"/>
      <c r="E39" s="419"/>
      <c r="F39" s="27" t="s">
        <v>46</v>
      </c>
      <c r="G39" s="22" t="s">
        <v>1994</v>
      </c>
      <c r="H39" s="57"/>
      <c r="I39" s="28"/>
      <c r="J39" s="19"/>
      <c r="K39" s="29"/>
      <c r="BC39" s="14"/>
      <c r="BD39" s="15"/>
      <c r="BE39" s="21"/>
      <c r="BF39" s="12"/>
      <c r="BG39" s="43"/>
      <c r="BH39" s="12" t="s">
        <v>1996</v>
      </c>
    </row>
    <row r="40" spans="1:60" s="3" customFormat="1" ht="15" customHeight="1" x14ac:dyDescent="0.3">
      <c r="A40" s="437" t="s">
        <v>1997</v>
      </c>
      <c r="B40" s="418"/>
      <c r="C40" s="418"/>
      <c r="D40" s="418"/>
      <c r="E40" s="418"/>
      <c r="F40" s="418"/>
      <c r="G40" s="418"/>
      <c r="H40" s="154"/>
      <c r="I40" s="154"/>
      <c r="J40" s="154"/>
      <c r="K40" s="155"/>
      <c r="BC40" s="14"/>
      <c r="BD40" s="15" t="s">
        <v>1997</v>
      </c>
      <c r="BE40" s="21"/>
      <c r="BF40" s="12"/>
      <c r="BG40" s="43"/>
      <c r="BH40" s="12"/>
    </row>
    <row r="41" spans="1:60" s="3" customFormat="1" ht="42" x14ac:dyDescent="0.3">
      <c r="A41" s="16" t="s">
        <v>56</v>
      </c>
      <c r="B41" s="17" t="s">
        <v>1998</v>
      </c>
      <c r="C41" s="405" t="s">
        <v>1999</v>
      </c>
      <c r="D41" s="405"/>
      <c r="E41" s="405"/>
      <c r="F41" s="16" t="s">
        <v>329</v>
      </c>
      <c r="G41" s="30">
        <v>0.80610000000000004</v>
      </c>
      <c r="H41" s="57">
        <f>I41/G41</f>
        <v>55469.482694454775</v>
      </c>
      <c r="I41" s="19">
        <f>118833.2-K41</f>
        <v>44713.95</v>
      </c>
      <c r="J41" s="19">
        <f>K41/G41</f>
        <v>91947.959310259263</v>
      </c>
      <c r="K41" s="19">
        <v>74119.25</v>
      </c>
      <c r="BC41" s="14"/>
      <c r="BD41" s="15"/>
      <c r="BE41" s="21" t="s">
        <v>1999</v>
      </c>
      <c r="BF41" s="12"/>
      <c r="BG41" s="43"/>
      <c r="BH41" s="12"/>
    </row>
    <row r="42" spans="1:60" s="3" customFormat="1" ht="20.399999999999999" x14ac:dyDescent="0.3">
      <c r="A42" s="37" t="s">
        <v>143</v>
      </c>
      <c r="B42" s="38" t="s">
        <v>330</v>
      </c>
      <c r="C42" s="430" t="s">
        <v>331</v>
      </c>
      <c r="D42" s="430"/>
      <c r="E42" s="430"/>
      <c r="F42" s="39" t="s">
        <v>70</v>
      </c>
      <c r="G42" s="40" t="s">
        <v>2000</v>
      </c>
      <c r="H42" s="100"/>
      <c r="I42" s="41"/>
      <c r="J42" s="41"/>
      <c r="K42" s="42"/>
      <c r="BC42" s="14"/>
      <c r="BD42" s="15"/>
      <c r="BE42" s="21"/>
      <c r="BF42" s="12"/>
      <c r="BG42" s="43" t="s">
        <v>331</v>
      </c>
      <c r="BH42" s="12"/>
    </row>
    <row r="43" spans="1:60" s="3" customFormat="1" ht="20.399999999999999" x14ac:dyDescent="0.3">
      <c r="A43" s="37" t="s">
        <v>143</v>
      </c>
      <c r="B43" s="38" t="s">
        <v>333</v>
      </c>
      <c r="C43" s="430" t="s">
        <v>334</v>
      </c>
      <c r="D43" s="430"/>
      <c r="E43" s="430"/>
      <c r="F43" s="39" t="s">
        <v>70</v>
      </c>
      <c r="G43" s="40" t="s">
        <v>2001</v>
      </c>
      <c r="H43" s="100"/>
      <c r="I43" s="41"/>
      <c r="J43" s="41"/>
      <c r="K43" s="42"/>
      <c r="BC43" s="14"/>
      <c r="BD43" s="15"/>
      <c r="BE43" s="21"/>
      <c r="BF43" s="12"/>
      <c r="BG43" s="43" t="s">
        <v>334</v>
      </c>
      <c r="BH43" s="12"/>
    </row>
    <row r="44" spans="1:60" s="3" customFormat="1" ht="20.399999999999999" x14ac:dyDescent="0.3">
      <c r="A44" s="25"/>
      <c r="B44" s="26" t="s">
        <v>336</v>
      </c>
      <c r="C44" s="419" t="s">
        <v>337</v>
      </c>
      <c r="D44" s="419"/>
      <c r="E44" s="419"/>
      <c r="F44" s="27" t="s">
        <v>70</v>
      </c>
      <c r="G44" s="22" t="s">
        <v>2002</v>
      </c>
      <c r="H44" s="58"/>
      <c r="I44" s="28"/>
      <c r="J44" s="28"/>
      <c r="K44" s="29"/>
      <c r="BC44" s="14"/>
      <c r="BD44" s="15"/>
      <c r="BE44" s="21"/>
      <c r="BF44" s="12" t="s">
        <v>337</v>
      </c>
      <c r="BG44" s="43"/>
      <c r="BH44" s="12"/>
    </row>
    <row r="45" spans="1:60" s="3" customFormat="1" ht="20.399999999999999" x14ac:dyDescent="0.3">
      <c r="A45" s="37" t="s">
        <v>143</v>
      </c>
      <c r="B45" s="38" t="s">
        <v>2003</v>
      </c>
      <c r="C45" s="430" t="s">
        <v>2004</v>
      </c>
      <c r="D45" s="430"/>
      <c r="E45" s="430"/>
      <c r="F45" s="39" t="s">
        <v>158</v>
      </c>
      <c r="G45" s="40" t="s">
        <v>2005</v>
      </c>
      <c r="H45" s="100"/>
      <c r="I45" s="41"/>
      <c r="J45" s="41"/>
      <c r="K45" s="42"/>
      <c r="BC45" s="14"/>
      <c r="BD45" s="15"/>
      <c r="BE45" s="21"/>
      <c r="BF45" s="12"/>
      <c r="BG45" s="43" t="s">
        <v>2004</v>
      </c>
      <c r="BH45" s="12"/>
    </row>
    <row r="46" spans="1:60" s="3" customFormat="1" ht="52.2" x14ac:dyDescent="0.3">
      <c r="A46" s="25" t="s">
        <v>129</v>
      </c>
      <c r="B46" s="26" t="s">
        <v>2006</v>
      </c>
      <c r="C46" s="419" t="s">
        <v>2007</v>
      </c>
      <c r="D46" s="419"/>
      <c r="E46" s="419"/>
      <c r="F46" s="27" t="s">
        <v>158</v>
      </c>
      <c r="G46" s="22" t="s">
        <v>2005</v>
      </c>
      <c r="H46" s="57"/>
      <c r="I46" s="28"/>
      <c r="J46" s="19"/>
      <c r="K46" s="29"/>
      <c r="BC46" s="14"/>
      <c r="BD46" s="15"/>
      <c r="BE46" s="21"/>
      <c r="BF46" s="12"/>
      <c r="BG46" s="43"/>
      <c r="BH46" s="12" t="s">
        <v>2007</v>
      </c>
    </row>
    <row r="47" spans="1:60" s="3" customFormat="1" ht="20.399999999999999" x14ac:dyDescent="0.3">
      <c r="A47" s="25" t="s">
        <v>129</v>
      </c>
      <c r="B47" s="26" t="s">
        <v>342</v>
      </c>
      <c r="C47" s="419" t="s">
        <v>343</v>
      </c>
      <c r="D47" s="419"/>
      <c r="E47" s="419"/>
      <c r="F47" s="27" t="s">
        <v>70</v>
      </c>
      <c r="G47" s="22" t="s">
        <v>2001</v>
      </c>
      <c r="H47" s="57"/>
      <c r="I47" s="28"/>
      <c r="J47" s="19"/>
      <c r="K47" s="29"/>
      <c r="BC47" s="14"/>
      <c r="BD47" s="15"/>
      <c r="BE47" s="21"/>
      <c r="BF47" s="12"/>
      <c r="BG47" s="43"/>
      <c r="BH47" s="12" t="s">
        <v>343</v>
      </c>
    </row>
    <row r="48" spans="1:60" s="3" customFormat="1" ht="20.399999999999999" x14ac:dyDescent="0.3">
      <c r="A48" s="25" t="s">
        <v>129</v>
      </c>
      <c r="B48" s="26" t="s">
        <v>344</v>
      </c>
      <c r="C48" s="419" t="s">
        <v>345</v>
      </c>
      <c r="D48" s="419"/>
      <c r="E48" s="419"/>
      <c r="F48" s="27" t="s">
        <v>70</v>
      </c>
      <c r="G48" s="22" t="s">
        <v>2000</v>
      </c>
      <c r="H48" s="57"/>
      <c r="I48" s="28"/>
      <c r="J48" s="19"/>
      <c r="K48" s="29"/>
      <c r="BC48" s="14"/>
      <c r="BD48" s="15"/>
      <c r="BE48" s="21"/>
      <c r="BF48" s="12"/>
      <c r="BG48" s="43"/>
      <c r="BH48" s="12" t="s">
        <v>345</v>
      </c>
    </row>
    <row r="49" spans="1:60" s="3" customFormat="1" ht="15" customHeight="1" x14ac:dyDescent="0.3">
      <c r="A49" s="437" t="s">
        <v>2008</v>
      </c>
      <c r="B49" s="418"/>
      <c r="C49" s="418"/>
      <c r="D49" s="418"/>
      <c r="E49" s="418"/>
      <c r="F49" s="418"/>
      <c r="G49" s="418"/>
      <c r="H49" s="154"/>
      <c r="I49" s="154"/>
      <c r="J49" s="154"/>
      <c r="K49" s="155"/>
      <c r="BC49" s="14"/>
      <c r="BD49" s="15" t="s">
        <v>2008</v>
      </c>
      <c r="BE49" s="21"/>
      <c r="BF49" s="12"/>
      <c r="BG49" s="43"/>
      <c r="BH49" s="12"/>
    </row>
    <row r="50" spans="1:60" s="3" customFormat="1" ht="31.8" x14ac:dyDescent="0.3">
      <c r="A50" s="16" t="s">
        <v>166</v>
      </c>
      <c r="B50" s="17" t="s">
        <v>2009</v>
      </c>
      <c r="C50" s="405" t="s">
        <v>2010</v>
      </c>
      <c r="D50" s="405"/>
      <c r="E50" s="405"/>
      <c r="F50" s="16" t="s">
        <v>46</v>
      </c>
      <c r="G50" s="18">
        <v>2.161</v>
      </c>
      <c r="H50" s="57">
        <f>I50/G50</f>
        <v>10131.559463211477</v>
      </c>
      <c r="I50" s="19">
        <f>52911.94-K50</f>
        <v>21894.300000000003</v>
      </c>
      <c r="J50" s="19">
        <f>K50/G50</f>
        <v>14353.373438223045</v>
      </c>
      <c r="K50" s="19">
        <v>31017.64</v>
      </c>
      <c r="BC50" s="14"/>
      <c r="BD50" s="15"/>
      <c r="BE50" s="21" t="s">
        <v>2010</v>
      </c>
      <c r="BF50" s="12"/>
      <c r="BG50" s="43"/>
      <c r="BH50" s="12"/>
    </row>
    <row r="51" spans="1:60" s="3" customFormat="1" ht="20.399999999999999" x14ac:dyDescent="0.3">
      <c r="A51" s="37" t="s">
        <v>143</v>
      </c>
      <c r="B51" s="38" t="s">
        <v>2011</v>
      </c>
      <c r="C51" s="430" t="s">
        <v>2012</v>
      </c>
      <c r="D51" s="430"/>
      <c r="E51" s="430"/>
      <c r="F51" s="39" t="s">
        <v>46</v>
      </c>
      <c r="G51" s="40" t="s">
        <v>2013</v>
      </c>
      <c r="H51" s="100"/>
      <c r="I51" s="41"/>
      <c r="J51" s="41"/>
      <c r="K51" s="42"/>
      <c r="BC51" s="14"/>
      <c r="BD51" s="15"/>
      <c r="BE51" s="21"/>
      <c r="BF51" s="12"/>
      <c r="BG51" s="43" t="s">
        <v>2012</v>
      </c>
      <c r="BH51" s="12"/>
    </row>
    <row r="52" spans="1:60" s="3" customFormat="1" ht="21.6" x14ac:dyDescent="0.3">
      <c r="A52" s="25" t="s">
        <v>129</v>
      </c>
      <c r="B52" s="26" t="s">
        <v>2014</v>
      </c>
      <c r="C52" s="419" t="s">
        <v>2015</v>
      </c>
      <c r="D52" s="419"/>
      <c r="E52" s="419"/>
      <c r="F52" s="27" t="s">
        <v>46</v>
      </c>
      <c r="G52" s="22" t="s">
        <v>2013</v>
      </c>
      <c r="H52" s="57"/>
      <c r="I52" s="28"/>
      <c r="J52" s="19"/>
      <c r="K52" s="29"/>
      <c r="BC52" s="14"/>
      <c r="BD52" s="15"/>
      <c r="BE52" s="21"/>
      <c r="BF52" s="12"/>
      <c r="BG52" s="43"/>
      <c r="BH52" s="12" t="s">
        <v>2015</v>
      </c>
    </row>
    <row r="53" spans="1:60" s="3" customFormat="1" ht="15" customHeight="1" x14ac:dyDescent="0.3">
      <c r="A53" s="437" t="s">
        <v>2016</v>
      </c>
      <c r="B53" s="418"/>
      <c r="C53" s="418"/>
      <c r="D53" s="418"/>
      <c r="E53" s="418"/>
      <c r="F53" s="418"/>
      <c r="G53" s="418"/>
      <c r="H53" s="154"/>
      <c r="I53" s="154"/>
      <c r="J53" s="154"/>
      <c r="K53" s="155"/>
      <c r="BC53" s="14"/>
      <c r="BD53" s="15" t="s">
        <v>2016</v>
      </c>
      <c r="BE53" s="21"/>
      <c r="BF53" s="12"/>
      <c r="BG53" s="43"/>
      <c r="BH53" s="12"/>
    </row>
    <row r="54" spans="1:60" s="3" customFormat="1" ht="21.6" x14ac:dyDescent="0.3">
      <c r="A54" s="16" t="s">
        <v>169</v>
      </c>
      <c r="B54" s="17" t="s">
        <v>273</v>
      </c>
      <c r="C54" s="405" t="s">
        <v>274</v>
      </c>
      <c r="D54" s="405"/>
      <c r="E54" s="405"/>
      <c r="F54" s="16" t="s">
        <v>125</v>
      </c>
      <c r="G54" s="30">
        <v>0.14549999999999999</v>
      </c>
      <c r="H54" s="57">
        <f>I54/G54</f>
        <v>229999.51890034365</v>
      </c>
      <c r="I54" s="19">
        <f>34093.86-K54</f>
        <v>33464.93</v>
      </c>
      <c r="J54" s="19">
        <f>K54/G54</f>
        <v>4322.5429553264603</v>
      </c>
      <c r="K54" s="19">
        <v>628.92999999999995</v>
      </c>
      <c r="BC54" s="14"/>
      <c r="BD54" s="15"/>
      <c r="BE54" s="21" t="s">
        <v>274</v>
      </c>
      <c r="BF54" s="12"/>
      <c r="BG54" s="43"/>
      <c r="BH54" s="12"/>
    </row>
    <row r="55" spans="1:60" s="3" customFormat="1" ht="20.399999999999999" x14ac:dyDescent="0.3">
      <c r="A55" s="25"/>
      <c r="B55" s="26" t="s">
        <v>154</v>
      </c>
      <c r="C55" s="419" t="s">
        <v>155</v>
      </c>
      <c r="D55" s="419"/>
      <c r="E55" s="419"/>
      <c r="F55" s="27" t="s">
        <v>46</v>
      </c>
      <c r="G55" s="22" t="s">
        <v>2017</v>
      </c>
      <c r="H55" s="58"/>
      <c r="I55" s="28"/>
      <c r="J55" s="28"/>
      <c r="K55" s="29"/>
      <c r="BC55" s="14"/>
      <c r="BD55" s="15"/>
      <c r="BE55" s="21"/>
      <c r="BF55" s="12" t="s">
        <v>155</v>
      </c>
      <c r="BG55" s="43"/>
      <c r="BH55" s="12"/>
    </row>
    <row r="56" spans="1:60" s="3" customFormat="1" ht="20.399999999999999" x14ac:dyDescent="0.3">
      <c r="A56" s="25"/>
      <c r="B56" s="26" t="s">
        <v>156</v>
      </c>
      <c r="C56" s="419" t="s">
        <v>157</v>
      </c>
      <c r="D56" s="419"/>
      <c r="E56" s="419"/>
      <c r="F56" s="27" t="s">
        <v>158</v>
      </c>
      <c r="G56" s="22" t="s">
        <v>2018</v>
      </c>
      <c r="H56" s="58"/>
      <c r="I56" s="28"/>
      <c r="J56" s="28"/>
      <c r="K56" s="29"/>
      <c r="BC56" s="14"/>
      <c r="BD56" s="15"/>
      <c r="BE56" s="21"/>
      <c r="BF56" s="12" t="s">
        <v>157</v>
      </c>
      <c r="BG56" s="43"/>
      <c r="BH56" s="12"/>
    </row>
    <row r="57" spans="1:60" s="3" customFormat="1" ht="20.399999999999999" x14ac:dyDescent="0.3">
      <c r="A57" s="25"/>
      <c r="B57" s="26" t="s">
        <v>277</v>
      </c>
      <c r="C57" s="419" t="s">
        <v>278</v>
      </c>
      <c r="D57" s="419"/>
      <c r="E57" s="419"/>
      <c r="F57" s="27" t="s">
        <v>70</v>
      </c>
      <c r="G57" s="22" t="s">
        <v>2019</v>
      </c>
      <c r="H57" s="58"/>
      <c r="I57" s="28"/>
      <c r="J57" s="28"/>
      <c r="K57" s="29"/>
      <c r="BC57" s="14"/>
      <c r="BD57" s="15"/>
      <c r="BE57" s="21"/>
      <c r="BF57" s="12" t="s">
        <v>278</v>
      </c>
      <c r="BG57" s="43"/>
      <c r="BH57" s="12"/>
    </row>
    <row r="58" spans="1:60" s="3" customFormat="1" ht="20.399999999999999" x14ac:dyDescent="0.3">
      <c r="A58" s="25"/>
      <c r="B58" s="26" t="s">
        <v>76</v>
      </c>
      <c r="C58" s="419" t="s">
        <v>77</v>
      </c>
      <c r="D58" s="419"/>
      <c r="E58" s="419"/>
      <c r="F58" s="27" t="s">
        <v>70</v>
      </c>
      <c r="G58" s="22" t="s">
        <v>2020</v>
      </c>
      <c r="H58" s="58"/>
      <c r="I58" s="28"/>
      <c r="J58" s="28"/>
      <c r="K58" s="29"/>
      <c r="BC58" s="14"/>
      <c r="BD58" s="15"/>
      <c r="BE58" s="21"/>
      <c r="BF58" s="12" t="s">
        <v>77</v>
      </c>
      <c r="BG58" s="43"/>
      <c r="BH58" s="12"/>
    </row>
    <row r="59" spans="1:60" s="3" customFormat="1" ht="21.6" x14ac:dyDescent="0.3">
      <c r="A59" s="25"/>
      <c r="B59" s="26" t="s">
        <v>281</v>
      </c>
      <c r="C59" s="419" t="s">
        <v>282</v>
      </c>
      <c r="D59" s="419"/>
      <c r="E59" s="419"/>
      <c r="F59" s="27" t="s">
        <v>70</v>
      </c>
      <c r="G59" s="22" t="s">
        <v>2021</v>
      </c>
      <c r="H59" s="58"/>
      <c r="I59" s="28"/>
      <c r="J59" s="28"/>
      <c r="K59" s="29"/>
      <c r="BC59" s="14"/>
      <c r="BD59" s="15"/>
      <c r="BE59" s="21"/>
      <c r="BF59" s="12" t="s">
        <v>282</v>
      </c>
      <c r="BG59" s="43"/>
      <c r="BH59" s="12"/>
    </row>
    <row r="60" spans="1:60" s="3" customFormat="1" ht="20.399999999999999" x14ac:dyDescent="0.3">
      <c r="A60" s="37" t="s">
        <v>143</v>
      </c>
      <c r="B60" s="38" t="s">
        <v>159</v>
      </c>
      <c r="C60" s="430" t="s">
        <v>160</v>
      </c>
      <c r="D60" s="430"/>
      <c r="E60" s="430"/>
      <c r="F60" s="39" t="s">
        <v>46</v>
      </c>
      <c r="G60" s="40" t="s">
        <v>2022</v>
      </c>
      <c r="H60" s="100"/>
      <c r="I60" s="41"/>
      <c r="J60" s="41"/>
      <c r="K60" s="42"/>
      <c r="BC60" s="14"/>
      <c r="BD60" s="15"/>
      <c r="BE60" s="21"/>
      <c r="BF60" s="12"/>
      <c r="BG60" s="43" t="s">
        <v>160</v>
      </c>
      <c r="BH60" s="12"/>
    </row>
    <row r="61" spans="1:60" s="3" customFormat="1" ht="21.6" x14ac:dyDescent="0.3">
      <c r="A61" s="25"/>
      <c r="B61" s="26" t="s">
        <v>285</v>
      </c>
      <c r="C61" s="419" t="s">
        <v>286</v>
      </c>
      <c r="D61" s="419"/>
      <c r="E61" s="419"/>
      <c r="F61" s="27" t="s">
        <v>70</v>
      </c>
      <c r="G61" s="22" t="s">
        <v>2023</v>
      </c>
      <c r="H61" s="58"/>
      <c r="I61" s="28"/>
      <c r="J61" s="28"/>
      <c r="K61" s="29"/>
      <c r="BC61" s="14"/>
      <c r="BD61" s="15"/>
      <c r="BE61" s="21"/>
      <c r="BF61" s="12" t="s">
        <v>286</v>
      </c>
      <c r="BG61" s="43"/>
      <c r="BH61" s="12"/>
    </row>
    <row r="62" spans="1:60" s="3" customFormat="1" ht="20.399999999999999" x14ac:dyDescent="0.3">
      <c r="A62" s="37" t="s">
        <v>143</v>
      </c>
      <c r="B62" s="38" t="s">
        <v>288</v>
      </c>
      <c r="C62" s="430" t="s">
        <v>289</v>
      </c>
      <c r="D62" s="430"/>
      <c r="E62" s="430"/>
      <c r="F62" s="39" t="s">
        <v>70</v>
      </c>
      <c r="G62" s="40" t="s">
        <v>2024</v>
      </c>
      <c r="H62" s="100"/>
      <c r="I62" s="41"/>
      <c r="J62" s="41"/>
      <c r="K62" s="42"/>
      <c r="BC62" s="14"/>
      <c r="BD62" s="15"/>
      <c r="BE62" s="21"/>
      <c r="BF62" s="12"/>
      <c r="BG62" s="43" t="s">
        <v>289</v>
      </c>
      <c r="BH62" s="12"/>
    </row>
    <row r="63" spans="1:60" s="3" customFormat="1" ht="31.8" x14ac:dyDescent="0.3">
      <c r="A63" s="25"/>
      <c r="B63" s="26" t="s">
        <v>291</v>
      </c>
      <c r="C63" s="419" t="s">
        <v>292</v>
      </c>
      <c r="D63" s="419"/>
      <c r="E63" s="419"/>
      <c r="F63" s="27" t="s">
        <v>46</v>
      </c>
      <c r="G63" s="22" t="s">
        <v>2025</v>
      </c>
      <c r="H63" s="58"/>
      <c r="I63" s="28"/>
      <c r="J63" s="28"/>
      <c r="K63" s="29"/>
      <c r="BC63" s="14"/>
      <c r="BD63" s="15"/>
      <c r="BE63" s="21"/>
      <c r="BF63" s="12" t="s">
        <v>292</v>
      </c>
      <c r="BG63" s="43"/>
      <c r="BH63" s="12"/>
    </row>
    <row r="64" spans="1:60" s="3" customFormat="1" ht="20.399999999999999" x14ac:dyDescent="0.3">
      <c r="A64" s="25"/>
      <c r="B64" s="26" t="s">
        <v>294</v>
      </c>
      <c r="C64" s="419" t="s">
        <v>295</v>
      </c>
      <c r="D64" s="419"/>
      <c r="E64" s="419"/>
      <c r="F64" s="27" t="s">
        <v>158</v>
      </c>
      <c r="G64" s="22" t="s">
        <v>2026</v>
      </c>
      <c r="H64" s="58"/>
      <c r="I64" s="28"/>
      <c r="J64" s="28"/>
      <c r="K64" s="29"/>
      <c r="BC64" s="14"/>
      <c r="BD64" s="15"/>
      <c r="BE64" s="21"/>
      <c r="BF64" s="12" t="s">
        <v>295</v>
      </c>
      <c r="BG64" s="43"/>
      <c r="BH64" s="12"/>
    </row>
    <row r="65" spans="1:60" s="3" customFormat="1" ht="31.8" x14ac:dyDescent="0.3">
      <c r="A65" s="16" t="s">
        <v>170</v>
      </c>
      <c r="B65" s="17" t="s">
        <v>2027</v>
      </c>
      <c r="C65" s="405" t="s">
        <v>2028</v>
      </c>
      <c r="D65" s="405"/>
      <c r="E65" s="405"/>
      <c r="F65" s="16" t="s">
        <v>311</v>
      </c>
      <c r="G65" s="31">
        <v>14.55</v>
      </c>
      <c r="H65" s="57">
        <f t="shared" ref="H65:H73" si="0">I65/G65</f>
        <v>0</v>
      </c>
      <c r="I65" s="19">
        <v>0</v>
      </c>
      <c r="J65" s="19">
        <f t="shared" ref="J65:J73" si="1">K65/G65</f>
        <v>64.250859106529205</v>
      </c>
      <c r="K65" s="19">
        <v>934.85</v>
      </c>
      <c r="BC65" s="14"/>
      <c r="BD65" s="15"/>
      <c r="BE65" s="21" t="s">
        <v>2028</v>
      </c>
      <c r="BF65" s="12"/>
      <c r="BG65" s="43"/>
      <c r="BH65" s="12"/>
    </row>
    <row r="66" spans="1:60" s="3" customFormat="1" ht="31.8" x14ac:dyDescent="0.3">
      <c r="A66" s="16" t="s">
        <v>173</v>
      </c>
      <c r="B66" s="17" t="s">
        <v>2029</v>
      </c>
      <c r="C66" s="405" t="s">
        <v>2030</v>
      </c>
      <c r="D66" s="405"/>
      <c r="E66" s="405"/>
      <c r="F66" s="16" t="s">
        <v>311</v>
      </c>
      <c r="G66" s="31">
        <v>14.55</v>
      </c>
      <c r="H66" s="57">
        <f t="shared" si="0"/>
        <v>0</v>
      </c>
      <c r="I66" s="19">
        <v>0</v>
      </c>
      <c r="J66" s="19">
        <f t="shared" si="1"/>
        <v>192.66460481099656</v>
      </c>
      <c r="K66" s="19">
        <v>2803.27</v>
      </c>
      <c r="BC66" s="14"/>
      <c r="BD66" s="15"/>
      <c r="BE66" s="21" t="s">
        <v>2030</v>
      </c>
      <c r="BF66" s="12"/>
      <c r="BG66" s="43"/>
      <c r="BH66" s="12"/>
    </row>
    <row r="67" spans="1:60" s="3" customFormat="1" ht="21.6" x14ac:dyDescent="0.3">
      <c r="A67" s="16" t="s">
        <v>176</v>
      </c>
      <c r="B67" s="17" t="s">
        <v>2031</v>
      </c>
      <c r="C67" s="405" t="s">
        <v>2032</v>
      </c>
      <c r="D67" s="405"/>
      <c r="E67" s="405"/>
      <c r="F67" s="16" t="s">
        <v>46</v>
      </c>
      <c r="G67" s="44">
        <v>14.76825</v>
      </c>
      <c r="H67" s="57">
        <f t="shared" si="0"/>
        <v>0</v>
      </c>
      <c r="I67" s="19">
        <v>0</v>
      </c>
      <c r="J67" s="19">
        <f t="shared" si="1"/>
        <v>6422.356745044267</v>
      </c>
      <c r="K67" s="19">
        <v>94846.97</v>
      </c>
      <c r="BC67" s="14"/>
      <c r="BD67" s="15"/>
      <c r="BE67" s="21" t="s">
        <v>2032</v>
      </c>
      <c r="BF67" s="12"/>
      <c r="BG67" s="43"/>
      <c r="BH67" s="12"/>
    </row>
    <row r="68" spans="1:60" s="3" customFormat="1" ht="21.6" x14ac:dyDescent="0.3">
      <c r="A68" s="16" t="s">
        <v>177</v>
      </c>
      <c r="B68" s="17" t="s">
        <v>2033</v>
      </c>
      <c r="C68" s="405" t="s">
        <v>2034</v>
      </c>
      <c r="D68" s="405"/>
      <c r="E68" s="405"/>
      <c r="F68" s="16" t="s">
        <v>70</v>
      </c>
      <c r="G68" s="44">
        <v>1.1560600000000001</v>
      </c>
      <c r="H68" s="57">
        <f t="shared" si="0"/>
        <v>0</v>
      </c>
      <c r="I68" s="19">
        <v>0</v>
      </c>
      <c r="J68" s="19">
        <f t="shared" si="1"/>
        <v>49423.533380620378</v>
      </c>
      <c r="K68" s="19">
        <v>57136.57</v>
      </c>
      <c r="BC68" s="14"/>
      <c r="BD68" s="15"/>
      <c r="BE68" s="21" t="s">
        <v>2034</v>
      </c>
      <c r="BF68" s="12"/>
      <c r="BG68" s="43"/>
      <c r="BH68" s="12"/>
    </row>
    <row r="69" spans="1:60" s="3" customFormat="1" ht="21.6" x14ac:dyDescent="0.3">
      <c r="A69" s="16" t="s">
        <v>180</v>
      </c>
      <c r="B69" s="17" t="s">
        <v>2035</v>
      </c>
      <c r="C69" s="405" t="s">
        <v>2036</v>
      </c>
      <c r="D69" s="405"/>
      <c r="E69" s="405"/>
      <c r="F69" s="16" t="s">
        <v>70</v>
      </c>
      <c r="G69" s="44">
        <v>0.14052000000000001</v>
      </c>
      <c r="H69" s="57">
        <f t="shared" si="0"/>
        <v>0</v>
      </c>
      <c r="I69" s="19">
        <v>0</v>
      </c>
      <c r="J69" s="19">
        <f t="shared" si="1"/>
        <v>51354.540278963847</v>
      </c>
      <c r="K69" s="19">
        <v>7216.34</v>
      </c>
      <c r="BC69" s="14"/>
      <c r="BD69" s="15"/>
      <c r="BE69" s="21" t="s">
        <v>2036</v>
      </c>
      <c r="BF69" s="12"/>
      <c r="BG69" s="43"/>
      <c r="BH69" s="12"/>
    </row>
    <row r="70" spans="1:60" s="3" customFormat="1" ht="21.6" x14ac:dyDescent="0.3">
      <c r="A70" s="16" t="s">
        <v>182</v>
      </c>
      <c r="B70" s="17" t="s">
        <v>2037</v>
      </c>
      <c r="C70" s="405" t="s">
        <v>2038</v>
      </c>
      <c r="D70" s="405"/>
      <c r="E70" s="405"/>
      <c r="F70" s="16" t="s">
        <v>70</v>
      </c>
      <c r="G70" s="44">
        <v>9.4969999999999999E-2</v>
      </c>
      <c r="H70" s="57">
        <f t="shared" si="0"/>
        <v>0</v>
      </c>
      <c r="I70" s="19">
        <v>0</v>
      </c>
      <c r="J70" s="19">
        <f t="shared" si="1"/>
        <v>54989.259766241972</v>
      </c>
      <c r="K70" s="19">
        <v>5222.33</v>
      </c>
      <c r="BC70" s="14"/>
      <c r="BD70" s="15"/>
      <c r="BE70" s="21" t="s">
        <v>2038</v>
      </c>
      <c r="BF70" s="12"/>
      <c r="BG70" s="43"/>
      <c r="BH70" s="12"/>
    </row>
    <row r="71" spans="1:60" s="3" customFormat="1" ht="21.6" x14ac:dyDescent="0.3">
      <c r="A71" s="16" t="s">
        <v>186</v>
      </c>
      <c r="B71" s="17" t="s">
        <v>2039</v>
      </c>
      <c r="C71" s="405" t="s">
        <v>2040</v>
      </c>
      <c r="D71" s="405"/>
      <c r="E71" s="405"/>
      <c r="F71" s="16" t="s">
        <v>70</v>
      </c>
      <c r="G71" s="44">
        <v>8.2360000000000003E-2</v>
      </c>
      <c r="H71" s="57">
        <f t="shared" si="0"/>
        <v>0</v>
      </c>
      <c r="I71" s="19">
        <v>0</v>
      </c>
      <c r="J71" s="19">
        <f t="shared" si="1"/>
        <v>59526.711996114616</v>
      </c>
      <c r="K71" s="19">
        <v>4902.62</v>
      </c>
      <c r="BC71" s="14"/>
      <c r="BD71" s="15"/>
      <c r="BE71" s="21" t="s">
        <v>2040</v>
      </c>
      <c r="BF71" s="12"/>
      <c r="BG71" s="43"/>
      <c r="BH71" s="12"/>
    </row>
    <row r="72" spans="1:60" s="3" customFormat="1" ht="21.6" x14ac:dyDescent="0.3">
      <c r="A72" s="16" t="s">
        <v>192</v>
      </c>
      <c r="B72" s="17" t="s">
        <v>2041</v>
      </c>
      <c r="C72" s="405" t="s">
        <v>2042</v>
      </c>
      <c r="D72" s="405"/>
      <c r="E72" s="405"/>
      <c r="F72" s="16" t="s">
        <v>70</v>
      </c>
      <c r="G72" s="30">
        <v>6.1999999999999998E-3</v>
      </c>
      <c r="H72" s="57">
        <f t="shared" si="0"/>
        <v>0</v>
      </c>
      <c r="I72" s="19">
        <v>0</v>
      </c>
      <c r="J72" s="19">
        <f t="shared" si="1"/>
        <v>60003.225806451614</v>
      </c>
      <c r="K72" s="19">
        <v>372.02</v>
      </c>
      <c r="BC72" s="14"/>
      <c r="BD72" s="15"/>
      <c r="BE72" s="21" t="s">
        <v>2042</v>
      </c>
      <c r="BF72" s="12"/>
      <c r="BG72" s="43"/>
      <c r="BH72" s="12"/>
    </row>
    <row r="73" spans="1:60" s="3" customFormat="1" ht="21.6" x14ac:dyDescent="0.3">
      <c r="A73" s="16" t="s">
        <v>196</v>
      </c>
      <c r="B73" s="17" t="s">
        <v>2043</v>
      </c>
      <c r="C73" s="405" t="s">
        <v>2044</v>
      </c>
      <c r="D73" s="405"/>
      <c r="E73" s="405"/>
      <c r="F73" s="16" t="s">
        <v>70</v>
      </c>
      <c r="G73" s="44">
        <v>1.081E-2</v>
      </c>
      <c r="H73" s="57">
        <f t="shared" si="0"/>
        <v>0</v>
      </c>
      <c r="I73" s="19">
        <v>0</v>
      </c>
      <c r="J73" s="19">
        <f t="shared" si="1"/>
        <v>65656.799259944499</v>
      </c>
      <c r="K73" s="19">
        <v>709.75</v>
      </c>
      <c r="BC73" s="14"/>
      <c r="BD73" s="15"/>
      <c r="BE73" s="21" t="s">
        <v>2044</v>
      </c>
      <c r="BF73" s="12"/>
      <c r="BG73" s="43"/>
      <c r="BH73" s="12"/>
    </row>
    <row r="74" spans="1:60" s="3" customFormat="1" ht="15" customHeight="1" x14ac:dyDescent="0.3">
      <c r="A74" s="437" t="s">
        <v>2045</v>
      </c>
      <c r="B74" s="418"/>
      <c r="C74" s="418"/>
      <c r="D74" s="418"/>
      <c r="E74" s="418"/>
      <c r="F74" s="418"/>
      <c r="G74" s="63"/>
      <c r="H74" s="154"/>
      <c r="I74" s="154"/>
      <c r="J74" s="154"/>
      <c r="K74" s="155"/>
      <c r="BC74" s="14"/>
      <c r="BD74" s="15" t="s">
        <v>2045</v>
      </c>
      <c r="BE74" s="21"/>
      <c r="BF74" s="12"/>
      <c r="BG74" s="43"/>
      <c r="BH74" s="12"/>
    </row>
    <row r="75" spans="1:60" s="3" customFormat="1" ht="21.6" x14ac:dyDescent="0.3">
      <c r="A75" s="16" t="s">
        <v>198</v>
      </c>
      <c r="B75" s="17" t="s">
        <v>2046</v>
      </c>
      <c r="C75" s="405" t="s">
        <v>2047</v>
      </c>
      <c r="D75" s="405"/>
      <c r="E75" s="405"/>
      <c r="F75" s="16" t="s">
        <v>70</v>
      </c>
      <c r="G75" s="44">
        <v>4.0439999999999997E-2</v>
      </c>
      <c r="H75" s="57">
        <f>I75/G75</f>
        <v>200046.73590504454</v>
      </c>
      <c r="I75" s="19">
        <f>12271.52-K75</f>
        <v>8089.89</v>
      </c>
      <c r="J75" s="19">
        <f>K75/G75</f>
        <v>103403.31355093968</v>
      </c>
      <c r="K75" s="19">
        <v>4181.63</v>
      </c>
      <c r="BC75" s="14"/>
      <c r="BD75" s="15"/>
      <c r="BE75" s="21" t="s">
        <v>2047</v>
      </c>
      <c r="BF75" s="12"/>
      <c r="BG75" s="43"/>
      <c r="BH75" s="12"/>
    </row>
    <row r="76" spans="1:60" s="3" customFormat="1" ht="20.399999999999999" x14ac:dyDescent="0.3">
      <c r="A76" s="37" t="s">
        <v>143</v>
      </c>
      <c r="B76" s="38" t="s">
        <v>2048</v>
      </c>
      <c r="C76" s="430" t="s">
        <v>2049</v>
      </c>
      <c r="D76" s="430"/>
      <c r="E76" s="430"/>
      <c r="F76" s="39" t="s">
        <v>70</v>
      </c>
      <c r="G76" s="40" t="s">
        <v>2050</v>
      </c>
      <c r="H76" s="100"/>
      <c r="I76" s="41"/>
      <c r="J76" s="41"/>
      <c r="K76" s="42"/>
      <c r="BC76" s="14"/>
      <c r="BD76" s="15"/>
      <c r="BE76" s="21"/>
      <c r="BF76" s="12"/>
      <c r="BG76" s="43" t="s">
        <v>2049</v>
      </c>
      <c r="BH76" s="12"/>
    </row>
    <row r="77" spans="1:60" s="3" customFormat="1" ht="20.399999999999999" x14ac:dyDescent="0.3">
      <c r="A77" s="25" t="s">
        <v>129</v>
      </c>
      <c r="B77" s="26" t="s">
        <v>2051</v>
      </c>
      <c r="C77" s="419" t="s">
        <v>2052</v>
      </c>
      <c r="D77" s="419"/>
      <c r="E77" s="419"/>
      <c r="F77" s="27" t="s">
        <v>70</v>
      </c>
      <c r="G77" s="22" t="s">
        <v>2050</v>
      </c>
      <c r="H77" s="57"/>
      <c r="I77" s="28">
        <v>0</v>
      </c>
      <c r="J77" s="19"/>
      <c r="K77" s="29"/>
      <c r="BC77" s="14"/>
      <c r="BD77" s="15"/>
      <c r="BE77" s="21"/>
      <c r="BF77" s="12"/>
      <c r="BG77" s="43"/>
      <c r="BH77" s="12" t="s">
        <v>2052</v>
      </c>
    </row>
    <row r="78" spans="1:60" s="3" customFormat="1" ht="15" customHeight="1" x14ac:dyDescent="0.3">
      <c r="A78" s="437" t="s">
        <v>2053</v>
      </c>
      <c r="B78" s="418"/>
      <c r="C78" s="418"/>
      <c r="D78" s="418"/>
      <c r="E78" s="418"/>
      <c r="F78" s="418"/>
      <c r="G78" s="418"/>
      <c r="H78" s="154"/>
      <c r="I78" s="154"/>
      <c r="J78" s="154"/>
      <c r="K78" s="155"/>
      <c r="BC78" s="14"/>
      <c r="BD78" s="15" t="s">
        <v>2053</v>
      </c>
      <c r="BE78" s="21"/>
      <c r="BF78" s="12"/>
      <c r="BG78" s="43"/>
      <c r="BH78" s="12"/>
    </row>
    <row r="79" spans="1:60" s="3" customFormat="1" ht="21.6" x14ac:dyDescent="0.3">
      <c r="A79" s="16" t="s">
        <v>201</v>
      </c>
      <c r="B79" s="17" t="s">
        <v>2054</v>
      </c>
      <c r="C79" s="405" t="s">
        <v>2055</v>
      </c>
      <c r="D79" s="405"/>
      <c r="E79" s="405"/>
      <c r="F79" s="16" t="s">
        <v>70</v>
      </c>
      <c r="G79" s="44">
        <v>3.8080000000000003E-2</v>
      </c>
      <c r="H79" s="57">
        <f>I79/G79</f>
        <v>49118.172268907547</v>
      </c>
      <c r="I79" s="19">
        <f>4880.36-K79</f>
        <v>1870.4199999999996</v>
      </c>
      <c r="J79" s="19">
        <f>K79/G79</f>
        <v>79042.542016806721</v>
      </c>
      <c r="K79" s="19">
        <v>3009.94</v>
      </c>
      <c r="BC79" s="14"/>
      <c r="BD79" s="15"/>
      <c r="BE79" s="21" t="s">
        <v>2055</v>
      </c>
      <c r="BF79" s="12"/>
      <c r="BG79" s="43"/>
      <c r="BH79" s="12"/>
    </row>
    <row r="80" spans="1:60" s="3" customFormat="1" ht="21.6" x14ac:dyDescent="0.3">
      <c r="A80" s="25"/>
      <c r="B80" s="26" t="s">
        <v>2056</v>
      </c>
      <c r="C80" s="419" t="s">
        <v>2057</v>
      </c>
      <c r="D80" s="419"/>
      <c r="E80" s="419"/>
      <c r="F80" s="27" t="s">
        <v>46</v>
      </c>
      <c r="G80" s="22" t="s">
        <v>2058</v>
      </c>
      <c r="H80" s="58"/>
      <c r="I80" s="28"/>
      <c r="J80" s="28"/>
      <c r="K80" s="29"/>
      <c r="BC80" s="14"/>
      <c r="BD80" s="15"/>
      <c r="BE80" s="21"/>
      <c r="BF80" s="12" t="s">
        <v>2057</v>
      </c>
      <c r="BG80" s="43"/>
      <c r="BH80" s="12"/>
    </row>
    <row r="81" spans="1:60" s="3" customFormat="1" ht="21.6" x14ac:dyDescent="0.3">
      <c r="A81" s="37" t="s">
        <v>143</v>
      </c>
      <c r="B81" s="38" t="s">
        <v>2059</v>
      </c>
      <c r="C81" s="430" t="s">
        <v>2060</v>
      </c>
      <c r="D81" s="430"/>
      <c r="E81" s="430"/>
      <c r="F81" s="39" t="s">
        <v>70</v>
      </c>
      <c r="G81" s="40" t="s">
        <v>2061</v>
      </c>
      <c r="H81" s="100"/>
      <c r="I81" s="41"/>
      <c r="J81" s="41"/>
      <c r="K81" s="42"/>
      <c r="BC81" s="14"/>
      <c r="BD81" s="15"/>
      <c r="BE81" s="21"/>
      <c r="BF81" s="12"/>
      <c r="BG81" s="43" t="s">
        <v>2060</v>
      </c>
      <c r="BH81" s="12"/>
    </row>
    <row r="82" spans="1:60" s="3" customFormat="1" ht="20.399999999999999" x14ac:dyDescent="0.3">
      <c r="A82" s="25"/>
      <c r="B82" s="26" t="s">
        <v>648</v>
      </c>
      <c r="C82" s="419" t="s">
        <v>649</v>
      </c>
      <c r="D82" s="419"/>
      <c r="E82" s="419"/>
      <c r="F82" s="27" t="s">
        <v>70</v>
      </c>
      <c r="G82" s="22" t="s">
        <v>2062</v>
      </c>
      <c r="H82" s="58"/>
      <c r="I82" s="28"/>
      <c r="J82" s="28"/>
      <c r="K82" s="29"/>
      <c r="BC82" s="14"/>
      <c r="BD82" s="15"/>
      <c r="BE82" s="21"/>
      <c r="BF82" s="12" t="s">
        <v>649</v>
      </c>
      <c r="BG82" s="43"/>
      <c r="BH82" s="12"/>
    </row>
    <row r="83" spans="1:60" s="3" customFormat="1" ht="20.399999999999999" x14ac:dyDescent="0.3">
      <c r="A83" s="25"/>
      <c r="B83" s="26" t="s">
        <v>89</v>
      </c>
      <c r="C83" s="419" t="s">
        <v>90</v>
      </c>
      <c r="D83" s="419"/>
      <c r="E83" s="419"/>
      <c r="F83" s="27" t="s">
        <v>70</v>
      </c>
      <c r="G83" s="22" t="s">
        <v>2063</v>
      </c>
      <c r="H83" s="58"/>
      <c r="I83" s="28"/>
      <c r="J83" s="28"/>
      <c r="K83" s="29"/>
      <c r="BC83" s="14"/>
      <c r="BD83" s="15"/>
      <c r="BE83" s="21"/>
      <c r="BF83" s="12" t="s">
        <v>90</v>
      </c>
      <c r="BG83" s="43"/>
      <c r="BH83" s="12"/>
    </row>
    <row r="84" spans="1:60" s="3" customFormat="1" ht="21.6" x14ac:dyDescent="0.3">
      <c r="A84" s="25" t="s">
        <v>129</v>
      </c>
      <c r="B84" s="26" t="s">
        <v>2064</v>
      </c>
      <c r="C84" s="419" t="s">
        <v>2065</v>
      </c>
      <c r="D84" s="419"/>
      <c r="E84" s="419"/>
      <c r="F84" s="27" t="s">
        <v>70</v>
      </c>
      <c r="G84" s="22" t="s">
        <v>2061</v>
      </c>
      <c r="H84" s="57"/>
      <c r="I84" s="28">
        <v>0</v>
      </c>
      <c r="J84" s="19"/>
      <c r="K84" s="29"/>
      <c r="BC84" s="14"/>
      <c r="BD84" s="15"/>
      <c r="BE84" s="21"/>
      <c r="BF84" s="12"/>
      <c r="BG84" s="43"/>
      <c r="BH84" s="12" t="s">
        <v>2065</v>
      </c>
    </row>
    <row r="85" spans="1:60" s="3" customFormat="1" ht="15" customHeight="1" x14ac:dyDescent="0.3">
      <c r="A85" s="437" t="s">
        <v>2066</v>
      </c>
      <c r="B85" s="418"/>
      <c r="C85" s="418"/>
      <c r="D85" s="418"/>
      <c r="E85" s="418"/>
      <c r="F85" s="418"/>
      <c r="G85" s="418"/>
      <c r="H85" s="154"/>
      <c r="I85" s="154"/>
      <c r="J85" s="154"/>
      <c r="K85" s="155"/>
      <c r="BC85" s="14"/>
      <c r="BD85" s="15" t="s">
        <v>2066</v>
      </c>
      <c r="BE85" s="21"/>
      <c r="BF85" s="12"/>
      <c r="BG85" s="43"/>
      <c r="BH85" s="12"/>
    </row>
    <row r="86" spans="1:60" s="3" customFormat="1" ht="21.6" x14ac:dyDescent="0.3">
      <c r="A86" s="16" t="s">
        <v>219</v>
      </c>
      <c r="B86" s="17" t="s">
        <v>2067</v>
      </c>
      <c r="C86" s="405" t="s">
        <v>2068</v>
      </c>
      <c r="D86" s="405"/>
      <c r="E86" s="405"/>
      <c r="F86" s="16" t="s">
        <v>2069</v>
      </c>
      <c r="G86" s="18">
        <v>7.1999999999999995E-2</v>
      </c>
      <c r="H86" s="57">
        <f>I86/G86</f>
        <v>122995.69444444438</v>
      </c>
      <c r="I86" s="19">
        <f>49042.63-K86</f>
        <v>8855.6899999999951</v>
      </c>
      <c r="J86" s="19">
        <f>K86/G86</f>
        <v>558151.9444444445</v>
      </c>
      <c r="K86" s="19">
        <v>40186.94</v>
      </c>
      <c r="BC86" s="14"/>
      <c r="BD86" s="15"/>
      <c r="BE86" s="21" t="s">
        <v>2068</v>
      </c>
      <c r="BF86" s="12"/>
      <c r="BG86" s="43"/>
      <c r="BH86" s="12"/>
    </row>
    <row r="87" spans="1:60" s="3" customFormat="1" ht="20.399999999999999" x14ac:dyDescent="0.3">
      <c r="A87" s="25"/>
      <c r="B87" s="26" t="s">
        <v>2070</v>
      </c>
      <c r="C87" s="419" t="s">
        <v>2071</v>
      </c>
      <c r="D87" s="419"/>
      <c r="E87" s="419"/>
      <c r="F87" s="27" t="s">
        <v>70</v>
      </c>
      <c r="G87" s="22" t="s">
        <v>2072</v>
      </c>
      <c r="H87" s="58"/>
      <c r="I87" s="28"/>
      <c r="J87" s="28"/>
      <c r="K87" s="29"/>
      <c r="BC87" s="14"/>
      <c r="BD87" s="15"/>
      <c r="BE87" s="21"/>
      <c r="BF87" s="12" t="s">
        <v>2071</v>
      </c>
      <c r="BG87" s="43"/>
      <c r="BH87" s="12"/>
    </row>
    <row r="88" spans="1:60" s="3" customFormat="1" ht="31.8" x14ac:dyDescent="0.3">
      <c r="A88" s="25"/>
      <c r="B88" s="26" t="s">
        <v>2073</v>
      </c>
      <c r="C88" s="419" t="s">
        <v>2074</v>
      </c>
      <c r="D88" s="419"/>
      <c r="E88" s="419"/>
      <c r="F88" s="27" t="s">
        <v>46</v>
      </c>
      <c r="G88" s="22" t="s">
        <v>2075</v>
      </c>
      <c r="H88" s="58"/>
      <c r="I88" s="28"/>
      <c r="J88" s="28"/>
      <c r="K88" s="29"/>
      <c r="BC88" s="14"/>
      <c r="BD88" s="15"/>
      <c r="BE88" s="21"/>
      <c r="BF88" s="12" t="s">
        <v>2074</v>
      </c>
      <c r="BG88" s="43"/>
      <c r="BH88" s="12"/>
    </row>
    <row r="89" spans="1:60" s="3" customFormat="1" ht="21.6" x14ac:dyDescent="0.3">
      <c r="A89" s="25"/>
      <c r="B89" s="26" t="s">
        <v>2076</v>
      </c>
      <c r="C89" s="419" t="s">
        <v>2077</v>
      </c>
      <c r="D89" s="419"/>
      <c r="E89" s="419"/>
      <c r="F89" s="27" t="s">
        <v>115</v>
      </c>
      <c r="G89" s="22" t="s">
        <v>2078</v>
      </c>
      <c r="H89" s="58"/>
      <c r="I89" s="28"/>
      <c r="J89" s="28"/>
      <c r="K89" s="29"/>
      <c r="BC89" s="14"/>
      <c r="BD89" s="15"/>
      <c r="BE89" s="21"/>
      <c r="BF89" s="12" t="s">
        <v>2077</v>
      </c>
      <c r="BG89" s="43"/>
      <c r="BH89" s="12"/>
    </row>
    <row r="90" spans="1:60" s="3" customFormat="1" ht="15" customHeight="1" x14ac:dyDescent="0.3">
      <c r="A90" s="437" t="s">
        <v>2079</v>
      </c>
      <c r="B90" s="418"/>
      <c r="C90" s="418"/>
      <c r="D90" s="418"/>
      <c r="E90" s="418"/>
      <c r="F90" s="418"/>
      <c r="G90" s="418"/>
      <c r="H90" s="154"/>
      <c r="I90" s="154"/>
      <c r="J90" s="154"/>
      <c r="K90" s="155"/>
      <c r="BC90" s="14"/>
      <c r="BD90" s="15" t="s">
        <v>2079</v>
      </c>
      <c r="BE90" s="21"/>
      <c r="BF90" s="12"/>
      <c r="BG90" s="43"/>
      <c r="BH90" s="12"/>
    </row>
    <row r="91" spans="1:60" s="3" customFormat="1" ht="21.6" x14ac:dyDescent="0.3">
      <c r="A91" s="16" t="s">
        <v>222</v>
      </c>
      <c r="B91" s="17" t="s">
        <v>2067</v>
      </c>
      <c r="C91" s="405" t="s">
        <v>2068</v>
      </c>
      <c r="D91" s="405"/>
      <c r="E91" s="405"/>
      <c r="F91" s="16" t="s">
        <v>2069</v>
      </c>
      <c r="G91" s="18">
        <v>6.0000000000000001E-3</v>
      </c>
      <c r="H91" s="57">
        <f>I91/G91</f>
        <v>122995.00000000004</v>
      </c>
      <c r="I91" s="19">
        <f>4086.88-K91</f>
        <v>737.97000000000025</v>
      </c>
      <c r="J91" s="19">
        <f>K91/G91</f>
        <v>558151.66666666663</v>
      </c>
      <c r="K91" s="19">
        <v>3348.91</v>
      </c>
      <c r="BC91" s="14"/>
      <c r="BD91" s="15"/>
      <c r="BE91" s="21" t="s">
        <v>2068</v>
      </c>
      <c r="BF91" s="12"/>
      <c r="BG91" s="43"/>
      <c r="BH91" s="12"/>
    </row>
    <row r="92" spans="1:60" s="3" customFormat="1" ht="20.399999999999999" x14ac:dyDescent="0.3">
      <c r="A92" s="25"/>
      <c r="B92" s="26" t="s">
        <v>2070</v>
      </c>
      <c r="C92" s="419" t="s">
        <v>2071</v>
      </c>
      <c r="D92" s="419"/>
      <c r="E92" s="419"/>
      <c r="F92" s="27" t="s">
        <v>70</v>
      </c>
      <c r="G92" s="22" t="s">
        <v>2080</v>
      </c>
      <c r="H92" s="58"/>
      <c r="I92" s="28"/>
      <c r="J92" s="28"/>
      <c r="K92" s="29"/>
      <c r="BC92" s="14"/>
      <c r="BD92" s="15"/>
      <c r="BE92" s="21"/>
      <c r="BF92" s="12" t="s">
        <v>2071</v>
      </c>
      <c r="BG92" s="43"/>
      <c r="BH92" s="12"/>
    </row>
    <row r="93" spans="1:60" s="3" customFormat="1" ht="31.8" x14ac:dyDescent="0.3">
      <c r="A93" s="25"/>
      <c r="B93" s="26" t="s">
        <v>2073</v>
      </c>
      <c r="C93" s="419" t="s">
        <v>2074</v>
      </c>
      <c r="D93" s="419"/>
      <c r="E93" s="419"/>
      <c r="F93" s="27" t="s">
        <v>46</v>
      </c>
      <c r="G93" s="22" t="s">
        <v>2081</v>
      </c>
      <c r="H93" s="58"/>
      <c r="I93" s="28"/>
      <c r="J93" s="28"/>
      <c r="K93" s="29"/>
      <c r="BC93" s="14"/>
      <c r="BD93" s="15"/>
      <c r="BE93" s="21"/>
      <c r="BF93" s="12" t="s">
        <v>2074</v>
      </c>
      <c r="BG93" s="43"/>
      <c r="BH93" s="12"/>
    </row>
    <row r="94" spans="1:60" s="3" customFormat="1" ht="21.6" x14ac:dyDescent="0.3">
      <c r="A94" s="25"/>
      <c r="B94" s="26" t="s">
        <v>2076</v>
      </c>
      <c r="C94" s="419" t="s">
        <v>2077</v>
      </c>
      <c r="D94" s="419"/>
      <c r="E94" s="419"/>
      <c r="F94" s="27" t="s">
        <v>115</v>
      </c>
      <c r="G94" s="22" t="s">
        <v>2082</v>
      </c>
      <c r="H94" s="58"/>
      <c r="I94" s="28"/>
      <c r="J94" s="28"/>
      <c r="K94" s="29"/>
      <c r="BC94" s="14"/>
      <c r="BD94" s="15"/>
      <c r="BE94" s="21"/>
      <c r="BF94" s="12" t="s">
        <v>2077</v>
      </c>
      <c r="BG94" s="43"/>
      <c r="BH94" s="12"/>
    </row>
    <row r="95" spans="1:60" s="3" customFormat="1" ht="15" customHeight="1" x14ac:dyDescent="0.3">
      <c r="A95" s="437" t="s">
        <v>2083</v>
      </c>
      <c r="B95" s="418"/>
      <c r="C95" s="418"/>
      <c r="D95" s="418"/>
      <c r="E95" s="418"/>
      <c r="F95" s="418"/>
      <c r="G95" s="418"/>
      <c r="H95" s="154"/>
      <c r="I95" s="154"/>
      <c r="J95" s="154"/>
      <c r="K95" s="155"/>
      <c r="BC95" s="14"/>
      <c r="BD95" s="15" t="s">
        <v>2083</v>
      </c>
      <c r="BE95" s="21"/>
      <c r="BF95" s="12"/>
      <c r="BG95" s="43"/>
      <c r="BH95" s="12"/>
    </row>
    <row r="96" spans="1:60" s="3" customFormat="1" ht="31.8" x14ac:dyDescent="0.3">
      <c r="A96" s="16" t="s">
        <v>225</v>
      </c>
      <c r="B96" s="17" t="s">
        <v>2084</v>
      </c>
      <c r="C96" s="405" t="s">
        <v>2085</v>
      </c>
      <c r="D96" s="405"/>
      <c r="E96" s="405"/>
      <c r="F96" s="16" t="s">
        <v>38</v>
      </c>
      <c r="G96" s="23">
        <v>12</v>
      </c>
      <c r="H96" s="57">
        <f>I96/G96</f>
        <v>2043.0616666666665</v>
      </c>
      <c r="I96" s="19">
        <f>26537.73-K96</f>
        <v>24516.739999999998</v>
      </c>
      <c r="J96" s="19">
        <f>K96/G96</f>
        <v>168.41583333333332</v>
      </c>
      <c r="K96" s="19">
        <v>2020.99</v>
      </c>
      <c r="BC96" s="14"/>
      <c r="BD96" s="15"/>
      <c r="BE96" s="21" t="s">
        <v>2085</v>
      </c>
      <c r="BF96" s="12"/>
      <c r="BG96" s="43"/>
      <c r="BH96" s="12"/>
    </row>
    <row r="97" spans="1:60" s="3" customFormat="1" ht="20.399999999999999" x14ac:dyDescent="0.3">
      <c r="A97" s="25"/>
      <c r="B97" s="26" t="s">
        <v>2086</v>
      </c>
      <c r="C97" s="419" t="s">
        <v>2087</v>
      </c>
      <c r="D97" s="419"/>
      <c r="E97" s="419"/>
      <c r="F97" s="27" t="s">
        <v>70</v>
      </c>
      <c r="G97" s="22" t="s">
        <v>2088</v>
      </c>
      <c r="H97" s="58"/>
      <c r="I97" s="28"/>
      <c r="J97" s="28"/>
      <c r="K97" s="29"/>
      <c r="BC97" s="14"/>
      <c r="BD97" s="15"/>
      <c r="BE97" s="21"/>
      <c r="BF97" s="12" t="s">
        <v>2087</v>
      </c>
      <c r="BG97" s="43"/>
      <c r="BH97" s="12"/>
    </row>
    <row r="98" spans="1:60" s="3" customFormat="1" ht="20.399999999999999" x14ac:dyDescent="0.3">
      <c r="A98" s="25"/>
      <c r="B98" s="26" t="s">
        <v>73</v>
      </c>
      <c r="C98" s="419" t="s">
        <v>74</v>
      </c>
      <c r="D98" s="419"/>
      <c r="E98" s="419"/>
      <c r="F98" s="27" t="s">
        <v>75</v>
      </c>
      <c r="G98" s="22" t="s">
        <v>2089</v>
      </c>
      <c r="H98" s="58"/>
      <c r="I98" s="28"/>
      <c r="J98" s="28"/>
      <c r="K98" s="29"/>
      <c r="BC98" s="14"/>
      <c r="BD98" s="15"/>
      <c r="BE98" s="21"/>
      <c r="BF98" s="12" t="s">
        <v>74</v>
      </c>
      <c r="BG98" s="43"/>
      <c r="BH98" s="12"/>
    </row>
    <row r="99" spans="1:60" s="3" customFormat="1" ht="20.399999999999999" x14ac:dyDescent="0.3">
      <c r="A99" s="25"/>
      <c r="B99" s="26" t="s">
        <v>2090</v>
      </c>
      <c r="C99" s="419" t="s">
        <v>2091</v>
      </c>
      <c r="D99" s="419"/>
      <c r="E99" s="419"/>
      <c r="F99" s="27" t="s">
        <v>70</v>
      </c>
      <c r="G99" s="22" t="s">
        <v>2092</v>
      </c>
      <c r="H99" s="58"/>
      <c r="I99" s="28"/>
      <c r="J99" s="28"/>
      <c r="K99" s="29"/>
      <c r="BC99" s="14"/>
      <c r="BD99" s="15"/>
      <c r="BE99" s="21"/>
      <c r="BF99" s="12" t="s">
        <v>2091</v>
      </c>
      <c r="BG99" s="43"/>
      <c r="BH99" s="12"/>
    </row>
    <row r="100" spans="1:60" s="3" customFormat="1" ht="15" customHeight="1" x14ac:dyDescent="0.3">
      <c r="A100" s="437" t="s">
        <v>2093</v>
      </c>
      <c r="B100" s="418"/>
      <c r="C100" s="418"/>
      <c r="D100" s="418"/>
      <c r="E100" s="418"/>
      <c r="F100" s="418"/>
      <c r="G100" s="418"/>
      <c r="H100" s="154"/>
      <c r="I100" s="154"/>
      <c r="J100" s="154"/>
      <c r="K100" s="155"/>
      <c r="BC100" s="14"/>
      <c r="BD100" s="15" t="s">
        <v>2093</v>
      </c>
      <c r="BE100" s="21"/>
      <c r="BF100" s="12"/>
      <c r="BG100" s="43"/>
      <c r="BH100" s="12"/>
    </row>
    <row r="101" spans="1:60" s="3" customFormat="1" ht="21.6" x14ac:dyDescent="0.3">
      <c r="A101" s="16" t="s">
        <v>227</v>
      </c>
      <c r="B101" s="17" t="s">
        <v>2094</v>
      </c>
      <c r="C101" s="405" t="s">
        <v>2095</v>
      </c>
      <c r="D101" s="405"/>
      <c r="E101" s="405"/>
      <c r="F101" s="16" t="s">
        <v>329</v>
      </c>
      <c r="G101" s="30">
        <v>2.1600000000000001E-2</v>
      </c>
      <c r="H101" s="57">
        <f>I101/G101</f>
        <v>6055.5555555555557</v>
      </c>
      <c r="I101" s="19">
        <f>159.86-K101</f>
        <v>130.80000000000001</v>
      </c>
      <c r="J101" s="19">
        <f>K101/G101</f>
        <v>1345.3703703703702</v>
      </c>
      <c r="K101" s="19">
        <v>29.06</v>
      </c>
      <c r="BC101" s="14"/>
      <c r="BD101" s="15"/>
      <c r="BE101" s="21" t="s">
        <v>2095</v>
      </c>
      <c r="BF101" s="12"/>
      <c r="BG101" s="43"/>
      <c r="BH101" s="12"/>
    </row>
    <row r="102" spans="1:60" s="3" customFormat="1" ht="20.399999999999999" x14ac:dyDescent="0.3">
      <c r="A102" s="25"/>
      <c r="B102" s="26" t="s">
        <v>415</v>
      </c>
      <c r="C102" s="419" t="s">
        <v>416</v>
      </c>
      <c r="D102" s="419"/>
      <c r="E102" s="419"/>
      <c r="F102" s="27" t="s">
        <v>70</v>
      </c>
      <c r="G102" s="22" t="s">
        <v>2096</v>
      </c>
      <c r="H102" s="58"/>
      <c r="I102" s="28"/>
      <c r="J102" s="28"/>
      <c r="K102" s="29"/>
      <c r="BC102" s="14"/>
      <c r="BD102" s="15"/>
      <c r="BE102" s="21"/>
      <c r="BF102" s="12" t="s">
        <v>416</v>
      </c>
      <c r="BG102" s="43"/>
      <c r="BH102" s="12"/>
    </row>
    <row r="103" spans="1:60" s="3" customFormat="1" ht="20.399999999999999" x14ac:dyDescent="0.3">
      <c r="A103" s="25"/>
      <c r="B103" s="26" t="s">
        <v>2097</v>
      </c>
      <c r="C103" s="419" t="s">
        <v>2098</v>
      </c>
      <c r="D103" s="419"/>
      <c r="E103" s="419"/>
      <c r="F103" s="27" t="s">
        <v>70</v>
      </c>
      <c r="G103" s="22" t="s">
        <v>2099</v>
      </c>
      <c r="H103" s="58"/>
      <c r="I103" s="28"/>
      <c r="J103" s="28"/>
      <c r="K103" s="29"/>
      <c r="BC103" s="14"/>
      <c r="BD103" s="15"/>
      <c r="BE103" s="21"/>
      <c r="BF103" s="12" t="s">
        <v>2098</v>
      </c>
      <c r="BG103" s="43"/>
      <c r="BH103" s="12"/>
    </row>
    <row r="104" spans="1:60" s="3" customFormat="1" ht="15" customHeight="1" x14ac:dyDescent="0.3">
      <c r="A104" s="437" t="s">
        <v>2100</v>
      </c>
      <c r="B104" s="418"/>
      <c r="C104" s="418"/>
      <c r="D104" s="418"/>
      <c r="E104" s="418"/>
      <c r="F104" s="418"/>
      <c r="G104" s="418"/>
      <c r="H104" s="154"/>
      <c r="I104" s="154"/>
      <c r="J104" s="154"/>
      <c r="K104" s="155"/>
      <c r="BC104" s="14"/>
      <c r="BD104" s="15" t="s">
        <v>2100</v>
      </c>
      <c r="BE104" s="21"/>
      <c r="BF104" s="12"/>
      <c r="BG104" s="43"/>
      <c r="BH104" s="12"/>
    </row>
    <row r="105" spans="1:60" s="3" customFormat="1" ht="21.6" x14ac:dyDescent="0.3">
      <c r="A105" s="16" t="s">
        <v>230</v>
      </c>
      <c r="B105" s="17" t="s">
        <v>2101</v>
      </c>
      <c r="C105" s="405" t="s">
        <v>2102</v>
      </c>
      <c r="D105" s="405"/>
      <c r="E105" s="405"/>
      <c r="F105" s="16" t="s">
        <v>329</v>
      </c>
      <c r="G105" s="30">
        <v>2.1600000000000001E-2</v>
      </c>
      <c r="H105" s="57">
        <f>I105/G105</f>
        <v>6351.3888888888887</v>
      </c>
      <c r="I105" s="19">
        <f>216.42-K105</f>
        <v>137.19</v>
      </c>
      <c r="J105" s="19">
        <f>K105/G105</f>
        <v>3668.0555555555557</v>
      </c>
      <c r="K105" s="19">
        <v>79.23</v>
      </c>
      <c r="BC105" s="14"/>
      <c r="BD105" s="15"/>
      <c r="BE105" s="21" t="s">
        <v>2102</v>
      </c>
      <c r="BF105" s="12"/>
      <c r="BG105" s="43"/>
      <c r="BH105" s="12"/>
    </row>
    <row r="106" spans="1:60" s="3" customFormat="1" ht="20.399999999999999" x14ac:dyDescent="0.3">
      <c r="A106" s="25"/>
      <c r="B106" s="26" t="s">
        <v>2103</v>
      </c>
      <c r="C106" s="419" t="s">
        <v>2104</v>
      </c>
      <c r="D106" s="419"/>
      <c r="E106" s="419"/>
      <c r="F106" s="27" t="s">
        <v>70</v>
      </c>
      <c r="G106" s="22" t="s">
        <v>2105</v>
      </c>
      <c r="H106" s="58"/>
      <c r="I106" s="28"/>
      <c r="J106" s="28"/>
      <c r="K106" s="29"/>
      <c r="BC106" s="14"/>
      <c r="BD106" s="15"/>
      <c r="BE106" s="21"/>
      <c r="BF106" s="12" t="s">
        <v>2104</v>
      </c>
      <c r="BG106" s="43"/>
      <c r="BH106" s="12"/>
    </row>
    <row r="107" spans="1:60" s="3" customFormat="1" ht="20.399999999999999" x14ac:dyDescent="0.3">
      <c r="A107" s="25"/>
      <c r="B107" s="26" t="s">
        <v>353</v>
      </c>
      <c r="C107" s="419" t="s">
        <v>354</v>
      </c>
      <c r="D107" s="419"/>
      <c r="E107" s="419"/>
      <c r="F107" s="27" t="s">
        <v>75</v>
      </c>
      <c r="G107" s="22" t="s">
        <v>2106</v>
      </c>
      <c r="H107" s="58"/>
      <c r="I107" s="28"/>
      <c r="J107" s="28"/>
      <c r="K107" s="29"/>
      <c r="BC107" s="14"/>
      <c r="BD107" s="15"/>
      <c r="BE107" s="21"/>
      <c r="BF107" s="12" t="s">
        <v>354</v>
      </c>
      <c r="BG107" s="43"/>
      <c r="BH107" s="12"/>
    </row>
    <row r="108" spans="1:60" s="3" customFormat="1" ht="15" customHeight="1" x14ac:dyDescent="0.3">
      <c r="A108" s="437" t="s">
        <v>2107</v>
      </c>
      <c r="B108" s="418"/>
      <c r="C108" s="418"/>
      <c r="D108" s="418"/>
      <c r="E108" s="418"/>
      <c r="F108" s="418"/>
      <c r="G108" s="418"/>
      <c r="H108" s="154"/>
      <c r="I108" s="154"/>
      <c r="J108" s="154"/>
      <c r="K108" s="155"/>
      <c r="BC108" s="14"/>
      <c r="BD108" s="15" t="s">
        <v>2107</v>
      </c>
      <c r="BE108" s="21"/>
      <c r="BF108" s="12"/>
      <c r="BG108" s="43"/>
      <c r="BH108" s="12"/>
    </row>
    <row r="109" spans="1:60" s="3" customFormat="1" ht="31.8" x14ac:dyDescent="0.3">
      <c r="A109" s="16" t="s">
        <v>233</v>
      </c>
      <c r="B109" s="17" t="s">
        <v>2009</v>
      </c>
      <c r="C109" s="405" t="s">
        <v>2010</v>
      </c>
      <c r="D109" s="405"/>
      <c r="E109" s="405"/>
      <c r="F109" s="16" t="s">
        <v>46</v>
      </c>
      <c r="G109" s="18">
        <v>2.528</v>
      </c>
      <c r="H109" s="57">
        <f>I109/G109</f>
        <v>10131.562499999998</v>
      </c>
      <c r="I109" s="19">
        <f>61897.92-K109</f>
        <v>25612.589999999997</v>
      </c>
      <c r="J109" s="19">
        <f>K109/G109</f>
        <v>14353.37420886076</v>
      </c>
      <c r="K109" s="19">
        <v>36285.33</v>
      </c>
      <c r="BC109" s="14"/>
      <c r="BD109" s="15"/>
      <c r="BE109" s="21" t="s">
        <v>2010</v>
      </c>
      <c r="BF109" s="12"/>
      <c r="BG109" s="43"/>
      <c r="BH109" s="12"/>
    </row>
    <row r="110" spans="1:60" s="3" customFormat="1" ht="20.399999999999999" x14ac:dyDescent="0.3">
      <c r="A110" s="37" t="s">
        <v>143</v>
      </c>
      <c r="B110" s="38" t="s">
        <v>2011</v>
      </c>
      <c r="C110" s="430" t="s">
        <v>2012</v>
      </c>
      <c r="D110" s="430"/>
      <c r="E110" s="430"/>
      <c r="F110" s="39" t="s">
        <v>46</v>
      </c>
      <c r="G110" s="40" t="s">
        <v>2108</v>
      </c>
      <c r="H110" s="100"/>
      <c r="I110" s="41"/>
      <c r="J110" s="41"/>
      <c r="K110" s="42"/>
      <c r="BC110" s="14"/>
      <c r="BD110" s="15"/>
      <c r="BE110" s="21"/>
      <c r="BF110" s="12"/>
      <c r="BG110" s="43" t="s">
        <v>2012</v>
      </c>
      <c r="BH110" s="12"/>
    </row>
    <row r="111" spans="1:60" s="3" customFormat="1" ht="21.6" x14ac:dyDescent="0.3">
      <c r="A111" s="25" t="s">
        <v>129</v>
      </c>
      <c r="B111" s="26" t="s">
        <v>2014</v>
      </c>
      <c r="C111" s="419" t="s">
        <v>2015</v>
      </c>
      <c r="D111" s="419"/>
      <c r="E111" s="419"/>
      <c r="F111" s="27" t="s">
        <v>46</v>
      </c>
      <c r="G111" s="22" t="s">
        <v>2108</v>
      </c>
      <c r="H111" s="57"/>
      <c r="I111" s="28"/>
      <c r="J111" s="19"/>
      <c r="K111" s="29"/>
      <c r="BC111" s="14"/>
      <c r="BD111" s="15"/>
      <c r="BE111" s="21"/>
      <c r="BF111" s="12"/>
      <c r="BG111" s="43"/>
      <c r="BH111" s="12" t="s">
        <v>2015</v>
      </c>
    </row>
    <row r="112" spans="1:60" s="3" customFormat="1" ht="15" customHeight="1" x14ac:dyDescent="0.3">
      <c r="A112" s="435" t="s">
        <v>2109</v>
      </c>
      <c r="B112" s="436"/>
      <c r="C112" s="436"/>
      <c r="D112" s="436"/>
      <c r="E112" s="436"/>
      <c r="F112" s="436"/>
      <c r="G112" s="436"/>
      <c r="H112" s="103"/>
      <c r="I112" s="103"/>
      <c r="J112" s="103"/>
      <c r="K112" s="104"/>
      <c r="BC112" s="14" t="s">
        <v>2109</v>
      </c>
      <c r="BD112" s="15"/>
      <c r="BE112" s="21"/>
      <c r="BF112" s="12"/>
      <c r="BG112" s="43"/>
      <c r="BH112" s="12"/>
    </row>
    <row r="113" spans="1:60" s="3" customFormat="1" ht="15" customHeight="1" x14ac:dyDescent="0.3">
      <c r="A113" s="437" t="s">
        <v>1986</v>
      </c>
      <c r="B113" s="418"/>
      <c r="C113" s="418"/>
      <c r="D113" s="418"/>
      <c r="E113" s="418"/>
      <c r="F113" s="418"/>
      <c r="G113" s="418"/>
      <c r="H113" s="154"/>
      <c r="I113" s="154"/>
      <c r="J113" s="154"/>
      <c r="K113" s="155"/>
      <c r="BC113" s="14"/>
      <c r="BD113" s="15" t="s">
        <v>1986</v>
      </c>
      <c r="BE113" s="21"/>
      <c r="BF113" s="12"/>
      <c r="BG113" s="43"/>
      <c r="BH113" s="12"/>
    </row>
    <row r="114" spans="1:60" s="3" customFormat="1" ht="31.8" x14ac:dyDescent="0.3">
      <c r="A114" s="16" t="s">
        <v>235</v>
      </c>
      <c r="B114" s="17" t="s">
        <v>1183</v>
      </c>
      <c r="C114" s="405" t="s">
        <v>1184</v>
      </c>
      <c r="D114" s="405"/>
      <c r="E114" s="405"/>
      <c r="F114" s="16" t="s">
        <v>189</v>
      </c>
      <c r="G114" s="30">
        <v>4.7999999999999996E-3</v>
      </c>
      <c r="H114" s="57">
        <f>I114/G114</f>
        <v>49545.833333333336</v>
      </c>
      <c r="I114" s="19">
        <f>417.76-K114</f>
        <v>237.82</v>
      </c>
      <c r="J114" s="19">
        <f>K114/G114</f>
        <v>37487.5</v>
      </c>
      <c r="K114" s="19">
        <v>179.94</v>
      </c>
      <c r="BC114" s="14"/>
      <c r="BD114" s="15"/>
      <c r="BE114" s="21" t="s">
        <v>1184</v>
      </c>
      <c r="BF114" s="12"/>
      <c r="BG114" s="43"/>
      <c r="BH114" s="12"/>
    </row>
    <row r="115" spans="1:60" s="3" customFormat="1" ht="21.6" x14ac:dyDescent="0.3">
      <c r="A115" s="37" t="s">
        <v>78</v>
      </c>
      <c r="B115" s="38" t="s">
        <v>1185</v>
      </c>
      <c r="C115" s="430" t="s">
        <v>1186</v>
      </c>
      <c r="D115" s="430"/>
      <c r="E115" s="430"/>
      <c r="F115" s="39" t="s">
        <v>158</v>
      </c>
      <c r="G115" s="40" t="s">
        <v>33</v>
      </c>
      <c r="H115" s="100"/>
      <c r="I115" s="41"/>
      <c r="J115" s="41"/>
      <c r="K115" s="42"/>
      <c r="BC115" s="14"/>
      <c r="BD115" s="15"/>
      <c r="BE115" s="21"/>
      <c r="BF115" s="12"/>
      <c r="BG115" s="43" t="s">
        <v>1186</v>
      </c>
      <c r="BH115" s="12"/>
    </row>
    <row r="116" spans="1:60" s="3" customFormat="1" ht="20.399999999999999" x14ac:dyDescent="0.3">
      <c r="A116" s="25"/>
      <c r="B116" s="26" t="s">
        <v>648</v>
      </c>
      <c r="C116" s="419" t="s">
        <v>649</v>
      </c>
      <c r="D116" s="419"/>
      <c r="E116" s="419"/>
      <c r="F116" s="27" t="s">
        <v>70</v>
      </c>
      <c r="G116" s="22" t="s">
        <v>2110</v>
      </c>
      <c r="H116" s="58"/>
      <c r="I116" s="28"/>
      <c r="J116" s="28"/>
      <c r="K116" s="29"/>
      <c r="BC116" s="14"/>
      <c r="BD116" s="15"/>
      <c r="BE116" s="21"/>
      <c r="BF116" s="12" t="s">
        <v>649</v>
      </c>
      <c r="BG116" s="43"/>
      <c r="BH116" s="12"/>
    </row>
    <row r="117" spans="1:60" s="3" customFormat="1" ht="21.6" x14ac:dyDescent="0.3">
      <c r="A117" s="25" t="s">
        <v>129</v>
      </c>
      <c r="B117" s="26" t="s">
        <v>1988</v>
      </c>
      <c r="C117" s="419" t="s">
        <v>1989</v>
      </c>
      <c r="D117" s="419"/>
      <c r="E117" s="419"/>
      <c r="F117" s="27" t="s">
        <v>158</v>
      </c>
      <c r="G117" s="22" t="s">
        <v>2111</v>
      </c>
      <c r="H117" s="57"/>
      <c r="I117" s="28"/>
      <c r="J117" s="19"/>
      <c r="K117" s="29"/>
      <c r="BC117" s="14"/>
      <c r="BD117" s="15"/>
      <c r="BE117" s="21"/>
      <c r="BF117" s="12"/>
      <c r="BG117" s="43"/>
      <c r="BH117" s="12" t="s">
        <v>1989</v>
      </c>
    </row>
    <row r="118" spans="1:60" s="3" customFormat="1" ht="15" customHeight="1" x14ac:dyDescent="0.3">
      <c r="A118" s="437" t="s">
        <v>1991</v>
      </c>
      <c r="B118" s="418"/>
      <c r="C118" s="418"/>
      <c r="D118" s="418"/>
      <c r="E118" s="418"/>
      <c r="F118" s="418"/>
      <c r="G118" s="418"/>
      <c r="H118" s="154"/>
      <c r="I118" s="154"/>
      <c r="J118" s="154"/>
      <c r="K118" s="155"/>
      <c r="BC118" s="14"/>
      <c r="BD118" s="15" t="s">
        <v>1991</v>
      </c>
      <c r="BE118" s="21"/>
      <c r="BF118" s="12"/>
      <c r="BG118" s="43"/>
      <c r="BH118" s="12"/>
    </row>
    <row r="119" spans="1:60" s="3" customFormat="1" ht="14.4" x14ac:dyDescent="0.3">
      <c r="A119" s="16" t="s">
        <v>237</v>
      </c>
      <c r="B119" s="17" t="s">
        <v>152</v>
      </c>
      <c r="C119" s="405" t="s">
        <v>153</v>
      </c>
      <c r="D119" s="405"/>
      <c r="E119" s="405"/>
      <c r="F119" s="16" t="s">
        <v>125</v>
      </c>
      <c r="G119" s="30">
        <v>4.7999999999999996E-3</v>
      </c>
      <c r="H119" s="57">
        <f>I119/G119</f>
        <v>154977.08333333331</v>
      </c>
      <c r="I119" s="19">
        <f>3208.97-K119</f>
        <v>743.88999999999987</v>
      </c>
      <c r="J119" s="19">
        <f>K119/G119</f>
        <v>513558.33333333337</v>
      </c>
      <c r="K119" s="19">
        <v>2465.08</v>
      </c>
      <c r="BC119" s="14"/>
      <c r="BD119" s="15"/>
      <c r="BE119" s="21" t="s">
        <v>153</v>
      </c>
      <c r="BF119" s="12"/>
      <c r="BG119" s="43"/>
      <c r="BH119" s="12"/>
    </row>
    <row r="120" spans="1:60" s="3" customFormat="1" ht="20.399999999999999" x14ac:dyDescent="0.3">
      <c r="A120" s="25"/>
      <c r="B120" s="26" t="s">
        <v>154</v>
      </c>
      <c r="C120" s="419" t="s">
        <v>155</v>
      </c>
      <c r="D120" s="419"/>
      <c r="E120" s="419"/>
      <c r="F120" s="27" t="s">
        <v>46</v>
      </c>
      <c r="G120" s="22" t="s">
        <v>269</v>
      </c>
      <c r="H120" s="58"/>
      <c r="I120" s="28"/>
      <c r="J120" s="28"/>
      <c r="K120" s="29"/>
      <c r="BC120" s="14"/>
      <c r="BD120" s="15"/>
      <c r="BE120" s="21"/>
      <c r="BF120" s="12" t="s">
        <v>155</v>
      </c>
      <c r="BG120" s="43"/>
      <c r="BH120" s="12"/>
    </row>
    <row r="121" spans="1:60" s="3" customFormat="1" ht="20.399999999999999" x14ac:dyDescent="0.3">
      <c r="A121" s="25"/>
      <c r="B121" s="26" t="s">
        <v>156</v>
      </c>
      <c r="C121" s="419" t="s">
        <v>157</v>
      </c>
      <c r="D121" s="419"/>
      <c r="E121" s="419"/>
      <c r="F121" s="27" t="s">
        <v>158</v>
      </c>
      <c r="G121" s="22" t="s">
        <v>270</v>
      </c>
      <c r="H121" s="58"/>
      <c r="I121" s="28"/>
      <c r="J121" s="28"/>
      <c r="K121" s="29"/>
      <c r="BC121" s="14"/>
      <c r="BD121" s="15"/>
      <c r="BE121" s="21"/>
      <c r="BF121" s="12" t="s">
        <v>157</v>
      </c>
      <c r="BG121" s="43"/>
      <c r="BH121" s="12"/>
    </row>
    <row r="122" spans="1:60" s="3" customFormat="1" ht="20.399999999999999" x14ac:dyDescent="0.3">
      <c r="A122" s="37" t="s">
        <v>143</v>
      </c>
      <c r="B122" s="38" t="s">
        <v>159</v>
      </c>
      <c r="C122" s="430" t="s">
        <v>160</v>
      </c>
      <c r="D122" s="430"/>
      <c r="E122" s="430"/>
      <c r="F122" s="39" t="s">
        <v>46</v>
      </c>
      <c r="G122" s="40" t="s">
        <v>271</v>
      </c>
      <c r="H122" s="100"/>
      <c r="I122" s="41"/>
      <c r="J122" s="41"/>
      <c r="K122" s="42"/>
      <c r="BC122" s="14"/>
      <c r="BD122" s="15"/>
      <c r="BE122" s="21"/>
      <c r="BF122" s="12"/>
      <c r="BG122" s="43" t="s">
        <v>160</v>
      </c>
      <c r="BH122" s="12"/>
    </row>
    <row r="123" spans="1:60" s="3" customFormat="1" ht="21.6" x14ac:dyDescent="0.3">
      <c r="A123" s="25" t="s">
        <v>129</v>
      </c>
      <c r="B123" s="26" t="s">
        <v>1995</v>
      </c>
      <c r="C123" s="419" t="s">
        <v>1996</v>
      </c>
      <c r="D123" s="419"/>
      <c r="E123" s="419"/>
      <c r="F123" s="27" t="s">
        <v>46</v>
      </c>
      <c r="G123" s="22" t="s">
        <v>271</v>
      </c>
      <c r="H123" s="57"/>
      <c r="I123" s="28"/>
      <c r="J123" s="19"/>
      <c r="K123" s="29"/>
      <c r="BC123" s="14"/>
      <c r="BD123" s="15"/>
      <c r="BE123" s="21"/>
      <c r="BF123" s="12"/>
      <c r="BG123" s="43"/>
      <c r="BH123" s="12" t="s">
        <v>1996</v>
      </c>
    </row>
    <row r="124" spans="1:60" s="3" customFormat="1" ht="15" customHeight="1" x14ac:dyDescent="0.3">
      <c r="A124" s="437" t="s">
        <v>1997</v>
      </c>
      <c r="B124" s="418"/>
      <c r="C124" s="418"/>
      <c r="D124" s="418"/>
      <c r="E124" s="418"/>
      <c r="F124" s="418"/>
      <c r="G124" s="418"/>
      <c r="H124" s="154"/>
      <c r="I124" s="154"/>
      <c r="J124" s="154"/>
      <c r="K124" s="155"/>
      <c r="BC124" s="14"/>
      <c r="BD124" s="15" t="s">
        <v>1997</v>
      </c>
      <c r="BE124" s="21"/>
      <c r="BF124" s="12"/>
      <c r="BG124" s="43"/>
      <c r="BH124" s="12"/>
    </row>
    <row r="125" spans="1:60" s="3" customFormat="1" ht="42" x14ac:dyDescent="0.3">
      <c r="A125" s="16" t="s">
        <v>243</v>
      </c>
      <c r="B125" s="17" t="s">
        <v>1998</v>
      </c>
      <c r="C125" s="405" t="s">
        <v>1999</v>
      </c>
      <c r="D125" s="405"/>
      <c r="E125" s="405"/>
      <c r="F125" s="16" t="s">
        <v>329</v>
      </c>
      <c r="G125" s="18">
        <v>4.8000000000000001E-2</v>
      </c>
      <c r="H125" s="57">
        <f>I125/G125</f>
        <v>55470.000000000007</v>
      </c>
      <c r="I125" s="19">
        <f>7076.06-K125</f>
        <v>2662.5600000000004</v>
      </c>
      <c r="J125" s="19">
        <f>K125/G125</f>
        <v>91947.916666666672</v>
      </c>
      <c r="K125" s="19">
        <v>4413.5</v>
      </c>
      <c r="BC125" s="14"/>
      <c r="BD125" s="15"/>
      <c r="BE125" s="21" t="s">
        <v>1999</v>
      </c>
      <c r="BF125" s="12"/>
      <c r="BG125" s="43"/>
      <c r="BH125" s="12"/>
    </row>
    <row r="126" spans="1:60" s="3" customFormat="1" ht="20.399999999999999" x14ac:dyDescent="0.3">
      <c r="A126" s="37" t="s">
        <v>143</v>
      </c>
      <c r="B126" s="38" t="s">
        <v>330</v>
      </c>
      <c r="C126" s="430" t="s">
        <v>331</v>
      </c>
      <c r="D126" s="430"/>
      <c r="E126" s="430"/>
      <c r="F126" s="39" t="s">
        <v>70</v>
      </c>
      <c r="G126" s="40" t="s">
        <v>2112</v>
      </c>
      <c r="H126" s="100"/>
      <c r="I126" s="41"/>
      <c r="J126" s="41"/>
      <c r="K126" s="42"/>
      <c r="BC126" s="14"/>
      <c r="BD126" s="15"/>
      <c r="BE126" s="21"/>
      <c r="BF126" s="12"/>
      <c r="BG126" s="43" t="s">
        <v>331</v>
      </c>
      <c r="BH126" s="12"/>
    </row>
    <row r="127" spans="1:60" s="3" customFormat="1" ht="20.399999999999999" x14ac:dyDescent="0.3">
      <c r="A127" s="37" t="s">
        <v>143</v>
      </c>
      <c r="B127" s="38" t="s">
        <v>333</v>
      </c>
      <c r="C127" s="430" t="s">
        <v>334</v>
      </c>
      <c r="D127" s="430"/>
      <c r="E127" s="430"/>
      <c r="F127" s="39" t="s">
        <v>70</v>
      </c>
      <c r="G127" s="40" t="s">
        <v>2113</v>
      </c>
      <c r="H127" s="100"/>
      <c r="I127" s="41"/>
      <c r="J127" s="41"/>
      <c r="K127" s="42"/>
      <c r="BC127" s="14"/>
      <c r="BD127" s="15"/>
      <c r="BE127" s="21"/>
      <c r="BF127" s="12"/>
      <c r="BG127" s="43" t="s">
        <v>334</v>
      </c>
      <c r="BH127" s="12"/>
    </row>
    <row r="128" spans="1:60" s="3" customFormat="1" ht="20.399999999999999" x14ac:dyDescent="0.3">
      <c r="A128" s="25"/>
      <c r="B128" s="26" t="s">
        <v>336</v>
      </c>
      <c r="C128" s="419" t="s">
        <v>337</v>
      </c>
      <c r="D128" s="419"/>
      <c r="E128" s="419"/>
      <c r="F128" s="27" t="s">
        <v>70</v>
      </c>
      <c r="G128" s="22" t="s">
        <v>2114</v>
      </c>
      <c r="H128" s="58"/>
      <c r="I128" s="28"/>
      <c r="J128" s="28"/>
      <c r="K128" s="29"/>
      <c r="BC128" s="14"/>
      <c r="BD128" s="15"/>
      <c r="BE128" s="21"/>
      <c r="BF128" s="12" t="s">
        <v>337</v>
      </c>
      <c r="BG128" s="43"/>
      <c r="BH128" s="12"/>
    </row>
    <row r="129" spans="1:60" s="3" customFormat="1" ht="20.399999999999999" x14ac:dyDescent="0.3">
      <c r="A129" s="37" t="s">
        <v>143</v>
      </c>
      <c r="B129" s="38" t="s">
        <v>2003</v>
      </c>
      <c r="C129" s="430" t="s">
        <v>2004</v>
      </c>
      <c r="D129" s="430"/>
      <c r="E129" s="430"/>
      <c r="F129" s="39" t="s">
        <v>158</v>
      </c>
      <c r="G129" s="40" t="s">
        <v>2115</v>
      </c>
      <c r="H129" s="100"/>
      <c r="I129" s="41"/>
      <c r="J129" s="41"/>
      <c r="K129" s="42"/>
      <c r="BC129" s="14"/>
      <c r="BD129" s="15"/>
      <c r="BE129" s="21"/>
      <c r="BF129" s="12"/>
      <c r="BG129" s="43" t="s">
        <v>2004</v>
      </c>
      <c r="BH129" s="12"/>
    </row>
    <row r="130" spans="1:60" s="3" customFormat="1" ht="52.2" x14ac:dyDescent="0.3">
      <c r="A130" s="25" t="s">
        <v>129</v>
      </c>
      <c r="B130" s="26" t="s">
        <v>2006</v>
      </c>
      <c r="C130" s="419" t="s">
        <v>2007</v>
      </c>
      <c r="D130" s="419"/>
      <c r="E130" s="419"/>
      <c r="F130" s="27" t="s">
        <v>158</v>
      </c>
      <c r="G130" s="22" t="s">
        <v>2115</v>
      </c>
      <c r="H130" s="57"/>
      <c r="I130" s="28"/>
      <c r="J130" s="19"/>
      <c r="K130" s="29"/>
      <c r="BC130" s="14"/>
      <c r="BD130" s="15"/>
      <c r="BE130" s="21"/>
      <c r="BF130" s="12"/>
      <c r="BG130" s="43"/>
      <c r="BH130" s="12" t="s">
        <v>2007</v>
      </c>
    </row>
    <row r="131" spans="1:60" s="3" customFormat="1" ht="20.399999999999999" x14ac:dyDescent="0.3">
      <c r="A131" s="25" t="s">
        <v>129</v>
      </c>
      <c r="B131" s="26" t="s">
        <v>342</v>
      </c>
      <c r="C131" s="419" t="s">
        <v>343</v>
      </c>
      <c r="D131" s="419"/>
      <c r="E131" s="419"/>
      <c r="F131" s="27" t="s">
        <v>70</v>
      </c>
      <c r="G131" s="22" t="s">
        <v>2113</v>
      </c>
      <c r="H131" s="57"/>
      <c r="I131" s="28"/>
      <c r="J131" s="19"/>
      <c r="K131" s="29"/>
      <c r="BC131" s="14"/>
      <c r="BD131" s="15"/>
      <c r="BE131" s="21"/>
      <c r="BF131" s="12"/>
      <c r="BG131" s="43"/>
      <c r="BH131" s="12" t="s">
        <v>343</v>
      </c>
    </row>
    <row r="132" spans="1:60" s="3" customFormat="1" ht="20.399999999999999" x14ac:dyDescent="0.3">
      <c r="A132" s="25" t="s">
        <v>129</v>
      </c>
      <c r="B132" s="26" t="s">
        <v>344</v>
      </c>
      <c r="C132" s="419" t="s">
        <v>345</v>
      </c>
      <c r="D132" s="419"/>
      <c r="E132" s="419"/>
      <c r="F132" s="27" t="s">
        <v>70</v>
      </c>
      <c r="G132" s="22" t="s">
        <v>2112</v>
      </c>
      <c r="H132" s="57"/>
      <c r="I132" s="28"/>
      <c r="J132" s="19"/>
      <c r="K132" s="29"/>
      <c r="BC132" s="14"/>
      <c r="BD132" s="15"/>
      <c r="BE132" s="21"/>
      <c r="BF132" s="12"/>
      <c r="BG132" s="43"/>
      <c r="BH132" s="12" t="s">
        <v>345</v>
      </c>
    </row>
    <row r="133" spans="1:60" s="3" customFormat="1" ht="15" customHeight="1" x14ac:dyDescent="0.3">
      <c r="A133" s="437" t="s">
        <v>2008</v>
      </c>
      <c r="B133" s="418"/>
      <c r="C133" s="418"/>
      <c r="D133" s="418"/>
      <c r="E133" s="418"/>
      <c r="F133" s="418"/>
      <c r="G133" s="418"/>
      <c r="H133" s="154"/>
      <c r="I133" s="154"/>
      <c r="J133" s="154"/>
      <c r="K133" s="155"/>
      <c r="BC133" s="14"/>
      <c r="BD133" s="15" t="s">
        <v>2008</v>
      </c>
      <c r="BE133" s="21"/>
      <c r="BF133" s="12"/>
      <c r="BG133" s="43"/>
      <c r="BH133" s="12"/>
    </row>
    <row r="134" spans="1:60" s="3" customFormat="1" ht="31.8" x14ac:dyDescent="0.3">
      <c r="A134" s="16" t="s">
        <v>244</v>
      </c>
      <c r="B134" s="17" t="s">
        <v>2009</v>
      </c>
      <c r="C134" s="405" t="s">
        <v>2010</v>
      </c>
      <c r="D134" s="405"/>
      <c r="E134" s="405"/>
      <c r="F134" s="16" t="s">
        <v>46</v>
      </c>
      <c r="G134" s="31">
        <v>0.24</v>
      </c>
      <c r="H134" s="57">
        <f>I134/G134</f>
        <v>10131.541666666668</v>
      </c>
      <c r="I134" s="19">
        <f>5876.38-K134</f>
        <v>2431.5700000000002</v>
      </c>
      <c r="J134" s="19">
        <f>K134/G134</f>
        <v>14353.375</v>
      </c>
      <c r="K134" s="19">
        <v>3444.81</v>
      </c>
      <c r="BC134" s="14"/>
      <c r="BD134" s="15"/>
      <c r="BE134" s="21" t="s">
        <v>2010</v>
      </c>
      <c r="BF134" s="12"/>
      <c r="BG134" s="43"/>
      <c r="BH134" s="12"/>
    </row>
    <row r="135" spans="1:60" s="3" customFormat="1" ht="20.399999999999999" x14ac:dyDescent="0.3">
      <c r="A135" s="37" t="s">
        <v>143</v>
      </c>
      <c r="B135" s="38" t="s">
        <v>2011</v>
      </c>
      <c r="C135" s="430" t="s">
        <v>2012</v>
      </c>
      <c r="D135" s="430"/>
      <c r="E135" s="430"/>
      <c r="F135" s="39" t="s">
        <v>46</v>
      </c>
      <c r="G135" s="40" t="s">
        <v>1713</v>
      </c>
      <c r="H135" s="100"/>
      <c r="I135" s="41"/>
      <c r="J135" s="41"/>
      <c r="K135" s="42"/>
      <c r="BC135" s="14"/>
      <c r="BD135" s="15"/>
      <c r="BE135" s="21"/>
      <c r="BF135" s="12"/>
      <c r="BG135" s="43" t="s">
        <v>2012</v>
      </c>
      <c r="BH135" s="12"/>
    </row>
    <row r="136" spans="1:60" s="3" customFormat="1" ht="21.6" x14ac:dyDescent="0.3">
      <c r="A136" s="25" t="s">
        <v>129</v>
      </c>
      <c r="B136" s="26" t="s">
        <v>2014</v>
      </c>
      <c r="C136" s="419" t="s">
        <v>2015</v>
      </c>
      <c r="D136" s="419"/>
      <c r="E136" s="419"/>
      <c r="F136" s="27" t="s">
        <v>46</v>
      </c>
      <c r="G136" s="22" t="s">
        <v>1713</v>
      </c>
      <c r="H136" s="57"/>
      <c r="I136" s="28"/>
      <c r="J136" s="19"/>
      <c r="K136" s="29"/>
      <c r="BC136" s="14"/>
      <c r="BD136" s="15"/>
      <c r="BE136" s="21"/>
      <c r="BF136" s="12"/>
      <c r="BG136" s="43"/>
      <c r="BH136" s="12" t="s">
        <v>2015</v>
      </c>
    </row>
    <row r="137" spans="1:60" s="3" customFormat="1" ht="15" customHeight="1" x14ac:dyDescent="0.3">
      <c r="A137" s="437" t="s">
        <v>2016</v>
      </c>
      <c r="B137" s="418"/>
      <c r="C137" s="418"/>
      <c r="D137" s="418"/>
      <c r="E137" s="418"/>
      <c r="F137" s="418"/>
      <c r="G137" s="418"/>
      <c r="H137" s="154"/>
      <c r="I137" s="154"/>
      <c r="J137" s="154"/>
      <c r="K137" s="155"/>
      <c r="BC137" s="14"/>
      <c r="BD137" s="15" t="s">
        <v>2016</v>
      </c>
      <c r="BE137" s="21"/>
      <c r="BF137" s="12"/>
      <c r="BG137" s="43"/>
      <c r="BH137" s="12"/>
    </row>
    <row r="138" spans="1:60" s="3" customFormat="1" ht="21.6" x14ac:dyDescent="0.3">
      <c r="A138" s="16" t="s">
        <v>246</v>
      </c>
      <c r="B138" s="17" t="s">
        <v>273</v>
      </c>
      <c r="C138" s="405" t="s">
        <v>274</v>
      </c>
      <c r="D138" s="405"/>
      <c r="E138" s="405"/>
      <c r="F138" s="16" t="s">
        <v>125</v>
      </c>
      <c r="G138" s="18">
        <v>8.9999999999999993E-3</v>
      </c>
      <c r="H138" s="57">
        <f>I138/G138</f>
        <v>230001.11111111109</v>
      </c>
      <c r="I138" s="19">
        <f>2108.91-K138</f>
        <v>2070.0099999999998</v>
      </c>
      <c r="J138" s="19">
        <f>K138/G138</f>
        <v>4322.2222222222226</v>
      </c>
      <c r="K138" s="19">
        <v>38.9</v>
      </c>
      <c r="BC138" s="14"/>
      <c r="BD138" s="15"/>
      <c r="BE138" s="21" t="s">
        <v>274</v>
      </c>
      <c r="BF138" s="12"/>
      <c r="BG138" s="43"/>
      <c r="BH138" s="12"/>
    </row>
    <row r="139" spans="1:60" s="3" customFormat="1" ht="20.399999999999999" x14ac:dyDescent="0.3">
      <c r="A139" s="25"/>
      <c r="B139" s="26" t="s">
        <v>154</v>
      </c>
      <c r="C139" s="419" t="s">
        <v>155</v>
      </c>
      <c r="D139" s="419"/>
      <c r="E139" s="419"/>
      <c r="F139" s="27" t="s">
        <v>46</v>
      </c>
      <c r="G139" s="22" t="s">
        <v>2116</v>
      </c>
      <c r="H139" s="58"/>
      <c r="I139" s="28"/>
      <c r="J139" s="28"/>
      <c r="K139" s="29"/>
      <c r="BC139" s="14"/>
      <c r="BD139" s="15"/>
      <c r="BE139" s="21"/>
      <c r="BF139" s="12" t="s">
        <v>155</v>
      </c>
      <c r="BG139" s="43"/>
      <c r="BH139" s="12"/>
    </row>
    <row r="140" spans="1:60" s="3" customFormat="1" ht="20.399999999999999" x14ac:dyDescent="0.3">
      <c r="A140" s="25"/>
      <c r="B140" s="26" t="s">
        <v>156</v>
      </c>
      <c r="C140" s="419" t="s">
        <v>157</v>
      </c>
      <c r="D140" s="419"/>
      <c r="E140" s="419"/>
      <c r="F140" s="27" t="s">
        <v>158</v>
      </c>
      <c r="G140" s="22" t="s">
        <v>2117</v>
      </c>
      <c r="H140" s="58"/>
      <c r="I140" s="28"/>
      <c r="J140" s="28"/>
      <c r="K140" s="29"/>
      <c r="BC140" s="14"/>
      <c r="BD140" s="15"/>
      <c r="BE140" s="21"/>
      <c r="BF140" s="12" t="s">
        <v>157</v>
      </c>
      <c r="BG140" s="43"/>
      <c r="BH140" s="12"/>
    </row>
    <row r="141" spans="1:60" s="3" customFormat="1" ht="20.399999999999999" x14ac:dyDescent="0.3">
      <c r="A141" s="25"/>
      <c r="B141" s="26" t="s">
        <v>277</v>
      </c>
      <c r="C141" s="419" t="s">
        <v>278</v>
      </c>
      <c r="D141" s="419"/>
      <c r="E141" s="419"/>
      <c r="F141" s="27" t="s">
        <v>70</v>
      </c>
      <c r="G141" s="22" t="s">
        <v>2118</v>
      </c>
      <c r="H141" s="58"/>
      <c r="I141" s="28"/>
      <c r="J141" s="28"/>
      <c r="K141" s="29"/>
      <c r="BC141" s="14"/>
      <c r="BD141" s="15"/>
      <c r="BE141" s="21"/>
      <c r="BF141" s="12" t="s">
        <v>278</v>
      </c>
      <c r="BG141" s="43"/>
      <c r="BH141" s="12"/>
    </row>
    <row r="142" spans="1:60" s="3" customFormat="1" ht="20.399999999999999" x14ac:dyDescent="0.3">
      <c r="A142" s="25"/>
      <c r="B142" s="26" t="s">
        <v>76</v>
      </c>
      <c r="C142" s="419" t="s">
        <v>77</v>
      </c>
      <c r="D142" s="419"/>
      <c r="E142" s="419"/>
      <c r="F142" s="27" t="s">
        <v>70</v>
      </c>
      <c r="G142" s="22" t="s">
        <v>2119</v>
      </c>
      <c r="H142" s="58"/>
      <c r="I142" s="28"/>
      <c r="J142" s="28"/>
      <c r="K142" s="29"/>
      <c r="BC142" s="14"/>
      <c r="BD142" s="15"/>
      <c r="BE142" s="21"/>
      <c r="BF142" s="12" t="s">
        <v>77</v>
      </c>
      <c r="BG142" s="43"/>
      <c r="BH142" s="12"/>
    </row>
    <row r="143" spans="1:60" s="3" customFormat="1" ht="21.6" x14ac:dyDescent="0.3">
      <c r="A143" s="25"/>
      <c r="B143" s="26" t="s">
        <v>281</v>
      </c>
      <c r="C143" s="419" t="s">
        <v>282</v>
      </c>
      <c r="D143" s="419"/>
      <c r="E143" s="419"/>
      <c r="F143" s="27" t="s">
        <v>70</v>
      </c>
      <c r="G143" s="22" t="s">
        <v>2120</v>
      </c>
      <c r="H143" s="58"/>
      <c r="I143" s="28"/>
      <c r="J143" s="28"/>
      <c r="K143" s="29"/>
      <c r="BC143" s="14"/>
      <c r="BD143" s="15"/>
      <c r="BE143" s="21"/>
      <c r="BF143" s="12" t="s">
        <v>282</v>
      </c>
      <c r="BG143" s="43"/>
      <c r="BH143" s="12"/>
    </row>
    <row r="144" spans="1:60" s="3" customFormat="1" ht="20.399999999999999" x14ac:dyDescent="0.3">
      <c r="A144" s="37" t="s">
        <v>143</v>
      </c>
      <c r="B144" s="38" t="s">
        <v>159</v>
      </c>
      <c r="C144" s="430" t="s">
        <v>160</v>
      </c>
      <c r="D144" s="430"/>
      <c r="E144" s="430"/>
      <c r="F144" s="39" t="s">
        <v>46</v>
      </c>
      <c r="G144" s="40" t="s">
        <v>2121</v>
      </c>
      <c r="H144" s="100"/>
      <c r="I144" s="41"/>
      <c r="J144" s="41"/>
      <c r="K144" s="42"/>
      <c r="BC144" s="14"/>
      <c r="BD144" s="15"/>
      <c r="BE144" s="21"/>
      <c r="BF144" s="12"/>
      <c r="BG144" s="43" t="s">
        <v>160</v>
      </c>
      <c r="BH144" s="12"/>
    </row>
    <row r="145" spans="1:60" s="3" customFormat="1" ht="21.6" x14ac:dyDescent="0.3">
      <c r="A145" s="25"/>
      <c r="B145" s="26" t="s">
        <v>285</v>
      </c>
      <c r="C145" s="419" t="s">
        <v>286</v>
      </c>
      <c r="D145" s="419"/>
      <c r="E145" s="419"/>
      <c r="F145" s="27" t="s">
        <v>70</v>
      </c>
      <c r="G145" s="22" t="s">
        <v>2122</v>
      </c>
      <c r="H145" s="58"/>
      <c r="I145" s="28"/>
      <c r="J145" s="28"/>
      <c r="K145" s="29"/>
      <c r="BC145" s="14"/>
      <c r="BD145" s="15"/>
      <c r="BE145" s="21"/>
      <c r="BF145" s="12" t="s">
        <v>286</v>
      </c>
      <c r="BG145" s="43"/>
      <c r="BH145" s="12"/>
    </row>
    <row r="146" spans="1:60" s="3" customFormat="1" ht="20.399999999999999" x14ac:dyDescent="0.3">
      <c r="A146" s="37" t="s">
        <v>143</v>
      </c>
      <c r="B146" s="38" t="s">
        <v>288</v>
      </c>
      <c r="C146" s="430" t="s">
        <v>289</v>
      </c>
      <c r="D146" s="430"/>
      <c r="E146" s="430"/>
      <c r="F146" s="39" t="s">
        <v>70</v>
      </c>
      <c r="G146" s="40" t="s">
        <v>2123</v>
      </c>
      <c r="H146" s="100"/>
      <c r="I146" s="41"/>
      <c r="J146" s="41"/>
      <c r="K146" s="42"/>
      <c r="BC146" s="14"/>
      <c r="BD146" s="15"/>
      <c r="BE146" s="21"/>
      <c r="BF146" s="12"/>
      <c r="BG146" s="43" t="s">
        <v>289</v>
      </c>
      <c r="BH146" s="12"/>
    </row>
    <row r="147" spans="1:60" s="3" customFormat="1" ht="31.8" x14ac:dyDescent="0.3">
      <c r="A147" s="25"/>
      <c r="B147" s="26" t="s">
        <v>291</v>
      </c>
      <c r="C147" s="419" t="s">
        <v>292</v>
      </c>
      <c r="D147" s="419"/>
      <c r="E147" s="419"/>
      <c r="F147" s="27" t="s">
        <v>46</v>
      </c>
      <c r="G147" s="22" t="s">
        <v>2124</v>
      </c>
      <c r="H147" s="58"/>
      <c r="I147" s="28"/>
      <c r="J147" s="28"/>
      <c r="K147" s="29"/>
      <c r="BC147" s="14"/>
      <c r="BD147" s="15"/>
      <c r="BE147" s="21"/>
      <c r="BF147" s="12" t="s">
        <v>292</v>
      </c>
      <c r="BG147" s="43"/>
      <c r="BH147" s="12"/>
    </row>
    <row r="148" spans="1:60" s="3" customFormat="1" ht="20.399999999999999" x14ac:dyDescent="0.3">
      <c r="A148" s="25"/>
      <c r="B148" s="26" t="s">
        <v>294</v>
      </c>
      <c r="C148" s="419" t="s">
        <v>295</v>
      </c>
      <c r="D148" s="419"/>
      <c r="E148" s="419"/>
      <c r="F148" s="27" t="s">
        <v>158</v>
      </c>
      <c r="G148" s="22" t="s">
        <v>2125</v>
      </c>
      <c r="H148" s="58"/>
      <c r="I148" s="28"/>
      <c r="J148" s="28"/>
      <c r="K148" s="29"/>
      <c r="BC148" s="14"/>
      <c r="BD148" s="15"/>
      <c r="BE148" s="21"/>
      <c r="BF148" s="12" t="s">
        <v>295</v>
      </c>
      <c r="BG148" s="43"/>
      <c r="BH148" s="12"/>
    </row>
    <row r="149" spans="1:60" s="3" customFormat="1" ht="31.8" x14ac:dyDescent="0.3">
      <c r="A149" s="16" t="s">
        <v>247</v>
      </c>
      <c r="B149" s="17" t="s">
        <v>2027</v>
      </c>
      <c r="C149" s="405" t="s">
        <v>2028</v>
      </c>
      <c r="D149" s="405"/>
      <c r="E149" s="405"/>
      <c r="F149" s="16" t="s">
        <v>311</v>
      </c>
      <c r="G149" s="24">
        <v>0.9</v>
      </c>
      <c r="H149" s="57">
        <f t="shared" ref="H149:H153" si="2">I149/G149</f>
        <v>0</v>
      </c>
      <c r="I149" s="19"/>
      <c r="J149" s="19">
        <f t="shared" ref="J149:J153" si="3">K149/G149</f>
        <v>64.255555555555546</v>
      </c>
      <c r="K149" s="19">
        <v>57.83</v>
      </c>
      <c r="BC149" s="14"/>
      <c r="BD149" s="15"/>
      <c r="BE149" s="21" t="s">
        <v>2028</v>
      </c>
      <c r="BF149" s="12"/>
      <c r="BG149" s="43"/>
      <c r="BH149" s="12"/>
    </row>
    <row r="150" spans="1:60" s="3" customFormat="1" ht="31.8" x14ac:dyDescent="0.3">
      <c r="A150" s="16" t="s">
        <v>531</v>
      </c>
      <c r="B150" s="17" t="s">
        <v>2029</v>
      </c>
      <c r="C150" s="405" t="s">
        <v>2030</v>
      </c>
      <c r="D150" s="405"/>
      <c r="E150" s="405"/>
      <c r="F150" s="16" t="s">
        <v>311</v>
      </c>
      <c r="G150" s="24">
        <v>0.9</v>
      </c>
      <c r="H150" s="57">
        <f t="shared" si="2"/>
        <v>0</v>
      </c>
      <c r="I150" s="19"/>
      <c r="J150" s="19">
        <f t="shared" si="3"/>
        <v>192.66666666666666</v>
      </c>
      <c r="K150" s="19">
        <v>173.4</v>
      </c>
      <c r="BC150" s="14"/>
      <c r="BD150" s="15"/>
      <c r="BE150" s="21" t="s">
        <v>2030</v>
      </c>
      <c r="BF150" s="12"/>
      <c r="BG150" s="43"/>
      <c r="BH150" s="12"/>
    </row>
    <row r="151" spans="1:60" s="3" customFormat="1" ht="21.6" x14ac:dyDescent="0.3">
      <c r="A151" s="16" t="s">
        <v>533</v>
      </c>
      <c r="B151" s="17" t="s">
        <v>2031</v>
      </c>
      <c r="C151" s="405" t="s">
        <v>2032</v>
      </c>
      <c r="D151" s="405"/>
      <c r="E151" s="405"/>
      <c r="F151" s="16" t="s">
        <v>46</v>
      </c>
      <c r="G151" s="30">
        <v>0.91349999999999998</v>
      </c>
      <c r="H151" s="57">
        <f t="shared" si="2"/>
        <v>0</v>
      </c>
      <c r="I151" s="19"/>
      <c r="J151" s="19">
        <f t="shared" si="3"/>
        <v>6422.353585112206</v>
      </c>
      <c r="K151" s="19">
        <v>5866.82</v>
      </c>
      <c r="BC151" s="14"/>
      <c r="BD151" s="15"/>
      <c r="BE151" s="21" t="s">
        <v>2032</v>
      </c>
      <c r="BF151" s="12"/>
      <c r="BG151" s="43"/>
      <c r="BH151" s="12"/>
    </row>
    <row r="152" spans="1:60" s="3" customFormat="1" ht="21.6" x14ac:dyDescent="0.3">
      <c r="A152" s="16" t="s">
        <v>539</v>
      </c>
      <c r="B152" s="17" t="s">
        <v>2033</v>
      </c>
      <c r="C152" s="405" t="s">
        <v>2034</v>
      </c>
      <c r="D152" s="405"/>
      <c r="E152" s="405"/>
      <c r="F152" s="16" t="s">
        <v>70</v>
      </c>
      <c r="G152" s="30">
        <v>0.1077</v>
      </c>
      <c r="H152" s="57">
        <f t="shared" si="2"/>
        <v>0</v>
      </c>
      <c r="I152" s="19"/>
      <c r="J152" s="19">
        <f t="shared" si="3"/>
        <v>49423.491179201483</v>
      </c>
      <c r="K152" s="19">
        <v>5322.91</v>
      </c>
      <c r="BC152" s="14"/>
      <c r="BD152" s="15"/>
      <c r="BE152" s="21" t="s">
        <v>2034</v>
      </c>
      <c r="BF152" s="12"/>
      <c r="BG152" s="43"/>
      <c r="BH152" s="12"/>
    </row>
    <row r="153" spans="1:60" s="3" customFormat="1" ht="21.6" x14ac:dyDescent="0.3">
      <c r="A153" s="16" t="s">
        <v>542</v>
      </c>
      <c r="B153" s="17" t="s">
        <v>2039</v>
      </c>
      <c r="C153" s="405" t="s">
        <v>2040</v>
      </c>
      <c r="D153" s="405"/>
      <c r="E153" s="405"/>
      <c r="F153" s="16" t="s">
        <v>70</v>
      </c>
      <c r="G153" s="44">
        <v>7.1900000000000002E-3</v>
      </c>
      <c r="H153" s="57">
        <f t="shared" si="2"/>
        <v>0</v>
      </c>
      <c r="I153" s="19"/>
      <c r="J153" s="19">
        <f t="shared" si="3"/>
        <v>59527.12100139082</v>
      </c>
      <c r="K153" s="19">
        <v>428</v>
      </c>
      <c r="BC153" s="14"/>
      <c r="BD153" s="15"/>
      <c r="BE153" s="21" t="s">
        <v>2040</v>
      </c>
      <c r="BF153" s="12"/>
      <c r="BG153" s="43"/>
      <c r="BH153" s="12"/>
    </row>
    <row r="154" spans="1:60" s="3" customFormat="1" ht="15" customHeight="1" x14ac:dyDescent="0.3">
      <c r="A154" s="435" t="s">
        <v>2126</v>
      </c>
      <c r="B154" s="436"/>
      <c r="C154" s="436"/>
      <c r="D154" s="436"/>
      <c r="E154" s="436"/>
      <c r="F154" s="436"/>
      <c r="G154" s="436"/>
      <c r="H154" s="103"/>
      <c r="I154" s="103"/>
      <c r="J154" s="103"/>
      <c r="K154" s="104"/>
      <c r="BC154" s="14" t="s">
        <v>2126</v>
      </c>
      <c r="BD154" s="15"/>
      <c r="BE154" s="21"/>
      <c r="BF154" s="12"/>
      <c r="BG154" s="43"/>
      <c r="BH154" s="12"/>
    </row>
    <row r="155" spans="1:60" s="3" customFormat="1" ht="15" customHeight="1" x14ac:dyDescent="0.3">
      <c r="A155" s="437" t="s">
        <v>2016</v>
      </c>
      <c r="B155" s="418"/>
      <c r="C155" s="418"/>
      <c r="D155" s="418"/>
      <c r="E155" s="418"/>
      <c r="F155" s="418"/>
      <c r="G155" s="418"/>
      <c r="H155" s="154"/>
      <c r="I155" s="154"/>
      <c r="J155" s="154"/>
      <c r="K155" s="155"/>
      <c r="BC155" s="14"/>
      <c r="BD155" s="15" t="s">
        <v>2016</v>
      </c>
      <c r="BE155" s="21"/>
      <c r="BF155" s="12"/>
      <c r="BG155" s="43"/>
      <c r="BH155" s="12"/>
    </row>
    <row r="156" spans="1:60" s="3" customFormat="1" ht="21.6" x14ac:dyDescent="0.3">
      <c r="A156" s="16" t="s">
        <v>547</v>
      </c>
      <c r="B156" s="17" t="s">
        <v>273</v>
      </c>
      <c r="C156" s="405" t="s">
        <v>274</v>
      </c>
      <c r="D156" s="405"/>
      <c r="E156" s="405"/>
      <c r="F156" s="16" t="s">
        <v>125</v>
      </c>
      <c r="G156" s="18">
        <v>6.3E-2</v>
      </c>
      <c r="H156" s="57">
        <f>I156/G156</f>
        <v>229999.20634920636</v>
      </c>
      <c r="I156" s="19">
        <f>14762.27-K156</f>
        <v>14489.95</v>
      </c>
      <c r="J156" s="19">
        <f>K156/G156</f>
        <v>4322.539682539682</v>
      </c>
      <c r="K156" s="19">
        <v>272.32</v>
      </c>
      <c r="BC156" s="14"/>
      <c r="BD156" s="15"/>
      <c r="BE156" s="21" t="s">
        <v>274</v>
      </c>
      <c r="BF156" s="12"/>
      <c r="BG156" s="43"/>
      <c r="BH156" s="12"/>
    </row>
    <row r="157" spans="1:60" s="3" customFormat="1" ht="20.399999999999999" x14ac:dyDescent="0.3">
      <c r="A157" s="25"/>
      <c r="B157" s="26" t="s">
        <v>154</v>
      </c>
      <c r="C157" s="419" t="s">
        <v>155</v>
      </c>
      <c r="D157" s="419"/>
      <c r="E157" s="419"/>
      <c r="F157" s="27" t="s">
        <v>46</v>
      </c>
      <c r="G157" s="22" t="s">
        <v>2127</v>
      </c>
      <c r="H157" s="58"/>
      <c r="I157" s="28"/>
      <c r="J157" s="28"/>
      <c r="K157" s="29"/>
      <c r="BC157" s="14"/>
      <c r="BD157" s="15"/>
      <c r="BE157" s="21"/>
      <c r="BF157" s="12" t="s">
        <v>155</v>
      </c>
      <c r="BG157" s="43"/>
      <c r="BH157" s="12"/>
    </row>
    <row r="158" spans="1:60" s="3" customFormat="1" ht="20.399999999999999" x14ac:dyDescent="0.3">
      <c r="A158" s="25"/>
      <c r="B158" s="26" t="s">
        <v>156</v>
      </c>
      <c r="C158" s="419" t="s">
        <v>157</v>
      </c>
      <c r="D158" s="419"/>
      <c r="E158" s="419"/>
      <c r="F158" s="27" t="s">
        <v>158</v>
      </c>
      <c r="G158" s="22" t="s">
        <v>2128</v>
      </c>
      <c r="H158" s="58"/>
      <c r="I158" s="28"/>
      <c r="J158" s="28"/>
      <c r="K158" s="29"/>
      <c r="BC158" s="14"/>
      <c r="BD158" s="15"/>
      <c r="BE158" s="21"/>
      <c r="BF158" s="12" t="s">
        <v>157</v>
      </c>
      <c r="BG158" s="43"/>
      <c r="BH158" s="12"/>
    </row>
    <row r="159" spans="1:60" s="3" customFormat="1" ht="20.399999999999999" x14ac:dyDescent="0.3">
      <c r="A159" s="25"/>
      <c r="B159" s="26" t="s">
        <v>277</v>
      </c>
      <c r="C159" s="419" t="s">
        <v>278</v>
      </c>
      <c r="D159" s="419"/>
      <c r="E159" s="419"/>
      <c r="F159" s="27" t="s">
        <v>70</v>
      </c>
      <c r="G159" s="22" t="s">
        <v>2129</v>
      </c>
      <c r="H159" s="58"/>
      <c r="I159" s="28"/>
      <c r="J159" s="28"/>
      <c r="K159" s="29"/>
      <c r="BC159" s="14"/>
      <c r="BD159" s="15"/>
      <c r="BE159" s="21"/>
      <c r="BF159" s="12" t="s">
        <v>278</v>
      </c>
      <c r="BG159" s="43"/>
      <c r="BH159" s="12"/>
    </row>
    <row r="160" spans="1:60" s="3" customFormat="1" ht="20.399999999999999" x14ac:dyDescent="0.3">
      <c r="A160" s="25"/>
      <c r="B160" s="26" t="s">
        <v>76</v>
      </c>
      <c r="C160" s="419" t="s">
        <v>77</v>
      </c>
      <c r="D160" s="419"/>
      <c r="E160" s="419"/>
      <c r="F160" s="27" t="s">
        <v>70</v>
      </c>
      <c r="G160" s="22" t="s">
        <v>2130</v>
      </c>
      <c r="H160" s="58"/>
      <c r="I160" s="28"/>
      <c r="J160" s="28"/>
      <c r="K160" s="29"/>
      <c r="BC160" s="14"/>
      <c r="BD160" s="15"/>
      <c r="BE160" s="21"/>
      <c r="BF160" s="12" t="s">
        <v>77</v>
      </c>
      <c r="BG160" s="43"/>
      <c r="BH160" s="12"/>
    </row>
    <row r="161" spans="1:60" s="3" customFormat="1" ht="21.6" x14ac:dyDescent="0.3">
      <c r="A161" s="25"/>
      <c r="B161" s="26" t="s">
        <v>281</v>
      </c>
      <c r="C161" s="419" t="s">
        <v>282</v>
      </c>
      <c r="D161" s="419"/>
      <c r="E161" s="419"/>
      <c r="F161" s="27" t="s">
        <v>70</v>
      </c>
      <c r="G161" s="22" t="s">
        <v>2131</v>
      </c>
      <c r="H161" s="58"/>
      <c r="I161" s="28"/>
      <c r="J161" s="28"/>
      <c r="K161" s="29"/>
      <c r="BC161" s="14"/>
      <c r="BD161" s="15"/>
      <c r="BE161" s="21"/>
      <c r="BF161" s="12" t="s">
        <v>282</v>
      </c>
      <c r="BG161" s="43"/>
      <c r="BH161" s="12"/>
    </row>
    <row r="162" spans="1:60" s="3" customFormat="1" ht="20.399999999999999" x14ac:dyDescent="0.3">
      <c r="A162" s="37" t="s">
        <v>143</v>
      </c>
      <c r="B162" s="38" t="s">
        <v>159</v>
      </c>
      <c r="C162" s="430" t="s">
        <v>160</v>
      </c>
      <c r="D162" s="430"/>
      <c r="E162" s="430"/>
      <c r="F162" s="39" t="s">
        <v>46</v>
      </c>
      <c r="G162" s="40" t="s">
        <v>2132</v>
      </c>
      <c r="H162" s="100"/>
      <c r="I162" s="41"/>
      <c r="J162" s="41"/>
      <c r="K162" s="42"/>
      <c r="BC162" s="14"/>
      <c r="BD162" s="15"/>
      <c r="BE162" s="21"/>
      <c r="BF162" s="12"/>
      <c r="BG162" s="43" t="s">
        <v>160</v>
      </c>
      <c r="BH162" s="12"/>
    </row>
    <row r="163" spans="1:60" s="3" customFormat="1" ht="21.6" x14ac:dyDescent="0.3">
      <c r="A163" s="25"/>
      <c r="B163" s="26" t="s">
        <v>285</v>
      </c>
      <c r="C163" s="419" t="s">
        <v>286</v>
      </c>
      <c r="D163" s="419"/>
      <c r="E163" s="419"/>
      <c r="F163" s="27" t="s">
        <v>70</v>
      </c>
      <c r="G163" s="22" t="s">
        <v>2133</v>
      </c>
      <c r="H163" s="58"/>
      <c r="I163" s="28"/>
      <c r="J163" s="28"/>
      <c r="K163" s="29"/>
      <c r="BC163" s="14"/>
      <c r="BD163" s="15"/>
      <c r="BE163" s="21"/>
      <c r="BF163" s="12" t="s">
        <v>286</v>
      </c>
      <c r="BG163" s="43"/>
      <c r="BH163" s="12"/>
    </row>
    <row r="164" spans="1:60" s="3" customFormat="1" ht="20.399999999999999" x14ac:dyDescent="0.3">
      <c r="A164" s="37" t="s">
        <v>143</v>
      </c>
      <c r="B164" s="38" t="s">
        <v>288</v>
      </c>
      <c r="C164" s="430" t="s">
        <v>289</v>
      </c>
      <c r="D164" s="430"/>
      <c r="E164" s="430"/>
      <c r="F164" s="39" t="s">
        <v>70</v>
      </c>
      <c r="G164" s="40" t="s">
        <v>2134</v>
      </c>
      <c r="H164" s="100"/>
      <c r="I164" s="41"/>
      <c r="J164" s="41"/>
      <c r="K164" s="42"/>
      <c r="BC164" s="14"/>
      <c r="BD164" s="15"/>
      <c r="BE164" s="21"/>
      <c r="BF164" s="12"/>
      <c r="BG164" s="43" t="s">
        <v>289</v>
      </c>
      <c r="BH164" s="12"/>
    </row>
    <row r="165" spans="1:60" s="3" customFormat="1" ht="31.8" x14ac:dyDescent="0.3">
      <c r="A165" s="25"/>
      <c r="B165" s="26" t="s">
        <v>291</v>
      </c>
      <c r="C165" s="419" t="s">
        <v>292</v>
      </c>
      <c r="D165" s="419"/>
      <c r="E165" s="419"/>
      <c r="F165" s="27" t="s">
        <v>46</v>
      </c>
      <c r="G165" s="22" t="s">
        <v>2135</v>
      </c>
      <c r="H165" s="58"/>
      <c r="I165" s="28"/>
      <c r="J165" s="28"/>
      <c r="K165" s="29"/>
      <c r="BC165" s="14"/>
      <c r="BD165" s="15"/>
      <c r="BE165" s="21"/>
      <c r="BF165" s="12" t="s">
        <v>292</v>
      </c>
      <c r="BG165" s="43"/>
      <c r="BH165" s="12"/>
    </row>
    <row r="166" spans="1:60" s="3" customFormat="1" ht="20.399999999999999" x14ac:dyDescent="0.3">
      <c r="A166" s="25"/>
      <c r="B166" s="26" t="s">
        <v>294</v>
      </c>
      <c r="C166" s="419" t="s">
        <v>295</v>
      </c>
      <c r="D166" s="419"/>
      <c r="E166" s="419"/>
      <c r="F166" s="27" t="s">
        <v>158</v>
      </c>
      <c r="G166" s="22" t="s">
        <v>2136</v>
      </c>
      <c r="H166" s="58"/>
      <c r="I166" s="28"/>
      <c r="J166" s="28"/>
      <c r="K166" s="29"/>
      <c r="BC166" s="14"/>
      <c r="BD166" s="15"/>
      <c r="BE166" s="21"/>
      <c r="BF166" s="12" t="s">
        <v>295</v>
      </c>
      <c r="BG166" s="43"/>
      <c r="BH166" s="12"/>
    </row>
    <row r="167" spans="1:60" s="3" customFormat="1" ht="31.8" x14ac:dyDescent="0.3">
      <c r="A167" s="16" t="s">
        <v>549</v>
      </c>
      <c r="B167" s="17" t="s">
        <v>2027</v>
      </c>
      <c r="C167" s="405" t="s">
        <v>2028</v>
      </c>
      <c r="D167" s="405"/>
      <c r="E167" s="405"/>
      <c r="F167" s="16" t="s">
        <v>311</v>
      </c>
      <c r="G167" s="24">
        <v>6.3</v>
      </c>
      <c r="H167" s="57">
        <f t="shared" ref="H167:H172" si="4">I167/G167</f>
        <v>0</v>
      </c>
      <c r="I167" s="19"/>
      <c r="J167" s="19">
        <f t="shared" ref="J167:J172" si="5">K167/G167</f>
        <v>64.250793650793653</v>
      </c>
      <c r="K167" s="19">
        <v>404.78</v>
      </c>
      <c r="BC167" s="14"/>
      <c r="BD167" s="15"/>
      <c r="BE167" s="21" t="s">
        <v>2028</v>
      </c>
      <c r="BF167" s="12"/>
      <c r="BG167" s="43"/>
      <c r="BH167" s="12"/>
    </row>
    <row r="168" spans="1:60" s="3" customFormat="1" ht="31.8" x14ac:dyDescent="0.3">
      <c r="A168" s="16" t="s">
        <v>570</v>
      </c>
      <c r="B168" s="17" t="s">
        <v>2029</v>
      </c>
      <c r="C168" s="405" t="s">
        <v>2030</v>
      </c>
      <c r="D168" s="405"/>
      <c r="E168" s="405"/>
      <c r="F168" s="16" t="s">
        <v>311</v>
      </c>
      <c r="G168" s="24">
        <v>6.3</v>
      </c>
      <c r="H168" s="57">
        <f t="shared" si="4"/>
        <v>0</v>
      </c>
      <c r="I168" s="19"/>
      <c r="J168" s="19">
        <f t="shared" si="5"/>
        <v>192.66507936507938</v>
      </c>
      <c r="K168" s="19">
        <v>1213.79</v>
      </c>
      <c r="BC168" s="14"/>
      <c r="BD168" s="15"/>
      <c r="BE168" s="21" t="s">
        <v>2030</v>
      </c>
      <c r="BF168" s="12"/>
      <c r="BG168" s="43"/>
      <c r="BH168" s="12"/>
    </row>
    <row r="169" spans="1:60" s="3" customFormat="1" ht="21.6" x14ac:dyDescent="0.3">
      <c r="A169" s="16" t="s">
        <v>584</v>
      </c>
      <c r="B169" s="17" t="s">
        <v>2031</v>
      </c>
      <c r="C169" s="405" t="s">
        <v>2032</v>
      </c>
      <c r="D169" s="405"/>
      <c r="E169" s="405"/>
      <c r="F169" s="16" t="s">
        <v>46</v>
      </c>
      <c r="G169" s="30">
        <v>6.3944999999999999</v>
      </c>
      <c r="H169" s="57">
        <f t="shared" si="4"/>
        <v>0</v>
      </c>
      <c r="I169" s="19"/>
      <c r="J169" s="19">
        <f t="shared" si="5"/>
        <v>6422.3567128000632</v>
      </c>
      <c r="K169" s="19">
        <v>41067.760000000002</v>
      </c>
      <c r="BC169" s="14"/>
      <c r="BD169" s="15"/>
      <c r="BE169" s="21" t="s">
        <v>2032</v>
      </c>
      <c r="BF169" s="12"/>
      <c r="BG169" s="43"/>
      <c r="BH169" s="12"/>
    </row>
    <row r="170" spans="1:60" s="3" customFormat="1" ht="21.6" x14ac:dyDescent="0.3">
      <c r="A170" s="16" t="s">
        <v>585</v>
      </c>
      <c r="B170" s="17" t="s">
        <v>2035</v>
      </c>
      <c r="C170" s="405" t="s">
        <v>2036</v>
      </c>
      <c r="D170" s="405"/>
      <c r="E170" s="405"/>
      <c r="F170" s="16" t="s">
        <v>70</v>
      </c>
      <c r="G170" s="44">
        <v>0.62905999999999995</v>
      </c>
      <c r="H170" s="57">
        <f t="shared" si="4"/>
        <v>0</v>
      </c>
      <c r="I170" s="19"/>
      <c r="J170" s="19">
        <f t="shared" si="5"/>
        <v>51354.513083012753</v>
      </c>
      <c r="K170" s="19">
        <v>32305.07</v>
      </c>
      <c r="BC170" s="14"/>
      <c r="BD170" s="15"/>
      <c r="BE170" s="21" t="s">
        <v>2036</v>
      </c>
      <c r="BF170" s="12"/>
      <c r="BG170" s="43"/>
      <c r="BH170" s="12"/>
    </row>
    <row r="171" spans="1:60" s="3" customFormat="1" ht="21.6" x14ac:dyDescent="0.3">
      <c r="A171" s="16" t="s">
        <v>2137</v>
      </c>
      <c r="B171" s="17" t="s">
        <v>2039</v>
      </c>
      <c r="C171" s="405" t="s">
        <v>2040</v>
      </c>
      <c r="D171" s="405"/>
      <c r="E171" s="405"/>
      <c r="F171" s="16" t="s">
        <v>70</v>
      </c>
      <c r="G171" s="46">
        <v>6.9189999999999998E-3</v>
      </c>
      <c r="H171" s="57">
        <f t="shared" si="4"/>
        <v>0</v>
      </c>
      <c r="I171" s="19"/>
      <c r="J171" s="19">
        <f t="shared" si="5"/>
        <v>59527.388350917769</v>
      </c>
      <c r="K171" s="19">
        <v>411.87</v>
      </c>
      <c r="BC171" s="14"/>
      <c r="BD171" s="15"/>
      <c r="BE171" s="21" t="s">
        <v>2040</v>
      </c>
      <c r="BF171" s="12"/>
      <c r="BG171" s="43"/>
      <c r="BH171" s="12"/>
    </row>
    <row r="172" spans="1:60" s="3" customFormat="1" ht="21.6" x14ac:dyDescent="0.3">
      <c r="A172" s="16" t="s">
        <v>2138</v>
      </c>
      <c r="B172" s="17" t="s">
        <v>2043</v>
      </c>
      <c r="C172" s="405" t="s">
        <v>2044</v>
      </c>
      <c r="D172" s="405"/>
      <c r="E172" s="405"/>
      <c r="F172" s="16" t="s">
        <v>70</v>
      </c>
      <c r="G172" s="44">
        <v>7.77E-3</v>
      </c>
      <c r="H172" s="57">
        <f t="shared" si="4"/>
        <v>0</v>
      </c>
      <c r="I172" s="19"/>
      <c r="J172" s="19">
        <f t="shared" si="5"/>
        <v>65656.370656370651</v>
      </c>
      <c r="K172" s="19">
        <v>510.15</v>
      </c>
      <c r="BC172" s="14"/>
      <c r="BD172" s="15"/>
      <c r="BE172" s="21" t="s">
        <v>2044</v>
      </c>
      <c r="BF172" s="12"/>
      <c r="BG172" s="43"/>
      <c r="BH172" s="12"/>
    </row>
    <row r="173" spans="1:60" s="3" customFormat="1" ht="15" customHeight="1" x14ac:dyDescent="0.3">
      <c r="A173" s="437" t="s">
        <v>2107</v>
      </c>
      <c r="B173" s="418"/>
      <c r="C173" s="418"/>
      <c r="D173" s="418"/>
      <c r="E173" s="418"/>
      <c r="F173" s="418"/>
      <c r="G173" s="418"/>
      <c r="H173" s="154"/>
      <c r="I173" s="154"/>
      <c r="J173" s="154"/>
      <c r="K173" s="155"/>
      <c r="BC173" s="14"/>
      <c r="BD173" s="15" t="s">
        <v>2107</v>
      </c>
      <c r="BE173" s="21"/>
      <c r="BF173" s="12"/>
      <c r="BG173" s="43"/>
      <c r="BH173" s="12"/>
    </row>
    <row r="174" spans="1:60" s="3" customFormat="1" ht="31.8" x14ac:dyDescent="0.3">
      <c r="A174" s="16" t="s">
        <v>2139</v>
      </c>
      <c r="B174" s="17" t="s">
        <v>2009</v>
      </c>
      <c r="C174" s="405" t="s">
        <v>2010</v>
      </c>
      <c r="D174" s="405"/>
      <c r="E174" s="405"/>
      <c r="F174" s="16" t="s">
        <v>46</v>
      </c>
      <c r="G174" s="18">
        <v>3.3000000000000002E-2</v>
      </c>
      <c r="H174" s="57">
        <f>I174/G174</f>
        <v>10131.515151515152</v>
      </c>
      <c r="I174" s="19">
        <f>569.85-K174</f>
        <v>334.34000000000003</v>
      </c>
      <c r="J174" s="19">
        <f>K174/G174</f>
        <v>7136.6666666666661</v>
      </c>
      <c r="K174" s="19">
        <v>235.51</v>
      </c>
      <c r="BC174" s="14"/>
      <c r="BD174" s="15"/>
      <c r="BE174" s="21" t="s">
        <v>2010</v>
      </c>
      <c r="BF174" s="12"/>
      <c r="BG174" s="43"/>
      <c r="BH174" s="12"/>
    </row>
    <row r="175" spans="1:60" s="3" customFormat="1" ht="20.399999999999999" x14ac:dyDescent="0.3">
      <c r="A175" s="37" t="s">
        <v>143</v>
      </c>
      <c r="B175" s="38" t="s">
        <v>2011</v>
      </c>
      <c r="C175" s="430" t="s">
        <v>2012</v>
      </c>
      <c r="D175" s="430"/>
      <c r="E175" s="430"/>
      <c r="F175" s="39" t="s">
        <v>46</v>
      </c>
      <c r="G175" s="40" t="s">
        <v>2140</v>
      </c>
      <c r="H175" s="100"/>
      <c r="I175" s="41"/>
      <c r="J175" s="41"/>
      <c r="K175" s="42"/>
      <c r="BC175" s="14"/>
      <c r="BD175" s="15"/>
      <c r="BE175" s="21"/>
      <c r="BF175" s="12"/>
      <c r="BG175" s="43" t="s">
        <v>2012</v>
      </c>
      <c r="BH175" s="12"/>
    </row>
    <row r="176" spans="1:60" s="3" customFormat="1" ht="31.8" x14ac:dyDescent="0.3">
      <c r="A176" s="25" t="s">
        <v>129</v>
      </c>
      <c r="B176" s="26" t="s">
        <v>2141</v>
      </c>
      <c r="C176" s="419" t="s">
        <v>2142</v>
      </c>
      <c r="D176" s="419"/>
      <c r="E176" s="419"/>
      <c r="F176" s="27" t="s">
        <v>46</v>
      </c>
      <c r="G176" s="22" t="s">
        <v>2140</v>
      </c>
      <c r="H176" s="57"/>
      <c r="I176" s="28"/>
      <c r="J176" s="19"/>
      <c r="K176" s="29"/>
      <c r="BC176" s="14"/>
      <c r="BD176" s="15"/>
      <c r="BE176" s="21"/>
      <c r="BF176" s="12"/>
      <c r="BG176" s="43"/>
      <c r="BH176" s="12" t="s">
        <v>2142</v>
      </c>
    </row>
    <row r="177" spans="1:60" s="3" customFormat="1" ht="15" customHeight="1" x14ac:dyDescent="0.3">
      <c r="A177" s="435" t="s">
        <v>2143</v>
      </c>
      <c r="B177" s="436"/>
      <c r="C177" s="436"/>
      <c r="D177" s="436"/>
      <c r="E177" s="436"/>
      <c r="F177" s="436"/>
      <c r="G177" s="436"/>
      <c r="H177" s="103"/>
      <c r="I177" s="103"/>
      <c r="J177" s="103"/>
      <c r="K177" s="104"/>
      <c r="BC177" s="14" t="s">
        <v>2143</v>
      </c>
      <c r="BD177" s="15"/>
      <c r="BE177" s="21"/>
      <c r="BF177" s="12"/>
      <c r="BG177" s="43"/>
      <c r="BH177" s="12"/>
    </row>
    <row r="178" spans="1:60" s="3" customFormat="1" ht="42" x14ac:dyDescent="0.3">
      <c r="A178" s="16" t="s">
        <v>2144</v>
      </c>
      <c r="B178" s="17" t="s">
        <v>2145</v>
      </c>
      <c r="C178" s="405" t="s">
        <v>2146</v>
      </c>
      <c r="D178" s="405"/>
      <c r="E178" s="405"/>
      <c r="F178" s="16" t="s">
        <v>70</v>
      </c>
      <c r="G178" s="18">
        <v>3.8860000000000001</v>
      </c>
      <c r="H178" s="57">
        <f>I178/G178</f>
        <v>29449.788986103962</v>
      </c>
      <c r="I178" s="19">
        <f>443868.04-K178</f>
        <v>114441.88</v>
      </c>
      <c r="J178" s="19">
        <f>K178/G178</f>
        <v>84772.557900154396</v>
      </c>
      <c r="K178" s="19">
        <v>329426.15999999997</v>
      </c>
      <c r="BC178" s="14"/>
      <c r="BD178" s="15"/>
      <c r="BE178" s="21" t="s">
        <v>2146</v>
      </c>
      <c r="BF178" s="12"/>
      <c r="BG178" s="43"/>
      <c r="BH178" s="12"/>
    </row>
    <row r="179" spans="1:60" s="3" customFormat="1" ht="20.399999999999999" x14ac:dyDescent="0.3">
      <c r="A179" s="25"/>
      <c r="B179" s="26" t="s">
        <v>384</v>
      </c>
      <c r="C179" s="419" t="s">
        <v>385</v>
      </c>
      <c r="D179" s="419"/>
      <c r="E179" s="419"/>
      <c r="F179" s="27" t="s">
        <v>46</v>
      </c>
      <c r="G179" s="22" t="s">
        <v>2147</v>
      </c>
      <c r="H179" s="58"/>
      <c r="I179" s="28"/>
      <c r="J179" s="28"/>
      <c r="K179" s="29"/>
      <c r="BC179" s="14"/>
      <c r="BD179" s="15"/>
      <c r="BE179" s="21"/>
      <c r="BF179" s="12" t="s">
        <v>385</v>
      </c>
      <c r="BG179" s="43"/>
      <c r="BH179" s="12"/>
    </row>
    <row r="180" spans="1:60" s="3" customFormat="1" ht="20.399999999999999" x14ac:dyDescent="0.3">
      <c r="A180" s="25"/>
      <c r="B180" s="26" t="s">
        <v>387</v>
      </c>
      <c r="C180" s="419" t="s">
        <v>388</v>
      </c>
      <c r="D180" s="419"/>
      <c r="E180" s="419"/>
      <c r="F180" s="27" t="s">
        <v>75</v>
      </c>
      <c r="G180" s="22" t="s">
        <v>2148</v>
      </c>
      <c r="H180" s="58"/>
      <c r="I180" s="28"/>
      <c r="J180" s="28"/>
      <c r="K180" s="29"/>
      <c r="BC180" s="14"/>
      <c r="BD180" s="15"/>
      <c r="BE180" s="21"/>
      <c r="BF180" s="12" t="s">
        <v>388</v>
      </c>
      <c r="BG180" s="43"/>
      <c r="BH180" s="12"/>
    </row>
    <row r="181" spans="1:60" s="3" customFormat="1" ht="20.399999999999999" x14ac:dyDescent="0.3">
      <c r="A181" s="25"/>
      <c r="B181" s="26" t="s">
        <v>277</v>
      </c>
      <c r="C181" s="419" t="s">
        <v>278</v>
      </c>
      <c r="D181" s="419"/>
      <c r="E181" s="419"/>
      <c r="F181" s="27" t="s">
        <v>70</v>
      </c>
      <c r="G181" s="22" t="s">
        <v>2149</v>
      </c>
      <c r="H181" s="58"/>
      <c r="I181" s="28"/>
      <c r="J181" s="28"/>
      <c r="K181" s="29"/>
      <c r="BC181" s="14"/>
      <c r="BD181" s="15"/>
      <c r="BE181" s="21"/>
      <c r="BF181" s="12" t="s">
        <v>278</v>
      </c>
      <c r="BG181" s="43"/>
      <c r="BH181" s="12"/>
    </row>
    <row r="182" spans="1:60" s="3" customFormat="1" ht="20.399999999999999" x14ac:dyDescent="0.3">
      <c r="A182" s="25"/>
      <c r="B182" s="26" t="s">
        <v>391</v>
      </c>
      <c r="C182" s="419" t="s">
        <v>392</v>
      </c>
      <c r="D182" s="419"/>
      <c r="E182" s="419"/>
      <c r="F182" s="27" t="s">
        <v>75</v>
      </c>
      <c r="G182" s="22" t="s">
        <v>2150</v>
      </c>
      <c r="H182" s="58"/>
      <c r="I182" s="28"/>
      <c r="J182" s="28"/>
      <c r="K182" s="29"/>
      <c r="BC182" s="14"/>
      <c r="BD182" s="15"/>
      <c r="BE182" s="21"/>
      <c r="BF182" s="12" t="s">
        <v>392</v>
      </c>
      <c r="BG182" s="43"/>
      <c r="BH182" s="12"/>
    </row>
    <row r="183" spans="1:60" s="3" customFormat="1" ht="20.399999999999999" x14ac:dyDescent="0.3">
      <c r="A183" s="25"/>
      <c r="B183" s="26" t="s">
        <v>76</v>
      </c>
      <c r="C183" s="419" t="s">
        <v>77</v>
      </c>
      <c r="D183" s="419"/>
      <c r="E183" s="419"/>
      <c r="F183" s="27" t="s">
        <v>70</v>
      </c>
      <c r="G183" s="22" t="s">
        <v>2151</v>
      </c>
      <c r="H183" s="58"/>
      <c r="I183" s="28"/>
      <c r="J183" s="28"/>
      <c r="K183" s="29"/>
      <c r="BC183" s="14"/>
      <c r="BD183" s="15"/>
      <c r="BE183" s="21"/>
      <c r="BF183" s="12" t="s">
        <v>77</v>
      </c>
      <c r="BG183" s="43"/>
      <c r="BH183" s="12"/>
    </row>
    <row r="184" spans="1:60" s="3" customFormat="1" ht="20.399999999999999" x14ac:dyDescent="0.3">
      <c r="A184" s="25"/>
      <c r="B184" s="26" t="s">
        <v>395</v>
      </c>
      <c r="C184" s="419" t="s">
        <v>396</v>
      </c>
      <c r="D184" s="419"/>
      <c r="E184" s="419"/>
      <c r="F184" s="27" t="s">
        <v>70</v>
      </c>
      <c r="G184" s="22" t="s">
        <v>2152</v>
      </c>
      <c r="H184" s="58"/>
      <c r="I184" s="28"/>
      <c r="J184" s="28"/>
      <c r="K184" s="29"/>
      <c r="BC184" s="14"/>
      <c r="BD184" s="15"/>
      <c r="BE184" s="21"/>
      <c r="BF184" s="12" t="s">
        <v>396</v>
      </c>
      <c r="BG184" s="43"/>
      <c r="BH184" s="12"/>
    </row>
    <row r="185" spans="1:60" s="3" customFormat="1" ht="20.399999999999999" x14ac:dyDescent="0.3">
      <c r="A185" s="37" t="s">
        <v>143</v>
      </c>
      <c r="B185" s="38" t="s">
        <v>398</v>
      </c>
      <c r="C185" s="430" t="s">
        <v>399</v>
      </c>
      <c r="D185" s="430"/>
      <c r="E185" s="430"/>
      <c r="F185" s="39" t="s">
        <v>70</v>
      </c>
      <c r="G185" s="40" t="s">
        <v>2153</v>
      </c>
      <c r="H185" s="100"/>
      <c r="I185" s="41"/>
      <c r="J185" s="41"/>
      <c r="K185" s="42"/>
      <c r="BC185" s="14"/>
      <c r="BD185" s="15"/>
      <c r="BE185" s="21"/>
      <c r="BF185" s="12"/>
      <c r="BG185" s="43" t="s">
        <v>399</v>
      </c>
      <c r="BH185" s="12"/>
    </row>
    <row r="186" spans="1:60" s="3" customFormat="1" ht="42" x14ac:dyDescent="0.3">
      <c r="A186" s="25"/>
      <c r="B186" s="26" t="s">
        <v>512</v>
      </c>
      <c r="C186" s="419" t="s">
        <v>513</v>
      </c>
      <c r="D186" s="419"/>
      <c r="E186" s="419"/>
      <c r="F186" s="27" t="s">
        <v>70</v>
      </c>
      <c r="G186" s="22" t="s">
        <v>2154</v>
      </c>
      <c r="H186" s="58"/>
      <c r="I186" s="28"/>
      <c r="J186" s="28"/>
      <c r="K186" s="29"/>
      <c r="BC186" s="14"/>
      <c r="BD186" s="15"/>
      <c r="BE186" s="21"/>
      <c r="BF186" s="12" t="s">
        <v>513</v>
      </c>
      <c r="BG186" s="43"/>
      <c r="BH186" s="12"/>
    </row>
    <row r="187" spans="1:60" s="3" customFormat="1" ht="42" x14ac:dyDescent="0.3">
      <c r="A187" s="25"/>
      <c r="B187" s="26" t="s">
        <v>404</v>
      </c>
      <c r="C187" s="419" t="s">
        <v>405</v>
      </c>
      <c r="D187" s="419"/>
      <c r="E187" s="419"/>
      <c r="F187" s="27" t="s">
        <v>406</v>
      </c>
      <c r="G187" s="22" t="s">
        <v>2155</v>
      </c>
      <c r="H187" s="58"/>
      <c r="I187" s="28"/>
      <c r="J187" s="28"/>
      <c r="K187" s="29"/>
      <c r="BC187" s="14"/>
      <c r="BD187" s="15"/>
      <c r="BE187" s="21"/>
      <c r="BF187" s="12" t="s">
        <v>405</v>
      </c>
      <c r="BG187" s="43"/>
      <c r="BH187" s="12"/>
    </row>
    <row r="188" spans="1:60" s="3" customFormat="1" ht="21.6" x14ac:dyDescent="0.3">
      <c r="A188" s="25"/>
      <c r="B188" s="26" t="s">
        <v>285</v>
      </c>
      <c r="C188" s="419" t="s">
        <v>286</v>
      </c>
      <c r="D188" s="419"/>
      <c r="E188" s="419"/>
      <c r="F188" s="27" t="s">
        <v>70</v>
      </c>
      <c r="G188" s="22" t="s">
        <v>2156</v>
      </c>
      <c r="H188" s="58"/>
      <c r="I188" s="28"/>
      <c r="J188" s="28"/>
      <c r="K188" s="29"/>
      <c r="BC188" s="14"/>
      <c r="BD188" s="15"/>
      <c r="BE188" s="21"/>
      <c r="BF188" s="12" t="s">
        <v>286</v>
      </c>
      <c r="BG188" s="43"/>
      <c r="BH188" s="12"/>
    </row>
    <row r="189" spans="1:60" s="3" customFormat="1" ht="20.399999999999999" x14ac:dyDescent="0.3">
      <c r="A189" s="25"/>
      <c r="B189" s="26" t="s">
        <v>409</v>
      </c>
      <c r="C189" s="419" t="s">
        <v>410</v>
      </c>
      <c r="D189" s="419"/>
      <c r="E189" s="419"/>
      <c r="F189" s="27" t="s">
        <v>70</v>
      </c>
      <c r="G189" s="22" t="s">
        <v>2157</v>
      </c>
      <c r="H189" s="58"/>
      <c r="I189" s="28"/>
      <c r="J189" s="28"/>
      <c r="K189" s="29"/>
      <c r="BC189" s="14"/>
      <c r="BD189" s="15"/>
      <c r="BE189" s="21"/>
      <c r="BF189" s="12" t="s">
        <v>410</v>
      </c>
      <c r="BG189" s="43"/>
      <c r="BH189" s="12"/>
    </row>
    <row r="190" spans="1:60" s="3" customFormat="1" ht="21.6" x14ac:dyDescent="0.3">
      <c r="A190" s="25"/>
      <c r="B190" s="26" t="s">
        <v>412</v>
      </c>
      <c r="C190" s="419" t="s">
        <v>413</v>
      </c>
      <c r="D190" s="419"/>
      <c r="E190" s="419"/>
      <c r="F190" s="27" t="s">
        <v>46</v>
      </c>
      <c r="G190" s="22" t="s">
        <v>2158</v>
      </c>
      <c r="H190" s="58"/>
      <c r="I190" s="28"/>
      <c r="J190" s="28"/>
      <c r="K190" s="29"/>
      <c r="BC190" s="14"/>
      <c r="BD190" s="15"/>
      <c r="BE190" s="21"/>
      <c r="BF190" s="12" t="s">
        <v>413</v>
      </c>
      <c r="BG190" s="43"/>
      <c r="BH190" s="12"/>
    </row>
    <row r="191" spans="1:60" s="3" customFormat="1" ht="20.399999999999999" x14ac:dyDescent="0.3">
      <c r="A191" s="25"/>
      <c r="B191" s="26" t="s">
        <v>415</v>
      </c>
      <c r="C191" s="419" t="s">
        <v>416</v>
      </c>
      <c r="D191" s="419"/>
      <c r="E191" s="419"/>
      <c r="F191" s="27" t="s">
        <v>70</v>
      </c>
      <c r="G191" s="22" t="s">
        <v>2159</v>
      </c>
      <c r="H191" s="58"/>
      <c r="I191" s="28"/>
      <c r="J191" s="28"/>
      <c r="K191" s="29"/>
      <c r="BC191" s="14"/>
      <c r="BD191" s="15"/>
      <c r="BE191" s="21"/>
      <c r="BF191" s="12" t="s">
        <v>416</v>
      </c>
      <c r="BG191" s="43"/>
      <c r="BH191" s="12"/>
    </row>
    <row r="192" spans="1:60" s="3" customFormat="1" ht="20.399999999999999" x14ac:dyDescent="0.3">
      <c r="A192" s="25"/>
      <c r="B192" s="26" t="s">
        <v>370</v>
      </c>
      <c r="C192" s="419" t="s">
        <v>371</v>
      </c>
      <c r="D192" s="419"/>
      <c r="E192" s="419"/>
      <c r="F192" s="27" t="s">
        <v>75</v>
      </c>
      <c r="G192" s="22" t="s">
        <v>2160</v>
      </c>
      <c r="H192" s="58"/>
      <c r="I192" s="28"/>
      <c r="J192" s="28"/>
      <c r="K192" s="29"/>
      <c r="BC192" s="14"/>
      <c r="BD192" s="15"/>
      <c r="BE192" s="21"/>
      <c r="BF192" s="12" t="s">
        <v>371</v>
      </c>
      <c r="BG192" s="43"/>
      <c r="BH192" s="12"/>
    </row>
    <row r="193" spans="1:60" s="3" customFormat="1" ht="42" x14ac:dyDescent="0.3">
      <c r="A193" s="25" t="s">
        <v>129</v>
      </c>
      <c r="B193" s="26" t="s">
        <v>2161</v>
      </c>
      <c r="C193" s="419" t="s">
        <v>2162</v>
      </c>
      <c r="D193" s="419"/>
      <c r="E193" s="419"/>
      <c r="F193" s="27" t="s">
        <v>70</v>
      </c>
      <c r="G193" s="22" t="s">
        <v>2163</v>
      </c>
      <c r="H193" s="57"/>
      <c r="I193" s="28"/>
      <c r="J193" s="19"/>
      <c r="K193" s="29"/>
      <c r="BC193" s="14"/>
      <c r="BD193" s="15"/>
      <c r="BE193" s="21"/>
      <c r="BF193" s="12"/>
      <c r="BG193" s="43"/>
      <c r="BH193" s="12" t="s">
        <v>2162</v>
      </c>
    </row>
    <row r="194" spans="1:60" s="3" customFormat="1" ht="42" x14ac:dyDescent="0.3">
      <c r="A194" s="25" t="s">
        <v>129</v>
      </c>
      <c r="B194" s="26" t="s">
        <v>2164</v>
      </c>
      <c r="C194" s="419" t="s">
        <v>513</v>
      </c>
      <c r="D194" s="419"/>
      <c r="E194" s="419"/>
      <c r="F194" s="27" t="s">
        <v>70</v>
      </c>
      <c r="G194" s="22" t="s">
        <v>2165</v>
      </c>
      <c r="H194" s="57"/>
      <c r="I194" s="28"/>
      <c r="J194" s="19"/>
      <c r="K194" s="29"/>
      <c r="BC194" s="14"/>
      <c r="BD194" s="15"/>
      <c r="BE194" s="21"/>
      <c r="BF194" s="12"/>
      <c r="BG194" s="43"/>
      <c r="BH194" s="12" t="s">
        <v>513</v>
      </c>
    </row>
    <row r="195" spans="1:60" s="3" customFormat="1" ht="31.8" x14ac:dyDescent="0.3">
      <c r="A195" s="25" t="s">
        <v>129</v>
      </c>
      <c r="B195" s="26" t="s">
        <v>2166</v>
      </c>
      <c r="C195" s="419" t="s">
        <v>2167</v>
      </c>
      <c r="D195" s="419"/>
      <c r="E195" s="419"/>
      <c r="F195" s="27" t="s">
        <v>70</v>
      </c>
      <c r="G195" s="22" t="s">
        <v>2168</v>
      </c>
      <c r="H195" s="57"/>
      <c r="I195" s="28"/>
      <c r="J195" s="19"/>
      <c r="K195" s="29"/>
      <c r="BC195" s="14"/>
      <c r="BD195" s="15"/>
      <c r="BE195" s="21"/>
      <c r="BF195" s="12"/>
      <c r="BG195" s="43"/>
      <c r="BH195" s="12" t="s">
        <v>2167</v>
      </c>
    </row>
    <row r="196" spans="1:60" s="3" customFormat="1" ht="21.6" x14ac:dyDescent="0.3">
      <c r="A196" s="16" t="s">
        <v>2169</v>
      </c>
      <c r="B196" s="17" t="s">
        <v>2170</v>
      </c>
      <c r="C196" s="405" t="s">
        <v>2171</v>
      </c>
      <c r="D196" s="405"/>
      <c r="E196" s="405"/>
      <c r="F196" s="16" t="s">
        <v>70</v>
      </c>
      <c r="G196" s="46">
        <v>9.9839999999999998E-3</v>
      </c>
      <c r="H196" s="57">
        <f>I196/G196</f>
        <v>204692.50801282053</v>
      </c>
      <c r="I196" s="19">
        <f>2936.38-K196</f>
        <v>2043.65</v>
      </c>
      <c r="J196" s="19">
        <f>K196/G196</f>
        <v>89416.065705128203</v>
      </c>
      <c r="K196" s="19">
        <v>892.73</v>
      </c>
      <c r="BC196" s="14"/>
      <c r="BD196" s="15"/>
      <c r="BE196" s="21" t="s">
        <v>2171</v>
      </c>
      <c r="BF196" s="12"/>
      <c r="BG196" s="43"/>
      <c r="BH196" s="12"/>
    </row>
    <row r="197" spans="1:60" s="3" customFormat="1" ht="20.399999999999999" x14ac:dyDescent="0.3">
      <c r="A197" s="25"/>
      <c r="B197" s="26" t="s">
        <v>2172</v>
      </c>
      <c r="C197" s="419" t="s">
        <v>2173</v>
      </c>
      <c r="D197" s="419"/>
      <c r="E197" s="419"/>
      <c r="F197" s="27" t="s">
        <v>38</v>
      </c>
      <c r="G197" s="22" t="s">
        <v>2174</v>
      </c>
      <c r="H197" s="58"/>
      <c r="I197" s="28"/>
      <c r="J197" s="28"/>
      <c r="K197" s="29"/>
      <c r="BC197" s="14"/>
      <c r="BD197" s="15"/>
      <c r="BE197" s="21"/>
      <c r="BF197" s="12" t="s">
        <v>2173</v>
      </c>
      <c r="BG197" s="43"/>
      <c r="BH197" s="12"/>
    </row>
    <row r="198" spans="1:60" s="3" customFormat="1" ht="21.6" x14ac:dyDescent="0.3">
      <c r="A198" s="25"/>
      <c r="B198" s="26" t="s">
        <v>2175</v>
      </c>
      <c r="C198" s="419" t="s">
        <v>2176</v>
      </c>
      <c r="D198" s="419"/>
      <c r="E198" s="419"/>
      <c r="F198" s="27" t="s">
        <v>70</v>
      </c>
      <c r="G198" s="22" t="s">
        <v>2177</v>
      </c>
      <c r="H198" s="58"/>
      <c r="I198" s="28"/>
      <c r="J198" s="28"/>
      <c r="K198" s="29"/>
      <c r="BC198" s="14"/>
      <c r="BD198" s="15"/>
      <c r="BE198" s="21"/>
      <c r="BF198" s="12" t="s">
        <v>2176</v>
      </c>
      <c r="BG198" s="43"/>
      <c r="BH198" s="12"/>
    </row>
    <row r="199" spans="1:60" s="3" customFormat="1" ht="15" customHeight="1" x14ac:dyDescent="0.3">
      <c r="A199" s="437" t="s">
        <v>2178</v>
      </c>
      <c r="B199" s="418"/>
      <c r="C199" s="418"/>
      <c r="D199" s="418"/>
      <c r="E199" s="418"/>
      <c r="F199" s="418"/>
      <c r="G199" s="418"/>
      <c r="H199" s="123"/>
      <c r="I199" s="123"/>
      <c r="J199" s="123"/>
      <c r="K199" s="124"/>
      <c r="BC199" s="14"/>
      <c r="BD199" s="15" t="s">
        <v>2178</v>
      </c>
      <c r="BE199" s="21"/>
      <c r="BF199" s="12"/>
      <c r="BG199" s="43"/>
      <c r="BH199" s="12"/>
    </row>
    <row r="200" spans="1:60" s="3" customFormat="1" ht="31.8" x14ac:dyDescent="0.3">
      <c r="A200" s="16" t="s">
        <v>2179</v>
      </c>
      <c r="B200" s="17" t="s">
        <v>422</v>
      </c>
      <c r="C200" s="405" t="s">
        <v>423</v>
      </c>
      <c r="D200" s="405"/>
      <c r="E200" s="405"/>
      <c r="F200" s="16" t="s">
        <v>46</v>
      </c>
      <c r="G200" s="31">
        <v>0.04</v>
      </c>
      <c r="H200" s="57">
        <f t="shared" ref="H200:H201" si="6">I200/G200</f>
        <v>6054.75</v>
      </c>
      <c r="I200" s="19">
        <f>242.19-K200</f>
        <v>242.19</v>
      </c>
      <c r="J200" s="19">
        <f t="shared" ref="J200:J201" si="7">K200/G200</f>
        <v>0</v>
      </c>
      <c r="K200" s="19">
        <v>0</v>
      </c>
      <c r="BC200" s="14"/>
      <c r="BD200" s="15"/>
      <c r="BE200" s="21" t="s">
        <v>423</v>
      </c>
      <c r="BF200" s="12"/>
      <c r="BG200" s="43"/>
      <c r="BH200" s="12"/>
    </row>
    <row r="201" spans="1:60" s="3" customFormat="1" ht="62.4" x14ac:dyDescent="0.3">
      <c r="A201" s="16" t="s">
        <v>2180</v>
      </c>
      <c r="B201" s="17" t="s">
        <v>424</v>
      </c>
      <c r="C201" s="405" t="s">
        <v>425</v>
      </c>
      <c r="D201" s="405"/>
      <c r="E201" s="405"/>
      <c r="F201" s="16" t="s">
        <v>329</v>
      </c>
      <c r="G201" s="31">
        <v>0.02</v>
      </c>
      <c r="H201" s="57">
        <f t="shared" si="6"/>
        <v>41861.500000000022</v>
      </c>
      <c r="I201" s="19">
        <f>5338.76-K201</f>
        <v>837.23000000000047</v>
      </c>
      <c r="J201" s="19">
        <f t="shared" si="7"/>
        <v>225076.49999999997</v>
      </c>
      <c r="K201" s="19">
        <v>4501.53</v>
      </c>
      <c r="BC201" s="14"/>
      <c r="BD201" s="15"/>
      <c r="BE201" s="21" t="s">
        <v>425</v>
      </c>
      <c r="BF201" s="12"/>
      <c r="BG201" s="43"/>
      <c r="BH201" s="12"/>
    </row>
    <row r="202" spans="1:60" s="3" customFormat="1" ht="20.399999999999999" x14ac:dyDescent="0.3">
      <c r="A202" s="37" t="s">
        <v>78</v>
      </c>
      <c r="B202" s="38" t="s">
        <v>154</v>
      </c>
      <c r="C202" s="430" t="s">
        <v>155</v>
      </c>
      <c r="D202" s="430"/>
      <c r="E202" s="430"/>
      <c r="F202" s="39" t="s">
        <v>46</v>
      </c>
      <c r="G202" s="40" t="s">
        <v>33</v>
      </c>
      <c r="H202" s="100"/>
      <c r="I202" s="41"/>
      <c r="J202" s="41"/>
      <c r="K202" s="42"/>
      <c r="BC202" s="14"/>
      <c r="BD202" s="15"/>
      <c r="BE202" s="21"/>
      <c r="BF202" s="12"/>
      <c r="BG202" s="43" t="s">
        <v>155</v>
      </c>
      <c r="BH202" s="12"/>
    </row>
    <row r="203" spans="1:60" s="3" customFormat="1" ht="20.399999999999999" x14ac:dyDescent="0.3">
      <c r="A203" s="37" t="s">
        <v>78</v>
      </c>
      <c r="B203" s="38" t="s">
        <v>426</v>
      </c>
      <c r="C203" s="430" t="s">
        <v>427</v>
      </c>
      <c r="D203" s="430"/>
      <c r="E203" s="430"/>
      <c r="F203" s="39" t="s">
        <v>75</v>
      </c>
      <c r="G203" s="40" t="s">
        <v>33</v>
      </c>
      <c r="H203" s="100"/>
      <c r="I203" s="41"/>
      <c r="J203" s="41"/>
      <c r="K203" s="42"/>
      <c r="BC203" s="14"/>
      <c r="BD203" s="15"/>
      <c r="BE203" s="21"/>
      <c r="BF203" s="12"/>
      <c r="BG203" s="43" t="s">
        <v>427</v>
      </c>
      <c r="BH203" s="12"/>
    </row>
    <row r="204" spans="1:60" s="3" customFormat="1" ht="31.8" x14ac:dyDescent="0.3">
      <c r="A204" s="37" t="s">
        <v>78</v>
      </c>
      <c r="B204" s="38" t="s">
        <v>428</v>
      </c>
      <c r="C204" s="430" t="s">
        <v>429</v>
      </c>
      <c r="D204" s="430"/>
      <c r="E204" s="430"/>
      <c r="F204" s="39" t="s">
        <v>430</v>
      </c>
      <c r="G204" s="40" t="s">
        <v>33</v>
      </c>
      <c r="H204" s="100"/>
      <c r="I204" s="41"/>
      <c r="J204" s="41"/>
      <c r="K204" s="42"/>
      <c r="BC204" s="14"/>
      <c r="BD204" s="15"/>
      <c r="BE204" s="21"/>
      <c r="BF204" s="12"/>
      <c r="BG204" s="43" t="s">
        <v>429</v>
      </c>
      <c r="BH204" s="12"/>
    </row>
    <row r="205" spans="1:60" s="3" customFormat="1" ht="31.8" x14ac:dyDescent="0.3">
      <c r="A205" s="25" t="s">
        <v>129</v>
      </c>
      <c r="B205" s="26" t="s">
        <v>431</v>
      </c>
      <c r="C205" s="419" t="s">
        <v>432</v>
      </c>
      <c r="D205" s="419"/>
      <c r="E205" s="419"/>
      <c r="F205" s="27" t="s">
        <v>75</v>
      </c>
      <c r="G205" s="22" t="s">
        <v>2181</v>
      </c>
      <c r="H205" s="57"/>
      <c r="I205" s="28"/>
      <c r="J205" s="19"/>
      <c r="K205" s="29"/>
      <c r="BC205" s="14"/>
      <c r="BD205" s="15"/>
      <c r="BE205" s="21"/>
      <c r="BF205" s="12"/>
      <c r="BG205" s="43"/>
      <c r="BH205" s="12" t="s">
        <v>432</v>
      </c>
    </row>
    <row r="206" spans="1:60" s="3" customFormat="1" ht="20.399999999999999" x14ac:dyDescent="0.3">
      <c r="A206" s="25" t="s">
        <v>129</v>
      </c>
      <c r="B206" s="26" t="s">
        <v>434</v>
      </c>
      <c r="C206" s="419" t="s">
        <v>155</v>
      </c>
      <c r="D206" s="419"/>
      <c r="E206" s="419"/>
      <c r="F206" s="27" t="s">
        <v>46</v>
      </c>
      <c r="G206" s="22" t="s">
        <v>2182</v>
      </c>
      <c r="H206" s="57"/>
      <c r="I206" s="28"/>
      <c r="J206" s="19"/>
      <c r="K206" s="29"/>
      <c r="BC206" s="14"/>
      <c r="BD206" s="15"/>
      <c r="BE206" s="21"/>
      <c r="BF206" s="12"/>
      <c r="BG206" s="43"/>
      <c r="BH206" s="12" t="s">
        <v>155</v>
      </c>
    </row>
    <row r="207" spans="1:60" s="3" customFormat="1" ht="15" customHeight="1" x14ac:dyDescent="0.3">
      <c r="A207" s="437" t="s">
        <v>2093</v>
      </c>
      <c r="B207" s="418"/>
      <c r="C207" s="418"/>
      <c r="D207" s="418"/>
      <c r="E207" s="418"/>
      <c r="F207" s="418"/>
      <c r="G207" s="418"/>
      <c r="H207" s="123"/>
      <c r="I207" s="123"/>
      <c r="J207" s="123"/>
      <c r="K207" s="124"/>
      <c r="BC207" s="14"/>
      <c r="BD207" s="15" t="s">
        <v>2093</v>
      </c>
      <c r="BE207" s="21"/>
      <c r="BF207" s="12"/>
      <c r="BG207" s="43"/>
      <c r="BH207" s="12"/>
    </row>
    <row r="208" spans="1:60" s="3" customFormat="1" ht="31.8" x14ac:dyDescent="0.3">
      <c r="A208" s="16" t="s">
        <v>2183</v>
      </c>
      <c r="B208" s="17" t="s">
        <v>2184</v>
      </c>
      <c r="C208" s="405" t="s">
        <v>2185</v>
      </c>
      <c r="D208" s="405"/>
      <c r="E208" s="405"/>
      <c r="F208" s="16" t="s">
        <v>158</v>
      </c>
      <c r="G208" s="24">
        <v>114.6</v>
      </c>
      <c r="H208" s="57">
        <f>I208/G208</f>
        <v>3228.3219895287957</v>
      </c>
      <c r="I208" s="19">
        <f>502320.11-K208</f>
        <v>369965.69999999995</v>
      </c>
      <c r="J208" s="19">
        <f>K208/G208</f>
        <v>1154.9250436300176</v>
      </c>
      <c r="K208" s="19">
        <v>132354.41</v>
      </c>
      <c r="BC208" s="14"/>
      <c r="BD208" s="15"/>
      <c r="BE208" s="21" t="s">
        <v>2185</v>
      </c>
      <c r="BF208" s="12"/>
      <c r="BG208" s="43"/>
      <c r="BH208" s="12"/>
    </row>
    <row r="209" spans="1:60" s="3" customFormat="1" ht="20.399999999999999" x14ac:dyDescent="0.3">
      <c r="A209" s="25"/>
      <c r="B209" s="26" t="s">
        <v>2186</v>
      </c>
      <c r="C209" s="419" t="s">
        <v>2187</v>
      </c>
      <c r="D209" s="419"/>
      <c r="E209" s="419"/>
      <c r="F209" s="27" t="s">
        <v>75</v>
      </c>
      <c r="G209" s="22" t="s">
        <v>2188</v>
      </c>
      <c r="H209" s="58"/>
      <c r="I209" s="28"/>
      <c r="J209" s="28"/>
      <c r="K209" s="29"/>
      <c r="BC209" s="14"/>
      <c r="BD209" s="15"/>
      <c r="BE209" s="21"/>
      <c r="BF209" s="12" t="s">
        <v>2187</v>
      </c>
      <c r="BG209" s="43"/>
      <c r="BH209" s="12"/>
    </row>
    <row r="210" spans="1:60" s="3" customFormat="1" ht="20.399999999999999" x14ac:dyDescent="0.3">
      <c r="A210" s="25"/>
      <c r="B210" s="26" t="s">
        <v>2189</v>
      </c>
      <c r="C210" s="419" t="s">
        <v>2190</v>
      </c>
      <c r="D210" s="419"/>
      <c r="E210" s="419"/>
      <c r="F210" s="27" t="s">
        <v>158</v>
      </c>
      <c r="G210" s="22" t="s">
        <v>2191</v>
      </c>
      <c r="H210" s="58"/>
      <c r="I210" s="28"/>
      <c r="J210" s="28"/>
      <c r="K210" s="29"/>
      <c r="BC210" s="14"/>
      <c r="BD210" s="15"/>
      <c r="BE210" s="21"/>
      <c r="BF210" s="12" t="s">
        <v>2190</v>
      </c>
      <c r="BG210" s="43"/>
      <c r="BH210" s="12"/>
    </row>
    <row r="211" spans="1:60" s="3" customFormat="1" ht="21.6" x14ac:dyDescent="0.3">
      <c r="A211" s="25"/>
      <c r="B211" s="26" t="s">
        <v>2192</v>
      </c>
      <c r="C211" s="419" t="s">
        <v>2193</v>
      </c>
      <c r="D211" s="419"/>
      <c r="E211" s="419"/>
      <c r="F211" s="27" t="s">
        <v>46</v>
      </c>
      <c r="G211" s="22" t="s">
        <v>2194</v>
      </c>
      <c r="H211" s="58"/>
      <c r="I211" s="28"/>
      <c r="J211" s="28"/>
      <c r="K211" s="29"/>
      <c r="BC211" s="14"/>
      <c r="BD211" s="15"/>
      <c r="BE211" s="21"/>
      <c r="BF211" s="12" t="s">
        <v>2193</v>
      </c>
      <c r="BG211" s="43"/>
      <c r="BH211" s="12"/>
    </row>
    <row r="212" spans="1:60" s="3" customFormat="1" ht="21.6" x14ac:dyDescent="0.3">
      <c r="A212" s="25"/>
      <c r="B212" s="26" t="s">
        <v>2195</v>
      </c>
      <c r="C212" s="419" t="s">
        <v>2196</v>
      </c>
      <c r="D212" s="419"/>
      <c r="E212" s="419"/>
      <c r="F212" s="27" t="s">
        <v>70</v>
      </c>
      <c r="G212" s="22" t="s">
        <v>2197</v>
      </c>
      <c r="H212" s="58"/>
      <c r="I212" s="28"/>
      <c r="J212" s="28"/>
      <c r="K212" s="29"/>
      <c r="BC212" s="14"/>
      <c r="BD212" s="15"/>
      <c r="BE212" s="21"/>
      <c r="BF212" s="12" t="s">
        <v>2196</v>
      </c>
      <c r="BG212" s="43"/>
      <c r="BH212" s="12"/>
    </row>
    <row r="213" spans="1:60" s="3" customFormat="1" ht="20.399999999999999" x14ac:dyDescent="0.3">
      <c r="A213" s="25"/>
      <c r="B213" s="26" t="s">
        <v>2198</v>
      </c>
      <c r="C213" s="419" t="s">
        <v>2199</v>
      </c>
      <c r="D213" s="419"/>
      <c r="E213" s="419"/>
      <c r="F213" s="27" t="s">
        <v>70</v>
      </c>
      <c r="G213" s="22" t="s">
        <v>2200</v>
      </c>
      <c r="H213" s="58"/>
      <c r="I213" s="28"/>
      <c r="J213" s="28"/>
      <c r="K213" s="29"/>
      <c r="BC213" s="14"/>
      <c r="BD213" s="15"/>
      <c r="BE213" s="21"/>
      <c r="BF213" s="12" t="s">
        <v>2199</v>
      </c>
      <c r="BG213" s="43"/>
      <c r="BH213" s="12"/>
    </row>
    <row r="214" spans="1:60" s="3" customFormat="1" ht="20.399999999999999" x14ac:dyDescent="0.3">
      <c r="A214" s="25"/>
      <c r="B214" s="26" t="s">
        <v>339</v>
      </c>
      <c r="C214" s="419" t="s">
        <v>340</v>
      </c>
      <c r="D214" s="419"/>
      <c r="E214" s="419"/>
      <c r="F214" s="27" t="s">
        <v>75</v>
      </c>
      <c r="G214" s="22" t="s">
        <v>2201</v>
      </c>
      <c r="H214" s="58"/>
      <c r="I214" s="28"/>
      <c r="J214" s="28"/>
      <c r="K214" s="29"/>
      <c r="BC214" s="14"/>
      <c r="BD214" s="15"/>
      <c r="BE214" s="21"/>
      <c r="BF214" s="12" t="s">
        <v>340</v>
      </c>
      <c r="BG214" s="43"/>
      <c r="BH214" s="12"/>
    </row>
    <row r="215" spans="1:60" s="3" customFormat="1" ht="20.399999999999999" x14ac:dyDescent="0.3">
      <c r="A215" s="25"/>
      <c r="B215" s="26" t="s">
        <v>2202</v>
      </c>
      <c r="C215" s="419" t="s">
        <v>2203</v>
      </c>
      <c r="D215" s="419"/>
      <c r="E215" s="419"/>
      <c r="F215" s="27" t="s">
        <v>158</v>
      </c>
      <c r="G215" s="22" t="s">
        <v>2204</v>
      </c>
      <c r="H215" s="58"/>
      <c r="I215" s="28"/>
      <c r="J215" s="28"/>
      <c r="K215" s="29"/>
      <c r="BC215" s="14"/>
      <c r="BD215" s="15"/>
      <c r="BE215" s="21"/>
      <c r="BF215" s="12" t="s">
        <v>2203</v>
      </c>
      <c r="BG215" s="43"/>
      <c r="BH215" s="12"/>
    </row>
    <row r="216" spans="1:60" s="3" customFormat="1" ht="20.399999999999999" x14ac:dyDescent="0.3">
      <c r="A216" s="25"/>
      <c r="B216" s="26" t="s">
        <v>415</v>
      </c>
      <c r="C216" s="419" t="s">
        <v>416</v>
      </c>
      <c r="D216" s="419"/>
      <c r="E216" s="419"/>
      <c r="F216" s="27" t="s">
        <v>70</v>
      </c>
      <c r="G216" s="22" t="s">
        <v>2205</v>
      </c>
      <c r="H216" s="58"/>
      <c r="I216" s="28"/>
      <c r="J216" s="28"/>
      <c r="K216" s="29"/>
      <c r="BC216" s="14"/>
      <c r="BD216" s="15"/>
      <c r="BE216" s="21"/>
      <c r="BF216" s="12" t="s">
        <v>416</v>
      </c>
      <c r="BG216" s="43"/>
      <c r="BH216" s="12"/>
    </row>
    <row r="217" spans="1:60" s="3" customFormat="1" ht="21.6" x14ac:dyDescent="0.3">
      <c r="A217" s="25"/>
      <c r="B217" s="26" t="s">
        <v>2206</v>
      </c>
      <c r="C217" s="419" t="s">
        <v>2207</v>
      </c>
      <c r="D217" s="419"/>
      <c r="E217" s="419"/>
      <c r="F217" s="27" t="s">
        <v>430</v>
      </c>
      <c r="G217" s="22" t="s">
        <v>2208</v>
      </c>
      <c r="H217" s="58"/>
      <c r="I217" s="28"/>
      <c r="J217" s="28"/>
      <c r="K217" s="29"/>
      <c r="BC217" s="14"/>
      <c r="BD217" s="15"/>
      <c r="BE217" s="21"/>
      <c r="BF217" s="12" t="s">
        <v>2207</v>
      </c>
      <c r="BG217" s="43"/>
      <c r="BH217" s="12"/>
    </row>
    <row r="218" spans="1:60" s="3" customFormat="1" ht="20.399999999999999" x14ac:dyDescent="0.3">
      <c r="A218" s="25"/>
      <c r="B218" s="26" t="s">
        <v>353</v>
      </c>
      <c r="C218" s="419" t="s">
        <v>354</v>
      </c>
      <c r="D218" s="419"/>
      <c r="E218" s="419"/>
      <c r="F218" s="27" t="s">
        <v>75</v>
      </c>
      <c r="G218" s="22" t="s">
        <v>2209</v>
      </c>
      <c r="H218" s="58"/>
      <c r="I218" s="28"/>
      <c r="J218" s="28"/>
      <c r="K218" s="29"/>
      <c r="BC218" s="14"/>
      <c r="BD218" s="15"/>
      <c r="BE218" s="21"/>
      <c r="BF218" s="12" t="s">
        <v>354</v>
      </c>
      <c r="BG218" s="43"/>
      <c r="BH218" s="12"/>
    </row>
    <row r="219" spans="1:60" s="3" customFormat="1" ht="15" customHeight="1" x14ac:dyDescent="0.3">
      <c r="A219" s="437" t="s">
        <v>2100</v>
      </c>
      <c r="B219" s="418"/>
      <c r="C219" s="418"/>
      <c r="D219" s="418"/>
      <c r="E219" s="418"/>
      <c r="F219" s="418"/>
      <c r="G219" s="418"/>
      <c r="H219" s="123"/>
      <c r="I219" s="123"/>
      <c r="J219" s="123"/>
      <c r="K219" s="124"/>
      <c r="BC219" s="14"/>
      <c r="BD219" s="15" t="s">
        <v>2100</v>
      </c>
      <c r="BE219" s="21"/>
      <c r="BF219" s="12"/>
      <c r="BG219" s="43"/>
      <c r="BH219" s="12"/>
    </row>
    <row r="220" spans="1:60" s="3" customFormat="1" ht="21.6" x14ac:dyDescent="0.3">
      <c r="A220" s="16" t="s">
        <v>2210</v>
      </c>
      <c r="B220" s="17" t="s">
        <v>2101</v>
      </c>
      <c r="C220" s="405" t="s">
        <v>2102</v>
      </c>
      <c r="D220" s="405"/>
      <c r="E220" s="405"/>
      <c r="F220" s="16" t="s">
        <v>329</v>
      </c>
      <c r="G220" s="18">
        <v>1.1459999999999999</v>
      </c>
      <c r="H220" s="57">
        <f>I220/G220</f>
        <v>6350.4712041884823</v>
      </c>
      <c r="I220" s="19">
        <f>11481.34-K220</f>
        <v>7277.64</v>
      </c>
      <c r="J220" s="19">
        <f>K220/G220</f>
        <v>3668.150087260035</v>
      </c>
      <c r="K220" s="19">
        <v>4203.7</v>
      </c>
      <c r="BC220" s="14"/>
      <c r="BD220" s="15"/>
      <c r="BE220" s="21" t="s">
        <v>2102</v>
      </c>
      <c r="BF220" s="12"/>
      <c r="BG220" s="43"/>
      <c r="BH220" s="12"/>
    </row>
    <row r="221" spans="1:60" s="3" customFormat="1" ht="20.399999999999999" x14ac:dyDescent="0.3">
      <c r="A221" s="25"/>
      <c r="B221" s="26" t="s">
        <v>2103</v>
      </c>
      <c r="C221" s="419" t="s">
        <v>2104</v>
      </c>
      <c r="D221" s="419"/>
      <c r="E221" s="419"/>
      <c r="F221" s="27" t="s">
        <v>70</v>
      </c>
      <c r="G221" s="22" t="s">
        <v>2211</v>
      </c>
      <c r="H221" s="58"/>
      <c r="I221" s="28"/>
      <c r="J221" s="28"/>
      <c r="K221" s="29"/>
      <c r="BC221" s="14"/>
      <c r="BD221" s="15"/>
      <c r="BE221" s="21"/>
      <c r="BF221" s="12" t="s">
        <v>2104</v>
      </c>
      <c r="BG221" s="43"/>
      <c r="BH221" s="12"/>
    </row>
    <row r="222" spans="1:60" s="3" customFormat="1" ht="20.399999999999999" x14ac:dyDescent="0.3">
      <c r="A222" s="25"/>
      <c r="B222" s="26" t="s">
        <v>353</v>
      </c>
      <c r="C222" s="419" t="s">
        <v>354</v>
      </c>
      <c r="D222" s="419"/>
      <c r="E222" s="419"/>
      <c r="F222" s="27" t="s">
        <v>75</v>
      </c>
      <c r="G222" s="22" t="s">
        <v>2212</v>
      </c>
      <c r="H222" s="58"/>
      <c r="I222" s="28"/>
      <c r="J222" s="28"/>
      <c r="K222" s="29"/>
      <c r="BC222" s="14"/>
      <c r="BD222" s="15"/>
      <c r="BE222" s="21"/>
      <c r="BF222" s="12" t="s">
        <v>354</v>
      </c>
      <c r="BG222" s="43"/>
      <c r="BH222" s="12"/>
    </row>
    <row r="223" spans="1:60" s="3" customFormat="1" ht="15" customHeight="1" x14ac:dyDescent="0.3">
      <c r="A223" s="437" t="s">
        <v>2213</v>
      </c>
      <c r="B223" s="418"/>
      <c r="C223" s="418"/>
      <c r="D223" s="418"/>
      <c r="E223" s="418"/>
      <c r="F223" s="418"/>
      <c r="G223" s="418"/>
      <c r="H223" s="123"/>
      <c r="I223" s="123"/>
      <c r="J223" s="123"/>
      <c r="K223" s="124"/>
      <c r="BC223" s="14"/>
      <c r="BD223" s="15" t="s">
        <v>2213</v>
      </c>
      <c r="BE223" s="21"/>
      <c r="BF223" s="12"/>
      <c r="BG223" s="43"/>
      <c r="BH223" s="12"/>
    </row>
    <row r="224" spans="1:60" s="3" customFormat="1" ht="42" x14ac:dyDescent="0.3">
      <c r="A224" s="16" t="s">
        <v>2214</v>
      </c>
      <c r="B224" s="17" t="s">
        <v>2215</v>
      </c>
      <c r="C224" s="405" t="s">
        <v>2216</v>
      </c>
      <c r="D224" s="405"/>
      <c r="E224" s="405"/>
      <c r="F224" s="16" t="s">
        <v>329</v>
      </c>
      <c r="G224" s="18">
        <v>1.1459999999999999</v>
      </c>
      <c r="H224" s="57">
        <f>I224/G224</f>
        <v>12017.80104712042</v>
      </c>
      <c r="I224" s="19">
        <f>15949.4-K224</f>
        <v>13772.4</v>
      </c>
      <c r="J224" s="19">
        <f>K224/G224</f>
        <v>1899.6509598603841</v>
      </c>
      <c r="K224" s="19">
        <v>2177</v>
      </c>
      <c r="BC224" s="14"/>
      <c r="BD224" s="15"/>
      <c r="BE224" s="21" t="s">
        <v>2216</v>
      </c>
      <c r="BF224" s="12"/>
      <c r="BG224" s="43"/>
      <c r="BH224" s="12"/>
    </row>
    <row r="225" spans="1:60" s="3" customFormat="1" ht="20.399999999999999" x14ac:dyDescent="0.3">
      <c r="A225" s="25"/>
      <c r="B225" s="26" t="s">
        <v>339</v>
      </c>
      <c r="C225" s="419" t="s">
        <v>340</v>
      </c>
      <c r="D225" s="419"/>
      <c r="E225" s="419"/>
      <c r="F225" s="27" t="s">
        <v>75</v>
      </c>
      <c r="G225" s="22" t="s">
        <v>2217</v>
      </c>
      <c r="H225" s="58"/>
      <c r="I225" s="28"/>
      <c r="J225" s="28"/>
      <c r="K225" s="29"/>
      <c r="BC225" s="14"/>
      <c r="BD225" s="15"/>
      <c r="BE225" s="21"/>
      <c r="BF225" s="12" t="s">
        <v>340</v>
      </c>
      <c r="BG225" s="43"/>
      <c r="BH225" s="12"/>
    </row>
    <row r="226" spans="1:60" s="3" customFormat="1" ht="20.399999999999999" x14ac:dyDescent="0.3">
      <c r="A226" s="37" t="s">
        <v>143</v>
      </c>
      <c r="B226" s="38" t="s">
        <v>2218</v>
      </c>
      <c r="C226" s="430" t="s">
        <v>2219</v>
      </c>
      <c r="D226" s="430"/>
      <c r="E226" s="430"/>
      <c r="F226" s="39" t="s">
        <v>70</v>
      </c>
      <c r="G226" s="40" t="s">
        <v>2220</v>
      </c>
      <c r="H226" s="100"/>
      <c r="I226" s="41"/>
      <c r="J226" s="41"/>
      <c r="K226" s="42"/>
      <c r="BC226" s="14"/>
      <c r="BD226" s="15"/>
      <c r="BE226" s="21"/>
      <c r="BF226" s="12"/>
      <c r="BG226" s="43" t="s">
        <v>2219</v>
      </c>
      <c r="BH226" s="12"/>
    </row>
    <row r="227" spans="1:60" s="3" customFormat="1" ht="20.399999999999999" x14ac:dyDescent="0.3">
      <c r="A227" s="25"/>
      <c r="B227" s="26" t="s">
        <v>353</v>
      </c>
      <c r="C227" s="419" t="s">
        <v>354</v>
      </c>
      <c r="D227" s="419"/>
      <c r="E227" s="419"/>
      <c r="F227" s="27" t="s">
        <v>75</v>
      </c>
      <c r="G227" s="22" t="s">
        <v>2221</v>
      </c>
      <c r="H227" s="58"/>
      <c r="I227" s="28"/>
      <c r="J227" s="28"/>
      <c r="K227" s="29"/>
      <c r="BC227" s="14"/>
      <c r="BD227" s="15"/>
      <c r="BE227" s="21"/>
      <c r="BF227" s="12" t="s">
        <v>354</v>
      </c>
      <c r="BG227" s="43"/>
      <c r="BH227" s="12"/>
    </row>
    <row r="228" spans="1:60" s="3" customFormat="1" ht="42" x14ac:dyDescent="0.3">
      <c r="A228" s="16" t="s">
        <v>2222</v>
      </c>
      <c r="B228" s="17" t="s">
        <v>2223</v>
      </c>
      <c r="C228" s="405" t="s">
        <v>2224</v>
      </c>
      <c r="D228" s="405"/>
      <c r="E228" s="405"/>
      <c r="F228" s="16" t="s">
        <v>329</v>
      </c>
      <c r="G228" s="18">
        <v>-1.1459999999999999</v>
      </c>
      <c r="H228" s="57">
        <f>I228/G228</f>
        <v>1765.6195462478188</v>
      </c>
      <c r="I228" s="19">
        <f>-2023.4-K228</f>
        <v>-2023.4</v>
      </c>
      <c r="J228" s="19">
        <f>K228/G228</f>
        <v>0</v>
      </c>
      <c r="K228" s="19">
        <v>0</v>
      </c>
      <c r="BC228" s="14"/>
      <c r="BD228" s="15"/>
      <c r="BE228" s="21" t="s">
        <v>2224</v>
      </c>
      <c r="BF228" s="12"/>
      <c r="BG228" s="43"/>
      <c r="BH228" s="12"/>
    </row>
    <row r="229" spans="1:60" s="3" customFormat="1" ht="20.399999999999999" x14ac:dyDescent="0.3">
      <c r="A229" s="37" t="s">
        <v>143</v>
      </c>
      <c r="B229" s="38" t="s">
        <v>2218</v>
      </c>
      <c r="C229" s="430" t="s">
        <v>2219</v>
      </c>
      <c r="D229" s="430"/>
      <c r="E229" s="430"/>
      <c r="F229" s="39" t="s">
        <v>70</v>
      </c>
      <c r="G229" s="40" t="s">
        <v>2225</v>
      </c>
      <c r="H229" s="100"/>
      <c r="I229" s="41"/>
      <c r="J229" s="41"/>
      <c r="K229" s="42"/>
      <c r="BC229" s="14"/>
      <c r="BD229" s="15"/>
      <c r="BE229" s="21"/>
      <c r="BF229" s="12"/>
      <c r="BG229" s="43" t="s">
        <v>2219</v>
      </c>
      <c r="BH229" s="12"/>
    </row>
    <row r="230" spans="1:60" s="3" customFormat="1" ht="21.6" x14ac:dyDescent="0.3">
      <c r="A230" s="16" t="s">
        <v>2226</v>
      </c>
      <c r="B230" s="17" t="s">
        <v>2227</v>
      </c>
      <c r="C230" s="405" t="s">
        <v>2228</v>
      </c>
      <c r="D230" s="405"/>
      <c r="E230" s="405"/>
      <c r="F230" s="16" t="s">
        <v>75</v>
      </c>
      <c r="G230" s="31">
        <v>126.06</v>
      </c>
      <c r="H230" s="57">
        <v>0</v>
      </c>
      <c r="I230" s="19">
        <v>0</v>
      </c>
      <c r="J230" s="19">
        <f>K230/G230</f>
        <v>841.4580358559416</v>
      </c>
      <c r="K230" s="19">
        <v>106074.2</v>
      </c>
      <c r="BC230" s="14"/>
      <c r="BD230" s="15"/>
      <c r="BE230" s="21" t="s">
        <v>2228</v>
      </c>
      <c r="BF230" s="12"/>
      <c r="BG230" s="43"/>
      <c r="BH230" s="12"/>
    </row>
    <row r="231" spans="1:60" s="3" customFormat="1" ht="42" x14ac:dyDescent="0.3">
      <c r="A231" s="16" t="s">
        <v>2229</v>
      </c>
      <c r="B231" s="17" t="s">
        <v>2215</v>
      </c>
      <c r="C231" s="405" t="s">
        <v>2216</v>
      </c>
      <c r="D231" s="405"/>
      <c r="E231" s="405"/>
      <c r="F231" s="16" t="s">
        <v>329</v>
      </c>
      <c r="G231" s="18">
        <v>1.1459999999999999</v>
      </c>
      <c r="H231" s="57">
        <f>I231/G231</f>
        <v>12017.80104712042</v>
      </c>
      <c r="I231" s="19">
        <f>15949.4-K231</f>
        <v>13772.4</v>
      </c>
      <c r="J231" s="19">
        <f>K231/G231</f>
        <v>1899.6509598603841</v>
      </c>
      <c r="K231" s="19">
        <v>2177</v>
      </c>
      <c r="BC231" s="14"/>
      <c r="BD231" s="15"/>
      <c r="BE231" s="21" t="s">
        <v>2216</v>
      </c>
      <c r="BF231" s="12"/>
      <c r="BG231" s="43"/>
      <c r="BH231" s="12"/>
    </row>
    <row r="232" spans="1:60" s="3" customFormat="1" ht="20.399999999999999" x14ac:dyDescent="0.3">
      <c r="A232" s="25"/>
      <c r="B232" s="26" t="s">
        <v>339</v>
      </c>
      <c r="C232" s="419" t="s">
        <v>340</v>
      </c>
      <c r="D232" s="419"/>
      <c r="E232" s="419"/>
      <c r="F232" s="27" t="s">
        <v>75</v>
      </c>
      <c r="G232" s="22" t="s">
        <v>2217</v>
      </c>
      <c r="H232" s="58"/>
      <c r="I232" s="28"/>
      <c r="J232" s="28"/>
      <c r="K232" s="29"/>
      <c r="BC232" s="14"/>
      <c r="BD232" s="15"/>
      <c r="BE232" s="21"/>
      <c r="BF232" s="12" t="s">
        <v>340</v>
      </c>
      <c r="BG232" s="43"/>
      <c r="BH232" s="12"/>
    </row>
    <row r="233" spans="1:60" s="3" customFormat="1" ht="20.399999999999999" x14ac:dyDescent="0.3">
      <c r="A233" s="37" t="s">
        <v>143</v>
      </c>
      <c r="B233" s="38" t="s">
        <v>2218</v>
      </c>
      <c r="C233" s="430" t="s">
        <v>2219</v>
      </c>
      <c r="D233" s="430"/>
      <c r="E233" s="430"/>
      <c r="F233" s="39" t="s">
        <v>70</v>
      </c>
      <c r="G233" s="40" t="s">
        <v>2220</v>
      </c>
      <c r="H233" s="100"/>
      <c r="I233" s="41"/>
      <c r="J233" s="41"/>
      <c r="K233" s="42"/>
      <c r="BC233" s="14"/>
      <c r="BD233" s="15"/>
      <c r="BE233" s="21"/>
      <c r="BF233" s="12"/>
      <c r="BG233" s="43" t="s">
        <v>2219</v>
      </c>
      <c r="BH233" s="12"/>
    </row>
    <row r="234" spans="1:60" s="3" customFormat="1" ht="20.399999999999999" x14ac:dyDescent="0.3">
      <c r="A234" s="25"/>
      <c r="B234" s="26" t="s">
        <v>353</v>
      </c>
      <c r="C234" s="419" t="s">
        <v>354</v>
      </c>
      <c r="D234" s="419"/>
      <c r="E234" s="419"/>
      <c r="F234" s="27" t="s">
        <v>75</v>
      </c>
      <c r="G234" s="22" t="s">
        <v>2221</v>
      </c>
      <c r="H234" s="58"/>
      <c r="I234" s="28"/>
      <c r="J234" s="28"/>
      <c r="K234" s="29"/>
      <c r="BC234" s="14"/>
      <c r="BD234" s="15"/>
      <c r="BE234" s="21"/>
      <c r="BF234" s="12" t="s">
        <v>354</v>
      </c>
      <c r="BG234" s="43"/>
      <c r="BH234" s="12"/>
    </row>
    <row r="235" spans="1:60" s="3" customFormat="1" ht="42" x14ac:dyDescent="0.3">
      <c r="A235" s="16" t="s">
        <v>2230</v>
      </c>
      <c r="B235" s="17" t="s">
        <v>2223</v>
      </c>
      <c r="C235" s="405" t="s">
        <v>2224</v>
      </c>
      <c r="D235" s="405"/>
      <c r="E235" s="405"/>
      <c r="F235" s="16" t="s">
        <v>329</v>
      </c>
      <c r="G235" s="18">
        <v>1.1459999999999999</v>
      </c>
      <c r="H235" s="57">
        <f>I235/G235</f>
        <v>28248.429319371731</v>
      </c>
      <c r="I235" s="19">
        <f>32372.7-K235</f>
        <v>32372.7</v>
      </c>
      <c r="J235" s="19">
        <f>K235/G235</f>
        <v>0</v>
      </c>
      <c r="K235" s="19">
        <v>0</v>
      </c>
      <c r="BC235" s="14"/>
      <c r="BD235" s="15"/>
      <c r="BE235" s="21" t="s">
        <v>2224</v>
      </c>
      <c r="BF235" s="12"/>
      <c r="BG235" s="43"/>
      <c r="BH235" s="12"/>
    </row>
    <row r="236" spans="1:60" s="3" customFormat="1" ht="20.399999999999999" x14ac:dyDescent="0.3">
      <c r="A236" s="37" t="s">
        <v>143</v>
      </c>
      <c r="B236" s="38" t="s">
        <v>2218</v>
      </c>
      <c r="C236" s="430" t="s">
        <v>2219</v>
      </c>
      <c r="D236" s="430"/>
      <c r="E236" s="430"/>
      <c r="F236" s="39" t="s">
        <v>70</v>
      </c>
      <c r="G236" s="40" t="s">
        <v>2231</v>
      </c>
      <c r="H236" s="100"/>
      <c r="I236" s="41"/>
      <c r="J236" s="41"/>
      <c r="K236" s="42"/>
      <c r="BC236" s="14"/>
      <c r="BD236" s="15"/>
      <c r="BE236" s="21"/>
      <c r="BF236" s="12"/>
      <c r="BG236" s="43" t="s">
        <v>2219</v>
      </c>
      <c r="BH236" s="12"/>
    </row>
    <row r="237" spans="1:60" s="3" customFormat="1" ht="21.6" x14ac:dyDescent="0.3">
      <c r="A237" s="16" t="s">
        <v>2232</v>
      </c>
      <c r="B237" s="17" t="s">
        <v>2233</v>
      </c>
      <c r="C237" s="405" t="s">
        <v>2234</v>
      </c>
      <c r="D237" s="405"/>
      <c r="E237" s="405"/>
      <c r="F237" s="16" t="s">
        <v>75</v>
      </c>
      <c r="G237" s="31">
        <v>721.98</v>
      </c>
      <c r="H237" s="57">
        <v>0</v>
      </c>
      <c r="I237" s="19">
        <v>0</v>
      </c>
      <c r="J237" s="19">
        <f>K237/G237</f>
        <v>841.4580043768525</v>
      </c>
      <c r="K237" s="19">
        <v>607515.85</v>
      </c>
      <c r="BC237" s="14"/>
      <c r="BD237" s="15"/>
      <c r="BE237" s="21" t="s">
        <v>2234</v>
      </c>
      <c r="BF237" s="12"/>
      <c r="BG237" s="43"/>
      <c r="BH237" s="12"/>
    </row>
    <row r="238" spans="1:60" s="3" customFormat="1" ht="20.25" customHeight="1" x14ac:dyDescent="0.3">
      <c r="A238" s="406" t="s">
        <v>57</v>
      </c>
      <c r="B238" s="407"/>
      <c r="C238" s="407"/>
      <c r="D238" s="407"/>
      <c r="E238" s="407"/>
      <c r="F238" s="407"/>
      <c r="G238" s="407"/>
      <c r="H238" s="66"/>
      <c r="I238" s="67">
        <f>SUM(I13:I237)</f>
        <v>837297.34</v>
      </c>
      <c r="J238" s="72"/>
      <c r="K238" s="67">
        <f>SUM(K13:K237)</f>
        <v>1692888.8600000003</v>
      </c>
    </row>
    <row r="239" spans="1:60" s="53" customFormat="1" ht="20.25" customHeight="1" thickBot="1" x14ac:dyDescent="0.35">
      <c r="A239" s="408" t="s">
        <v>5461</v>
      </c>
      <c r="B239" s="409"/>
      <c r="C239" s="409"/>
      <c r="D239" s="409"/>
      <c r="E239" s="409"/>
      <c r="F239" s="409"/>
      <c r="G239" s="409"/>
      <c r="H239" s="88"/>
      <c r="I239" s="410">
        <f>I238+K238</f>
        <v>2530186.2000000002</v>
      </c>
      <c r="J239" s="411"/>
      <c r="K239" s="412"/>
    </row>
    <row r="240" spans="1:60" ht="11.25" customHeight="1" x14ac:dyDescent="0.2">
      <c r="N240" s="54"/>
    </row>
    <row r="241" spans="14:14" ht="11.25" customHeight="1" x14ac:dyDescent="0.2">
      <c r="N241" s="54"/>
    </row>
  </sheetData>
  <mergeCells count="237">
    <mergeCell ref="C235:E235"/>
    <mergeCell ref="C236:E236"/>
    <mergeCell ref="C237:E237"/>
    <mergeCell ref="C230:E230"/>
    <mergeCell ref="C231:E231"/>
    <mergeCell ref="C232:E232"/>
    <mergeCell ref="C233:E233"/>
    <mergeCell ref="C234:E234"/>
    <mergeCell ref="A239:G239"/>
    <mergeCell ref="A219:G219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15:E215"/>
    <mergeCell ref="C216:E216"/>
    <mergeCell ref="C217:E217"/>
    <mergeCell ref="C218:E218"/>
    <mergeCell ref="C210:E210"/>
    <mergeCell ref="C211:E211"/>
    <mergeCell ref="C212:E212"/>
    <mergeCell ref="C213:E213"/>
    <mergeCell ref="C214:E214"/>
    <mergeCell ref="A199:G199"/>
    <mergeCell ref="C205:E205"/>
    <mergeCell ref="C206:E206"/>
    <mergeCell ref="C208:E208"/>
    <mergeCell ref="C209:E209"/>
    <mergeCell ref="C200:E200"/>
    <mergeCell ref="C201:E201"/>
    <mergeCell ref="C202:E202"/>
    <mergeCell ref="C203:E203"/>
    <mergeCell ref="C204:E204"/>
    <mergeCell ref="A207:G207"/>
    <mergeCell ref="C195:E195"/>
    <mergeCell ref="C196:E196"/>
    <mergeCell ref="C197:E197"/>
    <mergeCell ref="C198:E198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C170:E170"/>
    <mergeCell ref="C171:E171"/>
    <mergeCell ref="C172:E172"/>
    <mergeCell ref="C174:E174"/>
    <mergeCell ref="A173:G173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A155:G155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6:E136"/>
    <mergeCell ref="C138:E138"/>
    <mergeCell ref="C139:E139"/>
    <mergeCell ref="C130:E130"/>
    <mergeCell ref="C131:E131"/>
    <mergeCell ref="C132:E132"/>
    <mergeCell ref="C134:E134"/>
    <mergeCell ref="A137:G137"/>
    <mergeCell ref="A133:G133"/>
    <mergeCell ref="C127:E127"/>
    <mergeCell ref="C128:E128"/>
    <mergeCell ref="C129:E129"/>
    <mergeCell ref="C120:E120"/>
    <mergeCell ref="C121:E121"/>
    <mergeCell ref="C122:E122"/>
    <mergeCell ref="C123:E123"/>
    <mergeCell ref="A124:G124"/>
    <mergeCell ref="C135:E135"/>
    <mergeCell ref="C117:E117"/>
    <mergeCell ref="C119:E119"/>
    <mergeCell ref="C110:E110"/>
    <mergeCell ref="C111:E111"/>
    <mergeCell ref="C114:E114"/>
    <mergeCell ref="A118:G118"/>
    <mergeCell ref="A113:G113"/>
    <mergeCell ref="C125:E125"/>
    <mergeCell ref="C126:E126"/>
    <mergeCell ref="C105:E105"/>
    <mergeCell ref="C106:E106"/>
    <mergeCell ref="C107:E107"/>
    <mergeCell ref="C109:E109"/>
    <mergeCell ref="C101:E101"/>
    <mergeCell ref="C102:E102"/>
    <mergeCell ref="C103:E103"/>
    <mergeCell ref="C115:E115"/>
    <mergeCell ref="C116:E116"/>
    <mergeCell ref="C96:E96"/>
    <mergeCell ref="C97:E97"/>
    <mergeCell ref="C98:E98"/>
    <mergeCell ref="C99:E99"/>
    <mergeCell ref="C91:E91"/>
    <mergeCell ref="C92:E92"/>
    <mergeCell ref="C93:E93"/>
    <mergeCell ref="C94:E94"/>
    <mergeCell ref="A90:G90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85:G85"/>
    <mergeCell ref="C75:E75"/>
    <mergeCell ref="C76:E76"/>
    <mergeCell ref="C77:E77"/>
    <mergeCell ref="C79:E79"/>
    <mergeCell ref="C70:E70"/>
    <mergeCell ref="C71:E71"/>
    <mergeCell ref="C72:E72"/>
    <mergeCell ref="C73:E73"/>
    <mergeCell ref="A78:G78"/>
    <mergeCell ref="A74:F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A40:G40"/>
    <mergeCell ref="C55:E55"/>
    <mergeCell ref="C56:E56"/>
    <mergeCell ref="C57:E57"/>
    <mergeCell ref="C58:E58"/>
    <mergeCell ref="C59:E59"/>
    <mergeCell ref="C50:E50"/>
    <mergeCell ref="C51:E51"/>
    <mergeCell ref="C52:E52"/>
    <mergeCell ref="C54:E54"/>
    <mergeCell ref="A53:G53"/>
    <mergeCell ref="C45:E45"/>
    <mergeCell ref="C46:E46"/>
    <mergeCell ref="C47:E47"/>
    <mergeCell ref="C48:E48"/>
    <mergeCell ref="C41:E41"/>
    <mergeCell ref="C42:E42"/>
    <mergeCell ref="C43:E43"/>
    <mergeCell ref="C44:E44"/>
    <mergeCell ref="A49:G49"/>
    <mergeCell ref="A29:G29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C16:E16"/>
    <mergeCell ref="C17:E17"/>
    <mergeCell ref="C19:E19"/>
    <mergeCell ref="C13:E13"/>
    <mergeCell ref="C14:E14"/>
    <mergeCell ref="C25:E25"/>
    <mergeCell ref="C26:E26"/>
    <mergeCell ref="C21:E21"/>
    <mergeCell ref="C22:E22"/>
    <mergeCell ref="C23:E23"/>
    <mergeCell ref="A2:K2"/>
    <mergeCell ref="A3:K3"/>
    <mergeCell ref="A5:K5"/>
    <mergeCell ref="C9:E9"/>
    <mergeCell ref="C10:E10"/>
    <mergeCell ref="A238:G238"/>
    <mergeCell ref="I239:K239"/>
    <mergeCell ref="A112:G112"/>
    <mergeCell ref="A28:G28"/>
    <mergeCell ref="A11:G11"/>
    <mergeCell ref="A177:G177"/>
    <mergeCell ref="A154:G154"/>
    <mergeCell ref="A27:G27"/>
    <mergeCell ref="A24:G24"/>
    <mergeCell ref="A20:G20"/>
    <mergeCell ref="A18:G18"/>
    <mergeCell ref="A15:G15"/>
    <mergeCell ref="A12:G12"/>
    <mergeCell ref="A108:G108"/>
    <mergeCell ref="A104:G104"/>
    <mergeCell ref="A100:G100"/>
    <mergeCell ref="A95:G95"/>
    <mergeCell ref="A6:K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BI62"/>
  <sheetViews>
    <sheetView workbookViewId="0">
      <selection activeCell="I24" sqref="I24"/>
    </sheetView>
  </sheetViews>
  <sheetFormatPr defaultColWidth="9.109375" defaultRowHeight="11.25" customHeight="1" x14ac:dyDescent="0.2"/>
  <cols>
    <col min="1" max="1" width="10.6640625" style="1" customWidth="1"/>
    <col min="2" max="2" width="26.6640625" style="1" customWidth="1"/>
    <col min="3" max="3" width="17" style="1" customWidth="1"/>
    <col min="4" max="4" width="16.44140625" style="1" customWidth="1"/>
    <col min="5" max="5" width="19.6640625" style="1" customWidth="1"/>
    <col min="6" max="7" width="10.6640625" style="1" customWidth="1"/>
    <col min="8" max="11" width="16.3320312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5" t="s">
        <v>5570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8" s="3" customFormat="1" ht="33.7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8" s="3" customFormat="1" ht="14.4" x14ac:dyDescent="0.3">
      <c r="A5" s="404" t="s">
        <v>1903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1903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8" s="3" customFormat="1" ht="14.4" x14ac:dyDescent="0.3">
      <c r="A7" s="4"/>
      <c r="B7" s="8" t="s">
        <v>5</v>
      </c>
      <c r="C7" s="402" t="s">
        <v>1904</v>
      </c>
      <c r="D7" s="402"/>
      <c r="E7" s="402"/>
      <c r="F7" s="402"/>
      <c r="G7" s="402"/>
      <c r="H7" s="11"/>
      <c r="I7" s="9"/>
      <c r="J7" s="9"/>
      <c r="K7" s="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9"/>
      <c r="J8" s="9"/>
      <c r="K8" s="9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5" customHeight="1" x14ac:dyDescent="0.3">
      <c r="A11" s="435" t="s">
        <v>1905</v>
      </c>
      <c r="B11" s="436"/>
      <c r="C11" s="436"/>
      <c r="D11" s="436"/>
      <c r="E11" s="436"/>
      <c r="F11" s="436"/>
      <c r="G11" s="436"/>
      <c r="H11" s="259"/>
      <c r="I11" s="259"/>
      <c r="J11" s="259"/>
      <c r="K11" s="119"/>
      <c r="BC11" s="14" t="s">
        <v>1905</v>
      </c>
    </row>
    <row r="12" spans="1:58" s="3" customFormat="1" ht="15" customHeight="1" x14ac:dyDescent="0.3">
      <c r="A12" s="437" t="s">
        <v>1906</v>
      </c>
      <c r="B12" s="418"/>
      <c r="C12" s="418"/>
      <c r="D12" s="418"/>
      <c r="E12" s="418"/>
      <c r="F12" s="418"/>
      <c r="G12" s="418"/>
      <c r="H12" s="255"/>
      <c r="I12" s="255"/>
      <c r="J12" s="255"/>
      <c r="K12" s="65"/>
      <c r="BC12" s="14"/>
      <c r="BD12" s="15" t="s">
        <v>1906</v>
      </c>
    </row>
    <row r="13" spans="1:58" s="3" customFormat="1" ht="31.8" x14ac:dyDescent="0.3">
      <c r="A13" s="16" t="s">
        <v>15</v>
      </c>
      <c r="B13" s="17" t="s">
        <v>1907</v>
      </c>
      <c r="C13" s="405" t="s">
        <v>1908</v>
      </c>
      <c r="D13" s="405"/>
      <c r="E13" s="405"/>
      <c r="F13" s="16" t="s">
        <v>38</v>
      </c>
      <c r="G13" s="23">
        <v>1</v>
      </c>
      <c r="H13" s="23">
        <f>I13/G13</f>
        <v>519.98</v>
      </c>
      <c r="I13" s="19">
        <f>529.63-K13</f>
        <v>519.98</v>
      </c>
      <c r="J13" s="19">
        <f>K13/G13</f>
        <v>9.65</v>
      </c>
      <c r="K13" s="19">
        <v>9.65</v>
      </c>
      <c r="BC13" s="14"/>
      <c r="BD13" s="15"/>
      <c r="BE13" s="21" t="s">
        <v>1908</v>
      </c>
    </row>
    <row r="14" spans="1:58" s="3" customFormat="1" ht="21.6" x14ac:dyDescent="0.3">
      <c r="A14" s="25"/>
      <c r="B14" s="26" t="s">
        <v>1392</v>
      </c>
      <c r="C14" s="419" t="s">
        <v>1393</v>
      </c>
      <c r="D14" s="419"/>
      <c r="E14" s="419"/>
      <c r="F14" s="27" t="s">
        <v>75</v>
      </c>
      <c r="G14" s="22" t="s">
        <v>1909</v>
      </c>
      <c r="H14" s="22"/>
      <c r="I14" s="28"/>
      <c r="J14" s="28"/>
      <c r="K14" s="29"/>
      <c r="BC14" s="14"/>
      <c r="BD14" s="15"/>
      <c r="BE14" s="21"/>
      <c r="BF14" s="12" t="s">
        <v>1393</v>
      </c>
    </row>
    <row r="15" spans="1:58" s="3" customFormat="1" ht="21.6" x14ac:dyDescent="0.3">
      <c r="A15" s="25"/>
      <c r="B15" s="26" t="s">
        <v>607</v>
      </c>
      <c r="C15" s="419" t="s">
        <v>608</v>
      </c>
      <c r="D15" s="419"/>
      <c r="E15" s="419"/>
      <c r="F15" s="27" t="s">
        <v>609</v>
      </c>
      <c r="G15" s="22" t="s">
        <v>1910</v>
      </c>
      <c r="H15" s="22"/>
      <c r="I15" s="28"/>
      <c r="J15" s="28"/>
      <c r="K15" s="29"/>
      <c r="BC15" s="14"/>
      <c r="BD15" s="15"/>
      <c r="BE15" s="21"/>
      <c r="BF15" s="12" t="s">
        <v>608</v>
      </c>
    </row>
    <row r="16" spans="1:58" s="3" customFormat="1" ht="20.399999999999999" x14ac:dyDescent="0.3">
      <c r="A16" s="16" t="s">
        <v>1793</v>
      </c>
      <c r="B16" s="17" t="s">
        <v>1911</v>
      </c>
      <c r="C16" s="405" t="s">
        <v>1912</v>
      </c>
      <c r="D16" s="405"/>
      <c r="E16" s="405"/>
      <c r="F16" s="16" t="s">
        <v>1460</v>
      </c>
      <c r="G16" s="23">
        <v>1</v>
      </c>
      <c r="H16" s="23">
        <v>0</v>
      </c>
      <c r="I16" s="19">
        <v>0</v>
      </c>
      <c r="J16" s="19">
        <f>K16/G16</f>
        <v>9599.06</v>
      </c>
      <c r="K16" s="19">
        <v>9599.06</v>
      </c>
      <c r="BC16" s="14"/>
      <c r="BD16" s="15"/>
      <c r="BE16" s="21" t="s">
        <v>1912</v>
      </c>
      <c r="BF16" s="12"/>
    </row>
    <row r="17" spans="1:58" s="3" customFormat="1" ht="15" customHeight="1" x14ac:dyDescent="0.3">
      <c r="A17" s="437" t="s">
        <v>1913</v>
      </c>
      <c r="B17" s="418"/>
      <c r="C17" s="418"/>
      <c r="D17" s="418"/>
      <c r="E17" s="418"/>
      <c r="F17" s="418"/>
      <c r="G17" s="418"/>
      <c r="H17" s="255"/>
      <c r="I17" s="255"/>
      <c r="J17" s="255"/>
      <c r="K17" s="65"/>
      <c r="BC17" s="14"/>
      <c r="BD17" s="15" t="s">
        <v>1913</v>
      </c>
      <c r="BE17" s="21"/>
      <c r="BF17" s="12"/>
    </row>
    <row r="18" spans="1:58" s="3" customFormat="1" ht="21.6" x14ac:dyDescent="0.3">
      <c r="A18" s="16" t="s">
        <v>22</v>
      </c>
      <c r="B18" s="17" t="s">
        <v>1914</v>
      </c>
      <c r="C18" s="405" t="s">
        <v>1915</v>
      </c>
      <c r="D18" s="405"/>
      <c r="E18" s="405"/>
      <c r="F18" s="16" t="s">
        <v>142</v>
      </c>
      <c r="G18" s="31">
        <v>0.02</v>
      </c>
      <c r="H18" s="23">
        <f>I18/G18</f>
        <v>27764.999999999996</v>
      </c>
      <c r="I18" s="19">
        <f>561.51-K18</f>
        <v>555.29999999999995</v>
      </c>
      <c r="J18" s="19">
        <f>K18/G18</f>
        <v>310.5</v>
      </c>
      <c r="K18" s="19">
        <v>6.21</v>
      </c>
      <c r="BC18" s="14"/>
      <c r="BD18" s="15"/>
      <c r="BE18" s="21" t="s">
        <v>1915</v>
      </c>
      <c r="BF18" s="12"/>
    </row>
    <row r="19" spans="1:58" s="3" customFormat="1" ht="20.399999999999999" x14ac:dyDescent="0.3">
      <c r="A19" s="25"/>
      <c r="B19" s="26" t="s">
        <v>1916</v>
      </c>
      <c r="C19" s="419" t="s">
        <v>1917</v>
      </c>
      <c r="D19" s="419"/>
      <c r="E19" s="419"/>
      <c r="F19" s="27" t="s">
        <v>70</v>
      </c>
      <c r="G19" s="22" t="s">
        <v>1918</v>
      </c>
      <c r="H19" s="22"/>
      <c r="I19" s="28"/>
      <c r="J19" s="28"/>
      <c r="K19" s="29"/>
      <c r="BC19" s="14"/>
      <c r="BD19" s="15"/>
      <c r="BE19" s="21"/>
      <c r="BF19" s="12" t="s">
        <v>1917</v>
      </c>
    </row>
    <row r="20" spans="1:58" s="3" customFormat="1" ht="20.399999999999999" x14ac:dyDescent="0.3">
      <c r="A20" s="25"/>
      <c r="B20" s="26" t="s">
        <v>1084</v>
      </c>
      <c r="C20" s="419" t="s">
        <v>1085</v>
      </c>
      <c r="D20" s="419"/>
      <c r="E20" s="419"/>
      <c r="F20" s="27" t="s">
        <v>1086</v>
      </c>
      <c r="G20" s="22" t="s">
        <v>1919</v>
      </c>
      <c r="H20" s="22"/>
      <c r="I20" s="28"/>
      <c r="J20" s="28"/>
      <c r="K20" s="29"/>
      <c r="BC20" s="14"/>
      <c r="BD20" s="15"/>
      <c r="BE20" s="21"/>
      <c r="BF20" s="12" t="s">
        <v>1085</v>
      </c>
    </row>
    <row r="21" spans="1:58" s="3" customFormat="1" ht="21.6" x14ac:dyDescent="0.3">
      <c r="A21" s="25"/>
      <c r="B21" s="26" t="s">
        <v>607</v>
      </c>
      <c r="C21" s="419" t="s">
        <v>608</v>
      </c>
      <c r="D21" s="419"/>
      <c r="E21" s="419"/>
      <c r="F21" s="27" t="s">
        <v>609</v>
      </c>
      <c r="G21" s="22" t="s">
        <v>1920</v>
      </c>
      <c r="H21" s="22"/>
      <c r="I21" s="28"/>
      <c r="J21" s="28"/>
      <c r="K21" s="29"/>
      <c r="BC21" s="14"/>
      <c r="BD21" s="15"/>
      <c r="BE21" s="21"/>
      <c r="BF21" s="12" t="s">
        <v>608</v>
      </c>
    </row>
    <row r="22" spans="1:58" s="3" customFormat="1" ht="21.6" x14ac:dyDescent="0.3">
      <c r="A22" s="16" t="s">
        <v>1441</v>
      </c>
      <c r="B22" s="17" t="s">
        <v>1921</v>
      </c>
      <c r="C22" s="405" t="s">
        <v>1922</v>
      </c>
      <c r="D22" s="405"/>
      <c r="E22" s="405"/>
      <c r="F22" s="16" t="s">
        <v>1460</v>
      </c>
      <c r="G22" s="23">
        <v>2</v>
      </c>
      <c r="H22" s="23">
        <v>0</v>
      </c>
      <c r="I22" s="19">
        <v>0</v>
      </c>
      <c r="J22" s="19">
        <f>K22/G22</f>
        <v>267.26499999999999</v>
      </c>
      <c r="K22" s="19">
        <v>534.53</v>
      </c>
      <c r="BC22" s="14"/>
      <c r="BD22" s="15"/>
      <c r="BE22" s="21" t="s">
        <v>1922</v>
      </c>
      <c r="BF22" s="12"/>
    </row>
    <row r="23" spans="1:58" s="3" customFormat="1" ht="15" customHeight="1" x14ac:dyDescent="0.3">
      <c r="A23" s="437" t="s">
        <v>1923</v>
      </c>
      <c r="B23" s="418"/>
      <c r="C23" s="418"/>
      <c r="D23" s="418"/>
      <c r="E23" s="418"/>
      <c r="F23" s="418"/>
      <c r="G23" s="418"/>
      <c r="H23" s="255"/>
      <c r="I23" s="255"/>
      <c r="J23" s="255"/>
      <c r="K23" s="65"/>
      <c r="BC23" s="14"/>
      <c r="BD23" s="15" t="s">
        <v>1923</v>
      </c>
      <c r="BE23" s="21"/>
      <c r="BF23" s="12"/>
    </row>
    <row r="24" spans="1:58" s="3" customFormat="1" ht="42" x14ac:dyDescent="0.3">
      <c r="A24" s="16" t="s">
        <v>35</v>
      </c>
      <c r="B24" s="17" t="s">
        <v>1924</v>
      </c>
      <c r="C24" s="405" t="s">
        <v>1925</v>
      </c>
      <c r="D24" s="405"/>
      <c r="E24" s="405"/>
      <c r="F24" s="16" t="s">
        <v>38</v>
      </c>
      <c r="G24" s="23">
        <v>1</v>
      </c>
      <c r="H24" s="23">
        <f>I24/G24</f>
        <v>2166.44</v>
      </c>
      <c r="I24" s="19">
        <f>2979.58-K24</f>
        <v>2166.44</v>
      </c>
      <c r="J24" s="19">
        <f>K24/G24</f>
        <v>813.14</v>
      </c>
      <c r="K24" s="19">
        <v>813.14</v>
      </c>
      <c r="BC24" s="14"/>
      <c r="BD24" s="15"/>
      <c r="BE24" s="21" t="s">
        <v>1925</v>
      </c>
      <c r="BF24" s="12"/>
    </row>
    <row r="25" spans="1:58" s="3" customFormat="1" ht="20.399999999999999" x14ac:dyDescent="0.3">
      <c r="A25" s="25"/>
      <c r="B25" s="26" t="s">
        <v>1755</v>
      </c>
      <c r="C25" s="419" t="s">
        <v>1756</v>
      </c>
      <c r="D25" s="419"/>
      <c r="E25" s="419"/>
      <c r="F25" s="27" t="s">
        <v>75</v>
      </c>
      <c r="G25" s="22" t="s">
        <v>1926</v>
      </c>
      <c r="H25" s="22"/>
      <c r="I25" s="28"/>
      <c r="J25" s="28"/>
      <c r="K25" s="29"/>
      <c r="BC25" s="14"/>
      <c r="BD25" s="15"/>
      <c r="BE25" s="21"/>
      <c r="BF25" s="12" t="s">
        <v>1756</v>
      </c>
    </row>
    <row r="26" spans="1:58" s="3" customFormat="1" ht="20.399999999999999" x14ac:dyDescent="0.3">
      <c r="A26" s="25"/>
      <c r="B26" s="26" t="s">
        <v>1758</v>
      </c>
      <c r="C26" s="419" t="s">
        <v>1759</v>
      </c>
      <c r="D26" s="419"/>
      <c r="E26" s="419"/>
      <c r="F26" s="27" t="s">
        <v>75</v>
      </c>
      <c r="G26" s="22" t="s">
        <v>1927</v>
      </c>
      <c r="H26" s="22"/>
      <c r="I26" s="28"/>
      <c r="J26" s="28"/>
      <c r="K26" s="29"/>
      <c r="BC26" s="14"/>
      <c r="BD26" s="15"/>
      <c r="BE26" s="21"/>
      <c r="BF26" s="12" t="s">
        <v>1759</v>
      </c>
    </row>
    <row r="27" spans="1:58" s="3" customFormat="1" ht="31.8" x14ac:dyDescent="0.3">
      <c r="A27" s="25"/>
      <c r="B27" s="26" t="s">
        <v>1703</v>
      </c>
      <c r="C27" s="419" t="s">
        <v>1704</v>
      </c>
      <c r="D27" s="419"/>
      <c r="E27" s="419"/>
      <c r="F27" s="27" t="s">
        <v>75</v>
      </c>
      <c r="G27" s="22" t="s">
        <v>1928</v>
      </c>
      <c r="H27" s="22"/>
      <c r="I27" s="28"/>
      <c r="J27" s="28"/>
      <c r="K27" s="29"/>
      <c r="BC27" s="14"/>
      <c r="BD27" s="15"/>
      <c r="BE27" s="21"/>
      <c r="BF27" s="12" t="s">
        <v>1704</v>
      </c>
    </row>
    <row r="28" spans="1:58" s="3" customFormat="1" ht="20.399999999999999" x14ac:dyDescent="0.3">
      <c r="A28" s="25"/>
      <c r="B28" s="26" t="s">
        <v>1693</v>
      </c>
      <c r="C28" s="419" t="s">
        <v>1694</v>
      </c>
      <c r="D28" s="419"/>
      <c r="E28" s="419"/>
      <c r="F28" s="27" t="s">
        <v>75</v>
      </c>
      <c r="G28" s="22" t="s">
        <v>1473</v>
      </c>
      <c r="H28" s="22"/>
      <c r="I28" s="28"/>
      <c r="J28" s="28"/>
      <c r="K28" s="29"/>
      <c r="BC28" s="14"/>
      <c r="BD28" s="15"/>
      <c r="BE28" s="21"/>
      <c r="BF28" s="12" t="s">
        <v>1694</v>
      </c>
    </row>
    <row r="29" spans="1:58" s="3" customFormat="1" ht="20.399999999999999" x14ac:dyDescent="0.3">
      <c r="A29" s="25"/>
      <c r="B29" s="26" t="s">
        <v>391</v>
      </c>
      <c r="C29" s="419" t="s">
        <v>392</v>
      </c>
      <c r="D29" s="419"/>
      <c r="E29" s="419"/>
      <c r="F29" s="27" t="s">
        <v>75</v>
      </c>
      <c r="G29" s="22" t="s">
        <v>1929</v>
      </c>
      <c r="H29" s="22"/>
      <c r="I29" s="28"/>
      <c r="J29" s="28"/>
      <c r="K29" s="29"/>
      <c r="BC29" s="14"/>
      <c r="BD29" s="15"/>
      <c r="BE29" s="21"/>
      <c r="BF29" s="12" t="s">
        <v>392</v>
      </c>
    </row>
    <row r="30" spans="1:58" s="3" customFormat="1" ht="20.399999999999999" x14ac:dyDescent="0.3">
      <c r="A30" s="25"/>
      <c r="B30" s="26" t="s">
        <v>1571</v>
      </c>
      <c r="C30" s="419" t="s">
        <v>1572</v>
      </c>
      <c r="D30" s="419"/>
      <c r="E30" s="419"/>
      <c r="F30" s="27" t="s">
        <v>142</v>
      </c>
      <c r="G30" s="22" t="s">
        <v>1930</v>
      </c>
      <c r="H30" s="22"/>
      <c r="I30" s="28"/>
      <c r="J30" s="28"/>
      <c r="K30" s="29"/>
      <c r="BC30" s="14"/>
      <c r="BD30" s="15"/>
      <c r="BE30" s="21"/>
      <c r="BF30" s="12" t="s">
        <v>1572</v>
      </c>
    </row>
    <row r="31" spans="1:58" s="3" customFormat="1" ht="20.399999999999999" x14ac:dyDescent="0.3">
      <c r="A31" s="25"/>
      <c r="B31" s="26" t="s">
        <v>1763</v>
      </c>
      <c r="C31" s="419" t="s">
        <v>1764</v>
      </c>
      <c r="D31" s="419"/>
      <c r="E31" s="419"/>
      <c r="F31" s="27" t="s">
        <v>75</v>
      </c>
      <c r="G31" s="22" t="s">
        <v>1927</v>
      </c>
      <c r="H31" s="22"/>
      <c r="I31" s="28"/>
      <c r="J31" s="28"/>
      <c r="K31" s="29"/>
      <c r="BC31" s="14"/>
      <c r="BD31" s="15"/>
      <c r="BE31" s="21"/>
      <c r="BF31" s="12" t="s">
        <v>1764</v>
      </c>
    </row>
    <row r="32" spans="1:58" s="3" customFormat="1" ht="21.6" x14ac:dyDescent="0.3">
      <c r="A32" s="25"/>
      <c r="B32" s="26" t="s">
        <v>1931</v>
      </c>
      <c r="C32" s="419" t="s">
        <v>1932</v>
      </c>
      <c r="D32" s="419"/>
      <c r="E32" s="419"/>
      <c r="F32" s="27" t="s">
        <v>70</v>
      </c>
      <c r="G32" s="22" t="s">
        <v>1470</v>
      </c>
      <c r="H32" s="22"/>
      <c r="I32" s="28"/>
      <c r="J32" s="28"/>
      <c r="K32" s="29"/>
      <c r="BC32" s="14"/>
      <c r="BD32" s="15"/>
      <c r="BE32" s="21"/>
      <c r="BF32" s="12" t="s">
        <v>1932</v>
      </c>
    </row>
    <row r="33" spans="1:58" s="3" customFormat="1" ht="20.399999999999999" x14ac:dyDescent="0.3">
      <c r="A33" s="25"/>
      <c r="B33" s="26" t="s">
        <v>605</v>
      </c>
      <c r="C33" s="419" t="s">
        <v>606</v>
      </c>
      <c r="D33" s="419"/>
      <c r="E33" s="419"/>
      <c r="F33" s="27" t="s">
        <v>75</v>
      </c>
      <c r="G33" s="22" t="s">
        <v>1933</v>
      </c>
      <c r="H33" s="22"/>
      <c r="I33" s="28"/>
      <c r="J33" s="28"/>
      <c r="K33" s="29"/>
      <c r="BC33" s="14"/>
      <c r="BD33" s="15"/>
      <c r="BE33" s="21"/>
      <c r="BF33" s="12" t="s">
        <v>606</v>
      </c>
    </row>
    <row r="34" spans="1:58" s="3" customFormat="1" ht="20.399999999999999" x14ac:dyDescent="0.3">
      <c r="A34" s="25"/>
      <c r="B34" s="26" t="s">
        <v>1934</v>
      </c>
      <c r="C34" s="419" t="s">
        <v>1935</v>
      </c>
      <c r="D34" s="419"/>
      <c r="E34" s="419"/>
      <c r="F34" s="27" t="s">
        <v>75</v>
      </c>
      <c r="G34" s="22" t="s">
        <v>1926</v>
      </c>
      <c r="H34" s="22"/>
      <c r="I34" s="28"/>
      <c r="J34" s="28"/>
      <c r="K34" s="29"/>
      <c r="BC34" s="14"/>
      <c r="BD34" s="15"/>
      <c r="BE34" s="21"/>
      <c r="BF34" s="12" t="s">
        <v>1935</v>
      </c>
    </row>
    <row r="35" spans="1:58" s="3" customFormat="1" ht="20.399999999999999" x14ac:dyDescent="0.3">
      <c r="A35" s="25"/>
      <c r="B35" s="26" t="s">
        <v>1936</v>
      </c>
      <c r="C35" s="419" t="s">
        <v>1937</v>
      </c>
      <c r="D35" s="419"/>
      <c r="E35" s="419"/>
      <c r="F35" s="27" t="s">
        <v>1261</v>
      </c>
      <c r="G35" s="22" t="s">
        <v>1910</v>
      </c>
      <c r="H35" s="22"/>
      <c r="I35" s="28"/>
      <c r="J35" s="28"/>
      <c r="K35" s="29"/>
      <c r="BC35" s="14"/>
      <c r="BD35" s="15"/>
      <c r="BE35" s="21"/>
      <c r="BF35" s="12" t="s">
        <v>1937</v>
      </c>
    </row>
    <row r="36" spans="1:58" s="3" customFormat="1" ht="20.399999999999999" x14ac:dyDescent="0.3">
      <c r="A36" s="25"/>
      <c r="B36" s="26" t="s">
        <v>1770</v>
      </c>
      <c r="C36" s="419" t="s">
        <v>1771</v>
      </c>
      <c r="D36" s="419"/>
      <c r="E36" s="419"/>
      <c r="F36" s="27" t="s">
        <v>142</v>
      </c>
      <c r="G36" s="22" t="s">
        <v>1938</v>
      </c>
      <c r="H36" s="22"/>
      <c r="I36" s="28"/>
      <c r="J36" s="28"/>
      <c r="K36" s="29"/>
      <c r="BC36" s="14"/>
      <c r="BD36" s="15"/>
      <c r="BE36" s="21"/>
      <c r="BF36" s="12" t="s">
        <v>1771</v>
      </c>
    </row>
    <row r="37" spans="1:58" s="3" customFormat="1" ht="21.6" x14ac:dyDescent="0.3">
      <c r="A37" s="25"/>
      <c r="B37" s="26" t="s">
        <v>607</v>
      </c>
      <c r="C37" s="419" t="s">
        <v>608</v>
      </c>
      <c r="D37" s="419"/>
      <c r="E37" s="419"/>
      <c r="F37" s="27" t="s">
        <v>609</v>
      </c>
      <c r="G37" s="22" t="s">
        <v>1939</v>
      </c>
      <c r="H37" s="22"/>
      <c r="I37" s="28"/>
      <c r="J37" s="28"/>
      <c r="K37" s="29"/>
      <c r="BC37" s="14"/>
      <c r="BD37" s="15"/>
      <c r="BE37" s="21"/>
      <c r="BF37" s="12" t="s">
        <v>608</v>
      </c>
    </row>
    <row r="38" spans="1:58" s="3" customFormat="1" ht="20.399999999999999" x14ac:dyDescent="0.3">
      <c r="A38" s="16" t="s">
        <v>1940</v>
      </c>
      <c r="B38" s="17" t="s">
        <v>1941</v>
      </c>
      <c r="C38" s="405" t="s">
        <v>1942</v>
      </c>
      <c r="D38" s="405"/>
      <c r="E38" s="405"/>
      <c r="F38" s="16" t="s">
        <v>1460</v>
      </c>
      <c r="G38" s="23">
        <v>1</v>
      </c>
      <c r="H38" s="23">
        <v>0</v>
      </c>
      <c r="I38" s="19">
        <v>0</v>
      </c>
      <c r="J38" s="19">
        <f>K38/G38</f>
        <v>1824.14</v>
      </c>
      <c r="K38" s="19">
        <v>1824.14</v>
      </c>
      <c r="BC38" s="14"/>
      <c r="BD38" s="15"/>
      <c r="BE38" s="21" t="s">
        <v>1942</v>
      </c>
      <c r="BF38" s="12"/>
    </row>
    <row r="39" spans="1:58" s="3" customFormat="1" ht="15" customHeight="1" x14ac:dyDescent="0.3">
      <c r="A39" s="437" t="s">
        <v>1943</v>
      </c>
      <c r="B39" s="418"/>
      <c r="C39" s="418"/>
      <c r="D39" s="418"/>
      <c r="E39" s="418"/>
      <c r="F39" s="418"/>
      <c r="G39" s="418"/>
      <c r="H39" s="255"/>
      <c r="I39" s="255"/>
      <c r="J39" s="255"/>
      <c r="K39" s="65"/>
      <c r="BC39" s="14"/>
      <c r="BD39" s="15" t="s">
        <v>1943</v>
      </c>
      <c r="BE39" s="21"/>
      <c r="BF39" s="12"/>
    </row>
    <row r="40" spans="1:58" s="3" customFormat="1" ht="15" customHeight="1" x14ac:dyDescent="0.3">
      <c r="A40" s="437" t="s">
        <v>1944</v>
      </c>
      <c r="B40" s="418"/>
      <c r="C40" s="418"/>
      <c r="D40" s="418"/>
      <c r="E40" s="418"/>
      <c r="F40" s="418"/>
      <c r="G40" s="418"/>
      <c r="H40" s="255"/>
      <c r="I40" s="255"/>
      <c r="J40" s="255"/>
      <c r="K40" s="65"/>
      <c r="BC40" s="14"/>
      <c r="BD40" s="15" t="s">
        <v>1944</v>
      </c>
      <c r="BE40" s="21"/>
      <c r="BF40" s="12"/>
    </row>
    <row r="41" spans="1:58" s="3" customFormat="1" ht="21.6" x14ac:dyDescent="0.3">
      <c r="A41" s="16" t="s">
        <v>47</v>
      </c>
      <c r="B41" s="17" t="s">
        <v>1945</v>
      </c>
      <c r="C41" s="405" t="s">
        <v>1946</v>
      </c>
      <c r="D41" s="405"/>
      <c r="E41" s="405"/>
      <c r="F41" s="16" t="s">
        <v>67</v>
      </c>
      <c r="G41" s="31">
        <v>0.05</v>
      </c>
      <c r="H41" s="23">
        <f>I41/G41</f>
        <v>10823.6</v>
      </c>
      <c r="I41" s="19">
        <f>557.57-K41</f>
        <v>541.18000000000006</v>
      </c>
      <c r="J41" s="19">
        <f>K41/G41</f>
        <v>327.8</v>
      </c>
      <c r="K41" s="19">
        <v>16.39</v>
      </c>
      <c r="BC41" s="14"/>
      <c r="BD41" s="15"/>
      <c r="BE41" s="21" t="s">
        <v>1946</v>
      </c>
      <c r="BF41" s="12"/>
    </row>
    <row r="42" spans="1:58" s="3" customFormat="1" ht="20.399999999999999" x14ac:dyDescent="0.3">
      <c r="A42" s="25"/>
      <c r="B42" s="26" t="s">
        <v>599</v>
      </c>
      <c r="C42" s="419" t="s">
        <v>600</v>
      </c>
      <c r="D42" s="419"/>
      <c r="E42" s="419"/>
      <c r="F42" s="27" t="s">
        <v>406</v>
      </c>
      <c r="G42" s="22" t="s">
        <v>1947</v>
      </c>
      <c r="H42" s="22"/>
      <c r="I42" s="28"/>
      <c r="J42" s="28"/>
      <c r="K42" s="29"/>
      <c r="BC42" s="14"/>
      <c r="BD42" s="15"/>
      <c r="BE42" s="21"/>
      <c r="BF42" s="12" t="s">
        <v>600</v>
      </c>
    </row>
    <row r="43" spans="1:58" s="3" customFormat="1" ht="21.6" x14ac:dyDescent="0.3">
      <c r="A43" s="25"/>
      <c r="B43" s="26" t="s">
        <v>1766</v>
      </c>
      <c r="C43" s="419" t="s">
        <v>1767</v>
      </c>
      <c r="D43" s="419"/>
      <c r="E43" s="419"/>
      <c r="F43" s="27" t="s">
        <v>70</v>
      </c>
      <c r="G43" s="22" t="s">
        <v>1948</v>
      </c>
      <c r="H43" s="22"/>
      <c r="I43" s="28"/>
      <c r="J43" s="28"/>
      <c r="K43" s="29"/>
      <c r="BC43" s="14"/>
      <c r="BD43" s="15"/>
      <c r="BE43" s="21"/>
      <c r="BF43" s="12" t="s">
        <v>1767</v>
      </c>
    </row>
    <row r="44" spans="1:58" s="3" customFormat="1" ht="20.399999999999999" x14ac:dyDescent="0.3">
      <c r="A44" s="25"/>
      <c r="B44" s="26" t="s">
        <v>89</v>
      </c>
      <c r="C44" s="419" t="s">
        <v>90</v>
      </c>
      <c r="D44" s="419"/>
      <c r="E44" s="419"/>
      <c r="F44" s="27" t="s">
        <v>70</v>
      </c>
      <c r="G44" s="22" t="s">
        <v>1949</v>
      </c>
      <c r="H44" s="22"/>
      <c r="I44" s="28"/>
      <c r="J44" s="28"/>
      <c r="K44" s="29"/>
      <c r="BC44" s="14"/>
      <c r="BD44" s="15"/>
      <c r="BE44" s="21"/>
      <c r="BF44" s="12" t="s">
        <v>90</v>
      </c>
    </row>
    <row r="45" spans="1:58" s="3" customFormat="1" ht="21.6" x14ac:dyDescent="0.3">
      <c r="A45" s="25"/>
      <c r="B45" s="26" t="s">
        <v>607</v>
      </c>
      <c r="C45" s="419" t="s">
        <v>608</v>
      </c>
      <c r="D45" s="419"/>
      <c r="E45" s="419"/>
      <c r="F45" s="27" t="s">
        <v>609</v>
      </c>
      <c r="G45" s="22" t="s">
        <v>1950</v>
      </c>
      <c r="H45" s="22"/>
      <c r="I45" s="28"/>
      <c r="J45" s="28"/>
      <c r="K45" s="29"/>
      <c r="BC45" s="14"/>
      <c r="BD45" s="15"/>
      <c r="BE45" s="21"/>
      <c r="BF45" s="12" t="s">
        <v>608</v>
      </c>
    </row>
    <row r="46" spans="1:58" s="3" customFormat="1" ht="14.4" x14ac:dyDescent="0.3">
      <c r="A46" s="16" t="s">
        <v>52</v>
      </c>
      <c r="B46" s="17" t="s">
        <v>1951</v>
      </c>
      <c r="C46" s="405" t="s">
        <v>1952</v>
      </c>
      <c r="D46" s="405"/>
      <c r="E46" s="405"/>
      <c r="F46" s="16" t="s">
        <v>1049</v>
      </c>
      <c r="G46" s="30">
        <v>5.1000000000000004E-3</v>
      </c>
      <c r="H46" s="31">
        <v>0</v>
      </c>
      <c r="I46" s="318">
        <v>0</v>
      </c>
      <c r="J46" s="19">
        <f>K46/G46</f>
        <v>88962.745098039202</v>
      </c>
      <c r="K46" s="19">
        <v>453.71</v>
      </c>
      <c r="BC46" s="14"/>
      <c r="BD46" s="15"/>
      <c r="BE46" s="21" t="s">
        <v>1952</v>
      </c>
      <c r="BF46" s="12"/>
    </row>
    <row r="47" spans="1:58" s="3" customFormat="1" ht="15" customHeight="1" x14ac:dyDescent="0.3">
      <c r="A47" s="437" t="s">
        <v>1953</v>
      </c>
      <c r="B47" s="418"/>
      <c r="C47" s="418"/>
      <c r="D47" s="418"/>
      <c r="E47" s="418"/>
      <c r="F47" s="418"/>
      <c r="G47" s="418"/>
      <c r="H47" s="255"/>
      <c r="I47" s="255"/>
      <c r="J47" s="255"/>
      <c r="K47" s="65"/>
      <c r="BC47" s="14"/>
      <c r="BD47" s="15" t="s">
        <v>1953</v>
      </c>
      <c r="BE47" s="21"/>
      <c r="BF47" s="12"/>
    </row>
    <row r="48" spans="1:58" s="3" customFormat="1" ht="21.6" x14ac:dyDescent="0.3">
      <c r="A48" s="16" t="s">
        <v>55</v>
      </c>
      <c r="B48" s="17" t="s">
        <v>1945</v>
      </c>
      <c r="C48" s="405" t="s">
        <v>1946</v>
      </c>
      <c r="D48" s="405"/>
      <c r="E48" s="405"/>
      <c r="F48" s="16" t="s">
        <v>67</v>
      </c>
      <c r="G48" s="31">
        <v>0.25</v>
      </c>
      <c r="H48" s="23">
        <f>I48/G48</f>
        <v>10823.36</v>
      </c>
      <c r="I48" s="19">
        <f>2787.77-K48</f>
        <v>2705.84</v>
      </c>
      <c r="J48" s="19">
        <f>K48/G48</f>
        <v>327.72</v>
      </c>
      <c r="K48" s="19">
        <v>81.93</v>
      </c>
      <c r="BC48" s="14"/>
      <c r="BD48" s="15"/>
      <c r="BE48" s="21" t="s">
        <v>1946</v>
      </c>
      <c r="BF48" s="12"/>
    </row>
    <row r="49" spans="1:58" s="3" customFormat="1" ht="20.399999999999999" x14ac:dyDescent="0.3">
      <c r="A49" s="25"/>
      <c r="B49" s="26" t="s">
        <v>599</v>
      </c>
      <c r="C49" s="419" t="s">
        <v>600</v>
      </c>
      <c r="D49" s="419"/>
      <c r="E49" s="419"/>
      <c r="F49" s="27" t="s">
        <v>406</v>
      </c>
      <c r="G49" s="22" t="s">
        <v>1954</v>
      </c>
      <c r="H49" s="22"/>
      <c r="I49" s="28"/>
      <c r="J49" s="28"/>
      <c r="K49" s="29"/>
      <c r="BC49" s="14"/>
      <c r="BD49" s="15"/>
      <c r="BE49" s="21"/>
      <c r="BF49" s="12" t="s">
        <v>600</v>
      </c>
    </row>
    <row r="50" spans="1:58" s="3" customFormat="1" ht="21.6" x14ac:dyDescent="0.3">
      <c r="A50" s="25"/>
      <c r="B50" s="26" t="s">
        <v>1766</v>
      </c>
      <c r="C50" s="419" t="s">
        <v>1767</v>
      </c>
      <c r="D50" s="419"/>
      <c r="E50" s="419"/>
      <c r="F50" s="27" t="s">
        <v>70</v>
      </c>
      <c r="G50" s="22" t="s">
        <v>1955</v>
      </c>
      <c r="H50" s="22"/>
      <c r="I50" s="28"/>
      <c r="J50" s="28"/>
      <c r="K50" s="29"/>
      <c r="BC50" s="14"/>
      <c r="BD50" s="15"/>
      <c r="BE50" s="21"/>
      <c r="BF50" s="12" t="s">
        <v>1767</v>
      </c>
    </row>
    <row r="51" spans="1:58" s="3" customFormat="1" ht="20.399999999999999" x14ac:dyDescent="0.3">
      <c r="A51" s="25"/>
      <c r="B51" s="26" t="s">
        <v>89</v>
      </c>
      <c r="C51" s="419" t="s">
        <v>90</v>
      </c>
      <c r="D51" s="419"/>
      <c r="E51" s="419"/>
      <c r="F51" s="27" t="s">
        <v>70</v>
      </c>
      <c r="G51" s="22" t="s">
        <v>1956</v>
      </c>
      <c r="H51" s="22"/>
      <c r="I51" s="28"/>
      <c r="J51" s="28"/>
      <c r="K51" s="29"/>
      <c r="BC51" s="14"/>
      <c r="BD51" s="15"/>
      <c r="BE51" s="21"/>
      <c r="BF51" s="12" t="s">
        <v>90</v>
      </c>
    </row>
    <row r="52" spans="1:58" s="3" customFormat="1" ht="21.6" x14ac:dyDescent="0.3">
      <c r="A52" s="25"/>
      <c r="B52" s="26" t="s">
        <v>607</v>
      </c>
      <c r="C52" s="419" t="s">
        <v>608</v>
      </c>
      <c r="D52" s="419"/>
      <c r="E52" s="419"/>
      <c r="F52" s="27" t="s">
        <v>609</v>
      </c>
      <c r="G52" s="22" t="s">
        <v>1957</v>
      </c>
      <c r="H52" s="22"/>
      <c r="I52" s="28"/>
      <c r="J52" s="28"/>
      <c r="K52" s="29"/>
      <c r="BC52" s="14"/>
      <c r="BD52" s="15"/>
      <c r="BE52" s="21"/>
      <c r="BF52" s="12" t="s">
        <v>608</v>
      </c>
    </row>
    <row r="53" spans="1:58" s="3" customFormat="1" ht="21.6" x14ac:dyDescent="0.3">
      <c r="A53" s="16" t="s">
        <v>56</v>
      </c>
      <c r="B53" s="17" t="s">
        <v>1958</v>
      </c>
      <c r="C53" s="405" t="s">
        <v>1959</v>
      </c>
      <c r="D53" s="405"/>
      <c r="E53" s="405"/>
      <c r="F53" s="16" t="s">
        <v>1049</v>
      </c>
      <c r="G53" s="30">
        <v>2.5499999999999998E-2</v>
      </c>
      <c r="H53" s="31">
        <v>0</v>
      </c>
      <c r="I53" s="318">
        <v>0</v>
      </c>
      <c r="J53" s="19">
        <f>K53/G53</f>
        <v>58973.333333333336</v>
      </c>
      <c r="K53" s="19">
        <v>1503.82</v>
      </c>
      <c r="BC53" s="14"/>
      <c r="BD53" s="15"/>
      <c r="BE53" s="21" t="s">
        <v>1959</v>
      </c>
      <c r="BF53" s="12"/>
    </row>
    <row r="54" spans="1:58" s="3" customFormat="1" ht="15" customHeight="1" x14ac:dyDescent="0.3">
      <c r="A54" s="437" t="s">
        <v>1960</v>
      </c>
      <c r="B54" s="418"/>
      <c r="C54" s="418"/>
      <c r="D54" s="418"/>
      <c r="E54" s="418"/>
      <c r="F54" s="418"/>
      <c r="G54" s="418"/>
      <c r="H54" s="255"/>
      <c r="I54" s="255"/>
      <c r="J54" s="255"/>
      <c r="K54" s="65"/>
      <c r="BC54" s="14"/>
      <c r="BD54" s="15" t="s">
        <v>1960</v>
      </c>
      <c r="BE54" s="21"/>
      <c r="BF54" s="12"/>
    </row>
    <row r="55" spans="1:58" s="3" customFormat="1" ht="14.4" x14ac:dyDescent="0.3">
      <c r="A55" s="16" t="s">
        <v>166</v>
      </c>
      <c r="B55" s="17" t="s">
        <v>1961</v>
      </c>
      <c r="C55" s="405" t="s">
        <v>1962</v>
      </c>
      <c r="D55" s="405"/>
      <c r="E55" s="405"/>
      <c r="F55" s="16" t="s">
        <v>67</v>
      </c>
      <c r="G55" s="24">
        <v>0.2</v>
      </c>
      <c r="H55" s="23">
        <f>I55/G55</f>
        <v>16418.55</v>
      </c>
      <c r="I55" s="19">
        <f>3374.92-K55</f>
        <v>3283.71</v>
      </c>
      <c r="J55" s="19">
        <f>K55/G55</f>
        <v>456.04999999999995</v>
      </c>
      <c r="K55" s="19">
        <v>91.21</v>
      </c>
      <c r="BC55" s="14"/>
      <c r="BD55" s="15"/>
      <c r="BE55" s="21" t="s">
        <v>1962</v>
      </c>
      <c r="BF55" s="12"/>
    </row>
    <row r="56" spans="1:58" s="3" customFormat="1" ht="21.6" x14ac:dyDescent="0.3">
      <c r="A56" s="25"/>
      <c r="B56" s="26" t="s">
        <v>1419</v>
      </c>
      <c r="C56" s="419" t="s">
        <v>1420</v>
      </c>
      <c r="D56" s="419"/>
      <c r="E56" s="419"/>
      <c r="F56" s="27" t="s">
        <v>1086</v>
      </c>
      <c r="G56" s="22" t="s">
        <v>1963</v>
      </c>
      <c r="H56" s="22"/>
      <c r="I56" s="28"/>
      <c r="J56" s="28"/>
      <c r="K56" s="29"/>
      <c r="BC56" s="14"/>
      <c r="BD56" s="15"/>
      <c r="BE56" s="21"/>
      <c r="BF56" s="12" t="s">
        <v>1420</v>
      </c>
    </row>
    <row r="57" spans="1:58" s="3" customFormat="1" ht="20.399999999999999" x14ac:dyDescent="0.3">
      <c r="A57" s="25"/>
      <c r="B57" s="26" t="s">
        <v>1964</v>
      </c>
      <c r="C57" s="419" t="s">
        <v>1965</v>
      </c>
      <c r="D57" s="419"/>
      <c r="E57" s="419"/>
      <c r="F57" s="27" t="s">
        <v>70</v>
      </c>
      <c r="G57" s="22" t="s">
        <v>1966</v>
      </c>
      <c r="H57" s="22"/>
      <c r="I57" s="28"/>
      <c r="J57" s="28"/>
      <c r="K57" s="29"/>
      <c r="BC57" s="14"/>
      <c r="BD57" s="15"/>
      <c r="BE57" s="21"/>
      <c r="BF57" s="12" t="s">
        <v>1965</v>
      </c>
    </row>
    <row r="58" spans="1:58" s="3" customFormat="1" ht="21.6" x14ac:dyDescent="0.3">
      <c r="A58" s="25"/>
      <c r="B58" s="26" t="s">
        <v>607</v>
      </c>
      <c r="C58" s="419" t="s">
        <v>608</v>
      </c>
      <c r="D58" s="419"/>
      <c r="E58" s="419"/>
      <c r="F58" s="27" t="s">
        <v>609</v>
      </c>
      <c r="G58" s="22" t="s">
        <v>1967</v>
      </c>
      <c r="H58" s="22"/>
      <c r="I58" s="28"/>
      <c r="J58" s="28"/>
      <c r="K58" s="29"/>
      <c r="BC58" s="14"/>
      <c r="BD58" s="15"/>
      <c r="BE58" s="21"/>
      <c r="BF58" s="12" t="s">
        <v>608</v>
      </c>
    </row>
    <row r="59" spans="1:58" s="3" customFormat="1" ht="14.4" x14ac:dyDescent="0.3">
      <c r="A59" s="16" t="s">
        <v>169</v>
      </c>
      <c r="B59" s="17" t="s">
        <v>1968</v>
      </c>
      <c r="C59" s="405" t="s">
        <v>1969</v>
      </c>
      <c r="D59" s="405"/>
      <c r="E59" s="405"/>
      <c r="F59" s="16" t="s">
        <v>115</v>
      </c>
      <c r="G59" s="23">
        <v>20</v>
      </c>
      <c r="H59" s="31">
        <v>0</v>
      </c>
      <c r="I59" s="318">
        <v>0</v>
      </c>
      <c r="J59" s="19">
        <f>K59/G59</f>
        <v>21.948</v>
      </c>
      <c r="K59" s="19">
        <v>438.96</v>
      </c>
      <c r="BC59" s="14"/>
      <c r="BD59" s="15"/>
      <c r="BE59" s="21" t="s">
        <v>1969</v>
      </c>
      <c r="BF59" s="12"/>
    </row>
    <row r="60" spans="1:58" s="3" customFormat="1" ht="20.25" customHeight="1" x14ac:dyDescent="0.3">
      <c r="A60" s="406" t="s">
        <v>57</v>
      </c>
      <c r="B60" s="407"/>
      <c r="C60" s="407"/>
      <c r="D60" s="407"/>
      <c r="E60" s="407"/>
      <c r="F60" s="407"/>
      <c r="G60" s="407"/>
      <c r="H60" s="66"/>
      <c r="I60" s="67">
        <f>SUM(I13:I59)</f>
        <v>9772.4500000000007</v>
      </c>
      <c r="J60" s="72"/>
      <c r="K60" s="67">
        <f>SUM(K13:K59)</f>
        <v>15372.749999999995</v>
      </c>
    </row>
    <row r="61" spans="1:58" s="53" customFormat="1" ht="20.25" customHeight="1" thickBot="1" x14ac:dyDescent="0.35">
      <c r="A61" s="408" t="s">
        <v>5461</v>
      </c>
      <c r="B61" s="409"/>
      <c r="C61" s="409"/>
      <c r="D61" s="409"/>
      <c r="E61" s="409"/>
      <c r="F61" s="409"/>
      <c r="G61" s="409"/>
      <c r="H61" s="88"/>
      <c r="I61" s="410">
        <f>I60+K60</f>
        <v>25145.199999999997</v>
      </c>
      <c r="J61" s="411"/>
      <c r="K61" s="412"/>
      <c r="M61" s="153"/>
    </row>
    <row r="62" spans="1:58" ht="11.25" customHeight="1" x14ac:dyDescent="0.2">
      <c r="M62" s="54"/>
    </row>
  </sheetData>
  <autoFilter ref="A10:BI61" xr:uid="{00000000-0001-0000-1300-000000000000}">
    <filterColumn colId="2" showButton="0"/>
    <filterColumn colId="3" showButton="0"/>
  </autoFilter>
  <mergeCells count="59">
    <mergeCell ref="A40:G40"/>
    <mergeCell ref="C50:E50"/>
    <mergeCell ref="C51:E51"/>
    <mergeCell ref="C52:E52"/>
    <mergeCell ref="C53:E53"/>
    <mergeCell ref="C45:E45"/>
    <mergeCell ref="C46:E46"/>
    <mergeCell ref="C48:E48"/>
    <mergeCell ref="C49:E49"/>
    <mergeCell ref="C41:E41"/>
    <mergeCell ref="C42:E42"/>
    <mergeCell ref="C43:E43"/>
    <mergeCell ref="C44:E44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A39:G39"/>
    <mergeCell ref="C29:E29"/>
    <mergeCell ref="C20:E20"/>
    <mergeCell ref="C21:E21"/>
    <mergeCell ref="C22:E22"/>
    <mergeCell ref="C24:E24"/>
    <mergeCell ref="A12:G12"/>
    <mergeCell ref="A11:G11"/>
    <mergeCell ref="C26:E26"/>
    <mergeCell ref="C27:E27"/>
    <mergeCell ref="C28:E28"/>
    <mergeCell ref="C13:E13"/>
    <mergeCell ref="C14:E14"/>
    <mergeCell ref="C25:E25"/>
    <mergeCell ref="C15:E15"/>
    <mergeCell ref="C16:E16"/>
    <mergeCell ref="C18:E18"/>
    <mergeCell ref="C19:E19"/>
    <mergeCell ref="A23:G23"/>
    <mergeCell ref="A17:G17"/>
    <mergeCell ref="A2:K2"/>
    <mergeCell ref="A3:K3"/>
    <mergeCell ref="A5:K5"/>
    <mergeCell ref="C9:E9"/>
    <mergeCell ref="C10:E10"/>
    <mergeCell ref="A6:K6"/>
    <mergeCell ref="C7:G7"/>
    <mergeCell ref="A60:G60"/>
    <mergeCell ref="A61:G61"/>
    <mergeCell ref="I61:K61"/>
    <mergeCell ref="A54:G54"/>
    <mergeCell ref="A47:G47"/>
    <mergeCell ref="C55:E55"/>
    <mergeCell ref="C56:E56"/>
    <mergeCell ref="C57:E57"/>
    <mergeCell ref="C58:E58"/>
    <mergeCell ref="C59:E5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BK120"/>
  <sheetViews>
    <sheetView workbookViewId="0">
      <selection activeCell="H1" sqref="H1:K1048576"/>
    </sheetView>
  </sheetViews>
  <sheetFormatPr defaultColWidth="9.109375" defaultRowHeight="11.25" customHeight="1" x14ac:dyDescent="0.2"/>
  <cols>
    <col min="1" max="1" width="9" style="1" customWidth="1"/>
    <col min="2" max="2" width="25.33203125" style="1" customWidth="1"/>
    <col min="3" max="3" width="13.109375" style="1" customWidth="1"/>
    <col min="4" max="4" width="15.109375" style="1" customWidth="1"/>
    <col min="5" max="5" width="21.44140625" style="1" customWidth="1"/>
    <col min="6" max="7" width="10.6640625" style="1" customWidth="1"/>
    <col min="8" max="8" width="18" style="54" customWidth="1"/>
    <col min="9" max="11" width="18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5" t="s">
        <v>5569</v>
      </c>
      <c r="B1" s="4"/>
      <c r="C1" s="4"/>
      <c r="D1" s="4"/>
      <c r="E1" s="4"/>
      <c r="F1" s="4"/>
      <c r="G1" s="4"/>
      <c r="H1" s="54"/>
      <c r="I1" s="4"/>
      <c r="J1" s="4"/>
      <c r="K1" s="4"/>
    </row>
    <row r="2" spans="1:58" s="3" customFormat="1" ht="14.4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6"/>
      <c r="I4" s="7"/>
      <c r="J4" s="7"/>
      <c r="K4" s="4"/>
    </row>
    <row r="5" spans="1:58" s="3" customFormat="1" ht="14.4" x14ac:dyDescent="0.3">
      <c r="A5" s="404" t="s">
        <v>1775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8" s="3" customFormat="1" ht="23.25" customHeight="1" x14ac:dyDescent="0.3">
      <c r="A7" s="4"/>
      <c r="B7" s="8" t="s">
        <v>5</v>
      </c>
      <c r="C7" s="402" t="s">
        <v>1776</v>
      </c>
      <c r="D7" s="402"/>
      <c r="E7" s="402"/>
      <c r="F7" s="402"/>
      <c r="G7" s="402"/>
      <c r="H7" s="55"/>
      <c r="I7" s="9"/>
      <c r="J7" s="9"/>
      <c r="K7" s="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9"/>
      <c r="J8" s="9"/>
      <c r="K8" s="9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8" s="3" customFormat="1" ht="15" customHeight="1" x14ac:dyDescent="0.3">
      <c r="A12" s="435" t="s">
        <v>1777</v>
      </c>
      <c r="B12" s="436"/>
      <c r="C12" s="436"/>
      <c r="D12" s="436"/>
      <c r="E12" s="436"/>
      <c r="F12" s="436"/>
      <c r="G12" s="436"/>
      <c r="H12" s="103"/>
      <c r="I12" s="96"/>
      <c r="J12" s="96"/>
      <c r="K12" s="97"/>
      <c r="BC12" s="14"/>
    </row>
    <row r="13" spans="1:58" s="3" customFormat="1" ht="15" customHeight="1" x14ac:dyDescent="0.3">
      <c r="A13" s="437" t="s">
        <v>1778</v>
      </c>
      <c r="B13" s="418"/>
      <c r="C13" s="418"/>
      <c r="D13" s="418"/>
      <c r="E13" s="418"/>
      <c r="F13" s="418"/>
      <c r="G13" s="418"/>
      <c r="H13" s="123"/>
      <c r="I13" s="61"/>
      <c r="J13" s="61"/>
      <c r="K13" s="62"/>
      <c r="BC13" s="14"/>
      <c r="BD13" s="15"/>
    </row>
    <row r="14" spans="1:58" s="3" customFormat="1" ht="14.4" x14ac:dyDescent="0.3">
      <c r="A14" s="16" t="s">
        <v>15</v>
      </c>
      <c r="B14" s="17" t="s">
        <v>1779</v>
      </c>
      <c r="C14" s="405" t="s">
        <v>1780</v>
      </c>
      <c r="D14" s="405"/>
      <c r="E14" s="405"/>
      <c r="F14" s="16" t="s">
        <v>1781</v>
      </c>
      <c r="G14" s="23">
        <v>1</v>
      </c>
      <c r="H14" s="57">
        <f>I14/G14</f>
        <v>10591.98</v>
      </c>
      <c r="I14" s="19">
        <f>20558.32-K14</f>
        <v>10591.98</v>
      </c>
      <c r="J14" s="19">
        <f>K14/G14</f>
        <v>9966.34</v>
      </c>
      <c r="K14" s="19">
        <v>9966.34</v>
      </c>
      <c r="BC14" s="14"/>
      <c r="BD14" s="15"/>
      <c r="BE14" s="21"/>
    </row>
    <row r="15" spans="1:58" s="3" customFormat="1" ht="20.399999999999999" x14ac:dyDescent="0.3">
      <c r="A15" s="25"/>
      <c r="B15" s="26" t="s">
        <v>154</v>
      </c>
      <c r="C15" s="419" t="s">
        <v>155</v>
      </c>
      <c r="D15" s="419"/>
      <c r="E15" s="419"/>
      <c r="F15" s="27" t="s">
        <v>46</v>
      </c>
      <c r="G15" s="22" t="s">
        <v>1782</v>
      </c>
      <c r="H15" s="58"/>
      <c r="I15" s="28"/>
      <c r="J15" s="28"/>
      <c r="K15" s="29"/>
      <c r="BC15" s="14"/>
      <c r="BD15" s="15"/>
      <c r="BE15" s="21"/>
      <c r="BF15" s="12"/>
    </row>
    <row r="16" spans="1:58" s="3" customFormat="1" ht="20.399999999999999" x14ac:dyDescent="0.3">
      <c r="A16" s="25"/>
      <c r="B16" s="26" t="s">
        <v>1783</v>
      </c>
      <c r="C16" s="419" t="s">
        <v>1784</v>
      </c>
      <c r="D16" s="419"/>
      <c r="E16" s="419"/>
      <c r="F16" s="27" t="s">
        <v>75</v>
      </c>
      <c r="G16" s="22" t="s">
        <v>1473</v>
      </c>
      <c r="H16" s="58"/>
      <c r="I16" s="28"/>
      <c r="J16" s="28"/>
      <c r="K16" s="29"/>
      <c r="BC16" s="14"/>
      <c r="BD16" s="15"/>
      <c r="BE16" s="21"/>
      <c r="BF16" s="12"/>
    </row>
    <row r="17" spans="1:59" s="3" customFormat="1" ht="20.399999999999999" x14ac:dyDescent="0.3">
      <c r="A17" s="25"/>
      <c r="B17" s="26" t="s">
        <v>1449</v>
      </c>
      <c r="C17" s="419" t="s">
        <v>1450</v>
      </c>
      <c r="D17" s="419"/>
      <c r="E17" s="419"/>
      <c r="F17" s="27" t="s">
        <v>70</v>
      </c>
      <c r="G17" s="22" t="s">
        <v>1785</v>
      </c>
      <c r="H17" s="58"/>
      <c r="I17" s="28"/>
      <c r="J17" s="28"/>
      <c r="K17" s="29"/>
      <c r="BC17" s="14"/>
      <c r="BD17" s="15"/>
      <c r="BE17" s="21"/>
      <c r="BF17" s="12"/>
    </row>
    <row r="18" spans="1:59" s="3" customFormat="1" ht="20.399999999999999" x14ac:dyDescent="0.3">
      <c r="A18" s="25"/>
      <c r="B18" s="26" t="s">
        <v>839</v>
      </c>
      <c r="C18" s="419" t="s">
        <v>840</v>
      </c>
      <c r="D18" s="419"/>
      <c r="E18" s="419"/>
      <c r="F18" s="27" t="s">
        <v>75</v>
      </c>
      <c r="G18" s="22" t="s">
        <v>1173</v>
      </c>
      <c r="H18" s="58"/>
      <c r="I18" s="28"/>
      <c r="J18" s="28"/>
      <c r="K18" s="29"/>
      <c r="BC18" s="14"/>
      <c r="BD18" s="15"/>
      <c r="BE18" s="21"/>
      <c r="BF18" s="12"/>
    </row>
    <row r="19" spans="1:59" s="3" customFormat="1" ht="20.399999999999999" x14ac:dyDescent="0.3">
      <c r="A19" s="25"/>
      <c r="B19" s="26" t="s">
        <v>1241</v>
      </c>
      <c r="C19" s="419" t="s">
        <v>1242</v>
      </c>
      <c r="D19" s="419"/>
      <c r="E19" s="419"/>
      <c r="F19" s="27" t="s">
        <v>70</v>
      </c>
      <c r="G19" s="22" t="s">
        <v>1471</v>
      </c>
      <c r="H19" s="58"/>
      <c r="I19" s="28"/>
      <c r="J19" s="28"/>
      <c r="K19" s="29"/>
      <c r="BC19" s="14"/>
      <c r="BD19" s="15"/>
      <c r="BE19" s="21"/>
      <c r="BF19" s="12"/>
    </row>
    <row r="20" spans="1:59" s="3" customFormat="1" ht="20.399999999999999" x14ac:dyDescent="0.3">
      <c r="A20" s="37" t="s">
        <v>143</v>
      </c>
      <c r="B20" s="38" t="s">
        <v>1786</v>
      </c>
      <c r="C20" s="430" t="s">
        <v>1787</v>
      </c>
      <c r="D20" s="430"/>
      <c r="E20" s="430"/>
      <c r="F20" s="39" t="s">
        <v>38</v>
      </c>
      <c r="G20" s="40" t="s">
        <v>1564</v>
      </c>
      <c r="H20" s="100"/>
      <c r="I20" s="41"/>
      <c r="J20" s="41"/>
      <c r="K20" s="42"/>
      <c r="BC20" s="14"/>
      <c r="BD20" s="15"/>
      <c r="BE20" s="21"/>
      <c r="BF20" s="12"/>
      <c r="BG20" s="43"/>
    </row>
    <row r="21" spans="1:59" s="3" customFormat="1" ht="20.399999999999999" x14ac:dyDescent="0.3">
      <c r="A21" s="25"/>
      <c r="B21" s="26" t="s">
        <v>1788</v>
      </c>
      <c r="C21" s="419" t="s">
        <v>1789</v>
      </c>
      <c r="D21" s="419"/>
      <c r="E21" s="419"/>
      <c r="F21" s="27" t="s">
        <v>75</v>
      </c>
      <c r="G21" s="22" t="s">
        <v>1790</v>
      </c>
      <c r="H21" s="58"/>
      <c r="I21" s="28"/>
      <c r="J21" s="28"/>
      <c r="K21" s="29"/>
      <c r="BC21" s="14"/>
      <c r="BD21" s="15"/>
      <c r="BE21" s="21"/>
      <c r="BF21" s="12"/>
      <c r="BG21" s="43"/>
    </row>
    <row r="22" spans="1:59" s="3" customFormat="1" ht="20.399999999999999" x14ac:dyDescent="0.3">
      <c r="A22" s="25"/>
      <c r="B22" s="26" t="s">
        <v>1791</v>
      </c>
      <c r="C22" s="419" t="s">
        <v>1792</v>
      </c>
      <c r="D22" s="419"/>
      <c r="E22" s="419"/>
      <c r="F22" s="27" t="s">
        <v>25</v>
      </c>
      <c r="G22" s="22" t="s">
        <v>1179</v>
      </c>
      <c r="H22" s="58"/>
      <c r="I22" s="28"/>
      <c r="J22" s="28"/>
      <c r="K22" s="29"/>
      <c r="BC22" s="14"/>
      <c r="BD22" s="15"/>
      <c r="BE22" s="21"/>
      <c r="BF22" s="12"/>
      <c r="BG22" s="43"/>
    </row>
    <row r="23" spans="1:59" s="3" customFormat="1" ht="20.399999999999999" x14ac:dyDescent="0.3">
      <c r="A23" s="16" t="s">
        <v>1793</v>
      </c>
      <c r="B23" s="17" t="s">
        <v>1794</v>
      </c>
      <c r="C23" s="405" t="s">
        <v>1795</v>
      </c>
      <c r="D23" s="405"/>
      <c r="E23" s="405"/>
      <c r="F23" s="16" t="s">
        <v>1182</v>
      </c>
      <c r="G23" s="23">
        <v>1</v>
      </c>
      <c r="H23" s="57">
        <v>0</v>
      </c>
      <c r="I23" s="19">
        <v>0</v>
      </c>
      <c r="J23" s="19">
        <f>K23/G23</f>
        <v>11318.29</v>
      </c>
      <c r="K23" s="19">
        <v>11318.29</v>
      </c>
      <c r="BC23" s="14"/>
      <c r="BD23" s="15"/>
      <c r="BE23" s="21"/>
      <c r="BF23" s="12"/>
      <c r="BG23" s="43"/>
    </row>
    <row r="24" spans="1:59" s="3" customFormat="1" ht="15" customHeight="1" x14ac:dyDescent="0.3">
      <c r="A24" s="437" t="s">
        <v>1796</v>
      </c>
      <c r="B24" s="418"/>
      <c r="C24" s="418"/>
      <c r="D24" s="418"/>
      <c r="E24" s="418"/>
      <c r="F24" s="418"/>
      <c r="G24" s="418"/>
      <c r="H24" s="123"/>
      <c r="I24" s="61"/>
      <c r="J24" s="61"/>
      <c r="K24" s="62"/>
      <c r="BC24" s="14"/>
      <c r="BD24" s="15"/>
      <c r="BE24" s="21"/>
      <c r="BF24" s="12"/>
      <c r="BG24" s="43"/>
    </row>
    <row r="25" spans="1:59" s="3" customFormat="1" ht="15" customHeight="1" x14ac:dyDescent="0.3">
      <c r="A25" s="437" t="s">
        <v>1797</v>
      </c>
      <c r="B25" s="418"/>
      <c r="C25" s="418"/>
      <c r="D25" s="418"/>
      <c r="E25" s="418"/>
      <c r="F25" s="418"/>
      <c r="G25" s="418"/>
      <c r="H25" s="123"/>
      <c r="I25" s="61"/>
      <c r="J25" s="61"/>
      <c r="K25" s="62"/>
      <c r="BC25" s="14"/>
      <c r="BD25" s="15"/>
      <c r="BE25" s="21"/>
      <c r="BF25" s="12"/>
      <c r="BG25" s="43"/>
    </row>
    <row r="26" spans="1:59" s="3" customFormat="1" ht="14.4" x14ac:dyDescent="0.3">
      <c r="A26" s="16" t="s">
        <v>22</v>
      </c>
      <c r="B26" s="17" t="s">
        <v>1798</v>
      </c>
      <c r="C26" s="405" t="s">
        <v>1799</v>
      </c>
      <c r="D26" s="405"/>
      <c r="E26" s="405"/>
      <c r="F26" s="16" t="s">
        <v>67</v>
      </c>
      <c r="G26" s="31">
        <v>0.08</v>
      </c>
      <c r="H26" s="57">
        <f>I26/G26</f>
        <v>226286</v>
      </c>
      <c r="I26" s="19">
        <f>18451.97-K26</f>
        <v>18102.88</v>
      </c>
      <c r="J26" s="19">
        <f>K26/G26</f>
        <v>4363.625</v>
      </c>
      <c r="K26" s="19">
        <v>349.09</v>
      </c>
      <c r="BC26" s="14"/>
      <c r="BD26" s="15"/>
      <c r="BE26" s="21"/>
      <c r="BF26" s="12"/>
      <c r="BG26" s="43"/>
    </row>
    <row r="27" spans="1:59" s="3" customFormat="1" ht="20.399999999999999" x14ac:dyDescent="0.3">
      <c r="A27" s="25"/>
      <c r="B27" s="26" t="s">
        <v>1800</v>
      </c>
      <c r="C27" s="419" t="s">
        <v>1801</v>
      </c>
      <c r="D27" s="419"/>
      <c r="E27" s="419"/>
      <c r="F27" s="27" t="s">
        <v>75</v>
      </c>
      <c r="G27" s="22" t="s">
        <v>1802</v>
      </c>
      <c r="H27" s="58"/>
      <c r="I27" s="28"/>
      <c r="J27" s="28"/>
      <c r="K27" s="29"/>
      <c r="BC27" s="14"/>
      <c r="BD27" s="15"/>
      <c r="BE27" s="21"/>
      <c r="BF27" s="12"/>
      <c r="BG27" s="43"/>
    </row>
    <row r="28" spans="1:59" s="3" customFormat="1" ht="20.399999999999999" x14ac:dyDescent="0.3">
      <c r="A28" s="25"/>
      <c r="B28" s="26" t="s">
        <v>154</v>
      </c>
      <c r="C28" s="419" t="s">
        <v>155</v>
      </c>
      <c r="D28" s="419"/>
      <c r="E28" s="419"/>
      <c r="F28" s="27" t="s">
        <v>46</v>
      </c>
      <c r="G28" s="22" t="s">
        <v>1803</v>
      </c>
      <c r="H28" s="58"/>
      <c r="I28" s="28"/>
      <c r="J28" s="28"/>
      <c r="K28" s="29"/>
      <c r="BC28" s="14"/>
      <c r="BD28" s="15"/>
      <c r="BE28" s="21"/>
      <c r="BF28" s="12"/>
      <c r="BG28" s="43"/>
    </row>
    <row r="29" spans="1:59" s="3" customFormat="1" ht="20.399999999999999" x14ac:dyDescent="0.3">
      <c r="A29" s="25"/>
      <c r="B29" s="26" t="s">
        <v>1804</v>
      </c>
      <c r="C29" s="419" t="s">
        <v>1805</v>
      </c>
      <c r="D29" s="419"/>
      <c r="E29" s="419"/>
      <c r="F29" s="27" t="s">
        <v>1086</v>
      </c>
      <c r="G29" s="22" t="s">
        <v>1806</v>
      </c>
      <c r="H29" s="58"/>
      <c r="I29" s="28"/>
      <c r="J29" s="28"/>
      <c r="K29" s="29"/>
      <c r="BC29" s="14"/>
      <c r="BD29" s="15"/>
      <c r="BE29" s="21"/>
      <c r="BF29" s="12"/>
      <c r="BG29" s="43"/>
    </row>
    <row r="30" spans="1:59" s="3" customFormat="1" ht="20.399999999999999" x14ac:dyDescent="0.3">
      <c r="A30" s="25"/>
      <c r="B30" s="26" t="s">
        <v>1807</v>
      </c>
      <c r="C30" s="419" t="s">
        <v>1808</v>
      </c>
      <c r="D30" s="419"/>
      <c r="E30" s="419"/>
      <c r="F30" s="27" t="s">
        <v>70</v>
      </c>
      <c r="G30" s="22" t="s">
        <v>1809</v>
      </c>
      <c r="H30" s="58"/>
      <c r="I30" s="28"/>
      <c r="J30" s="28"/>
      <c r="K30" s="29"/>
      <c r="BC30" s="14"/>
      <c r="BD30" s="15"/>
      <c r="BE30" s="21"/>
      <c r="BF30" s="12"/>
      <c r="BG30" s="43"/>
    </row>
    <row r="31" spans="1:59" s="3" customFormat="1" ht="20.399999999999999" x14ac:dyDescent="0.3">
      <c r="A31" s="25"/>
      <c r="B31" s="26" t="s">
        <v>1810</v>
      </c>
      <c r="C31" s="419" t="s">
        <v>1811</v>
      </c>
      <c r="D31" s="419"/>
      <c r="E31" s="419"/>
      <c r="F31" s="27" t="s">
        <v>75</v>
      </c>
      <c r="G31" s="22" t="s">
        <v>1812</v>
      </c>
      <c r="H31" s="58"/>
      <c r="I31" s="28"/>
      <c r="J31" s="28"/>
      <c r="K31" s="29"/>
      <c r="BC31" s="14"/>
      <c r="BD31" s="15"/>
      <c r="BE31" s="21"/>
      <c r="BF31" s="12"/>
      <c r="BG31" s="43"/>
    </row>
    <row r="32" spans="1:59" s="3" customFormat="1" ht="20.399999999999999" x14ac:dyDescent="0.3">
      <c r="A32" s="25"/>
      <c r="B32" s="26" t="s">
        <v>1813</v>
      </c>
      <c r="C32" s="419" t="s">
        <v>1814</v>
      </c>
      <c r="D32" s="419"/>
      <c r="E32" s="419"/>
      <c r="F32" s="27" t="s">
        <v>75</v>
      </c>
      <c r="G32" s="22" t="s">
        <v>1815</v>
      </c>
      <c r="H32" s="58"/>
      <c r="I32" s="28"/>
      <c r="J32" s="28"/>
      <c r="K32" s="29"/>
      <c r="BC32" s="14"/>
      <c r="BD32" s="15"/>
      <c r="BE32" s="21"/>
      <c r="BF32" s="12"/>
      <c r="BG32" s="43"/>
    </row>
    <row r="33" spans="1:60" s="3" customFormat="1" ht="20.399999999999999" x14ac:dyDescent="0.3">
      <c r="A33" s="25"/>
      <c r="B33" s="26" t="s">
        <v>1816</v>
      </c>
      <c r="C33" s="419" t="s">
        <v>1817</v>
      </c>
      <c r="D33" s="419"/>
      <c r="E33" s="419"/>
      <c r="F33" s="27" t="s">
        <v>75</v>
      </c>
      <c r="G33" s="22" t="s">
        <v>1802</v>
      </c>
      <c r="H33" s="58"/>
      <c r="I33" s="28"/>
      <c r="J33" s="28"/>
      <c r="K33" s="29"/>
      <c r="BC33" s="14"/>
      <c r="BD33" s="15"/>
      <c r="BE33" s="21"/>
      <c r="BF33" s="12"/>
      <c r="BG33" s="43"/>
    </row>
    <row r="34" spans="1:60" s="3" customFormat="1" ht="20.399999999999999" x14ac:dyDescent="0.3">
      <c r="A34" s="37" t="s">
        <v>78</v>
      </c>
      <c r="B34" s="38" t="s">
        <v>1818</v>
      </c>
      <c r="C34" s="430" t="s">
        <v>1819</v>
      </c>
      <c r="D34" s="430"/>
      <c r="E34" s="430"/>
      <c r="F34" s="39" t="s">
        <v>38</v>
      </c>
      <c r="G34" s="40" t="s">
        <v>33</v>
      </c>
      <c r="H34" s="100"/>
      <c r="I34" s="41"/>
      <c r="J34" s="41"/>
      <c r="K34" s="42"/>
      <c r="BC34" s="14"/>
      <c r="BD34" s="15"/>
      <c r="BE34" s="21"/>
      <c r="BF34" s="12"/>
      <c r="BG34" s="43"/>
    </row>
    <row r="35" spans="1:60" s="3" customFormat="1" ht="20.399999999999999" x14ac:dyDescent="0.3">
      <c r="A35" s="37" t="s">
        <v>78</v>
      </c>
      <c r="B35" s="38" t="s">
        <v>1820</v>
      </c>
      <c r="C35" s="430" t="s">
        <v>1523</v>
      </c>
      <c r="D35" s="430"/>
      <c r="E35" s="430"/>
      <c r="F35" s="39" t="s">
        <v>75</v>
      </c>
      <c r="G35" s="40" t="s">
        <v>33</v>
      </c>
      <c r="H35" s="100"/>
      <c r="I35" s="41"/>
      <c r="J35" s="41"/>
      <c r="K35" s="42"/>
      <c r="BC35" s="14"/>
      <c r="BD35" s="15"/>
      <c r="BE35" s="21"/>
      <c r="BF35" s="12"/>
      <c r="BG35" s="43"/>
    </row>
    <row r="36" spans="1:60" s="3" customFormat="1" ht="20.399999999999999" x14ac:dyDescent="0.3">
      <c r="A36" s="37" t="s">
        <v>143</v>
      </c>
      <c r="B36" s="38" t="s">
        <v>1821</v>
      </c>
      <c r="C36" s="430" t="s">
        <v>1822</v>
      </c>
      <c r="D36" s="430"/>
      <c r="E36" s="430"/>
      <c r="F36" s="39" t="s">
        <v>115</v>
      </c>
      <c r="G36" s="40" t="s">
        <v>1823</v>
      </c>
      <c r="H36" s="100"/>
      <c r="I36" s="41"/>
      <c r="J36" s="41"/>
      <c r="K36" s="42"/>
      <c r="BC36" s="14"/>
      <c r="BD36" s="15"/>
      <c r="BE36" s="21"/>
      <c r="BF36" s="12"/>
      <c r="BG36" s="43"/>
    </row>
    <row r="37" spans="1:60" s="3" customFormat="1" ht="20.399999999999999" x14ac:dyDescent="0.3">
      <c r="A37" s="37" t="s">
        <v>78</v>
      </c>
      <c r="B37" s="38" t="s">
        <v>1824</v>
      </c>
      <c r="C37" s="430" t="s">
        <v>1825</v>
      </c>
      <c r="D37" s="430"/>
      <c r="E37" s="430"/>
      <c r="F37" s="39" t="s">
        <v>38</v>
      </c>
      <c r="G37" s="40" t="s">
        <v>33</v>
      </c>
      <c r="H37" s="100"/>
      <c r="I37" s="41"/>
      <c r="J37" s="41"/>
      <c r="K37" s="42"/>
      <c r="BC37" s="14"/>
      <c r="BD37" s="15"/>
      <c r="BE37" s="21"/>
      <c r="BF37" s="12"/>
      <c r="BG37" s="43"/>
    </row>
    <row r="38" spans="1:60" s="3" customFormat="1" ht="20.399999999999999" x14ac:dyDescent="0.3">
      <c r="A38" s="25" t="s">
        <v>129</v>
      </c>
      <c r="B38" s="26" t="s">
        <v>1826</v>
      </c>
      <c r="C38" s="419" t="s">
        <v>1827</v>
      </c>
      <c r="D38" s="419"/>
      <c r="E38" s="419"/>
      <c r="F38" s="27" t="s">
        <v>115</v>
      </c>
      <c r="G38" s="22" t="s">
        <v>1828</v>
      </c>
      <c r="H38" s="58"/>
      <c r="I38" s="28"/>
      <c r="J38" s="28"/>
      <c r="K38" s="29"/>
      <c r="BC38" s="14"/>
      <c r="BD38" s="15"/>
      <c r="BE38" s="21"/>
      <c r="BF38" s="12"/>
      <c r="BG38" s="43"/>
      <c r="BH38" s="12"/>
    </row>
    <row r="39" spans="1:60" s="3" customFormat="1" ht="15" customHeight="1" x14ac:dyDescent="0.3">
      <c r="A39" s="437" t="s">
        <v>1829</v>
      </c>
      <c r="B39" s="418"/>
      <c r="C39" s="418"/>
      <c r="D39" s="418"/>
      <c r="E39" s="418"/>
      <c r="F39" s="418"/>
      <c r="G39" s="418"/>
      <c r="H39" s="123"/>
      <c r="I39" s="61"/>
      <c r="J39" s="61"/>
      <c r="K39" s="62"/>
      <c r="BC39" s="14"/>
      <c r="BD39" s="15"/>
      <c r="BE39" s="21"/>
      <c r="BF39" s="12"/>
      <c r="BG39" s="43"/>
      <c r="BH39" s="12"/>
    </row>
    <row r="40" spans="1:60" s="3" customFormat="1" ht="14.4" x14ac:dyDescent="0.3">
      <c r="A40" s="16" t="s">
        <v>27</v>
      </c>
      <c r="B40" s="17" t="s">
        <v>1830</v>
      </c>
      <c r="C40" s="405" t="s">
        <v>1831</v>
      </c>
      <c r="D40" s="405"/>
      <c r="E40" s="405"/>
      <c r="F40" s="16" t="s">
        <v>67</v>
      </c>
      <c r="G40" s="31">
        <v>0.04</v>
      </c>
      <c r="H40" s="57">
        <f>I40/G40</f>
        <v>173080</v>
      </c>
      <c r="I40" s="19">
        <f>7183.26-K40</f>
        <v>6923.2</v>
      </c>
      <c r="J40" s="19">
        <f>K40/G40</f>
        <v>6501.5</v>
      </c>
      <c r="K40" s="19">
        <v>260.06</v>
      </c>
      <c r="BC40" s="14"/>
      <c r="BD40" s="15"/>
      <c r="BE40" s="21"/>
      <c r="BF40" s="12"/>
      <c r="BG40" s="43"/>
      <c r="BH40" s="12"/>
    </row>
    <row r="41" spans="1:60" s="3" customFormat="1" ht="20.399999999999999" x14ac:dyDescent="0.3">
      <c r="A41" s="25"/>
      <c r="B41" s="26" t="s">
        <v>1800</v>
      </c>
      <c r="C41" s="419" t="s">
        <v>1801</v>
      </c>
      <c r="D41" s="419"/>
      <c r="E41" s="419"/>
      <c r="F41" s="27" t="s">
        <v>75</v>
      </c>
      <c r="G41" s="22" t="s">
        <v>1832</v>
      </c>
      <c r="H41" s="58"/>
      <c r="I41" s="28"/>
      <c r="J41" s="28"/>
      <c r="K41" s="29"/>
      <c r="BC41" s="14"/>
      <c r="BD41" s="15"/>
      <c r="BE41" s="21"/>
      <c r="BF41" s="12"/>
      <c r="BG41" s="43"/>
      <c r="BH41" s="12"/>
    </row>
    <row r="42" spans="1:60" s="3" customFormat="1" ht="20.399999999999999" x14ac:dyDescent="0.3">
      <c r="A42" s="25"/>
      <c r="B42" s="26" t="s">
        <v>154</v>
      </c>
      <c r="C42" s="419" t="s">
        <v>155</v>
      </c>
      <c r="D42" s="419"/>
      <c r="E42" s="419"/>
      <c r="F42" s="27" t="s">
        <v>46</v>
      </c>
      <c r="G42" s="22" t="s">
        <v>1833</v>
      </c>
      <c r="H42" s="58"/>
      <c r="I42" s="28"/>
      <c r="J42" s="28"/>
      <c r="K42" s="29"/>
      <c r="BC42" s="14"/>
      <c r="BD42" s="15"/>
      <c r="BE42" s="21"/>
      <c r="BF42" s="12"/>
      <c r="BG42" s="43"/>
      <c r="BH42" s="12"/>
    </row>
    <row r="43" spans="1:60" s="3" customFormat="1" ht="20.399999999999999" x14ac:dyDescent="0.3">
      <c r="A43" s="25"/>
      <c r="B43" s="26" t="s">
        <v>1804</v>
      </c>
      <c r="C43" s="419" t="s">
        <v>1805</v>
      </c>
      <c r="D43" s="419"/>
      <c r="E43" s="419"/>
      <c r="F43" s="27" t="s">
        <v>1086</v>
      </c>
      <c r="G43" s="22" t="s">
        <v>1834</v>
      </c>
      <c r="H43" s="58"/>
      <c r="I43" s="28"/>
      <c r="J43" s="28"/>
      <c r="K43" s="29"/>
      <c r="BC43" s="14"/>
      <c r="BD43" s="15"/>
      <c r="BE43" s="21"/>
      <c r="BF43" s="12"/>
      <c r="BG43" s="43"/>
      <c r="BH43" s="12"/>
    </row>
    <row r="44" spans="1:60" s="3" customFormat="1" ht="20.399999999999999" x14ac:dyDescent="0.3">
      <c r="A44" s="25"/>
      <c r="B44" s="26" t="s">
        <v>1807</v>
      </c>
      <c r="C44" s="419" t="s">
        <v>1808</v>
      </c>
      <c r="D44" s="419"/>
      <c r="E44" s="419"/>
      <c r="F44" s="27" t="s">
        <v>70</v>
      </c>
      <c r="G44" s="22" t="s">
        <v>1835</v>
      </c>
      <c r="H44" s="58"/>
      <c r="I44" s="28"/>
      <c r="J44" s="28"/>
      <c r="K44" s="29"/>
      <c r="BC44" s="14"/>
      <c r="BD44" s="15"/>
      <c r="BE44" s="21"/>
      <c r="BF44" s="12"/>
      <c r="BG44" s="43"/>
      <c r="BH44" s="12"/>
    </row>
    <row r="45" spans="1:60" s="3" customFormat="1" ht="20.399999999999999" x14ac:dyDescent="0.3">
      <c r="A45" s="25"/>
      <c r="B45" s="26" t="s">
        <v>1810</v>
      </c>
      <c r="C45" s="419" t="s">
        <v>1811</v>
      </c>
      <c r="D45" s="419"/>
      <c r="E45" s="419"/>
      <c r="F45" s="27" t="s">
        <v>75</v>
      </c>
      <c r="G45" s="22" t="s">
        <v>1836</v>
      </c>
      <c r="H45" s="58"/>
      <c r="I45" s="28"/>
      <c r="J45" s="28"/>
      <c r="K45" s="29"/>
      <c r="BC45" s="14"/>
      <c r="BD45" s="15"/>
      <c r="BE45" s="21"/>
      <c r="BF45" s="12"/>
      <c r="BG45" s="43"/>
      <c r="BH45" s="12"/>
    </row>
    <row r="46" spans="1:60" s="3" customFormat="1" ht="20.399999999999999" x14ac:dyDescent="0.3">
      <c r="A46" s="25"/>
      <c r="B46" s="26" t="s">
        <v>1813</v>
      </c>
      <c r="C46" s="419" t="s">
        <v>1814</v>
      </c>
      <c r="D46" s="419"/>
      <c r="E46" s="419"/>
      <c r="F46" s="27" t="s">
        <v>75</v>
      </c>
      <c r="G46" s="22" t="s">
        <v>1837</v>
      </c>
      <c r="H46" s="58"/>
      <c r="I46" s="28"/>
      <c r="J46" s="28"/>
      <c r="K46" s="29"/>
      <c r="BC46" s="14"/>
      <c r="BD46" s="15"/>
      <c r="BE46" s="21"/>
      <c r="BF46" s="12"/>
      <c r="BG46" s="43"/>
      <c r="BH46" s="12"/>
    </row>
    <row r="47" spans="1:60" s="3" customFormat="1" ht="20.399999999999999" x14ac:dyDescent="0.3">
      <c r="A47" s="25"/>
      <c r="B47" s="26" t="s">
        <v>1816</v>
      </c>
      <c r="C47" s="419" t="s">
        <v>1817</v>
      </c>
      <c r="D47" s="419"/>
      <c r="E47" s="419"/>
      <c r="F47" s="27" t="s">
        <v>75</v>
      </c>
      <c r="G47" s="22" t="s">
        <v>1761</v>
      </c>
      <c r="H47" s="58"/>
      <c r="I47" s="28"/>
      <c r="J47" s="28"/>
      <c r="K47" s="29"/>
      <c r="BC47" s="14"/>
      <c r="BD47" s="15"/>
      <c r="BE47" s="21"/>
      <c r="BF47" s="12"/>
      <c r="BG47" s="43"/>
      <c r="BH47" s="12"/>
    </row>
    <row r="48" spans="1:60" s="3" customFormat="1" ht="20.399999999999999" x14ac:dyDescent="0.3">
      <c r="A48" s="37" t="s">
        <v>78</v>
      </c>
      <c r="B48" s="38" t="s">
        <v>1818</v>
      </c>
      <c r="C48" s="430" t="s">
        <v>1819</v>
      </c>
      <c r="D48" s="430"/>
      <c r="E48" s="430"/>
      <c r="F48" s="39" t="s">
        <v>38</v>
      </c>
      <c r="G48" s="40" t="s">
        <v>33</v>
      </c>
      <c r="H48" s="100"/>
      <c r="I48" s="41"/>
      <c r="J48" s="41"/>
      <c r="K48" s="42"/>
      <c r="BC48" s="14"/>
      <c r="BD48" s="15"/>
      <c r="BE48" s="21"/>
      <c r="BF48" s="12"/>
      <c r="BG48" s="43"/>
      <c r="BH48" s="12"/>
    </row>
    <row r="49" spans="1:60" s="3" customFormat="1" ht="20.399999999999999" x14ac:dyDescent="0.3">
      <c r="A49" s="37" t="s">
        <v>78</v>
      </c>
      <c r="B49" s="38" t="s">
        <v>1820</v>
      </c>
      <c r="C49" s="430" t="s">
        <v>1523</v>
      </c>
      <c r="D49" s="430"/>
      <c r="E49" s="430"/>
      <c r="F49" s="39" t="s">
        <v>75</v>
      </c>
      <c r="G49" s="40" t="s">
        <v>33</v>
      </c>
      <c r="H49" s="100"/>
      <c r="I49" s="41"/>
      <c r="J49" s="41"/>
      <c r="K49" s="42"/>
      <c r="BC49" s="14"/>
      <c r="BD49" s="15"/>
      <c r="BE49" s="21"/>
      <c r="BF49" s="12"/>
      <c r="BG49" s="43"/>
      <c r="BH49" s="12"/>
    </row>
    <row r="50" spans="1:60" s="3" customFormat="1" ht="20.399999999999999" x14ac:dyDescent="0.3">
      <c r="A50" s="37" t="s">
        <v>143</v>
      </c>
      <c r="B50" s="38" t="s">
        <v>1821</v>
      </c>
      <c r="C50" s="430" t="s">
        <v>1822</v>
      </c>
      <c r="D50" s="430"/>
      <c r="E50" s="430"/>
      <c r="F50" s="39" t="s">
        <v>115</v>
      </c>
      <c r="G50" s="40" t="s">
        <v>1838</v>
      </c>
      <c r="H50" s="100"/>
      <c r="I50" s="41"/>
      <c r="J50" s="41"/>
      <c r="K50" s="42"/>
      <c r="BC50" s="14"/>
      <c r="BD50" s="15"/>
      <c r="BE50" s="21"/>
      <c r="BF50" s="12"/>
      <c r="BG50" s="43"/>
      <c r="BH50" s="12"/>
    </row>
    <row r="51" spans="1:60" s="3" customFormat="1" ht="20.399999999999999" x14ac:dyDescent="0.3">
      <c r="A51" s="37" t="s">
        <v>78</v>
      </c>
      <c r="B51" s="38" t="s">
        <v>1824</v>
      </c>
      <c r="C51" s="430" t="s">
        <v>1825</v>
      </c>
      <c r="D51" s="430"/>
      <c r="E51" s="430"/>
      <c r="F51" s="39" t="s">
        <v>38</v>
      </c>
      <c r="G51" s="40" t="s">
        <v>33</v>
      </c>
      <c r="H51" s="100"/>
      <c r="I51" s="41"/>
      <c r="J51" s="41"/>
      <c r="K51" s="42"/>
      <c r="BC51" s="14"/>
      <c r="BD51" s="15"/>
      <c r="BE51" s="21"/>
      <c r="BF51" s="12"/>
      <c r="BG51" s="43"/>
      <c r="BH51" s="12"/>
    </row>
    <row r="52" spans="1:60" s="3" customFormat="1" ht="20.399999999999999" x14ac:dyDescent="0.3">
      <c r="A52" s="25" t="s">
        <v>129</v>
      </c>
      <c r="B52" s="26" t="s">
        <v>1839</v>
      </c>
      <c r="C52" s="419" t="s">
        <v>1840</v>
      </c>
      <c r="D52" s="419"/>
      <c r="E52" s="419"/>
      <c r="F52" s="27" t="s">
        <v>115</v>
      </c>
      <c r="G52" s="22" t="s">
        <v>1841</v>
      </c>
      <c r="H52" s="58"/>
      <c r="I52" s="28"/>
      <c r="J52" s="28"/>
      <c r="K52" s="29"/>
      <c r="BC52" s="14"/>
      <c r="BD52" s="15"/>
      <c r="BE52" s="21"/>
      <c r="BF52" s="12"/>
      <c r="BG52" s="43"/>
      <c r="BH52" s="12"/>
    </row>
    <row r="53" spans="1:60" s="3" customFormat="1" ht="15" customHeight="1" x14ac:dyDescent="0.3">
      <c r="A53" s="437" t="s">
        <v>1842</v>
      </c>
      <c r="B53" s="418"/>
      <c r="C53" s="418"/>
      <c r="D53" s="418"/>
      <c r="E53" s="418"/>
      <c r="F53" s="418"/>
      <c r="G53" s="418"/>
      <c r="H53" s="123"/>
      <c r="I53" s="61"/>
      <c r="J53" s="61"/>
      <c r="K53" s="62"/>
      <c r="BC53" s="14"/>
      <c r="BD53" s="15"/>
      <c r="BE53" s="21"/>
      <c r="BF53" s="12"/>
      <c r="BG53" s="43"/>
      <c r="BH53" s="12"/>
    </row>
    <row r="54" spans="1:60" s="3" customFormat="1" ht="14.4" x14ac:dyDescent="0.3">
      <c r="A54" s="16" t="s">
        <v>35</v>
      </c>
      <c r="B54" s="17" t="s">
        <v>1843</v>
      </c>
      <c r="C54" s="405" t="s">
        <v>1844</v>
      </c>
      <c r="D54" s="405"/>
      <c r="E54" s="405"/>
      <c r="F54" s="16" t="s">
        <v>1261</v>
      </c>
      <c r="G54" s="24">
        <v>0.1</v>
      </c>
      <c r="H54" s="57">
        <v>0</v>
      </c>
      <c r="I54" s="19">
        <v>0</v>
      </c>
      <c r="J54" s="19">
        <f>K54/G54</f>
        <v>1095.5999999999999</v>
      </c>
      <c r="K54" s="19">
        <v>109.56</v>
      </c>
      <c r="BC54" s="14"/>
      <c r="BD54" s="15"/>
      <c r="BE54" s="21"/>
      <c r="BF54" s="12"/>
      <c r="BG54" s="43"/>
      <c r="BH54" s="12"/>
    </row>
    <row r="55" spans="1:60" s="3" customFormat="1" ht="15" customHeight="1" x14ac:dyDescent="0.3">
      <c r="A55" s="437" t="s">
        <v>1845</v>
      </c>
      <c r="B55" s="418"/>
      <c r="C55" s="418"/>
      <c r="D55" s="418"/>
      <c r="E55" s="418"/>
      <c r="F55" s="418"/>
      <c r="G55" s="418"/>
      <c r="H55" s="123"/>
      <c r="I55" s="61"/>
      <c r="J55" s="61"/>
      <c r="K55" s="62"/>
      <c r="BC55" s="14"/>
      <c r="BD55" s="15"/>
      <c r="BE55" s="21"/>
      <c r="BF55" s="12"/>
      <c r="BG55" s="43"/>
      <c r="BH55" s="12"/>
    </row>
    <row r="56" spans="1:60" s="3" customFormat="1" ht="14.4" x14ac:dyDescent="0.3">
      <c r="A56" s="16" t="s">
        <v>40</v>
      </c>
      <c r="B56" s="17" t="s">
        <v>1843</v>
      </c>
      <c r="C56" s="405" t="s">
        <v>1844</v>
      </c>
      <c r="D56" s="405"/>
      <c r="E56" s="405"/>
      <c r="F56" s="16" t="s">
        <v>1261</v>
      </c>
      <c r="G56" s="24">
        <v>0.1</v>
      </c>
      <c r="H56" s="57">
        <v>0</v>
      </c>
      <c r="I56" s="19">
        <v>0</v>
      </c>
      <c r="J56" s="19">
        <f>K56/G56</f>
        <v>1095.5999999999999</v>
      </c>
      <c r="K56" s="19">
        <v>109.56</v>
      </c>
      <c r="BC56" s="14"/>
      <c r="BD56" s="15"/>
      <c r="BE56" s="21"/>
      <c r="BF56" s="12"/>
      <c r="BG56" s="43"/>
      <c r="BH56" s="12"/>
    </row>
    <row r="57" spans="1:60" s="3" customFormat="1" ht="15" customHeight="1" x14ac:dyDescent="0.3">
      <c r="A57" s="437" t="s">
        <v>1846</v>
      </c>
      <c r="B57" s="418"/>
      <c r="C57" s="418"/>
      <c r="D57" s="418"/>
      <c r="E57" s="418"/>
      <c r="F57" s="418"/>
      <c r="G57" s="418"/>
      <c r="H57" s="123"/>
      <c r="I57" s="61"/>
      <c r="J57" s="61"/>
      <c r="K57" s="62"/>
      <c r="BC57" s="14"/>
      <c r="BD57" s="15"/>
      <c r="BE57" s="21"/>
      <c r="BF57" s="12"/>
      <c r="BG57" s="43"/>
      <c r="BH57" s="12"/>
    </row>
    <row r="58" spans="1:60" s="3" customFormat="1" ht="14.4" x14ac:dyDescent="0.3">
      <c r="A58" s="16" t="s">
        <v>47</v>
      </c>
      <c r="B58" s="17" t="s">
        <v>1847</v>
      </c>
      <c r="C58" s="405" t="s">
        <v>1848</v>
      </c>
      <c r="D58" s="405"/>
      <c r="E58" s="405"/>
      <c r="F58" s="16" t="s">
        <v>1261</v>
      </c>
      <c r="G58" s="24">
        <v>0.1</v>
      </c>
      <c r="H58" s="57">
        <v>0</v>
      </c>
      <c r="I58" s="19">
        <v>0</v>
      </c>
      <c r="J58" s="19">
        <f>K58/G58</f>
        <v>1809.7999999999997</v>
      </c>
      <c r="K58" s="19">
        <v>180.98</v>
      </c>
      <c r="BC58" s="14"/>
      <c r="BD58" s="15"/>
      <c r="BE58" s="21"/>
      <c r="BF58" s="12"/>
      <c r="BG58" s="43"/>
      <c r="BH58" s="12"/>
    </row>
    <row r="59" spans="1:60" s="3" customFormat="1" ht="15" customHeight="1" x14ac:dyDescent="0.3">
      <c r="A59" s="437" t="s">
        <v>1849</v>
      </c>
      <c r="B59" s="418"/>
      <c r="C59" s="418"/>
      <c r="D59" s="418"/>
      <c r="E59" s="418"/>
      <c r="F59" s="418"/>
      <c r="G59" s="418"/>
      <c r="H59" s="123"/>
      <c r="I59" s="61"/>
      <c r="J59" s="61"/>
      <c r="K59" s="62"/>
      <c r="BC59" s="14"/>
      <c r="BD59" s="15"/>
      <c r="BE59" s="21"/>
      <c r="BF59" s="12"/>
      <c r="BG59" s="43"/>
      <c r="BH59" s="12"/>
    </row>
    <row r="60" spans="1:60" s="3" customFormat="1" ht="20.399999999999999" x14ac:dyDescent="0.3">
      <c r="A60" s="16" t="s">
        <v>52</v>
      </c>
      <c r="B60" s="17" t="s">
        <v>1850</v>
      </c>
      <c r="C60" s="405" t="s">
        <v>1851</v>
      </c>
      <c r="D60" s="405"/>
      <c r="E60" s="405"/>
      <c r="F60" s="16" t="s">
        <v>1460</v>
      </c>
      <c r="G60" s="23">
        <v>1</v>
      </c>
      <c r="H60" s="57">
        <v>0</v>
      </c>
      <c r="I60" s="19">
        <v>0</v>
      </c>
      <c r="J60" s="19">
        <f t="shared" ref="J60:J67" si="0">K60/G60</f>
        <v>18.670000000000002</v>
      </c>
      <c r="K60" s="19">
        <v>18.670000000000002</v>
      </c>
      <c r="BC60" s="14"/>
      <c r="BD60" s="15"/>
      <c r="BE60" s="21"/>
      <c r="BF60" s="12"/>
      <c r="BG60" s="43"/>
      <c r="BH60" s="12"/>
    </row>
    <row r="61" spans="1:60" s="3" customFormat="1" ht="20.399999999999999" x14ac:dyDescent="0.3">
      <c r="A61" s="16" t="s">
        <v>55</v>
      </c>
      <c r="B61" s="17" t="s">
        <v>1852</v>
      </c>
      <c r="C61" s="405" t="s">
        <v>1853</v>
      </c>
      <c r="D61" s="405"/>
      <c r="E61" s="405"/>
      <c r="F61" s="16" t="s">
        <v>1460</v>
      </c>
      <c r="G61" s="23">
        <v>7</v>
      </c>
      <c r="H61" s="57">
        <v>0</v>
      </c>
      <c r="I61" s="19">
        <v>0</v>
      </c>
      <c r="J61" s="19">
        <f t="shared" si="0"/>
        <v>369.04571428571433</v>
      </c>
      <c r="K61" s="19">
        <v>2583.3200000000002</v>
      </c>
      <c r="BC61" s="14"/>
      <c r="BD61" s="15"/>
      <c r="BE61" s="21"/>
      <c r="BF61" s="12"/>
      <c r="BG61" s="43"/>
      <c r="BH61" s="12"/>
    </row>
    <row r="62" spans="1:60" s="3" customFormat="1" ht="20.399999999999999" x14ac:dyDescent="0.3">
      <c r="A62" s="16" t="s">
        <v>56</v>
      </c>
      <c r="B62" s="17" t="s">
        <v>1854</v>
      </c>
      <c r="C62" s="405" t="s">
        <v>1855</v>
      </c>
      <c r="D62" s="405"/>
      <c r="E62" s="405"/>
      <c r="F62" s="16" t="s">
        <v>1460</v>
      </c>
      <c r="G62" s="23">
        <v>1</v>
      </c>
      <c r="H62" s="57">
        <v>0</v>
      </c>
      <c r="I62" s="19">
        <v>0</v>
      </c>
      <c r="J62" s="19">
        <f t="shared" si="0"/>
        <v>79.56</v>
      </c>
      <c r="K62" s="19">
        <v>79.56</v>
      </c>
      <c r="BC62" s="14"/>
      <c r="BD62" s="15"/>
      <c r="BE62" s="21"/>
      <c r="BF62" s="12"/>
      <c r="BG62" s="43"/>
      <c r="BH62" s="12"/>
    </row>
    <row r="63" spans="1:60" s="3" customFormat="1" ht="20.399999999999999" x14ac:dyDescent="0.3">
      <c r="A63" s="16" t="s">
        <v>166</v>
      </c>
      <c r="B63" s="17" t="s">
        <v>1856</v>
      </c>
      <c r="C63" s="405" t="s">
        <v>1857</v>
      </c>
      <c r="D63" s="405"/>
      <c r="E63" s="405"/>
      <c r="F63" s="16" t="s">
        <v>1460</v>
      </c>
      <c r="G63" s="23">
        <v>1</v>
      </c>
      <c r="H63" s="57">
        <v>0</v>
      </c>
      <c r="I63" s="19">
        <v>0</v>
      </c>
      <c r="J63" s="19">
        <f t="shared" si="0"/>
        <v>33.19</v>
      </c>
      <c r="K63" s="19">
        <v>33.19</v>
      </c>
      <c r="BC63" s="14"/>
      <c r="BD63" s="15"/>
      <c r="BE63" s="21"/>
      <c r="BF63" s="12"/>
      <c r="BG63" s="43"/>
      <c r="BH63" s="12"/>
    </row>
    <row r="64" spans="1:60" s="3" customFormat="1" ht="14.4" x14ac:dyDescent="0.3">
      <c r="A64" s="16" t="s">
        <v>169</v>
      </c>
      <c r="B64" s="17" t="s">
        <v>1858</v>
      </c>
      <c r="C64" s="405" t="s">
        <v>1859</v>
      </c>
      <c r="D64" s="405"/>
      <c r="E64" s="405"/>
      <c r="F64" s="16" t="s">
        <v>38</v>
      </c>
      <c r="G64" s="23">
        <v>4</v>
      </c>
      <c r="H64" s="57">
        <v>0</v>
      </c>
      <c r="I64" s="19">
        <v>0</v>
      </c>
      <c r="J64" s="19">
        <f t="shared" si="0"/>
        <v>8.4949999999999992</v>
      </c>
      <c r="K64" s="19">
        <v>33.979999999999997</v>
      </c>
      <c r="BC64" s="14"/>
      <c r="BD64" s="15"/>
      <c r="BE64" s="21"/>
      <c r="BF64" s="12"/>
      <c r="BG64" s="43"/>
      <c r="BH64" s="12"/>
    </row>
    <row r="65" spans="1:60" s="3" customFormat="1" ht="14.4" x14ac:dyDescent="0.3">
      <c r="A65" s="16" t="s">
        <v>170</v>
      </c>
      <c r="B65" s="17" t="s">
        <v>1860</v>
      </c>
      <c r="C65" s="405" t="s">
        <v>1861</v>
      </c>
      <c r="D65" s="405"/>
      <c r="E65" s="405"/>
      <c r="F65" s="16" t="s">
        <v>38</v>
      </c>
      <c r="G65" s="23">
        <v>3</v>
      </c>
      <c r="H65" s="57">
        <v>0</v>
      </c>
      <c r="I65" s="19">
        <v>0</v>
      </c>
      <c r="J65" s="19">
        <f t="shared" si="0"/>
        <v>5.93</v>
      </c>
      <c r="K65" s="19">
        <v>17.79</v>
      </c>
      <c r="BC65" s="14"/>
      <c r="BD65" s="15"/>
      <c r="BE65" s="21"/>
      <c r="BF65" s="12"/>
      <c r="BG65" s="43"/>
      <c r="BH65" s="12"/>
    </row>
    <row r="66" spans="1:60" s="3" customFormat="1" ht="14.4" x14ac:dyDescent="0.3">
      <c r="A66" s="16" t="s">
        <v>173</v>
      </c>
      <c r="B66" s="17" t="s">
        <v>1862</v>
      </c>
      <c r="C66" s="405" t="s">
        <v>1863</v>
      </c>
      <c r="D66" s="405"/>
      <c r="E66" s="405"/>
      <c r="F66" s="16" t="s">
        <v>38</v>
      </c>
      <c r="G66" s="23">
        <v>2</v>
      </c>
      <c r="H66" s="57">
        <v>0</v>
      </c>
      <c r="I66" s="19">
        <v>0</v>
      </c>
      <c r="J66" s="19">
        <f t="shared" si="0"/>
        <v>8.32</v>
      </c>
      <c r="K66" s="19">
        <v>16.64</v>
      </c>
      <c r="BC66" s="14"/>
      <c r="BD66" s="15"/>
      <c r="BE66" s="21"/>
      <c r="BF66" s="12"/>
      <c r="BG66" s="43"/>
      <c r="BH66" s="12"/>
    </row>
    <row r="67" spans="1:60" s="3" customFormat="1" ht="14.4" x14ac:dyDescent="0.3">
      <c r="A67" s="16" t="s">
        <v>176</v>
      </c>
      <c r="B67" s="17" t="s">
        <v>1864</v>
      </c>
      <c r="C67" s="405" t="s">
        <v>1865</v>
      </c>
      <c r="D67" s="405"/>
      <c r="E67" s="405"/>
      <c r="F67" s="16" t="s">
        <v>38</v>
      </c>
      <c r="G67" s="23">
        <v>4</v>
      </c>
      <c r="H67" s="57">
        <v>0</v>
      </c>
      <c r="I67" s="19">
        <v>0</v>
      </c>
      <c r="J67" s="19">
        <f t="shared" si="0"/>
        <v>71.685000000000002</v>
      </c>
      <c r="K67" s="19">
        <v>286.74</v>
      </c>
      <c r="BC67" s="14"/>
      <c r="BD67" s="15"/>
      <c r="BE67" s="21"/>
      <c r="BF67" s="12"/>
      <c r="BG67" s="43"/>
      <c r="BH67" s="12"/>
    </row>
    <row r="68" spans="1:60" s="3" customFormat="1" ht="14.4" x14ac:dyDescent="0.3">
      <c r="A68" s="437" t="s">
        <v>289</v>
      </c>
      <c r="B68" s="418"/>
      <c r="C68" s="418"/>
      <c r="D68" s="418"/>
      <c r="E68" s="418"/>
      <c r="F68" s="418"/>
      <c r="G68" s="418"/>
      <c r="H68" s="123"/>
      <c r="I68" s="61"/>
      <c r="J68" s="61"/>
      <c r="K68" s="62"/>
      <c r="BC68" s="14"/>
      <c r="BD68" s="15"/>
      <c r="BE68" s="21"/>
      <c r="BF68" s="12"/>
      <c r="BG68" s="43"/>
      <c r="BH68" s="12"/>
    </row>
    <row r="69" spans="1:60" s="3" customFormat="1" ht="14.4" x14ac:dyDescent="0.3">
      <c r="A69" s="16" t="s">
        <v>177</v>
      </c>
      <c r="B69" s="17" t="s">
        <v>1866</v>
      </c>
      <c r="C69" s="405" t="s">
        <v>1867</v>
      </c>
      <c r="D69" s="405"/>
      <c r="E69" s="405"/>
      <c r="F69" s="16" t="s">
        <v>38</v>
      </c>
      <c r="G69" s="23">
        <v>1</v>
      </c>
      <c r="H69" s="57">
        <v>0</v>
      </c>
      <c r="I69" s="19">
        <v>0</v>
      </c>
      <c r="J69" s="19">
        <f t="shared" ref="J69:J70" si="1">K69/G69</f>
        <v>1063.77</v>
      </c>
      <c r="K69" s="19">
        <v>1063.77</v>
      </c>
      <c r="BC69" s="14"/>
      <c r="BD69" s="15"/>
      <c r="BE69" s="21"/>
      <c r="BF69" s="12"/>
      <c r="BG69" s="43"/>
      <c r="BH69" s="12"/>
    </row>
    <row r="70" spans="1:60" s="3" customFormat="1" ht="14.4" x14ac:dyDescent="0.3">
      <c r="A70" s="16" t="s">
        <v>180</v>
      </c>
      <c r="B70" s="17" t="s">
        <v>1868</v>
      </c>
      <c r="C70" s="405" t="s">
        <v>1869</v>
      </c>
      <c r="D70" s="405"/>
      <c r="E70" s="405"/>
      <c r="F70" s="16" t="s">
        <v>38</v>
      </c>
      <c r="G70" s="23">
        <v>3</v>
      </c>
      <c r="H70" s="57">
        <v>0</v>
      </c>
      <c r="I70" s="19">
        <v>0</v>
      </c>
      <c r="J70" s="19">
        <f t="shared" si="1"/>
        <v>3550.9733333333334</v>
      </c>
      <c r="K70" s="19">
        <v>10652.92</v>
      </c>
      <c r="BC70" s="14"/>
      <c r="BD70" s="15"/>
      <c r="BE70" s="21"/>
      <c r="BF70" s="12"/>
      <c r="BG70" s="43"/>
      <c r="BH70" s="12"/>
    </row>
    <row r="71" spans="1:60" s="3" customFormat="1" ht="15" customHeight="1" x14ac:dyDescent="0.3">
      <c r="A71" s="437" t="s">
        <v>1870</v>
      </c>
      <c r="B71" s="418"/>
      <c r="C71" s="418"/>
      <c r="D71" s="418"/>
      <c r="E71" s="418"/>
      <c r="F71" s="418"/>
      <c r="G71" s="418"/>
      <c r="H71" s="123"/>
      <c r="I71" s="61"/>
      <c r="J71" s="61"/>
      <c r="K71" s="62"/>
      <c r="BC71" s="14"/>
      <c r="BD71" s="15"/>
      <c r="BE71" s="21"/>
      <c r="BF71" s="12"/>
      <c r="BG71" s="43"/>
      <c r="BH71" s="12"/>
    </row>
    <row r="72" spans="1:60" s="3" customFormat="1" ht="14.4" x14ac:dyDescent="0.3">
      <c r="A72" s="16" t="s">
        <v>182</v>
      </c>
      <c r="B72" s="17" t="s">
        <v>1871</v>
      </c>
      <c r="C72" s="405" t="s">
        <v>1872</v>
      </c>
      <c r="D72" s="405"/>
      <c r="E72" s="405"/>
      <c r="F72" s="16" t="s">
        <v>115</v>
      </c>
      <c r="G72" s="23">
        <v>12</v>
      </c>
      <c r="H72" s="57">
        <v>0</v>
      </c>
      <c r="I72" s="19">
        <v>0</v>
      </c>
      <c r="J72" s="19">
        <f t="shared" ref="J72:J76" si="2">K72/G72</f>
        <v>443.20833333333331</v>
      </c>
      <c r="K72" s="19">
        <v>5318.5</v>
      </c>
      <c r="BC72" s="14"/>
      <c r="BD72" s="15"/>
      <c r="BE72" s="21"/>
      <c r="BF72" s="12"/>
      <c r="BG72" s="43"/>
      <c r="BH72" s="12"/>
    </row>
    <row r="73" spans="1:60" s="3" customFormat="1" ht="14.4" x14ac:dyDescent="0.3">
      <c r="A73" s="16" t="s">
        <v>186</v>
      </c>
      <c r="B73" s="17" t="s">
        <v>1873</v>
      </c>
      <c r="C73" s="405" t="s">
        <v>1874</v>
      </c>
      <c r="D73" s="405"/>
      <c r="E73" s="405"/>
      <c r="F73" s="16" t="s">
        <v>1261</v>
      </c>
      <c r="G73" s="24">
        <v>1.3</v>
      </c>
      <c r="H73" s="57">
        <v>0</v>
      </c>
      <c r="I73" s="19">
        <v>0</v>
      </c>
      <c r="J73" s="19">
        <f t="shared" si="2"/>
        <v>350.46153846153845</v>
      </c>
      <c r="K73" s="19">
        <v>455.6</v>
      </c>
      <c r="BC73" s="14"/>
      <c r="BD73" s="15"/>
      <c r="BE73" s="21"/>
      <c r="BF73" s="12"/>
      <c r="BG73" s="43"/>
      <c r="BH73" s="12"/>
    </row>
    <row r="74" spans="1:60" s="3" customFormat="1" ht="14.4" x14ac:dyDescent="0.3">
      <c r="A74" s="16" t="s">
        <v>192</v>
      </c>
      <c r="B74" s="17" t="s">
        <v>1875</v>
      </c>
      <c r="C74" s="405" t="s">
        <v>1876</v>
      </c>
      <c r="D74" s="405"/>
      <c r="E74" s="405"/>
      <c r="F74" s="16" t="s">
        <v>1261</v>
      </c>
      <c r="G74" s="24">
        <v>0.5</v>
      </c>
      <c r="H74" s="57">
        <v>0</v>
      </c>
      <c r="I74" s="19">
        <v>0</v>
      </c>
      <c r="J74" s="19">
        <f t="shared" si="2"/>
        <v>392.94</v>
      </c>
      <c r="K74" s="19">
        <v>196.47</v>
      </c>
      <c r="BC74" s="14"/>
      <c r="BD74" s="15"/>
      <c r="BE74" s="21"/>
      <c r="BF74" s="12"/>
      <c r="BG74" s="43"/>
      <c r="BH74" s="12"/>
    </row>
    <row r="75" spans="1:60" s="3" customFormat="1" ht="14.4" x14ac:dyDescent="0.3">
      <c r="A75" s="16" t="s">
        <v>196</v>
      </c>
      <c r="B75" s="17" t="s">
        <v>1877</v>
      </c>
      <c r="C75" s="405" t="s">
        <v>1878</v>
      </c>
      <c r="D75" s="405"/>
      <c r="E75" s="405"/>
      <c r="F75" s="16" t="s">
        <v>115</v>
      </c>
      <c r="G75" s="23">
        <v>12</v>
      </c>
      <c r="H75" s="57">
        <v>0</v>
      </c>
      <c r="I75" s="19">
        <v>0</v>
      </c>
      <c r="J75" s="19">
        <f t="shared" si="2"/>
        <v>502.68</v>
      </c>
      <c r="K75" s="19">
        <v>6032.16</v>
      </c>
      <c r="BC75" s="14"/>
      <c r="BD75" s="15"/>
      <c r="BE75" s="21"/>
      <c r="BF75" s="12"/>
      <c r="BG75" s="43"/>
      <c r="BH75" s="12"/>
    </row>
    <row r="76" spans="1:60" s="3" customFormat="1" ht="14.4" x14ac:dyDescent="0.3">
      <c r="A76" s="16" t="s">
        <v>198</v>
      </c>
      <c r="B76" s="17" t="s">
        <v>1879</v>
      </c>
      <c r="C76" s="405" t="s">
        <v>1880</v>
      </c>
      <c r="D76" s="405"/>
      <c r="E76" s="405"/>
      <c r="F76" s="16" t="s">
        <v>430</v>
      </c>
      <c r="G76" s="23">
        <v>1</v>
      </c>
      <c r="H76" s="57">
        <v>0</v>
      </c>
      <c r="I76" s="19">
        <v>0</v>
      </c>
      <c r="J76" s="19">
        <f t="shared" si="2"/>
        <v>127.26</v>
      </c>
      <c r="K76" s="19">
        <v>127.26</v>
      </c>
      <c r="BC76" s="14"/>
      <c r="BD76" s="15"/>
      <c r="BE76" s="21"/>
      <c r="BF76" s="12"/>
      <c r="BG76" s="43"/>
      <c r="BH76" s="12"/>
    </row>
    <row r="77" spans="1:60" s="3" customFormat="1" ht="15" customHeight="1" x14ac:dyDescent="0.3">
      <c r="A77" s="435" t="s">
        <v>1881</v>
      </c>
      <c r="B77" s="436"/>
      <c r="C77" s="436"/>
      <c r="D77" s="436"/>
      <c r="E77" s="436"/>
      <c r="F77" s="436"/>
      <c r="G77" s="436"/>
      <c r="H77" s="103"/>
      <c r="I77" s="96"/>
      <c r="J77" s="96"/>
      <c r="K77" s="97"/>
      <c r="BC77" s="14"/>
      <c r="BD77" s="15"/>
      <c r="BE77" s="21"/>
      <c r="BF77" s="12"/>
      <c r="BG77" s="43"/>
      <c r="BH77" s="12"/>
    </row>
    <row r="78" spans="1:60" s="3" customFormat="1" ht="15" customHeight="1" x14ac:dyDescent="0.3">
      <c r="A78" s="437" t="s">
        <v>1882</v>
      </c>
      <c r="B78" s="418"/>
      <c r="C78" s="418"/>
      <c r="D78" s="418"/>
      <c r="E78" s="418"/>
      <c r="F78" s="418"/>
      <c r="G78" s="418"/>
      <c r="H78" s="123"/>
      <c r="I78" s="61"/>
      <c r="J78" s="61"/>
      <c r="K78" s="62"/>
      <c r="BC78" s="14"/>
      <c r="BD78" s="15"/>
      <c r="BE78" s="21"/>
      <c r="BF78" s="12"/>
      <c r="BG78" s="43"/>
      <c r="BH78" s="12"/>
    </row>
    <row r="79" spans="1:60" s="3" customFormat="1" ht="15" customHeight="1" x14ac:dyDescent="0.3">
      <c r="A79" s="437" t="s">
        <v>1883</v>
      </c>
      <c r="B79" s="418"/>
      <c r="C79" s="418"/>
      <c r="D79" s="418"/>
      <c r="E79" s="418"/>
      <c r="F79" s="418"/>
      <c r="G79" s="418"/>
      <c r="H79" s="123"/>
      <c r="I79" s="61"/>
      <c r="J79" s="61"/>
      <c r="K79" s="62"/>
      <c r="BC79" s="14"/>
      <c r="BD79" s="15"/>
      <c r="BE79" s="21"/>
      <c r="BF79" s="12"/>
      <c r="BG79" s="43"/>
      <c r="BH79" s="12"/>
    </row>
    <row r="80" spans="1:60" s="3" customFormat="1" ht="15" customHeight="1" x14ac:dyDescent="0.3">
      <c r="A80" s="437" t="s">
        <v>1884</v>
      </c>
      <c r="B80" s="418"/>
      <c r="C80" s="418"/>
      <c r="D80" s="418"/>
      <c r="E80" s="418"/>
      <c r="F80" s="418"/>
      <c r="G80" s="418"/>
      <c r="H80" s="123"/>
      <c r="I80" s="61"/>
      <c r="J80" s="61"/>
      <c r="K80" s="62"/>
      <c r="BC80" s="14"/>
      <c r="BD80" s="15"/>
      <c r="BE80" s="21"/>
      <c r="BF80" s="12"/>
      <c r="BG80" s="43"/>
      <c r="BH80" s="12"/>
    </row>
    <row r="81" spans="1:60" s="3" customFormat="1" ht="14.4" x14ac:dyDescent="0.3">
      <c r="A81" s="16" t="s">
        <v>201</v>
      </c>
      <c r="B81" s="17" t="s">
        <v>1885</v>
      </c>
      <c r="C81" s="405" t="s">
        <v>1886</v>
      </c>
      <c r="D81" s="405"/>
      <c r="E81" s="405"/>
      <c r="F81" s="16" t="s">
        <v>38</v>
      </c>
      <c r="G81" s="23">
        <v>1</v>
      </c>
      <c r="H81" s="57">
        <f>I81/G81</f>
        <v>459.16</v>
      </c>
      <c r="I81" s="19">
        <f>467.04-K81</f>
        <v>459.16</v>
      </c>
      <c r="J81" s="19">
        <f>K81/G81</f>
        <v>7.88</v>
      </c>
      <c r="K81" s="19">
        <v>7.88</v>
      </c>
      <c r="BC81" s="14"/>
      <c r="BD81" s="15"/>
      <c r="BE81" s="21"/>
      <c r="BF81" s="12"/>
      <c r="BG81" s="43"/>
      <c r="BH81" s="12"/>
    </row>
    <row r="82" spans="1:60" s="3" customFormat="1" ht="20.399999999999999" x14ac:dyDescent="0.3">
      <c r="A82" s="25"/>
      <c r="B82" s="26" t="s">
        <v>1887</v>
      </c>
      <c r="C82" s="419" t="s">
        <v>1888</v>
      </c>
      <c r="D82" s="419"/>
      <c r="E82" s="419"/>
      <c r="F82" s="27" t="s">
        <v>75</v>
      </c>
      <c r="G82" s="22" t="s">
        <v>1889</v>
      </c>
      <c r="H82" s="58"/>
      <c r="I82" s="28"/>
      <c r="J82" s="28"/>
      <c r="K82" s="29"/>
      <c r="BC82" s="14"/>
      <c r="BD82" s="15"/>
      <c r="BE82" s="21"/>
      <c r="BF82" s="12"/>
      <c r="BG82" s="43"/>
      <c r="BH82" s="12"/>
    </row>
    <row r="83" spans="1:60" s="3" customFormat="1" ht="20.399999999999999" x14ac:dyDescent="0.3">
      <c r="A83" s="37" t="s">
        <v>143</v>
      </c>
      <c r="B83" s="38" t="s">
        <v>1821</v>
      </c>
      <c r="C83" s="430" t="s">
        <v>1822</v>
      </c>
      <c r="D83" s="430"/>
      <c r="E83" s="430"/>
      <c r="F83" s="39" t="s">
        <v>115</v>
      </c>
      <c r="G83" s="40" t="s">
        <v>1890</v>
      </c>
      <c r="H83" s="100"/>
      <c r="I83" s="41"/>
      <c r="J83" s="41"/>
      <c r="K83" s="42"/>
      <c r="BC83" s="14"/>
      <c r="BD83" s="15"/>
      <c r="BE83" s="21"/>
      <c r="BF83" s="12"/>
      <c r="BG83" s="43"/>
      <c r="BH83" s="12"/>
    </row>
    <row r="84" spans="1:60" s="3" customFormat="1" ht="20.399999999999999" x14ac:dyDescent="0.3">
      <c r="A84" s="16" t="s">
        <v>1891</v>
      </c>
      <c r="B84" s="17" t="s">
        <v>1892</v>
      </c>
      <c r="C84" s="405" t="s">
        <v>1893</v>
      </c>
      <c r="D84" s="405"/>
      <c r="E84" s="405"/>
      <c r="F84" s="16" t="s">
        <v>38</v>
      </c>
      <c r="G84" s="23">
        <v>1</v>
      </c>
      <c r="H84" s="57">
        <v>0</v>
      </c>
      <c r="I84" s="19">
        <v>0</v>
      </c>
      <c r="J84" s="19">
        <f>K84/G84</f>
        <v>8614.7199999999993</v>
      </c>
      <c r="K84" s="19">
        <v>8614.7199999999993</v>
      </c>
      <c r="BC84" s="14"/>
      <c r="BD84" s="15"/>
      <c r="BE84" s="21"/>
      <c r="BF84" s="12"/>
      <c r="BG84" s="43"/>
      <c r="BH84" s="12"/>
    </row>
    <row r="85" spans="1:60" s="3" customFormat="1" ht="15" customHeight="1" x14ac:dyDescent="0.3">
      <c r="A85" s="437" t="s">
        <v>1796</v>
      </c>
      <c r="B85" s="418"/>
      <c r="C85" s="418"/>
      <c r="D85" s="418"/>
      <c r="E85" s="418"/>
      <c r="F85" s="418"/>
      <c r="G85" s="418"/>
      <c r="H85" s="123"/>
      <c r="I85" s="61"/>
      <c r="J85" s="61"/>
      <c r="K85" s="62"/>
      <c r="BC85" s="14"/>
      <c r="BD85" s="15"/>
      <c r="BE85" s="21"/>
      <c r="BF85" s="12"/>
      <c r="BG85" s="43"/>
      <c r="BH85" s="12"/>
    </row>
    <row r="86" spans="1:60" s="3" customFormat="1" ht="15" customHeight="1" x14ac:dyDescent="0.3">
      <c r="A86" s="437" t="s">
        <v>1797</v>
      </c>
      <c r="B86" s="418"/>
      <c r="C86" s="418"/>
      <c r="D86" s="418"/>
      <c r="E86" s="418"/>
      <c r="F86" s="418"/>
      <c r="G86" s="418"/>
      <c r="H86" s="123"/>
      <c r="I86" s="61"/>
      <c r="J86" s="61"/>
      <c r="K86" s="62"/>
      <c r="BC86" s="14"/>
      <c r="BD86" s="15"/>
      <c r="BE86" s="21"/>
      <c r="BF86" s="12"/>
      <c r="BG86" s="43"/>
      <c r="BH86" s="12"/>
    </row>
    <row r="87" spans="1:60" s="3" customFormat="1" ht="14.4" x14ac:dyDescent="0.3">
      <c r="A87" s="16" t="s">
        <v>222</v>
      </c>
      <c r="B87" s="17" t="s">
        <v>1798</v>
      </c>
      <c r="C87" s="405" t="s">
        <v>1799</v>
      </c>
      <c r="D87" s="405"/>
      <c r="E87" s="405"/>
      <c r="F87" s="16" t="s">
        <v>67</v>
      </c>
      <c r="G87" s="31">
        <v>0.04</v>
      </c>
      <c r="H87" s="57">
        <f>I87/G87</f>
        <v>226286.24999999997</v>
      </c>
      <c r="I87" s="19">
        <f>9225.99-K87</f>
        <v>9051.4499999999989</v>
      </c>
      <c r="J87" s="19">
        <f>K87/G87</f>
        <v>4363.5</v>
      </c>
      <c r="K87" s="19">
        <v>174.54</v>
      </c>
      <c r="BC87" s="14"/>
      <c r="BD87" s="15"/>
      <c r="BE87" s="21"/>
      <c r="BF87" s="12"/>
      <c r="BG87" s="43"/>
      <c r="BH87" s="12"/>
    </row>
    <row r="88" spans="1:60" s="3" customFormat="1" ht="20.399999999999999" x14ac:dyDescent="0.3">
      <c r="A88" s="25"/>
      <c r="B88" s="26" t="s">
        <v>1800</v>
      </c>
      <c r="C88" s="419" t="s">
        <v>1801</v>
      </c>
      <c r="D88" s="419"/>
      <c r="E88" s="419"/>
      <c r="F88" s="27" t="s">
        <v>75</v>
      </c>
      <c r="G88" s="22" t="s">
        <v>1832</v>
      </c>
      <c r="H88" s="58"/>
      <c r="I88" s="28"/>
      <c r="J88" s="28"/>
      <c r="K88" s="29"/>
      <c r="BC88" s="14"/>
      <c r="BD88" s="15"/>
      <c r="BE88" s="21"/>
      <c r="BF88" s="12"/>
      <c r="BG88" s="43"/>
      <c r="BH88" s="12"/>
    </row>
    <row r="89" spans="1:60" s="3" customFormat="1" ht="20.399999999999999" x14ac:dyDescent="0.3">
      <c r="A89" s="25"/>
      <c r="B89" s="26" t="s">
        <v>154</v>
      </c>
      <c r="C89" s="419" t="s">
        <v>155</v>
      </c>
      <c r="D89" s="419"/>
      <c r="E89" s="419"/>
      <c r="F89" s="27" t="s">
        <v>46</v>
      </c>
      <c r="G89" s="22" t="s">
        <v>1894</v>
      </c>
      <c r="H89" s="58"/>
      <c r="I89" s="28"/>
      <c r="J89" s="28"/>
      <c r="K89" s="29"/>
      <c r="BC89" s="14"/>
      <c r="BD89" s="15"/>
      <c r="BE89" s="21"/>
      <c r="BF89" s="12"/>
      <c r="BG89" s="43"/>
      <c r="BH89" s="12"/>
    </row>
    <row r="90" spans="1:60" s="3" customFormat="1" ht="20.399999999999999" x14ac:dyDescent="0.3">
      <c r="A90" s="25"/>
      <c r="B90" s="26" t="s">
        <v>1804</v>
      </c>
      <c r="C90" s="419" t="s">
        <v>1805</v>
      </c>
      <c r="D90" s="419"/>
      <c r="E90" s="419"/>
      <c r="F90" s="27" t="s">
        <v>1086</v>
      </c>
      <c r="G90" s="22" t="s">
        <v>1757</v>
      </c>
      <c r="H90" s="58"/>
      <c r="I90" s="28"/>
      <c r="J90" s="28"/>
      <c r="K90" s="29"/>
      <c r="BC90" s="14"/>
      <c r="BD90" s="15"/>
      <c r="BE90" s="21"/>
      <c r="BF90" s="12"/>
      <c r="BG90" s="43"/>
      <c r="BH90" s="12"/>
    </row>
    <row r="91" spans="1:60" s="3" customFormat="1" ht="20.399999999999999" x14ac:dyDescent="0.3">
      <c r="A91" s="25"/>
      <c r="B91" s="26" t="s">
        <v>1807</v>
      </c>
      <c r="C91" s="419" t="s">
        <v>1808</v>
      </c>
      <c r="D91" s="419"/>
      <c r="E91" s="419"/>
      <c r="F91" s="27" t="s">
        <v>70</v>
      </c>
      <c r="G91" s="22" t="s">
        <v>1895</v>
      </c>
      <c r="H91" s="58"/>
      <c r="I91" s="28"/>
      <c r="J91" s="28"/>
      <c r="K91" s="29"/>
      <c r="BC91" s="14"/>
      <c r="BD91" s="15"/>
      <c r="BE91" s="21"/>
      <c r="BF91" s="12"/>
      <c r="BG91" s="43"/>
      <c r="BH91" s="12"/>
    </row>
    <row r="92" spans="1:60" s="3" customFormat="1" ht="20.399999999999999" x14ac:dyDescent="0.3">
      <c r="A92" s="25"/>
      <c r="B92" s="26" t="s">
        <v>1810</v>
      </c>
      <c r="C92" s="419" t="s">
        <v>1811</v>
      </c>
      <c r="D92" s="419"/>
      <c r="E92" s="419"/>
      <c r="F92" s="27" t="s">
        <v>75</v>
      </c>
      <c r="G92" s="22" t="s">
        <v>1896</v>
      </c>
      <c r="H92" s="58"/>
      <c r="I92" s="28"/>
      <c r="J92" s="28"/>
      <c r="K92" s="29"/>
      <c r="BC92" s="14"/>
      <c r="BD92" s="15"/>
      <c r="BE92" s="21"/>
      <c r="BF92" s="12"/>
      <c r="BG92" s="43"/>
      <c r="BH92" s="12"/>
    </row>
    <row r="93" spans="1:60" s="3" customFormat="1" ht="20.399999999999999" x14ac:dyDescent="0.3">
      <c r="A93" s="25"/>
      <c r="B93" s="26" t="s">
        <v>1813</v>
      </c>
      <c r="C93" s="419" t="s">
        <v>1814</v>
      </c>
      <c r="D93" s="419"/>
      <c r="E93" s="419"/>
      <c r="F93" s="27" t="s">
        <v>75</v>
      </c>
      <c r="G93" s="22" t="s">
        <v>1897</v>
      </c>
      <c r="H93" s="58"/>
      <c r="I93" s="28"/>
      <c r="J93" s="28"/>
      <c r="K93" s="29"/>
      <c r="BC93" s="14"/>
      <c r="BD93" s="15"/>
      <c r="BE93" s="21"/>
      <c r="BF93" s="12"/>
      <c r="BG93" s="43"/>
      <c r="BH93" s="12"/>
    </row>
    <row r="94" spans="1:60" s="3" customFormat="1" ht="20.399999999999999" x14ac:dyDescent="0.3">
      <c r="A94" s="25"/>
      <c r="B94" s="26" t="s">
        <v>1816</v>
      </c>
      <c r="C94" s="419" t="s">
        <v>1817</v>
      </c>
      <c r="D94" s="419"/>
      <c r="E94" s="419"/>
      <c r="F94" s="27" t="s">
        <v>75</v>
      </c>
      <c r="G94" s="22" t="s">
        <v>1832</v>
      </c>
      <c r="H94" s="58"/>
      <c r="I94" s="28"/>
      <c r="J94" s="28"/>
      <c r="K94" s="29"/>
      <c r="BC94" s="14"/>
      <c r="BD94" s="15"/>
      <c r="BE94" s="21"/>
      <c r="BF94" s="12"/>
      <c r="BG94" s="43"/>
      <c r="BH94" s="12"/>
    </row>
    <row r="95" spans="1:60" s="3" customFormat="1" ht="20.399999999999999" x14ac:dyDescent="0.3">
      <c r="A95" s="37" t="s">
        <v>78</v>
      </c>
      <c r="B95" s="38" t="s">
        <v>1818</v>
      </c>
      <c r="C95" s="430" t="s">
        <v>1819</v>
      </c>
      <c r="D95" s="430"/>
      <c r="E95" s="430"/>
      <c r="F95" s="39" t="s">
        <v>38</v>
      </c>
      <c r="G95" s="40" t="s">
        <v>33</v>
      </c>
      <c r="H95" s="100"/>
      <c r="I95" s="41"/>
      <c r="J95" s="41"/>
      <c r="K95" s="42"/>
      <c r="BC95" s="14"/>
      <c r="BD95" s="15"/>
      <c r="BE95" s="21"/>
      <c r="BF95" s="12"/>
      <c r="BG95" s="43"/>
      <c r="BH95" s="12"/>
    </row>
    <row r="96" spans="1:60" s="3" customFormat="1" ht="20.399999999999999" x14ac:dyDescent="0.3">
      <c r="A96" s="37" t="s">
        <v>78</v>
      </c>
      <c r="B96" s="38" t="s">
        <v>1820</v>
      </c>
      <c r="C96" s="430" t="s">
        <v>1523</v>
      </c>
      <c r="D96" s="430"/>
      <c r="E96" s="430"/>
      <c r="F96" s="39" t="s">
        <v>75</v>
      </c>
      <c r="G96" s="40" t="s">
        <v>33</v>
      </c>
      <c r="H96" s="100"/>
      <c r="I96" s="41"/>
      <c r="J96" s="41"/>
      <c r="K96" s="42"/>
      <c r="BC96" s="14"/>
      <c r="BD96" s="15"/>
      <c r="BE96" s="21"/>
      <c r="BF96" s="12"/>
      <c r="BG96" s="43"/>
      <c r="BH96" s="12"/>
    </row>
    <row r="97" spans="1:60" s="3" customFormat="1" ht="20.399999999999999" x14ac:dyDescent="0.3">
      <c r="A97" s="37" t="s">
        <v>143</v>
      </c>
      <c r="B97" s="38" t="s">
        <v>1821</v>
      </c>
      <c r="C97" s="430" t="s">
        <v>1822</v>
      </c>
      <c r="D97" s="430"/>
      <c r="E97" s="430"/>
      <c r="F97" s="39" t="s">
        <v>115</v>
      </c>
      <c r="G97" s="40" t="s">
        <v>1898</v>
      </c>
      <c r="H97" s="100"/>
      <c r="I97" s="41"/>
      <c r="J97" s="41"/>
      <c r="K97" s="42"/>
      <c r="BC97" s="14"/>
      <c r="BD97" s="15"/>
      <c r="BE97" s="21"/>
      <c r="BF97" s="12"/>
      <c r="BG97" s="43"/>
      <c r="BH97" s="12"/>
    </row>
    <row r="98" spans="1:60" s="3" customFormat="1" ht="20.399999999999999" x14ac:dyDescent="0.3">
      <c r="A98" s="37" t="s">
        <v>78</v>
      </c>
      <c r="B98" s="38" t="s">
        <v>1824</v>
      </c>
      <c r="C98" s="430" t="s">
        <v>1825</v>
      </c>
      <c r="D98" s="430"/>
      <c r="E98" s="430"/>
      <c r="F98" s="39" t="s">
        <v>38</v>
      </c>
      <c r="G98" s="40" t="s">
        <v>33</v>
      </c>
      <c r="H98" s="100"/>
      <c r="I98" s="41"/>
      <c r="J98" s="41"/>
      <c r="K98" s="42"/>
      <c r="BC98" s="14"/>
      <c r="BD98" s="15"/>
      <c r="BE98" s="21"/>
      <c r="BF98" s="12"/>
      <c r="BG98" s="43"/>
      <c r="BH98" s="12"/>
    </row>
    <row r="99" spans="1:60" s="3" customFormat="1" ht="20.399999999999999" x14ac:dyDescent="0.3">
      <c r="A99" s="25" t="s">
        <v>129</v>
      </c>
      <c r="B99" s="26" t="s">
        <v>1826</v>
      </c>
      <c r="C99" s="419" t="s">
        <v>1827</v>
      </c>
      <c r="D99" s="419"/>
      <c r="E99" s="419"/>
      <c r="F99" s="27" t="s">
        <v>115</v>
      </c>
      <c r="G99" s="22" t="s">
        <v>1899</v>
      </c>
      <c r="H99" s="58"/>
      <c r="I99" s="28"/>
      <c r="J99" s="28"/>
      <c r="K99" s="29"/>
      <c r="BC99" s="14"/>
      <c r="BD99" s="15"/>
      <c r="BE99" s="21"/>
      <c r="BF99" s="12"/>
      <c r="BG99" s="43"/>
      <c r="BH99" s="12"/>
    </row>
    <row r="100" spans="1:60" s="3" customFormat="1" ht="15" customHeight="1" x14ac:dyDescent="0.3">
      <c r="A100" s="437" t="s">
        <v>1842</v>
      </c>
      <c r="B100" s="418"/>
      <c r="C100" s="418"/>
      <c r="D100" s="418"/>
      <c r="E100" s="418"/>
      <c r="F100" s="418"/>
      <c r="G100" s="418"/>
      <c r="H100" s="123"/>
      <c r="I100" s="61"/>
      <c r="J100" s="61"/>
      <c r="K100" s="62"/>
      <c r="BC100" s="14"/>
      <c r="BD100" s="15"/>
      <c r="BE100" s="21"/>
      <c r="BF100" s="12"/>
      <c r="BG100" s="43"/>
      <c r="BH100" s="12"/>
    </row>
    <row r="101" spans="1:60" s="3" customFormat="1" ht="14.4" x14ac:dyDescent="0.3">
      <c r="A101" s="16" t="s">
        <v>225</v>
      </c>
      <c r="B101" s="17" t="s">
        <v>1843</v>
      </c>
      <c r="C101" s="405" t="s">
        <v>1844</v>
      </c>
      <c r="D101" s="405"/>
      <c r="E101" s="405"/>
      <c r="F101" s="16" t="s">
        <v>1261</v>
      </c>
      <c r="G101" s="24">
        <v>0.1</v>
      </c>
      <c r="H101" s="57">
        <v>0</v>
      </c>
      <c r="I101" s="19">
        <v>0</v>
      </c>
      <c r="J101" s="19">
        <f>K101/G101</f>
        <v>1095.5999999999999</v>
      </c>
      <c r="K101" s="19">
        <v>109.56</v>
      </c>
      <c r="BC101" s="14"/>
      <c r="BD101" s="15"/>
      <c r="BE101" s="21"/>
      <c r="BF101" s="12"/>
      <c r="BG101" s="43"/>
      <c r="BH101" s="12"/>
    </row>
    <row r="102" spans="1:60" s="3" customFormat="1" ht="15" customHeight="1" x14ac:dyDescent="0.3">
      <c r="A102" s="437" t="s">
        <v>1846</v>
      </c>
      <c r="B102" s="418"/>
      <c r="C102" s="418"/>
      <c r="D102" s="418"/>
      <c r="E102" s="418"/>
      <c r="F102" s="418"/>
      <c r="G102" s="418"/>
      <c r="H102" s="123"/>
      <c r="I102" s="61"/>
      <c r="J102" s="61"/>
      <c r="K102" s="62"/>
      <c r="BC102" s="14"/>
      <c r="BD102" s="15"/>
      <c r="BE102" s="21"/>
      <c r="BF102" s="12"/>
      <c r="BG102" s="43"/>
      <c r="BH102" s="12"/>
    </row>
    <row r="103" spans="1:60" s="3" customFormat="1" ht="14.4" x14ac:dyDescent="0.3">
      <c r="A103" s="16" t="s">
        <v>227</v>
      </c>
      <c r="B103" s="17" t="s">
        <v>1847</v>
      </c>
      <c r="C103" s="405" t="s">
        <v>1848</v>
      </c>
      <c r="D103" s="405"/>
      <c r="E103" s="405"/>
      <c r="F103" s="16" t="s">
        <v>1261</v>
      </c>
      <c r="G103" s="24">
        <v>0.1</v>
      </c>
      <c r="H103" s="57">
        <v>0</v>
      </c>
      <c r="I103" s="19">
        <v>0</v>
      </c>
      <c r="J103" s="19">
        <f>K103/G103</f>
        <v>1809.7999999999997</v>
      </c>
      <c r="K103" s="19">
        <v>180.98</v>
      </c>
      <c r="BC103" s="14"/>
      <c r="BD103" s="15"/>
      <c r="BE103" s="21"/>
      <c r="BF103" s="12"/>
      <c r="BG103" s="43"/>
      <c r="BH103" s="12"/>
    </row>
    <row r="104" spans="1:60" s="3" customFormat="1" ht="15" customHeight="1" x14ac:dyDescent="0.3">
      <c r="A104" s="437" t="s">
        <v>1849</v>
      </c>
      <c r="B104" s="418"/>
      <c r="C104" s="418"/>
      <c r="D104" s="418"/>
      <c r="E104" s="418"/>
      <c r="F104" s="418"/>
      <c r="G104" s="418"/>
      <c r="H104" s="123"/>
      <c r="I104" s="61"/>
      <c r="J104" s="61"/>
      <c r="K104" s="62"/>
      <c r="BC104" s="14"/>
      <c r="BD104" s="15"/>
      <c r="BE104" s="21"/>
      <c r="BF104" s="12"/>
      <c r="BG104" s="43"/>
      <c r="BH104" s="12"/>
    </row>
    <row r="105" spans="1:60" s="3" customFormat="1" ht="20.399999999999999" x14ac:dyDescent="0.3">
      <c r="A105" s="16" t="s">
        <v>230</v>
      </c>
      <c r="B105" s="17" t="s">
        <v>1852</v>
      </c>
      <c r="C105" s="405" t="s">
        <v>1853</v>
      </c>
      <c r="D105" s="405"/>
      <c r="E105" s="405"/>
      <c r="F105" s="16" t="s">
        <v>1460</v>
      </c>
      <c r="G105" s="23">
        <v>6</v>
      </c>
      <c r="H105" s="57">
        <v>0</v>
      </c>
      <c r="I105" s="19">
        <v>0</v>
      </c>
      <c r="J105" s="19">
        <f>K105/G105</f>
        <v>369.00333333333333</v>
      </c>
      <c r="K105" s="19">
        <v>2214.02</v>
      </c>
      <c r="BC105" s="14"/>
      <c r="BD105" s="15"/>
      <c r="BE105" s="21"/>
      <c r="BF105" s="12"/>
      <c r="BG105" s="43"/>
      <c r="BH105" s="12"/>
    </row>
    <row r="106" spans="1:60" s="3" customFormat="1" ht="14.4" x14ac:dyDescent="0.3">
      <c r="A106" s="16" t="s">
        <v>233</v>
      </c>
      <c r="B106" s="17" t="s">
        <v>1860</v>
      </c>
      <c r="C106" s="405" t="s">
        <v>1861</v>
      </c>
      <c r="D106" s="405"/>
      <c r="E106" s="405"/>
      <c r="F106" s="16" t="s">
        <v>38</v>
      </c>
      <c r="G106" s="23">
        <v>2</v>
      </c>
      <c r="H106" s="57">
        <v>0</v>
      </c>
      <c r="I106" s="19">
        <v>0</v>
      </c>
      <c r="J106" s="19">
        <f t="shared" ref="J106:J107" si="3">K106/G106</f>
        <v>5.93</v>
      </c>
      <c r="K106" s="19">
        <v>11.86</v>
      </c>
      <c r="BC106" s="14"/>
      <c r="BD106" s="15"/>
      <c r="BE106" s="21"/>
      <c r="BF106" s="12"/>
      <c r="BG106" s="43"/>
      <c r="BH106" s="12"/>
    </row>
    <row r="107" spans="1:60" s="3" customFormat="1" ht="14.4" x14ac:dyDescent="0.3">
      <c r="A107" s="16" t="s">
        <v>235</v>
      </c>
      <c r="B107" s="17" t="s">
        <v>1864</v>
      </c>
      <c r="C107" s="405" t="s">
        <v>1865</v>
      </c>
      <c r="D107" s="405"/>
      <c r="E107" s="405"/>
      <c r="F107" s="16" t="s">
        <v>38</v>
      </c>
      <c r="G107" s="23">
        <v>2</v>
      </c>
      <c r="H107" s="57">
        <v>0</v>
      </c>
      <c r="I107" s="19">
        <v>0</v>
      </c>
      <c r="J107" s="19">
        <f t="shared" si="3"/>
        <v>71.685000000000002</v>
      </c>
      <c r="K107" s="19">
        <v>143.37</v>
      </c>
      <c r="BC107" s="14"/>
      <c r="BD107" s="15"/>
      <c r="BE107" s="21"/>
      <c r="BF107" s="12"/>
      <c r="BG107" s="43"/>
      <c r="BH107" s="12"/>
    </row>
    <row r="108" spans="1:60" s="3" customFormat="1" ht="14.4" x14ac:dyDescent="0.3">
      <c r="A108" s="437" t="s">
        <v>289</v>
      </c>
      <c r="B108" s="418"/>
      <c r="C108" s="418"/>
      <c r="D108" s="418"/>
      <c r="E108" s="418"/>
      <c r="F108" s="418"/>
      <c r="G108" s="418"/>
      <c r="H108" s="123"/>
      <c r="I108" s="61"/>
      <c r="J108" s="61"/>
      <c r="K108" s="62"/>
      <c r="BC108" s="14"/>
      <c r="BD108" s="15"/>
      <c r="BE108" s="21"/>
      <c r="BF108" s="12"/>
      <c r="BG108" s="43"/>
      <c r="BH108" s="12"/>
    </row>
    <row r="109" spans="1:60" s="3" customFormat="1" ht="14.4" x14ac:dyDescent="0.3">
      <c r="A109" s="16" t="s">
        <v>237</v>
      </c>
      <c r="B109" s="17" t="s">
        <v>1868</v>
      </c>
      <c r="C109" s="405" t="s">
        <v>1869</v>
      </c>
      <c r="D109" s="405"/>
      <c r="E109" s="405"/>
      <c r="F109" s="16" t="s">
        <v>38</v>
      </c>
      <c r="G109" s="23">
        <v>2</v>
      </c>
      <c r="H109" s="57">
        <v>0</v>
      </c>
      <c r="I109" s="19">
        <v>0</v>
      </c>
      <c r="J109" s="19">
        <f>K109/G109</f>
        <v>3550.9749999999999</v>
      </c>
      <c r="K109" s="19">
        <v>7101.95</v>
      </c>
      <c r="BC109" s="14"/>
      <c r="BD109" s="15"/>
      <c r="BE109" s="21"/>
      <c r="BF109" s="12"/>
      <c r="BG109" s="43"/>
      <c r="BH109" s="12"/>
    </row>
    <row r="110" spans="1:60" s="3" customFormat="1" ht="15" customHeight="1" x14ac:dyDescent="0.3">
      <c r="A110" s="437" t="s">
        <v>1870</v>
      </c>
      <c r="B110" s="418"/>
      <c r="C110" s="418"/>
      <c r="D110" s="418"/>
      <c r="E110" s="418"/>
      <c r="F110" s="418"/>
      <c r="G110" s="418"/>
      <c r="H110" s="123"/>
      <c r="I110" s="61"/>
      <c r="J110" s="61"/>
      <c r="K110" s="62"/>
      <c r="BC110" s="14"/>
      <c r="BD110" s="15"/>
      <c r="BE110" s="21"/>
      <c r="BF110" s="12"/>
      <c r="BG110" s="43"/>
      <c r="BH110" s="12"/>
    </row>
    <row r="111" spans="1:60" s="3" customFormat="1" ht="14.4" x14ac:dyDescent="0.3">
      <c r="A111" s="16" t="s">
        <v>243</v>
      </c>
      <c r="B111" s="17" t="s">
        <v>1871</v>
      </c>
      <c r="C111" s="405" t="s">
        <v>1872</v>
      </c>
      <c r="D111" s="405"/>
      <c r="E111" s="405"/>
      <c r="F111" s="16" t="s">
        <v>115</v>
      </c>
      <c r="G111" s="23">
        <v>4</v>
      </c>
      <c r="H111" s="57">
        <v>0</v>
      </c>
      <c r="I111" s="19">
        <v>0</v>
      </c>
      <c r="J111" s="19">
        <f t="shared" ref="J111:J114" si="4">K111/G111</f>
        <v>443.20749999999998</v>
      </c>
      <c r="K111" s="19">
        <v>1772.83</v>
      </c>
      <c r="BC111" s="14"/>
      <c r="BD111" s="15"/>
      <c r="BE111" s="21"/>
      <c r="BF111" s="12"/>
      <c r="BG111" s="43"/>
      <c r="BH111" s="12"/>
    </row>
    <row r="112" spans="1:60" s="3" customFormat="1" ht="14.4" x14ac:dyDescent="0.3">
      <c r="A112" s="16" t="s">
        <v>244</v>
      </c>
      <c r="B112" s="17" t="s">
        <v>1873</v>
      </c>
      <c r="C112" s="405" t="s">
        <v>1874</v>
      </c>
      <c r="D112" s="405"/>
      <c r="E112" s="405"/>
      <c r="F112" s="16" t="s">
        <v>1261</v>
      </c>
      <c r="G112" s="24">
        <v>0.8</v>
      </c>
      <c r="H112" s="57">
        <v>0</v>
      </c>
      <c r="I112" s="19">
        <v>0</v>
      </c>
      <c r="J112" s="19">
        <f t="shared" si="4"/>
        <v>350.46249999999998</v>
      </c>
      <c r="K112" s="19">
        <v>280.37</v>
      </c>
      <c r="BC112" s="14"/>
      <c r="BD112" s="15"/>
      <c r="BE112" s="21"/>
      <c r="BF112" s="12"/>
      <c r="BG112" s="43"/>
      <c r="BH112" s="12"/>
    </row>
    <row r="113" spans="1:60" s="3" customFormat="1" ht="14.4" x14ac:dyDescent="0.3">
      <c r="A113" s="16" t="s">
        <v>246</v>
      </c>
      <c r="B113" s="17" t="s">
        <v>1877</v>
      </c>
      <c r="C113" s="405" t="s">
        <v>1878</v>
      </c>
      <c r="D113" s="405"/>
      <c r="E113" s="405"/>
      <c r="F113" s="16" t="s">
        <v>115</v>
      </c>
      <c r="G113" s="23">
        <v>4</v>
      </c>
      <c r="H113" s="57">
        <v>0</v>
      </c>
      <c r="I113" s="19">
        <v>0</v>
      </c>
      <c r="J113" s="19">
        <f t="shared" si="4"/>
        <v>502.68</v>
      </c>
      <c r="K113" s="19">
        <v>2010.72</v>
      </c>
      <c r="BC113" s="14"/>
      <c r="BD113" s="15"/>
      <c r="BE113" s="21"/>
      <c r="BF113" s="12"/>
      <c r="BG113" s="43"/>
      <c r="BH113" s="12"/>
    </row>
    <row r="114" spans="1:60" s="3" customFormat="1" ht="14.4" x14ac:dyDescent="0.3">
      <c r="A114" s="16" t="s">
        <v>247</v>
      </c>
      <c r="B114" s="17" t="s">
        <v>1879</v>
      </c>
      <c r="C114" s="405" t="s">
        <v>1880</v>
      </c>
      <c r="D114" s="405"/>
      <c r="E114" s="405"/>
      <c r="F114" s="16" t="s">
        <v>430</v>
      </c>
      <c r="G114" s="23">
        <v>1</v>
      </c>
      <c r="H114" s="57">
        <v>0</v>
      </c>
      <c r="I114" s="19">
        <v>0</v>
      </c>
      <c r="J114" s="19">
        <f t="shared" si="4"/>
        <v>127.26</v>
      </c>
      <c r="K114" s="19">
        <v>127.26</v>
      </c>
      <c r="BC114" s="14"/>
      <c r="BD114" s="15"/>
      <c r="BE114" s="21"/>
      <c r="BF114" s="12"/>
      <c r="BG114" s="43"/>
      <c r="BH114" s="12"/>
    </row>
    <row r="115" spans="1:60" s="3" customFormat="1" ht="15" customHeight="1" x14ac:dyDescent="0.3">
      <c r="A115" s="437" t="s">
        <v>1900</v>
      </c>
      <c r="B115" s="418"/>
      <c r="C115" s="418"/>
      <c r="D115" s="418"/>
      <c r="E115" s="418"/>
      <c r="F115" s="418"/>
      <c r="G115" s="418"/>
      <c r="H115" s="123"/>
      <c r="I115" s="61"/>
      <c r="J115" s="61"/>
      <c r="K115" s="62"/>
      <c r="BC115" s="14"/>
      <c r="BD115" s="15"/>
      <c r="BE115" s="21"/>
      <c r="BF115" s="12"/>
      <c r="BG115" s="43"/>
      <c r="BH115" s="12"/>
    </row>
    <row r="116" spans="1:60" s="3" customFormat="1" ht="15" customHeight="1" x14ac:dyDescent="0.3">
      <c r="A116" s="437" t="s">
        <v>1901</v>
      </c>
      <c r="B116" s="418"/>
      <c r="C116" s="418"/>
      <c r="D116" s="418"/>
      <c r="E116" s="418"/>
      <c r="F116" s="418"/>
      <c r="G116" s="418"/>
      <c r="H116" s="123"/>
      <c r="I116" s="61"/>
      <c r="J116" s="61"/>
      <c r="K116" s="62"/>
      <c r="N116" s="56"/>
      <c r="BC116" s="14"/>
      <c r="BD116" s="15"/>
      <c r="BE116" s="21"/>
      <c r="BF116" s="12"/>
      <c r="BG116" s="43"/>
      <c r="BH116" s="12"/>
    </row>
    <row r="117" spans="1:60" s="3" customFormat="1" ht="15" customHeight="1" x14ac:dyDescent="0.3">
      <c r="A117" s="437" t="s">
        <v>1902</v>
      </c>
      <c r="B117" s="418"/>
      <c r="C117" s="418"/>
      <c r="D117" s="418"/>
      <c r="E117" s="418"/>
      <c r="F117" s="418"/>
      <c r="G117" s="418"/>
      <c r="H117" s="123"/>
      <c r="I117" s="61"/>
      <c r="J117" s="61"/>
      <c r="K117" s="62"/>
      <c r="BC117" s="14"/>
      <c r="BD117" s="15"/>
      <c r="BE117" s="21"/>
      <c r="BF117" s="12"/>
      <c r="BG117" s="43"/>
      <c r="BH117" s="12"/>
    </row>
    <row r="118" spans="1:60" s="3" customFormat="1" ht="20.25" customHeight="1" x14ac:dyDescent="0.3">
      <c r="A118" s="406" t="s">
        <v>57</v>
      </c>
      <c r="B118" s="407"/>
      <c r="C118" s="407"/>
      <c r="D118" s="407"/>
      <c r="E118" s="407"/>
      <c r="F118" s="407"/>
      <c r="G118" s="407"/>
      <c r="H118" s="66"/>
      <c r="I118" s="67">
        <f>SUM(I14:I114)</f>
        <v>45128.67</v>
      </c>
      <c r="J118" s="72"/>
      <c r="K118" s="67">
        <f>SUM(K14:K114)</f>
        <v>71960.509999999995</v>
      </c>
    </row>
    <row r="119" spans="1:60" s="53" customFormat="1" ht="20.25" customHeight="1" thickBot="1" x14ac:dyDescent="0.35">
      <c r="A119" s="408" t="s">
        <v>5461</v>
      </c>
      <c r="B119" s="409"/>
      <c r="C119" s="409"/>
      <c r="D119" s="409"/>
      <c r="E119" s="409"/>
      <c r="F119" s="409"/>
      <c r="G119" s="409"/>
      <c r="H119" s="88"/>
      <c r="I119" s="410">
        <f>I118+K118</f>
        <v>117089.18</v>
      </c>
      <c r="J119" s="411"/>
      <c r="K119" s="412"/>
      <c r="M119" s="153"/>
    </row>
    <row r="120" spans="1:60" ht="11.25" customHeight="1" x14ac:dyDescent="0.2">
      <c r="M120" s="54"/>
    </row>
  </sheetData>
  <autoFilter ref="A11:BK119" xr:uid="{00000000-0001-0000-1200-000000000000}"/>
  <mergeCells count="116">
    <mergeCell ref="A86:G86"/>
    <mergeCell ref="C101:E101"/>
    <mergeCell ref="C103:E103"/>
    <mergeCell ref="C105:E105"/>
    <mergeCell ref="C96:E96"/>
    <mergeCell ref="C97:E97"/>
    <mergeCell ref="C98:E98"/>
    <mergeCell ref="C99:E99"/>
    <mergeCell ref="A102:G102"/>
    <mergeCell ref="A100:G100"/>
    <mergeCell ref="C91:E91"/>
    <mergeCell ref="C92:E92"/>
    <mergeCell ref="C93:E93"/>
    <mergeCell ref="C94:E94"/>
    <mergeCell ref="C95:E95"/>
    <mergeCell ref="C87:E87"/>
    <mergeCell ref="C88:E88"/>
    <mergeCell ref="C89:E89"/>
    <mergeCell ref="C90:E90"/>
    <mergeCell ref="C81:E81"/>
    <mergeCell ref="C82:E82"/>
    <mergeCell ref="C83:E83"/>
    <mergeCell ref="C84:E84"/>
    <mergeCell ref="C76:E76"/>
    <mergeCell ref="A85:G85"/>
    <mergeCell ref="A80:G80"/>
    <mergeCell ref="A79:G79"/>
    <mergeCell ref="A78:G78"/>
    <mergeCell ref="A77:G77"/>
    <mergeCell ref="C72:E72"/>
    <mergeCell ref="C73:E73"/>
    <mergeCell ref="C74:E74"/>
    <mergeCell ref="C75:E75"/>
    <mergeCell ref="C66:E66"/>
    <mergeCell ref="C67:E67"/>
    <mergeCell ref="C69:E69"/>
    <mergeCell ref="C70:E70"/>
    <mergeCell ref="A71:G71"/>
    <mergeCell ref="A68:G68"/>
    <mergeCell ref="C61:E61"/>
    <mergeCell ref="C62:E62"/>
    <mergeCell ref="C63:E63"/>
    <mergeCell ref="C64:E64"/>
    <mergeCell ref="C65:E65"/>
    <mergeCell ref="C56:E56"/>
    <mergeCell ref="C58:E58"/>
    <mergeCell ref="C60:E60"/>
    <mergeCell ref="A59:G59"/>
    <mergeCell ref="A57:G57"/>
    <mergeCell ref="C51:E51"/>
    <mergeCell ref="C52:E52"/>
    <mergeCell ref="C54:E54"/>
    <mergeCell ref="C46:E46"/>
    <mergeCell ref="C47:E47"/>
    <mergeCell ref="C48:E48"/>
    <mergeCell ref="C49:E49"/>
    <mergeCell ref="C50:E50"/>
    <mergeCell ref="A55:G55"/>
    <mergeCell ref="A53:G53"/>
    <mergeCell ref="C41:E41"/>
    <mergeCell ref="C42:E42"/>
    <mergeCell ref="C43:E43"/>
    <mergeCell ref="C44:E44"/>
    <mergeCell ref="C45:E45"/>
    <mergeCell ref="C36:E36"/>
    <mergeCell ref="C37:E37"/>
    <mergeCell ref="C38:E38"/>
    <mergeCell ref="C40:E40"/>
    <mergeCell ref="A39:G39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21:E21"/>
    <mergeCell ref="C22:E22"/>
    <mergeCell ref="C23:E23"/>
    <mergeCell ref="C16:E16"/>
    <mergeCell ref="C17:E17"/>
    <mergeCell ref="C18:E18"/>
    <mergeCell ref="C19:E19"/>
    <mergeCell ref="C20:E20"/>
    <mergeCell ref="A25:G25"/>
    <mergeCell ref="A24:G24"/>
    <mergeCell ref="A2:K2"/>
    <mergeCell ref="A3:K3"/>
    <mergeCell ref="A5:K5"/>
    <mergeCell ref="C9:E9"/>
    <mergeCell ref="C10:E10"/>
    <mergeCell ref="C14:E14"/>
    <mergeCell ref="C15:E15"/>
    <mergeCell ref="A6:K6"/>
    <mergeCell ref="C7:G7"/>
    <mergeCell ref="A13:G13"/>
    <mergeCell ref="A12:G12"/>
    <mergeCell ref="A118:G118"/>
    <mergeCell ref="A119:G119"/>
    <mergeCell ref="I119:K119"/>
    <mergeCell ref="A117:G117"/>
    <mergeCell ref="A116:G116"/>
    <mergeCell ref="A115:G115"/>
    <mergeCell ref="A110:G110"/>
    <mergeCell ref="A108:G108"/>
    <mergeCell ref="A104:G104"/>
    <mergeCell ref="C111:E111"/>
    <mergeCell ref="C112:E112"/>
    <mergeCell ref="C113:E113"/>
    <mergeCell ref="C114:E114"/>
    <mergeCell ref="C106:E106"/>
    <mergeCell ref="C107:E107"/>
    <mergeCell ref="C109:E10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BK104"/>
  <sheetViews>
    <sheetView workbookViewId="0">
      <selection activeCell="L6" sqref="L6"/>
    </sheetView>
  </sheetViews>
  <sheetFormatPr defaultColWidth="9.109375" defaultRowHeight="11.25" customHeight="1" x14ac:dyDescent="0.2"/>
  <cols>
    <col min="1" max="1" width="9" style="1" customWidth="1"/>
    <col min="2" max="2" width="26" style="1" customWidth="1"/>
    <col min="3" max="4" width="10.44140625" style="1" customWidth="1"/>
    <col min="5" max="5" width="18.5546875" style="1" customWidth="1"/>
    <col min="6" max="7" width="10.6640625" style="1" customWidth="1"/>
    <col min="8" max="11" width="18.10937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5" t="s">
        <v>5586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8" s="3" customFormat="1" ht="34.5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1774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8" s="3" customFormat="1" ht="14.4" x14ac:dyDescent="0.3">
      <c r="A5" s="404" t="s">
        <v>3490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3490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8" s="3" customFormat="1" ht="14.4" x14ac:dyDescent="0.3">
      <c r="A7" s="4"/>
      <c r="B7" s="8" t="s">
        <v>5</v>
      </c>
      <c r="C7" s="402" t="s">
        <v>3491</v>
      </c>
      <c r="D7" s="402"/>
      <c r="E7" s="402"/>
      <c r="F7" s="402"/>
      <c r="G7" s="402"/>
      <c r="H7" s="11"/>
      <c r="I7" s="9"/>
      <c r="J7" s="9"/>
      <c r="K7" s="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9"/>
      <c r="J8" s="9"/>
      <c r="K8" s="9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5" customHeight="1" x14ac:dyDescent="0.3">
      <c r="A11" s="435" t="s">
        <v>3492</v>
      </c>
      <c r="B11" s="436"/>
      <c r="C11" s="436"/>
      <c r="D11" s="436"/>
      <c r="E11" s="436"/>
      <c r="F11" s="436"/>
      <c r="G11" s="436"/>
      <c r="H11" s="96"/>
      <c r="I11" s="96"/>
      <c r="J11" s="96"/>
      <c r="K11" s="97"/>
      <c r="BC11" s="14" t="s">
        <v>3492</v>
      </c>
    </row>
    <row r="12" spans="1:58" s="3" customFormat="1" ht="15" customHeight="1" x14ac:dyDescent="0.3">
      <c r="A12" s="437" t="s">
        <v>3493</v>
      </c>
      <c r="B12" s="418"/>
      <c r="C12" s="418"/>
      <c r="D12" s="418"/>
      <c r="E12" s="418"/>
      <c r="F12" s="418"/>
      <c r="G12" s="418"/>
      <c r="H12" s="61"/>
      <c r="I12" s="61"/>
      <c r="J12" s="61"/>
      <c r="K12" s="62"/>
      <c r="BC12" s="14"/>
      <c r="BD12" s="15" t="s">
        <v>3493</v>
      </c>
    </row>
    <row r="13" spans="1:58" s="3" customFormat="1" ht="21.6" x14ac:dyDescent="0.3">
      <c r="A13" s="16" t="s">
        <v>15</v>
      </c>
      <c r="B13" s="17" t="s">
        <v>3494</v>
      </c>
      <c r="C13" s="405" t="s">
        <v>3495</v>
      </c>
      <c r="D13" s="405"/>
      <c r="E13" s="405"/>
      <c r="F13" s="16" t="s">
        <v>3496</v>
      </c>
      <c r="G13" s="24">
        <v>0.1</v>
      </c>
      <c r="H13" s="24">
        <f>I13/G13</f>
        <v>27628.300000000003</v>
      </c>
      <c r="I13" s="19">
        <f>5828.05-K13</f>
        <v>2762.8300000000004</v>
      </c>
      <c r="J13" s="19">
        <f>K13/G13</f>
        <v>30652.199999999997</v>
      </c>
      <c r="K13" s="19">
        <v>3065.22</v>
      </c>
      <c r="BC13" s="14"/>
      <c r="BD13" s="15"/>
      <c r="BE13" s="21" t="s">
        <v>3495</v>
      </c>
    </row>
    <row r="14" spans="1:58" s="3" customFormat="1" ht="20.399999999999999" x14ac:dyDescent="0.3">
      <c r="A14" s="25"/>
      <c r="B14" s="26" t="s">
        <v>3497</v>
      </c>
      <c r="C14" s="419" t="s">
        <v>3498</v>
      </c>
      <c r="D14" s="419"/>
      <c r="E14" s="419"/>
      <c r="F14" s="27" t="s">
        <v>70</v>
      </c>
      <c r="G14" s="22" t="s">
        <v>3499</v>
      </c>
      <c r="H14" s="22"/>
      <c r="I14" s="28"/>
      <c r="J14" s="28"/>
      <c r="K14" s="29"/>
      <c r="BC14" s="14"/>
      <c r="BD14" s="15"/>
      <c r="BE14" s="21"/>
      <c r="BF14" s="12" t="s">
        <v>3498</v>
      </c>
    </row>
    <row r="15" spans="1:58" s="3" customFormat="1" ht="20.399999999999999" x14ac:dyDescent="0.3">
      <c r="A15" s="25"/>
      <c r="B15" s="26" t="s">
        <v>1783</v>
      </c>
      <c r="C15" s="419" t="s">
        <v>1784</v>
      </c>
      <c r="D15" s="419"/>
      <c r="E15" s="419"/>
      <c r="F15" s="27" t="s">
        <v>75</v>
      </c>
      <c r="G15" s="22" t="s">
        <v>3500</v>
      </c>
      <c r="H15" s="22"/>
      <c r="I15" s="28"/>
      <c r="J15" s="28"/>
      <c r="K15" s="29"/>
      <c r="BC15" s="14"/>
      <c r="BD15" s="15"/>
      <c r="BE15" s="21"/>
      <c r="BF15" s="12" t="s">
        <v>1784</v>
      </c>
    </row>
    <row r="16" spans="1:58" s="3" customFormat="1" ht="21.6" x14ac:dyDescent="0.3">
      <c r="A16" s="25"/>
      <c r="B16" s="26" t="s">
        <v>3501</v>
      </c>
      <c r="C16" s="419" t="s">
        <v>3502</v>
      </c>
      <c r="D16" s="419"/>
      <c r="E16" s="419"/>
      <c r="F16" s="27" t="s">
        <v>1086</v>
      </c>
      <c r="G16" s="22" t="s">
        <v>3500</v>
      </c>
      <c r="H16" s="22"/>
      <c r="I16" s="28"/>
      <c r="J16" s="28"/>
      <c r="K16" s="29"/>
      <c r="BC16" s="14"/>
      <c r="BD16" s="15"/>
      <c r="BE16" s="21"/>
      <c r="BF16" s="12" t="s">
        <v>3502</v>
      </c>
    </row>
    <row r="17" spans="1:60" s="3" customFormat="1" ht="20.399999999999999" x14ac:dyDescent="0.3">
      <c r="A17" s="25"/>
      <c r="B17" s="26" t="s">
        <v>3503</v>
      </c>
      <c r="C17" s="419" t="s">
        <v>3504</v>
      </c>
      <c r="D17" s="419"/>
      <c r="E17" s="419"/>
      <c r="F17" s="27" t="s">
        <v>75</v>
      </c>
      <c r="G17" s="22" t="s">
        <v>1300</v>
      </c>
      <c r="H17" s="22"/>
      <c r="I17" s="28"/>
      <c r="J17" s="28"/>
      <c r="K17" s="29"/>
      <c r="BC17" s="14"/>
      <c r="BD17" s="15"/>
      <c r="BE17" s="21"/>
      <c r="BF17" s="12" t="s">
        <v>3504</v>
      </c>
    </row>
    <row r="18" spans="1:60" s="3" customFormat="1" ht="20.399999999999999" x14ac:dyDescent="0.3">
      <c r="A18" s="25"/>
      <c r="B18" s="26" t="s">
        <v>3505</v>
      </c>
      <c r="C18" s="419" t="s">
        <v>3506</v>
      </c>
      <c r="D18" s="419"/>
      <c r="E18" s="419"/>
      <c r="F18" s="27" t="s">
        <v>70</v>
      </c>
      <c r="G18" s="22" t="s">
        <v>3507</v>
      </c>
      <c r="H18" s="22"/>
      <c r="I18" s="28"/>
      <c r="J18" s="28"/>
      <c r="K18" s="29"/>
      <c r="BC18" s="14"/>
      <c r="BD18" s="15"/>
      <c r="BE18" s="21"/>
      <c r="BF18" s="12" t="s">
        <v>3506</v>
      </c>
    </row>
    <row r="19" spans="1:60" s="3" customFormat="1" ht="21.6" x14ac:dyDescent="0.3">
      <c r="A19" s="25"/>
      <c r="B19" s="26" t="s">
        <v>3508</v>
      </c>
      <c r="C19" s="419" t="s">
        <v>3509</v>
      </c>
      <c r="D19" s="419"/>
      <c r="E19" s="419"/>
      <c r="F19" s="27" t="s">
        <v>75</v>
      </c>
      <c r="G19" s="22" t="s">
        <v>3510</v>
      </c>
      <c r="H19" s="22"/>
      <c r="I19" s="28"/>
      <c r="J19" s="28"/>
      <c r="K19" s="29"/>
      <c r="BC19" s="14"/>
      <c r="BD19" s="15"/>
      <c r="BE19" s="21"/>
      <c r="BF19" s="12" t="s">
        <v>3509</v>
      </c>
    </row>
    <row r="20" spans="1:60" s="3" customFormat="1" ht="20.399999999999999" x14ac:dyDescent="0.3">
      <c r="A20" s="25"/>
      <c r="B20" s="26" t="s">
        <v>3511</v>
      </c>
      <c r="C20" s="419" t="s">
        <v>3512</v>
      </c>
      <c r="D20" s="419"/>
      <c r="E20" s="419"/>
      <c r="F20" s="27" t="s">
        <v>70</v>
      </c>
      <c r="G20" s="22" t="s">
        <v>3513</v>
      </c>
      <c r="H20" s="22"/>
      <c r="I20" s="28"/>
      <c r="J20" s="28"/>
      <c r="K20" s="29"/>
      <c r="BC20" s="14"/>
      <c r="BD20" s="15"/>
      <c r="BE20" s="21"/>
      <c r="BF20" s="12" t="s">
        <v>3512</v>
      </c>
    </row>
    <row r="21" spans="1:60" s="3" customFormat="1" ht="21.6" x14ac:dyDescent="0.3">
      <c r="A21" s="25"/>
      <c r="B21" s="26" t="s">
        <v>839</v>
      </c>
      <c r="C21" s="419" t="s">
        <v>840</v>
      </c>
      <c r="D21" s="419"/>
      <c r="E21" s="419"/>
      <c r="F21" s="27" t="s">
        <v>75</v>
      </c>
      <c r="G21" s="22" t="s">
        <v>3514</v>
      </c>
      <c r="H21" s="22"/>
      <c r="I21" s="28"/>
      <c r="J21" s="28"/>
      <c r="K21" s="29"/>
      <c r="BC21" s="14"/>
      <c r="BD21" s="15"/>
      <c r="BE21" s="21"/>
      <c r="BF21" s="12" t="s">
        <v>840</v>
      </c>
    </row>
    <row r="22" spans="1:60" s="3" customFormat="1" ht="20.399999999999999" x14ac:dyDescent="0.3">
      <c r="A22" s="25"/>
      <c r="B22" s="26" t="s">
        <v>3515</v>
      </c>
      <c r="C22" s="419" t="s">
        <v>3516</v>
      </c>
      <c r="D22" s="419"/>
      <c r="E22" s="419"/>
      <c r="F22" s="27" t="s">
        <v>75</v>
      </c>
      <c r="G22" s="22" t="s">
        <v>3517</v>
      </c>
      <c r="H22" s="22"/>
      <c r="I22" s="28"/>
      <c r="J22" s="28"/>
      <c r="K22" s="29"/>
      <c r="BC22" s="14"/>
      <c r="BD22" s="15"/>
      <c r="BE22" s="21"/>
      <c r="BF22" s="12" t="s">
        <v>3516</v>
      </c>
    </row>
    <row r="23" spans="1:60" s="3" customFormat="1" ht="31.8" x14ac:dyDescent="0.3">
      <c r="A23" s="25"/>
      <c r="B23" s="26" t="s">
        <v>1241</v>
      </c>
      <c r="C23" s="419" t="s">
        <v>1242</v>
      </c>
      <c r="D23" s="419"/>
      <c r="E23" s="419"/>
      <c r="F23" s="27" t="s">
        <v>70</v>
      </c>
      <c r="G23" s="22" t="s">
        <v>3518</v>
      </c>
      <c r="H23" s="22"/>
      <c r="I23" s="28"/>
      <c r="J23" s="28"/>
      <c r="K23" s="29"/>
      <c r="BC23" s="14"/>
      <c r="BD23" s="15"/>
      <c r="BE23" s="21"/>
      <c r="BF23" s="12" t="s">
        <v>1242</v>
      </c>
    </row>
    <row r="24" spans="1:60" s="3" customFormat="1" ht="20.399999999999999" x14ac:dyDescent="0.3">
      <c r="A24" s="37" t="s">
        <v>143</v>
      </c>
      <c r="B24" s="38" t="s">
        <v>3519</v>
      </c>
      <c r="C24" s="430" t="s">
        <v>3520</v>
      </c>
      <c r="D24" s="430"/>
      <c r="E24" s="430"/>
      <c r="F24" s="39" t="s">
        <v>25</v>
      </c>
      <c r="G24" s="40" t="s">
        <v>3521</v>
      </c>
      <c r="H24" s="40"/>
      <c r="I24" s="41"/>
      <c r="J24" s="41"/>
      <c r="K24" s="42"/>
      <c r="BC24" s="14"/>
      <c r="BD24" s="15"/>
      <c r="BE24" s="21"/>
      <c r="BF24" s="12"/>
      <c r="BG24" s="43" t="s">
        <v>3520</v>
      </c>
    </row>
    <row r="25" spans="1:60" s="3" customFormat="1" ht="20.399999999999999" x14ac:dyDescent="0.3">
      <c r="A25" s="25" t="s">
        <v>129</v>
      </c>
      <c r="B25" s="26" t="s">
        <v>3522</v>
      </c>
      <c r="C25" s="419" t="s">
        <v>3523</v>
      </c>
      <c r="D25" s="419"/>
      <c r="E25" s="419"/>
      <c r="F25" s="27" t="s">
        <v>25</v>
      </c>
      <c r="G25" s="22" t="s">
        <v>3521</v>
      </c>
      <c r="H25" s="22"/>
      <c r="I25" s="28"/>
      <c r="J25" s="28"/>
      <c r="K25" s="29"/>
      <c r="BC25" s="14"/>
      <c r="BD25" s="15"/>
      <c r="BE25" s="21"/>
      <c r="BF25" s="12"/>
      <c r="BG25" s="43"/>
      <c r="BH25" s="12" t="s">
        <v>3523</v>
      </c>
    </row>
    <row r="26" spans="1:60" s="3" customFormat="1" ht="15" customHeight="1" x14ac:dyDescent="0.3">
      <c r="A26" s="437" t="s">
        <v>3524</v>
      </c>
      <c r="B26" s="418"/>
      <c r="C26" s="418"/>
      <c r="D26" s="418"/>
      <c r="E26" s="418"/>
      <c r="F26" s="418"/>
      <c r="G26" s="418"/>
      <c r="H26" s="61"/>
      <c r="I26" s="61"/>
      <c r="J26" s="61"/>
      <c r="K26" s="62"/>
      <c r="BC26" s="14"/>
      <c r="BD26" s="15" t="s">
        <v>3524</v>
      </c>
      <c r="BE26" s="21"/>
      <c r="BF26" s="12"/>
      <c r="BG26" s="43"/>
      <c r="BH26" s="12"/>
    </row>
    <row r="27" spans="1:60" s="3" customFormat="1" ht="21.6" x14ac:dyDescent="0.3">
      <c r="A27" s="16" t="s">
        <v>20</v>
      </c>
      <c r="B27" s="17" t="s">
        <v>3525</v>
      </c>
      <c r="C27" s="405" t="s">
        <v>3526</v>
      </c>
      <c r="D27" s="405"/>
      <c r="E27" s="405"/>
      <c r="F27" s="16" t="s">
        <v>3496</v>
      </c>
      <c r="G27" s="24">
        <v>0.1</v>
      </c>
      <c r="H27" s="24">
        <f>I27/G27</f>
        <v>24040.600000000002</v>
      </c>
      <c r="I27" s="19">
        <f>5233.55-K27</f>
        <v>2404.0600000000004</v>
      </c>
      <c r="J27" s="19">
        <f>K27/G27</f>
        <v>28294.899999999998</v>
      </c>
      <c r="K27" s="19">
        <v>2829.49</v>
      </c>
      <c r="BC27" s="14"/>
      <c r="BD27" s="15"/>
      <c r="BE27" s="21" t="s">
        <v>3526</v>
      </c>
      <c r="BF27" s="12"/>
      <c r="BG27" s="43"/>
      <c r="BH27" s="12"/>
    </row>
    <row r="28" spans="1:60" s="3" customFormat="1" ht="20.399999999999999" x14ac:dyDescent="0.3">
      <c r="A28" s="25"/>
      <c r="B28" s="26" t="s">
        <v>1783</v>
      </c>
      <c r="C28" s="419" t="s">
        <v>1784</v>
      </c>
      <c r="D28" s="419"/>
      <c r="E28" s="419"/>
      <c r="F28" s="27" t="s">
        <v>75</v>
      </c>
      <c r="G28" s="22" t="s">
        <v>3527</v>
      </c>
      <c r="H28" s="22"/>
      <c r="I28" s="28"/>
      <c r="J28" s="28"/>
      <c r="K28" s="29"/>
      <c r="BC28" s="14"/>
      <c r="BD28" s="15"/>
      <c r="BE28" s="21"/>
      <c r="BF28" s="12" t="s">
        <v>1784</v>
      </c>
      <c r="BG28" s="43"/>
      <c r="BH28" s="12"/>
    </row>
    <row r="29" spans="1:60" s="3" customFormat="1" ht="21.6" x14ac:dyDescent="0.3">
      <c r="A29" s="25"/>
      <c r="B29" s="26" t="s">
        <v>3528</v>
      </c>
      <c r="C29" s="419" t="s">
        <v>3529</v>
      </c>
      <c r="D29" s="419"/>
      <c r="E29" s="419"/>
      <c r="F29" s="27" t="s">
        <v>1086</v>
      </c>
      <c r="G29" s="22" t="s">
        <v>3500</v>
      </c>
      <c r="H29" s="22"/>
      <c r="I29" s="28"/>
      <c r="J29" s="28"/>
      <c r="K29" s="29"/>
      <c r="BC29" s="14"/>
      <c r="BD29" s="15"/>
      <c r="BE29" s="21"/>
      <c r="BF29" s="12" t="s">
        <v>3529</v>
      </c>
      <c r="BG29" s="43"/>
      <c r="BH29" s="12"/>
    </row>
    <row r="30" spans="1:60" s="3" customFormat="1" ht="20.399999999999999" x14ac:dyDescent="0.3">
      <c r="A30" s="25"/>
      <c r="B30" s="26" t="s">
        <v>3530</v>
      </c>
      <c r="C30" s="419" t="s">
        <v>3531</v>
      </c>
      <c r="D30" s="419"/>
      <c r="E30" s="419"/>
      <c r="F30" s="27" t="s">
        <v>70</v>
      </c>
      <c r="G30" s="22" t="s">
        <v>3532</v>
      </c>
      <c r="H30" s="22"/>
      <c r="I30" s="28"/>
      <c r="J30" s="28"/>
      <c r="K30" s="29"/>
      <c r="BC30" s="14"/>
      <c r="BD30" s="15"/>
      <c r="BE30" s="21"/>
      <c r="BF30" s="12" t="s">
        <v>3531</v>
      </c>
      <c r="BG30" s="43"/>
      <c r="BH30" s="12"/>
    </row>
    <row r="31" spans="1:60" s="3" customFormat="1" ht="20.399999999999999" x14ac:dyDescent="0.3">
      <c r="A31" s="25"/>
      <c r="B31" s="26" t="s">
        <v>648</v>
      </c>
      <c r="C31" s="419" t="s">
        <v>649</v>
      </c>
      <c r="D31" s="419"/>
      <c r="E31" s="419"/>
      <c r="F31" s="27" t="s">
        <v>70</v>
      </c>
      <c r="G31" s="22" t="s">
        <v>3533</v>
      </c>
      <c r="H31" s="22"/>
      <c r="I31" s="28"/>
      <c r="J31" s="28"/>
      <c r="K31" s="29"/>
      <c r="BC31" s="14"/>
      <c r="BD31" s="15"/>
      <c r="BE31" s="21"/>
      <c r="BF31" s="12" t="s">
        <v>649</v>
      </c>
      <c r="BG31" s="43"/>
      <c r="BH31" s="12"/>
    </row>
    <row r="32" spans="1:60" s="3" customFormat="1" ht="21.6" x14ac:dyDescent="0.3">
      <c r="A32" s="25"/>
      <c r="B32" s="26" t="s">
        <v>839</v>
      </c>
      <c r="C32" s="419" t="s">
        <v>840</v>
      </c>
      <c r="D32" s="419"/>
      <c r="E32" s="419"/>
      <c r="F32" s="27" t="s">
        <v>75</v>
      </c>
      <c r="G32" s="22" t="s">
        <v>3514</v>
      </c>
      <c r="H32" s="22"/>
      <c r="I32" s="28"/>
      <c r="J32" s="28"/>
      <c r="K32" s="29"/>
      <c r="BC32" s="14"/>
      <c r="BD32" s="15"/>
      <c r="BE32" s="21"/>
      <c r="BF32" s="12" t="s">
        <v>840</v>
      </c>
      <c r="BG32" s="43"/>
      <c r="BH32" s="12"/>
    </row>
    <row r="33" spans="1:60" s="3" customFormat="1" ht="20.399999999999999" x14ac:dyDescent="0.3">
      <c r="A33" s="25"/>
      <c r="B33" s="26" t="s">
        <v>3515</v>
      </c>
      <c r="C33" s="419" t="s">
        <v>3516</v>
      </c>
      <c r="D33" s="419"/>
      <c r="E33" s="419"/>
      <c r="F33" s="27" t="s">
        <v>75</v>
      </c>
      <c r="G33" s="22" t="s">
        <v>3534</v>
      </c>
      <c r="H33" s="22"/>
      <c r="I33" s="28"/>
      <c r="J33" s="28"/>
      <c r="K33" s="29"/>
      <c r="BC33" s="14"/>
      <c r="BD33" s="15"/>
      <c r="BE33" s="21"/>
      <c r="BF33" s="12" t="s">
        <v>3516</v>
      </c>
      <c r="BG33" s="43"/>
      <c r="BH33" s="12"/>
    </row>
    <row r="34" spans="1:60" s="3" customFormat="1" ht="31.8" x14ac:dyDescent="0.3">
      <c r="A34" s="25"/>
      <c r="B34" s="26" t="s">
        <v>1241</v>
      </c>
      <c r="C34" s="419" t="s">
        <v>1242</v>
      </c>
      <c r="D34" s="419"/>
      <c r="E34" s="419"/>
      <c r="F34" s="27" t="s">
        <v>70</v>
      </c>
      <c r="G34" s="22" t="s">
        <v>3518</v>
      </c>
      <c r="H34" s="22"/>
      <c r="I34" s="28"/>
      <c r="J34" s="28"/>
      <c r="K34" s="29"/>
      <c r="BC34" s="14"/>
      <c r="BD34" s="15"/>
      <c r="BE34" s="21"/>
      <c r="BF34" s="12" t="s">
        <v>1242</v>
      </c>
      <c r="BG34" s="43"/>
      <c r="BH34" s="12"/>
    </row>
    <row r="35" spans="1:60" s="3" customFormat="1" ht="20.399999999999999" x14ac:dyDescent="0.3">
      <c r="A35" s="37" t="s">
        <v>143</v>
      </c>
      <c r="B35" s="38" t="s">
        <v>3535</v>
      </c>
      <c r="C35" s="430" t="s">
        <v>3536</v>
      </c>
      <c r="D35" s="430"/>
      <c r="E35" s="430"/>
      <c r="F35" s="39" t="s">
        <v>25</v>
      </c>
      <c r="G35" s="40" t="s">
        <v>3521</v>
      </c>
      <c r="H35" s="40"/>
      <c r="I35" s="41"/>
      <c r="J35" s="41"/>
      <c r="K35" s="42"/>
      <c r="BC35" s="14"/>
      <c r="BD35" s="15"/>
      <c r="BE35" s="21"/>
      <c r="BF35" s="12"/>
      <c r="BG35" s="43" t="s">
        <v>3536</v>
      </c>
      <c r="BH35" s="12"/>
    </row>
    <row r="36" spans="1:60" s="3" customFormat="1" ht="21.6" x14ac:dyDescent="0.3">
      <c r="A36" s="25"/>
      <c r="B36" s="26" t="s">
        <v>3537</v>
      </c>
      <c r="C36" s="419" t="s">
        <v>3538</v>
      </c>
      <c r="D36" s="419"/>
      <c r="E36" s="419"/>
      <c r="F36" s="27" t="s">
        <v>38</v>
      </c>
      <c r="G36" s="22" t="s">
        <v>3521</v>
      </c>
      <c r="H36" s="22"/>
      <c r="I36" s="28"/>
      <c r="J36" s="28"/>
      <c r="K36" s="29"/>
      <c r="BC36" s="14"/>
      <c r="BD36" s="15"/>
      <c r="BE36" s="21"/>
      <c r="BF36" s="12" t="s">
        <v>3538</v>
      </c>
      <c r="BG36" s="43"/>
      <c r="BH36" s="12"/>
    </row>
    <row r="37" spans="1:60" s="3" customFormat="1" ht="62.4" x14ac:dyDescent="0.3">
      <c r="A37" s="25" t="s">
        <v>129</v>
      </c>
      <c r="B37" s="26" t="s">
        <v>3539</v>
      </c>
      <c r="C37" s="419" t="s">
        <v>3540</v>
      </c>
      <c r="D37" s="419"/>
      <c r="E37" s="419"/>
      <c r="F37" s="27" t="s">
        <v>25</v>
      </c>
      <c r="G37" s="22" t="s">
        <v>3521</v>
      </c>
      <c r="H37" s="22"/>
      <c r="I37" s="28"/>
      <c r="J37" s="28"/>
      <c r="K37" s="29"/>
      <c r="BC37" s="14"/>
      <c r="BD37" s="15"/>
      <c r="BE37" s="21"/>
      <c r="BF37" s="12"/>
      <c r="BG37" s="43"/>
      <c r="BH37" s="12" t="s">
        <v>3540</v>
      </c>
    </row>
    <row r="38" spans="1:60" s="3" customFormat="1" ht="15" customHeight="1" x14ac:dyDescent="0.3">
      <c r="A38" s="437" t="s">
        <v>3541</v>
      </c>
      <c r="B38" s="418"/>
      <c r="C38" s="418"/>
      <c r="D38" s="418"/>
      <c r="E38" s="418"/>
      <c r="F38" s="418"/>
      <c r="G38" s="418"/>
      <c r="H38" s="61"/>
      <c r="I38" s="61"/>
      <c r="J38" s="61"/>
      <c r="K38" s="62"/>
      <c r="BC38" s="14"/>
      <c r="BD38" s="15" t="s">
        <v>3541</v>
      </c>
      <c r="BE38" s="21"/>
      <c r="BF38" s="12"/>
      <c r="BG38" s="43"/>
      <c r="BH38" s="12"/>
    </row>
    <row r="39" spans="1:60" s="3" customFormat="1" ht="21.6" x14ac:dyDescent="0.3">
      <c r="A39" s="16" t="s">
        <v>22</v>
      </c>
      <c r="B39" s="17" t="s">
        <v>3542</v>
      </c>
      <c r="C39" s="405" t="s">
        <v>3543</v>
      </c>
      <c r="D39" s="405"/>
      <c r="E39" s="405"/>
      <c r="F39" s="16" t="s">
        <v>1460</v>
      </c>
      <c r="G39" s="23">
        <v>1</v>
      </c>
      <c r="H39" s="23"/>
      <c r="I39" s="19"/>
      <c r="J39" s="19"/>
      <c r="K39" s="19">
        <v>1521.49</v>
      </c>
      <c r="BC39" s="14"/>
      <c r="BD39" s="15"/>
      <c r="BE39" s="21" t="s">
        <v>3543</v>
      </c>
      <c r="BF39" s="12"/>
      <c r="BG39" s="43"/>
      <c r="BH39" s="12"/>
    </row>
    <row r="40" spans="1:60" s="3" customFormat="1" ht="15" customHeight="1" x14ac:dyDescent="0.3">
      <c r="A40" s="437" t="s">
        <v>3544</v>
      </c>
      <c r="B40" s="418"/>
      <c r="C40" s="418"/>
      <c r="D40" s="418"/>
      <c r="E40" s="418"/>
      <c r="F40" s="418"/>
      <c r="G40" s="418"/>
      <c r="H40" s="61"/>
      <c r="I40" s="61"/>
      <c r="J40" s="61"/>
      <c r="K40" s="62"/>
      <c r="BC40" s="14"/>
      <c r="BD40" s="15" t="s">
        <v>3544</v>
      </c>
      <c r="BE40" s="21"/>
      <c r="BF40" s="12"/>
      <c r="BG40" s="43"/>
      <c r="BH40" s="12"/>
    </row>
    <row r="41" spans="1:60" s="3" customFormat="1" ht="15" customHeight="1" x14ac:dyDescent="0.3">
      <c r="A41" s="437" t="s">
        <v>1796</v>
      </c>
      <c r="B41" s="418"/>
      <c r="C41" s="418"/>
      <c r="D41" s="418"/>
      <c r="E41" s="418"/>
      <c r="F41" s="418"/>
      <c r="G41" s="418"/>
      <c r="H41" s="61"/>
      <c r="I41" s="61"/>
      <c r="J41" s="61"/>
      <c r="K41" s="62"/>
      <c r="BC41" s="14"/>
      <c r="BD41" s="15" t="s">
        <v>1796</v>
      </c>
      <c r="BE41" s="21"/>
      <c r="BF41" s="12"/>
      <c r="BG41" s="43"/>
      <c r="BH41" s="12"/>
    </row>
    <row r="42" spans="1:60" s="3" customFormat="1" ht="15" customHeight="1" x14ac:dyDescent="0.3">
      <c r="A42" s="437" t="s">
        <v>3545</v>
      </c>
      <c r="B42" s="418"/>
      <c r="C42" s="418"/>
      <c r="D42" s="418"/>
      <c r="E42" s="418"/>
      <c r="F42" s="418"/>
      <c r="G42" s="418"/>
      <c r="H42" s="61"/>
      <c r="I42" s="61"/>
      <c r="J42" s="61"/>
      <c r="K42" s="62"/>
      <c r="BC42" s="14"/>
      <c r="BD42" s="15" t="s">
        <v>3545</v>
      </c>
      <c r="BE42" s="21"/>
      <c r="BF42" s="12"/>
      <c r="BG42" s="43"/>
      <c r="BH42" s="12"/>
    </row>
    <row r="43" spans="1:60" s="3" customFormat="1" ht="31.8" x14ac:dyDescent="0.3">
      <c r="A43" s="16" t="s">
        <v>27</v>
      </c>
      <c r="B43" s="17" t="s">
        <v>3546</v>
      </c>
      <c r="C43" s="405" t="s">
        <v>3547</v>
      </c>
      <c r="D43" s="405"/>
      <c r="E43" s="405"/>
      <c r="F43" s="16" t="s">
        <v>67</v>
      </c>
      <c r="G43" s="31">
        <v>0.02</v>
      </c>
      <c r="H43" s="24">
        <f>I43/G43</f>
        <v>72550</v>
      </c>
      <c r="I43" s="19">
        <f>1671.19-K43</f>
        <v>1451</v>
      </c>
      <c r="J43" s="19">
        <f>K43/G43</f>
        <v>11009.5</v>
      </c>
      <c r="K43" s="19">
        <v>220.19</v>
      </c>
      <c r="BC43" s="14"/>
      <c r="BD43" s="15"/>
      <c r="BE43" s="21" t="s">
        <v>3547</v>
      </c>
      <c r="BF43" s="12"/>
      <c r="BG43" s="43"/>
      <c r="BH43" s="12"/>
    </row>
    <row r="44" spans="1:60" s="3" customFormat="1" ht="20.399999999999999" x14ac:dyDescent="0.3">
      <c r="A44" s="25"/>
      <c r="B44" s="26" t="s">
        <v>154</v>
      </c>
      <c r="C44" s="419" t="s">
        <v>155</v>
      </c>
      <c r="D44" s="419"/>
      <c r="E44" s="419"/>
      <c r="F44" s="27" t="s">
        <v>46</v>
      </c>
      <c r="G44" s="22" t="s">
        <v>3548</v>
      </c>
      <c r="H44" s="22"/>
      <c r="I44" s="28"/>
      <c r="J44" s="28"/>
      <c r="K44" s="29"/>
      <c r="BC44" s="14"/>
      <c r="BD44" s="15"/>
      <c r="BE44" s="21"/>
      <c r="BF44" s="12" t="s">
        <v>155</v>
      </c>
      <c r="BG44" s="43"/>
      <c r="BH44" s="12"/>
    </row>
    <row r="45" spans="1:60" s="3" customFormat="1" ht="21.6" x14ac:dyDescent="0.3">
      <c r="A45" s="25"/>
      <c r="B45" s="26" t="s">
        <v>3549</v>
      </c>
      <c r="C45" s="419" t="s">
        <v>3550</v>
      </c>
      <c r="D45" s="419"/>
      <c r="E45" s="419"/>
      <c r="F45" s="27" t="s">
        <v>70</v>
      </c>
      <c r="G45" s="22" t="s">
        <v>3551</v>
      </c>
      <c r="H45" s="22"/>
      <c r="I45" s="28"/>
      <c r="J45" s="28"/>
      <c r="K45" s="29"/>
      <c r="BC45" s="14"/>
      <c r="BD45" s="15"/>
      <c r="BE45" s="21"/>
      <c r="BF45" s="12" t="s">
        <v>3550</v>
      </c>
      <c r="BG45" s="43"/>
      <c r="BH45" s="12"/>
    </row>
    <row r="46" spans="1:60" s="3" customFormat="1" ht="21.6" x14ac:dyDescent="0.3">
      <c r="A46" s="25"/>
      <c r="B46" s="26" t="s">
        <v>3552</v>
      </c>
      <c r="C46" s="419" t="s">
        <v>3553</v>
      </c>
      <c r="D46" s="419"/>
      <c r="E46" s="419"/>
      <c r="F46" s="27" t="s">
        <v>75</v>
      </c>
      <c r="G46" s="22" t="s">
        <v>3554</v>
      </c>
      <c r="H46" s="22"/>
      <c r="I46" s="28"/>
      <c r="J46" s="28"/>
      <c r="K46" s="29"/>
      <c r="BC46" s="14"/>
      <c r="BD46" s="15"/>
      <c r="BE46" s="21"/>
      <c r="BF46" s="12" t="s">
        <v>3553</v>
      </c>
      <c r="BG46" s="43"/>
      <c r="BH46" s="12"/>
    </row>
    <row r="47" spans="1:60" s="3" customFormat="1" ht="20.399999999999999" x14ac:dyDescent="0.3">
      <c r="A47" s="37" t="s">
        <v>78</v>
      </c>
      <c r="B47" s="38" t="s">
        <v>1786</v>
      </c>
      <c r="C47" s="430" t="s">
        <v>3555</v>
      </c>
      <c r="D47" s="430"/>
      <c r="E47" s="430"/>
      <c r="F47" s="39" t="s">
        <v>38</v>
      </c>
      <c r="G47" s="40" t="s">
        <v>33</v>
      </c>
      <c r="H47" s="40"/>
      <c r="I47" s="41"/>
      <c r="J47" s="41"/>
      <c r="K47" s="42"/>
      <c r="BC47" s="14"/>
      <c r="BD47" s="15"/>
      <c r="BE47" s="21"/>
      <c r="BF47" s="12"/>
      <c r="BG47" s="43" t="s">
        <v>3555</v>
      </c>
      <c r="BH47" s="12"/>
    </row>
    <row r="48" spans="1:60" s="3" customFormat="1" ht="20.399999999999999" x14ac:dyDescent="0.3">
      <c r="A48" s="37" t="s">
        <v>78</v>
      </c>
      <c r="B48" s="38" t="s">
        <v>1820</v>
      </c>
      <c r="C48" s="430" t="s">
        <v>1523</v>
      </c>
      <c r="D48" s="430"/>
      <c r="E48" s="430"/>
      <c r="F48" s="39" t="s">
        <v>75</v>
      </c>
      <c r="G48" s="40" t="s">
        <v>33</v>
      </c>
      <c r="H48" s="40"/>
      <c r="I48" s="41"/>
      <c r="J48" s="41"/>
      <c r="K48" s="42"/>
      <c r="BC48" s="14"/>
      <c r="BD48" s="15"/>
      <c r="BE48" s="21"/>
      <c r="BF48" s="12"/>
      <c r="BG48" s="43" t="s">
        <v>1523</v>
      </c>
      <c r="BH48" s="12"/>
    </row>
    <row r="49" spans="1:60" s="3" customFormat="1" ht="31.8" x14ac:dyDescent="0.3">
      <c r="A49" s="37" t="s">
        <v>143</v>
      </c>
      <c r="B49" s="38" t="s">
        <v>3556</v>
      </c>
      <c r="C49" s="430" t="s">
        <v>3557</v>
      </c>
      <c r="D49" s="430"/>
      <c r="E49" s="430"/>
      <c r="F49" s="39" t="s">
        <v>115</v>
      </c>
      <c r="G49" s="40" t="s">
        <v>3558</v>
      </c>
      <c r="H49" s="40"/>
      <c r="I49" s="41"/>
      <c r="J49" s="41"/>
      <c r="K49" s="42"/>
      <c r="BC49" s="14"/>
      <c r="BD49" s="15"/>
      <c r="BE49" s="21"/>
      <c r="BF49" s="12"/>
      <c r="BG49" s="43" t="s">
        <v>3557</v>
      </c>
      <c r="BH49" s="12"/>
    </row>
    <row r="50" spans="1:60" s="3" customFormat="1" ht="31.8" x14ac:dyDescent="0.3">
      <c r="A50" s="25" t="s">
        <v>129</v>
      </c>
      <c r="B50" s="26" t="s">
        <v>3559</v>
      </c>
      <c r="C50" s="419" t="s">
        <v>3560</v>
      </c>
      <c r="D50" s="419"/>
      <c r="E50" s="419"/>
      <c r="F50" s="27" t="s">
        <v>115</v>
      </c>
      <c r="G50" s="22" t="s">
        <v>3558</v>
      </c>
      <c r="H50" s="22"/>
      <c r="I50" s="28"/>
      <c r="J50" s="28"/>
      <c r="K50" s="29"/>
      <c r="BC50" s="14"/>
      <c r="BD50" s="15"/>
      <c r="BE50" s="21"/>
      <c r="BF50" s="12"/>
      <c r="BG50" s="43"/>
      <c r="BH50" s="12" t="s">
        <v>3560</v>
      </c>
    </row>
    <row r="51" spans="1:60" s="3" customFormat="1" ht="15" customHeight="1" x14ac:dyDescent="0.3">
      <c r="A51" s="437" t="s">
        <v>3561</v>
      </c>
      <c r="B51" s="418"/>
      <c r="C51" s="418"/>
      <c r="D51" s="418"/>
      <c r="E51" s="418"/>
      <c r="F51" s="418"/>
      <c r="G51" s="418"/>
      <c r="H51" s="61"/>
      <c r="I51" s="61"/>
      <c r="J51" s="61"/>
      <c r="K51" s="62"/>
      <c r="BC51" s="14"/>
      <c r="BD51" s="15" t="s">
        <v>3561</v>
      </c>
      <c r="BE51" s="21"/>
      <c r="BF51" s="12"/>
      <c r="BG51" s="43"/>
      <c r="BH51" s="12"/>
    </row>
    <row r="52" spans="1:60" s="3" customFormat="1" ht="31.8" x14ac:dyDescent="0.3">
      <c r="A52" s="16" t="s">
        <v>35</v>
      </c>
      <c r="B52" s="17" t="s">
        <v>3562</v>
      </c>
      <c r="C52" s="405" t="s">
        <v>3563</v>
      </c>
      <c r="D52" s="405"/>
      <c r="E52" s="405"/>
      <c r="F52" s="16" t="s">
        <v>67</v>
      </c>
      <c r="G52" s="31">
        <v>0.06</v>
      </c>
      <c r="H52" s="24">
        <f>I52/G52</f>
        <v>69661.333333333343</v>
      </c>
      <c r="I52" s="19">
        <f>11701.2-K52</f>
        <v>4179.68</v>
      </c>
      <c r="J52" s="19">
        <f>K52/G52</f>
        <v>125358.66666666667</v>
      </c>
      <c r="K52" s="19">
        <v>7521.52</v>
      </c>
      <c r="BC52" s="14"/>
      <c r="BD52" s="15"/>
      <c r="BE52" s="21" t="s">
        <v>3563</v>
      </c>
      <c r="BF52" s="12"/>
      <c r="BG52" s="43"/>
      <c r="BH52" s="12"/>
    </row>
    <row r="53" spans="1:60" s="3" customFormat="1" ht="20.399999999999999" x14ac:dyDescent="0.3">
      <c r="A53" s="25"/>
      <c r="B53" s="26" t="s">
        <v>154</v>
      </c>
      <c r="C53" s="419" t="s">
        <v>155</v>
      </c>
      <c r="D53" s="419"/>
      <c r="E53" s="419"/>
      <c r="F53" s="27" t="s">
        <v>46</v>
      </c>
      <c r="G53" s="22" t="s">
        <v>3564</v>
      </c>
      <c r="H53" s="22"/>
      <c r="I53" s="28"/>
      <c r="J53" s="28"/>
      <c r="K53" s="29"/>
      <c r="BC53" s="14"/>
      <c r="BD53" s="15"/>
      <c r="BE53" s="21"/>
      <c r="BF53" s="12" t="s">
        <v>155</v>
      </c>
      <c r="BG53" s="43"/>
      <c r="BH53" s="12"/>
    </row>
    <row r="54" spans="1:60" s="3" customFormat="1" ht="21.6" x14ac:dyDescent="0.3">
      <c r="A54" s="25"/>
      <c r="B54" s="26" t="s">
        <v>3549</v>
      </c>
      <c r="C54" s="419" t="s">
        <v>3550</v>
      </c>
      <c r="D54" s="419"/>
      <c r="E54" s="419"/>
      <c r="F54" s="27" t="s">
        <v>70</v>
      </c>
      <c r="G54" s="22" t="s">
        <v>3565</v>
      </c>
      <c r="H54" s="22"/>
      <c r="I54" s="28"/>
      <c r="J54" s="28"/>
      <c r="K54" s="29"/>
      <c r="BC54" s="14"/>
      <c r="BD54" s="15"/>
      <c r="BE54" s="21"/>
      <c r="BF54" s="12" t="s">
        <v>3550</v>
      </c>
      <c r="BG54" s="43"/>
      <c r="BH54" s="12"/>
    </row>
    <row r="55" spans="1:60" s="3" customFormat="1" ht="21.6" x14ac:dyDescent="0.3">
      <c r="A55" s="25"/>
      <c r="B55" s="26" t="s">
        <v>3552</v>
      </c>
      <c r="C55" s="419" t="s">
        <v>3553</v>
      </c>
      <c r="D55" s="419"/>
      <c r="E55" s="419"/>
      <c r="F55" s="27" t="s">
        <v>75</v>
      </c>
      <c r="G55" s="22" t="s">
        <v>3566</v>
      </c>
      <c r="H55" s="22"/>
      <c r="I55" s="28"/>
      <c r="J55" s="28"/>
      <c r="K55" s="29"/>
      <c r="BC55" s="14"/>
      <c r="BD55" s="15"/>
      <c r="BE55" s="21"/>
      <c r="BF55" s="12" t="s">
        <v>3553</v>
      </c>
      <c r="BG55" s="43"/>
      <c r="BH55" s="12"/>
    </row>
    <row r="56" spans="1:60" s="3" customFormat="1" ht="20.399999999999999" x14ac:dyDescent="0.3">
      <c r="A56" s="37" t="s">
        <v>78</v>
      </c>
      <c r="B56" s="38" t="s">
        <v>1786</v>
      </c>
      <c r="C56" s="430" t="s">
        <v>3555</v>
      </c>
      <c r="D56" s="430"/>
      <c r="E56" s="430"/>
      <c r="F56" s="39" t="s">
        <v>38</v>
      </c>
      <c r="G56" s="40" t="s">
        <v>33</v>
      </c>
      <c r="H56" s="40"/>
      <c r="I56" s="41"/>
      <c r="J56" s="41"/>
      <c r="K56" s="42"/>
      <c r="BC56" s="14"/>
      <c r="BD56" s="15"/>
      <c r="BE56" s="21"/>
      <c r="BF56" s="12"/>
      <c r="BG56" s="43" t="s">
        <v>3555</v>
      </c>
      <c r="BH56" s="12"/>
    </row>
    <row r="57" spans="1:60" s="3" customFormat="1" ht="20.399999999999999" x14ac:dyDescent="0.3">
      <c r="A57" s="37" t="s">
        <v>78</v>
      </c>
      <c r="B57" s="38" t="s">
        <v>1820</v>
      </c>
      <c r="C57" s="430" t="s">
        <v>1523</v>
      </c>
      <c r="D57" s="430"/>
      <c r="E57" s="430"/>
      <c r="F57" s="39" t="s">
        <v>75</v>
      </c>
      <c r="G57" s="40" t="s">
        <v>33</v>
      </c>
      <c r="H57" s="40"/>
      <c r="I57" s="41"/>
      <c r="J57" s="41"/>
      <c r="K57" s="42"/>
      <c r="BC57" s="14"/>
      <c r="BD57" s="15"/>
      <c r="BE57" s="21"/>
      <c r="BF57" s="12"/>
      <c r="BG57" s="43" t="s">
        <v>1523</v>
      </c>
      <c r="BH57" s="12"/>
    </row>
    <row r="58" spans="1:60" s="3" customFormat="1" ht="31.8" x14ac:dyDescent="0.3">
      <c r="A58" s="37" t="s">
        <v>143</v>
      </c>
      <c r="B58" s="38" t="s">
        <v>3556</v>
      </c>
      <c r="C58" s="430" t="s">
        <v>3567</v>
      </c>
      <c r="D58" s="430"/>
      <c r="E58" s="430"/>
      <c r="F58" s="39" t="s">
        <v>115</v>
      </c>
      <c r="G58" s="40" t="s">
        <v>3568</v>
      </c>
      <c r="H58" s="40"/>
      <c r="I58" s="41"/>
      <c r="J58" s="41"/>
      <c r="K58" s="42"/>
      <c r="BC58" s="14"/>
      <c r="BD58" s="15"/>
      <c r="BE58" s="21"/>
      <c r="BF58" s="12"/>
      <c r="BG58" s="43" t="s">
        <v>3567</v>
      </c>
      <c r="BH58" s="12"/>
    </row>
    <row r="59" spans="1:60" s="3" customFormat="1" ht="31.8" x14ac:dyDescent="0.3">
      <c r="A59" s="25" t="s">
        <v>129</v>
      </c>
      <c r="B59" s="26" t="s">
        <v>3569</v>
      </c>
      <c r="C59" s="419" t="s">
        <v>3570</v>
      </c>
      <c r="D59" s="419"/>
      <c r="E59" s="419"/>
      <c r="F59" s="27" t="s">
        <v>115</v>
      </c>
      <c r="G59" s="22" t="s">
        <v>3571</v>
      </c>
      <c r="H59" s="22"/>
      <c r="I59" s="28"/>
      <c r="J59" s="28"/>
      <c r="K59" s="29"/>
      <c r="BC59" s="14"/>
      <c r="BD59" s="15"/>
      <c r="BE59" s="21"/>
      <c r="BF59" s="12"/>
      <c r="BG59" s="43"/>
      <c r="BH59" s="12" t="s">
        <v>3570</v>
      </c>
    </row>
    <row r="60" spans="1:60" s="3" customFormat="1" ht="15" customHeight="1" x14ac:dyDescent="0.3">
      <c r="A60" s="437" t="s">
        <v>1849</v>
      </c>
      <c r="B60" s="418"/>
      <c r="C60" s="418"/>
      <c r="D60" s="418"/>
      <c r="E60" s="418"/>
      <c r="F60" s="418"/>
      <c r="G60" s="418"/>
      <c r="H60" s="61"/>
      <c r="I60" s="61"/>
      <c r="J60" s="61"/>
      <c r="K60" s="62"/>
      <c r="BC60" s="14"/>
      <c r="BD60" s="15" t="s">
        <v>1849</v>
      </c>
      <c r="BE60" s="21"/>
      <c r="BF60" s="12"/>
      <c r="BG60" s="43"/>
      <c r="BH60" s="12"/>
    </row>
    <row r="61" spans="1:60" s="3" customFormat="1" ht="21.6" x14ac:dyDescent="0.3">
      <c r="A61" s="16" t="s">
        <v>40</v>
      </c>
      <c r="B61" s="17" t="s">
        <v>3572</v>
      </c>
      <c r="C61" s="405" t="s">
        <v>3573</v>
      </c>
      <c r="D61" s="405"/>
      <c r="E61" s="405"/>
      <c r="F61" s="16" t="s">
        <v>38</v>
      </c>
      <c r="G61" s="23">
        <v>3</v>
      </c>
      <c r="H61" s="23">
        <f>I61/G61</f>
        <v>0</v>
      </c>
      <c r="I61" s="19">
        <v>0</v>
      </c>
      <c r="J61" s="19">
        <f>K61/G61</f>
        <v>5.6633333333333331</v>
      </c>
      <c r="K61" s="19">
        <v>16.989999999999998</v>
      </c>
      <c r="BC61" s="14"/>
      <c r="BD61" s="15"/>
      <c r="BE61" s="21" t="s">
        <v>3573</v>
      </c>
      <c r="BF61" s="12"/>
      <c r="BG61" s="43"/>
      <c r="BH61" s="12"/>
    </row>
    <row r="62" spans="1:60" s="3" customFormat="1" ht="21.6" x14ac:dyDescent="0.3">
      <c r="A62" s="16" t="s">
        <v>47</v>
      </c>
      <c r="B62" s="17" t="s">
        <v>3574</v>
      </c>
      <c r="C62" s="405" t="s">
        <v>3575</v>
      </c>
      <c r="D62" s="405"/>
      <c r="E62" s="405"/>
      <c r="F62" s="16" t="s">
        <v>38</v>
      </c>
      <c r="G62" s="23">
        <v>6</v>
      </c>
      <c r="H62" s="23">
        <f t="shared" ref="H62:H65" si="0">I62/G62</f>
        <v>0</v>
      </c>
      <c r="I62" s="19">
        <v>0</v>
      </c>
      <c r="J62" s="19">
        <f t="shared" ref="J62:J65" si="1">K62/G62</f>
        <v>62.835000000000001</v>
      </c>
      <c r="K62" s="19">
        <v>377.01</v>
      </c>
      <c r="BC62" s="14"/>
      <c r="BD62" s="15"/>
      <c r="BE62" s="21" t="s">
        <v>3575</v>
      </c>
      <c r="BF62" s="12"/>
      <c r="BG62" s="43"/>
      <c r="BH62" s="12"/>
    </row>
    <row r="63" spans="1:60" s="3" customFormat="1" ht="21.6" x14ac:dyDescent="0.3">
      <c r="A63" s="16" t="s">
        <v>52</v>
      </c>
      <c r="B63" s="17" t="s">
        <v>3576</v>
      </c>
      <c r="C63" s="405" t="s">
        <v>3577</v>
      </c>
      <c r="D63" s="405"/>
      <c r="E63" s="405"/>
      <c r="F63" s="16" t="s">
        <v>38</v>
      </c>
      <c r="G63" s="23">
        <v>3</v>
      </c>
      <c r="H63" s="23">
        <f t="shared" si="0"/>
        <v>0</v>
      </c>
      <c r="I63" s="19">
        <v>0</v>
      </c>
      <c r="J63" s="19">
        <f t="shared" si="1"/>
        <v>184.08</v>
      </c>
      <c r="K63" s="19">
        <v>552.24</v>
      </c>
      <c r="BC63" s="14"/>
      <c r="BD63" s="15"/>
      <c r="BE63" s="21" t="s">
        <v>3577</v>
      </c>
      <c r="BF63" s="12"/>
      <c r="BG63" s="43"/>
      <c r="BH63" s="12"/>
    </row>
    <row r="64" spans="1:60" s="3" customFormat="1" ht="21.6" x14ac:dyDescent="0.3">
      <c r="A64" s="16" t="s">
        <v>55</v>
      </c>
      <c r="B64" s="17" t="s">
        <v>3578</v>
      </c>
      <c r="C64" s="405" t="s">
        <v>3579</v>
      </c>
      <c r="D64" s="405"/>
      <c r="E64" s="405"/>
      <c r="F64" s="16" t="s">
        <v>38</v>
      </c>
      <c r="G64" s="23">
        <v>2</v>
      </c>
      <c r="H64" s="23">
        <f t="shared" si="0"/>
        <v>0</v>
      </c>
      <c r="I64" s="19">
        <v>0</v>
      </c>
      <c r="J64" s="19">
        <f t="shared" si="1"/>
        <v>51.24</v>
      </c>
      <c r="K64" s="19">
        <v>102.48</v>
      </c>
      <c r="BC64" s="14"/>
      <c r="BD64" s="15"/>
      <c r="BE64" s="21" t="s">
        <v>3579</v>
      </c>
      <c r="BF64" s="12"/>
      <c r="BG64" s="43"/>
      <c r="BH64" s="12"/>
    </row>
    <row r="65" spans="1:60" s="3" customFormat="1" ht="21.6" x14ac:dyDescent="0.3">
      <c r="A65" s="16" t="s">
        <v>56</v>
      </c>
      <c r="B65" s="17" t="s">
        <v>3580</v>
      </c>
      <c r="C65" s="405" t="s">
        <v>3581</v>
      </c>
      <c r="D65" s="405"/>
      <c r="E65" s="405"/>
      <c r="F65" s="16" t="s">
        <v>38</v>
      </c>
      <c r="G65" s="23">
        <v>1</v>
      </c>
      <c r="H65" s="23">
        <f t="shared" si="0"/>
        <v>0</v>
      </c>
      <c r="I65" s="19">
        <v>0</v>
      </c>
      <c r="J65" s="19">
        <f t="shared" si="1"/>
        <v>134.34</v>
      </c>
      <c r="K65" s="19">
        <v>134.34</v>
      </c>
      <c r="BC65" s="14"/>
      <c r="BD65" s="15"/>
      <c r="BE65" s="21" t="s">
        <v>3581</v>
      </c>
      <c r="BF65" s="12"/>
      <c r="BG65" s="43"/>
      <c r="BH65" s="12"/>
    </row>
    <row r="66" spans="1:60" s="3" customFormat="1" ht="15" customHeight="1" x14ac:dyDescent="0.3">
      <c r="A66" s="437" t="s">
        <v>1870</v>
      </c>
      <c r="B66" s="418"/>
      <c r="C66" s="418"/>
      <c r="D66" s="418"/>
      <c r="E66" s="418"/>
      <c r="F66" s="418"/>
      <c r="G66" s="418"/>
      <c r="H66" s="61"/>
      <c r="I66" s="61"/>
      <c r="J66" s="61"/>
      <c r="K66" s="62"/>
      <c r="BC66" s="14"/>
      <c r="BD66" s="15" t="s">
        <v>1870</v>
      </c>
      <c r="BE66" s="21"/>
      <c r="BF66" s="12"/>
      <c r="BG66" s="43"/>
      <c r="BH66" s="12"/>
    </row>
    <row r="67" spans="1:60" s="3" customFormat="1" ht="15" customHeight="1" x14ac:dyDescent="0.3">
      <c r="A67" s="437" t="s">
        <v>3582</v>
      </c>
      <c r="B67" s="418"/>
      <c r="C67" s="418"/>
      <c r="D67" s="418"/>
      <c r="E67" s="418"/>
      <c r="F67" s="418"/>
      <c r="G67" s="418"/>
      <c r="H67" s="61"/>
      <c r="I67" s="61"/>
      <c r="J67" s="61"/>
      <c r="K67" s="62"/>
      <c r="BC67" s="14"/>
      <c r="BD67" s="15" t="s">
        <v>3582</v>
      </c>
      <c r="BE67" s="21"/>
      <c r="BF67" s="12"/>
      <c r="BG67" s="43"/>
      <c r="BH67" s="12"/>
    </row>
    <row r="68" spans="1:60" s="3" customFormat="1" ht="52.2" x14ac:dyDescent="0.3">
      <c r="A68" s="16" t="s">
        <v>166</v>
      </c>
      <c r="B68" s="17" t="s">
        <v>3583</v>
      </c>
      <c r="C68" s="405" t="s">
        <v>3584</v>
      </c>
      <c r="D68" s="405"/>
      <c r="E68" s="405"/>
      <c r="F68" s="16" t="s">
        <v>142</v>
      </c>
      <c r="G68" s="31">
        <v>0.01</v>
      </c>
      <c r="H68" s="24">
        <f>I68/G68</f>
        <v>8093.0000000000009</v>
      </c>
      <c r="I68" s="19">
        <f>495.52-K68</f>
        <v>80.930000000000007</v>
      </c>
      <c r="J68" s="19">
        <f>K68/G68</f>
        <v>41459</v>
      </c>
      <c r="K68" s="19">
        <v>414.59</v>
      </c>
      <c r="BC68" s="14"/>
      <c r="BD68" s="15"/>
      <c r="BE68" s="21" t="s">
        <v>3584</v>
      </c>
      <c r="BF68" s="12"/>
      <c r="BG68" s="43"/>
      <c r="BH68" s="12"/>
    </row>
    <row r="69" spans="1:60" s="3" customFormat="1" ht="31.8" x14ac:dyDescent="0.3">
      <c r="A69" s="25"/>
      <c r="B69" s="26" t="s">
        <v>3585</v>
      </c>
      <c r="C69" s="419" t="s">
        <v>3586</v>
      </c>
      <c r="D69" s="419"/>
      <c r="E69" s="419"/>
      <c r="F69" s="27" t="s">
        <v>142</v>
      </c>
      <c r="G69" s="22" t="s">
        <v>3587</v>
      </c>
      <c r="H69" s="22"/>
      <c r="I69" s="28"/>
      <c r="J69" s="28"/>
      <c r="K69" s="29"/>
      <c r="BC69" s="14"/>
      <c r="BD69" s="15"/>
      <c r="BE69" s="21"/>
      <c r="BF69" s="12" t="s">
        <v>3586</v>
      </c>
      <c r="BG69" s="43"/>
      <c r="BH69" s="12"/>
    </row>
    <row r="70" spans="1:60" s="3" customFormat="1" ht="31.8" x14ac:dyDescent="0.3">
      <c r="A70" s="37" t="s">
        <v>143</v>
      </c>
      <c r="B70" s="38" t="s">
        <v>3588</v>
      </c>
      <c r="C70" s="430" t="s">
        <v>3589</v>
      </c>
      <c r="D70" s="430"/>
      <c r="E70" s="430"/>
      <c r="F70" s="39" t="s">
        <v>38</v>
      </c>
      <c r="G70" s="40" t="s">
        <v>3590</v>
      </c>
      <c r="H70" s="40"/>
      <c r="I70" s="41"/>
      <c r="J70" s="41"/>
      <c r="K70" s="42"/>
      <c r="BC70" s="14"/>
      <c r="BD70" s="15"/>
      <c r="BE70" s="21"/>
      <c r="BF70" s="12"/>
      <c r="BG70" s="43" t="s">
        <v>3589</v>
      </c>
      <c r="BH70" s="12"/>
    </row>
    <row r="71" spans="1:60" s="3" customFormat="1" ht="42" x14ac:dyDescent="0.3">
      <c r="A71" s="25" t="s">
        <v>129</v>
      </c>
      <c r="B71" s="26" t="s">
        <v>3591</v>
      </c>
      <c r="C71" s="419" t="s">
        <v>3592</v>
      </c>
      <c r="D71" s="419"/>
      <c r="E71" s="419"/>
      <c r="F71" s="27" t="s">
        <v>38</v>
      </c>
      <c r="G71" s="22" t="s">
        <v>3590</v>
      </c>
      <c r="H71" s="22"/>
      <c r="I71" s="28"/>
      <c r="J71" s="19"/>
      <c r="K71" s="29"/>
      <c r="BC71" s="14"/>
      <c r="BD71" s="15"/>
      <c r="BE71" s="21"/>
      <c r="BF71" s="12"/>
      <c r="BG71" s="43"/>
      <c r="BH71" s="12" t="s">
        <v>3592</v>
      </c>
    </row>
    <row r="72" spans="1:60" s="3" customFormat="1" ht="15" customHeight="1" x14ac:dyDescent="0.3">
      <c r="A72" s="437" t="s">
        <v>3593</v>
      </c>
      <c r="B72" s="418"/>
      <c r="C72" s="418"/>
      <c r="D72" s="418"/>
      <c r="E72" s="418"/>
      <c r="F72" s="418"/>
      <c r="G72" s="418"/>
      <c r="H72" s="61"/>
      <c r="I72" s="61"/>
      <c r="J72" s="61"/>
      <c r="K72" s="62"/>
      <c r="BC72" s="14"/>
      <c r="BD72" s="15" t="s">
        <v>3593</v>
      </c>
      <c r="BE72" s="21"/>
      <c r="BF72" s="12"/>
      <c r="BG72" s="43"/>
      <c r="BH72" s="12"/>
    </row>
    <row r="73" spans="1:60" s="3" customFormat="1" ht="72.599999999999994" x14ac:dyDescent="0.3">
      <c r="A73" s="16" t="s">
        <v>169</v>
      </c>
      <c r="B73" s="17" t="s">
        <v>3594</v>
      </c>
      <c r="C73" s="405" t="s">
        <v>3103</v>
      </c>
      <c r="D73" s="405"/>
      <c r="E73" s="405"/>
      <c r="F73" s="16" t="s">
        <v>38</v>
      </c>
      <c r="G73" s="23">
        <v>1</v>
      </c>
      <c r="H73" s="23">
        <v>0</v>
      </c>
      <c r="I73" s="19">
        <v>0</v>
      </c>
      <c r="J73" s="19">
        <f>K73/G73</f>
        <v>974.47</v>
      </c>
      <c r="K73" s="19">
        <v>974.47</v>
      </c>
      <c r="BC73" s="14"/>
      <c r="BD73" s="15"/>
      <c r="BE73" s="21" t="s">
        <v>3103</v>
      </c>
      <c r="BF73" s="12"/>
      <c r="BG73" s="43"/>
      <c r="BH73" s="12"/>
    </row>
    <row r="74" spans="1:60" s="3" customFormat="1" ht="14.4" x14ac:dyDescent="0.3">
      <c r="A74" s="437" t="s">
        <v>3595</v>
      </c>
      <c r="B74" s="418"/>
      <c r="C74" s="418"/>
      <c r="D74" s="418"/>
      <c r="E74" s="418"/>
      <c r="F74" s="418"/>
      <c r="G74" s="418"/>
      <c r="H74" s="61"/>
      <c r="I74" s="61"/>
      <c r="J74" s="61"/>
      <c r="K74" s="62"/>
      <c r="BC74" s="14"/>
      <c r="BD74" s="15" t="s">
        <v>3595</v>
      </c>
      <c r="BE74" s="21"/>
      <c r="BF74" s="12"/>
      <c r="BG74" s="43"/>
      <c r="BH74" s="12"/>
    </row>
    <row r="75" spans="1:60" s="3" customFormat="1" ht="52.2" x14ac:dyDescent="0.3">
      <c r="A75" s="16" t="s">
        <v>170</v>
      </c>
      <c r="B75" s="17" t="s">
        <v>3583</v>
      </c>
      <c r="C75" s="405" t="s">
        <v>3584</v>
      </c>
      <c r="D75" s="405"/>
      <c r="E75" s="405"/>
      <c r="F75" s="16" t="s">
        <v>142</v>
      </c>
      <c r="G75" s="31">
        <v>0.01</v>
      </c>
      <c r="H75" s="24">
        <f>I75/G75</f>
        <v>8093.0000000000009</v>
      </c>
      <c r="I75" s="19">
        <f>495.52-K75</f>
        <v>80.930000000000007</v>
      </c>
      <c r="J75" s="19">
        <f>K75/G75</f>
        <v>41459</v>
      </c>
      <c r="K75" s="19">
        <v>414.59</v>
      </c>
      <c r="BC75" s="14"/>
      <c r="BD75" s="15"/>
      <c r="BE75" s="21" t="s">
        <v>3584</v>
      </c>
      <c r="BF75" s="12"/>
      <c r="BG75" s="43"/>
      <c r="BH75" s="12"/>
    </row>
    <row r="76" spans="1:60" s="3" customFormat="1" ht="31.8" x14ac:dyDescent="0.3">
      <c r="A76" s="25"/>
      <c r="B76" s="26" t="s">
        <v>3585</v>
      </c>
      <c r="C76" s="419" t="s">
        <v>3586</v>
      </c>
      <c r="D76" s="419"/>
      <c r="E76" s="419"/>
      <c r="F76" s="27" t="s">
        <v>142</v>
      </c>
      <c r="G76" s="22" t="s">
        <v>3587</v>
      </c>
      <c r="H76" s="22"/>
      <c r="I76" s="28"/>
      <c r="J76" s="28"/>
      <c r="K76" s="29"/>
      <c r="BC76" s="14"/>
      <c r="BD76" s="15"/>
      <c r="BE76" s="21"/>
      <c r="BF76" s="12" t="s">
        <v>3586</v>
      </c>
      <c r="BG76" s="43"/>
      <c r="BH76" s="12"/>
    </row>
    <row r="77" spans="1:60" s="3" customFormat="1" ht="31.8" x14ac:dyDescent="0.3">
      <c r="A77" s="37" t="s">
        <v>143</v>
      </c>
      <c r="B77" s="38" t="s">
        <v>3588</v>
      </c>
      <c r="C77" s="430" t="s">
        <v>3589</v>
      </c>
      <c r="D77" s="430"/>
      <c r="E77" s="430"/>
      <c r="F77" s="39" t="s">
        <v>38</v>
      </c>
      <c r="G77" s="40" t="s">
        <v>3590</v>
      </c>
      <c r="H77" s="40"/>
      <c r="I77" s="41"/>
      <c r="J77" s="41"/>
      <c r="K77" s="42"/>
      <c r="BC77" s="14"/>
      <c r="BD77" s="15"/>
      <c r="BE77" s="21"/>
      <c r="BF77" s="12"/>
      <c r="BG77" s="43" t="s">
        <v>3589</v>
      </c>
      <c r="BH77" s="12"/>
    </row>
    <row r="78" spans="1:60" s="3" customFormat="1" ht="42" x14ac:dyDescent="0.3">
      <c r="A78" s="25" t="s">
        <v>129</v>
      </c>
      <c r="B78" s="26" t="s">
        <v>3591</v>
      </c>
      <c r="C78" s="419" t="s">
        <v>3592</v>
      </c>
      <c r="D78" s="419"/>
      <c r="E78" s="419"/>
      <c r="F78" s="27" t="s">
        <v>38</v>
      </c>
      <c r="G78" s="22" t="s">
        <v>3590</v>
      </c>
      <c r="H78" s="22"/>
      <c r="I78" s="28"/>
      <c r="J78" s="19"/>
      <c r="K78" s="29"/>
      <c r="BC78" s="14"/>
      <c r="BD78" s="15"/>
      <c r="BE78" s="21"/>
      <c r="BF78" s="12"/>
      <c r="BG78" s="43"/>
      <c r="BH78" s="12" t="s">
        <v>3592</v>
      </c>
    </row>
    <row r="79" spans="1:60" s="3" customFormat="1" ht="31.8" x14ac:dyDescent="0.3">
      <c r="A79" s="16" t="s">
        <v>173</v>
      </c>
      <c r="B79" s="17" t="s">
        <v>3596</v>
      </c>
      <c r="C79" s="405" t="s">
        <v>3597</v>
      </c>
      <c r="D79" s="405"/>
      <c r="E79" s="405"/>
      <c r="F79" s="16" t="s">
        <v>1261</v>
      </c>
      <c r="G79" s="24">
        <v>0.5</v>
      </c>
      <c r="H79" s="24">
        <v>0</v>
      </c>
      <c r="I79" s="19">
        <v>0</v>
      </c>
      <c r="J79" s="19">
        <f t="shared" ref="J79:J80" si="2">K79/G79</f>
        <v>438.96</v>
      </c>
      <c r="K79" s="19">
        <v>219.48</v>
      </c>
      <c r="BC79" s="14"/>
      <c r="BD79" s="15"/>
      <c r="BE79" s="21" t="s">
        <v>3597</v>
      </c>
      <c r="BF79" s="12"/>
      <c r="BG79" s="43"/>
      <c r="BH79" s="12"/>
    </row>
    <row r="80" spans="1:60" s="3" customFormat="1" ht="31.8" x14ac:dyDescent="0.3">
      <c r="A80" s="16" t="s">
        <v>176</v>
      </c>
      <c r="B80" s="17" t="s">
        <v>3598</v>
      </c>
      <c r="C80" s="405" t="s">
        <v>3599</v>
      </c>
      <c r="D80" s="405"/>
      <c r="E80" s="405"/>
      <c r="F80" s="16" t="s">
        <v>1261</v>
      </c>
      <c r="G80" s="24">
        <v>0.5</v>
      </c>
      <c r="H80" s="24"/>
      <c r="I80" s="19">
        <v>0</v>
      </c>
      <c r="J80" s="19">
        <f t="shared" si="2"/>
        <v>546.94000000000005</v>
      </c>
      <c r="K80" s="19">
        <v>273.47000000000003</v>
      </c>
      <c r="BC80" s="14"/>
      <c r="BD80" s="15"/>
      <c r="BE80" s="21" t="s">
        <v>3599</v>
      </c>
      <c r="BF80" s="12"/>
      <c r="BG80" s="43"/>
      <c r="BH80" s="12"/>
    </row>
    <row r="81" spans="1:60" s="3" customFormat="1" ht="15" customHeight="1" x14ac:dyDescent="0.3">
      <c r="A81" s="435" t="s">
        <v>3600</v>
      </c>
      <c r="B81" s="436"/>
      <c r="C81" s="436"/>
      <c r="D81" s="436"/>
      <c r="E81" s="436"/>
      <c r="F81" s="436"/>
      <c r="G81" s="436"/>
      <c r="H81" s="96"/>
      <c r="I81" s="96"/>
      <c r="J81" s="96"/>
      <c r="K81" s="97"/>
      <c r="BC81" s="14" t="s">
        <v>3600</v>
      </c>
      <c r="BD81" s="15"/>
      <c r="BE81" s="21"/>
      <c r="BF81" s="12"/>
      <c r="BG81" s="43"/>
      <c r="BH81" s="12"/>
    </row>
    <row r="82" spans="1:60" s="3" customFormat="1" ht="15" customHeight="1" x14ac:dyDescent="0.3">
      <c r="A82" s="437" t="s">
        <v>3601</v>
      </c>
      <c r="B82" s="418"/>
      <c r="C82" s="418"/>
      <c r="D82" s="418"/>
      <c r="E82" s="418"/>
      <c r="F82" s="418"/>
      <c r="G82" s="418"/>
      <c r="H82" s="61"/>
      <c r="I82" s="61"/>
      <c r="J82" s="61"/>
      <c r="K82" s="62"/>
      <c r="BC82" s="14"/>
      <c r="BD82" s="15" t="s">
        <v>3601</v>
      </c>
      <c r="BE82" s="21"/>
      <c r="BF82" s="12"/>
      <c r="BG82" s="43"/>
      <c r="BH82" s="12"/>
    </row>
    <row r="83" spans="1:60" s="3" customFormat="1" ht="21.6" x14ac:dyDescent="0.3">
      <c r="A83" s="16" t="s">
        <v>177</v>
      </c>
      <c r="B83" s="17" t="s">
        <v>3602</v>
      </c>
      <c r="C83" s="405" t="s">
        <v>3603</v>
      </c>
      <c r="D83" s="405"/>
      <c r="E83" s="405"/>
      <c r="F83" s="16" t="s">
        <v>1460</v>
      </c>
      <c r="G83" s="23">
        <v>1</v>
      </c>
      <c r="H83" s="23"/>
      <c r="I83" s="19"/>
      <c r="J83" s="19"/>
      <c r="K83" s="19">
        <v>6391.12</v>
      </c>
      <c r="BC83" s="14"/>
      <c r="BD83" s="15"/>
      <c r="BE83" s="21" t="s">
        <v>3603</v>
      </c>
      <c r="BF83" s="12"/>
      <c r="BG83" s="43"/>
      <c r="BH83" s="12"/>
    </row>
    <row r="84" spans="1:60" s="3" customFormat="1" ht="15" customHeight="1" x14ac:dyDescent="0.3">
      <c r="A84" s="437" t="s">
        <v>3545</v>
      </c>
      <c r="B84" s="418"/>
      <c r="C84" s="418"/>
      <c r="D84" s="418"/>
      <c r="E84" s="418"/>
      <c r="F84" s="418"/>
      <c r="G84" s="418"/>
      <c r="H84" s="61"/>
      <c r="I84" s="61"/>
      <c r="J84" s="61"/>
      <c r="K84" s="62"/>
      <c r="BC84" s="14"/>
      <c r="BD84" s="15" t="s">
        <v>3545</v>
      </c>
      <c r="BE84" s="21"/>
      <c r="BF84" s="12"/>
      <c r="BG84" s="43"/>
      <c r="BH84" s="12"/>
    </row>
    <row r="85" spans="1:60" s="3" customFormat="1" ht="31.8" x14ac:dyDescent="0.3">
      <c r="A85" s="16" t="s">
        <v>180</v>
      </c>
      <c r="B85" s="17" t="s">
        <v>3546</v>
      </c>
      <c r="C85" s="405" t="s">
        <v>3547</v>
      </c>
      <c r="D85" s="405"/>
      <c r="E85" s="405"/>
      <c r="F85" s="16" t="s">
        <v>67</v>
      </c>
      <c r="G85" s="18">
        <v>2.5000000000000001E-2</v>
      </c>
      <c r="H85" s="24">
        <f>I85/G85</f>
        <v>72549.599999999991</v>
      </c>
      <c r="I85" s="19">
        <f>2088.97-K85</f>
        <v>1813.7399999999998</v>
      </c>
      <c r="J85" s="19">
        <f>K85/G85</f>
        <v>11009.2</v>
      </c>
      <c r="K85" s="19">
        <v>275.23</v>
      </c>
      <c r="BC85" s="14"/>
      <c r="BD85" s="15"/>
      <c r="BE85" s="21" t="s">
        <v>3547</v>
      </c>
      <c r="BF85" s="12"/>
      <c r="BG85" s="43"/>
      <c r="BH85" s="12"/>
    </row>
    <row r="86" spans="1:60" s="3" customFormat="1" ht="20.399999999999999" x14ac:dyDescent="0.3">
      <c r="A86" s="25"/>
      <c r="B86" s="26" t="s">
        <v>154</v>
      </c>
      <c r="C86" s="419" t="s">
        <v>155</v>
      </c>
      <c r="D86" s="419"/>
      <c r="E86" s="419"/>
      <c r="F86" s="27" t="s">
        <v>46</v>
      </c>
      <c r="G86" s="22" t="s">
        <v>3604</v>
      </c>
      <c r="H86" s="22"/>
      <c r="I86" s="28"/>
      <c r="J86" s="28"/>
      <c r="K86" s="29"/>
      <c r="BC86" s="14"/>
      <c r="BD86" s="15"/>
      <c r="BE86" s="21"/>
      <c r="BF86" s="12" t="s">
        <v>155</v>
      </c>
      <c r="BG86" s="43"/>
      <c r="BH86" s="12"/>
    </row>
    <row r="87" spans="1:60" s="3" customFormat="1" ht="21.6" x14ac:dyDescent="0.3">
      <c r="A87" s="25"/>
      <c r="B87" s="26" t="s">
        <v>3549</v>
      </c>
      <c r="C87" s="419" t="s">
        <v>3550</v>
      </c>
      <c r="D87" s="419"/>
      <c r="E87" s="419"/>
      <c r="F87" s="27" t="s">
        <v>70</v>
      </c>
      <c r="G87" s="22" t="s">
        <v>3605</v>
      </c>
      <c r="H87" s="22"/>
      <c r="I87" s="28"/>
      <c r="J87" s="28"/>
      <c r="K87" s="29"/>
      <c r="BC87" s="14"/>
      <c r="BD87" s="15"/>
      <c r="BE87" s="21"/>
      <c r="BF87" s="12" t="s">
        <v>3550</v>
      </c>
      <c r="BG87" s="43"/>
      <c r="BH87" s="12"/>
    </row>
    <row r="88" spans="1:60" s="3" customFormat="1" ht="21.6" x14ac:dyDescent="0.3">
      <c r="A88" s="25"/>
      <c r="B88" s="26" t="s">
        <v>3552</v>
      </c>
      <c r="C88" s="419" t="s">
        <v>3553</v>
      </c>
      <c r="D88" s="419"/>
      <c r="E88" s="419"/>
      <c r="F88" s="27" t="s">
        <v>75</v>
      </c>
      <c r="G88" s="22" t="s">
        <v>3606</v>
      </c>
      <c r="H88" s="22"/>
      <c r="I88" s="28"/>
      <c r="J88" s="28"/>
      <c r="K88" s="29"/>
      <c r="BC88" s="14"/>
      <c r="BD88" s="15"/>
      <c r="BE88" s="21"/>
      <c r="BF88" s="12" t="s">
        <v>3553</v>
      </c>
      <c r="BG88" s="43"/>
      <c r="BH88" s="12"/>
    </row>
    <row r="89" spans="1:60" s="3" customFormat="1" ht="20.399999999999999" x14ac:dyDescent="0.3">
      <c r="A89" s="37" t="s">
        <v>78</v>
      </c>
      <c r="B89" s="38" t="s">
        <v>1786</v>
      </c>
      <c r="C89" s="430" t="s">
        <v>3555</v>
      </c>
      <c r="D89" s="430"/>
      <c r="E89" s="430"/>
      <c r="F89" s="39" t="s">
        <v>38</v>
      </c>
      <c r="G89" s="40" t="s">
        <v>33</v>
      </c>
      <c r="H89" s="40"/>
      <c r="I89" s="41"/>
      <c r="J89" s="41"/>
      <c r="K89" s="42"/>
      <c r="BC89" s="14"/>
      <c r="BD89" s="15"/>
      <c r="BE89" s="21"/>
      <c r="BF89" s="12"/>
      <c r="BG89" s="43" t="s">
        <v>3555</v>
      </c>
      <c r="BH89" s="12"/>
    </row>
    <row r="90" spans="1:60" s="3" customFormat="1" ht="20.399999999999999" x14ac:dyDescent="0.3">
      <c r="A90" s="37" t="s">
        <v>78</v>
      </c>
      <c r="B90" s="38" t="s">
        <v>1820</v>
      </c>
      <c r="C90" s="430" t="s">
        <v>1523</v>
      </c>
      <c r="D90" s="430"/>
      <c r="E90" s="430"/>
      <c r="F90" s="39" t="s">
        <v>75</v>
      </c>
      <c r="G90" s="40" t="s">
        <v>33</v>
      </c>
      <c r="H90" s="40"/>
      <c r="I90" s="41"/>
      <c r="J90" s="41"/>
      <c r="K90" s="42"/>
      <c r="BC90" s="14"/>
      <c r="BD90" s="15"/>
      <c r="BE90" s="21"/>
      <c r="BF90" s="12"/>
      <c r="BG90" s="43" t="s">
        <v>1523</v>
      </c>
      <c r="BH90" s="12"/>
    </row>
    <row r="91" spans="1:60" s="3" customFormat="1" ht="31.8" x14ac:dyDescent="0.3">
      <c r="A91" s="37" t="s">
        <v>143</v>
      </c>
      <c r="B91" s="38" t="s">
        <v>3556</v>
      </c>
      <c r="C91" s="430" t="s">
        <v>3557</v>
      </c>
      <c r="D91" s="430"/>
      <c r="E91" s="430"/>
      <c r="F91" s="39" t="s">
        <v>115</v>
      </c>
      <c r="G91" s="40" t="s">
        <v>3607</v>
      </c>
      <c r="H91" s="40"/>
      <c r="I91" s="41"/>
      <c r="J91" s="41"/>
      <c r="K91" s="42"/>
      <c r="BC91" s="14"/>
      <c r="BD91" s="15"/>
      <c r="BE91" s="21"/>
      <c r="BF91" s="12"/>
      <c r="BG91" s="43" t="s">
        <v>3557</v>
      </c>
      <c r="BH91" s="12"/>
    </row>
    <row r="92" spans="1:60" s="3" customFormat="1" ht="31.8" x14ac:dyDescent="0.3">
      <c r="A92" s="25" t="s">
        <v>129</v>
      </c>
      <c r="B92" s="26" t="s">
        <v>3559</v>
      </c>
      <c r="C92" s="419" t="s">
        <v>3560</v>
      </c>
      <c r="D92" s="419"/>
      <c r="E92" s="419"/>
      <c r="F92" s="27" t="s">
        <v>115</v>
      </c>
      <c r="G92" s="22" t="s">
        <v>3607</v>
      </c>
      <c r="H92" s="22"/>
      <c r="I92" s="28"/>
      <c r="J92" s="19"/>
      <c r="K92" s="29"/>
      <c r="BC92" s="14"/>
      <c r="BD92" s="15"/>
      <c r="BE92" s="21"/>
      <c r="BF92" s="12"/>
      <c r="BG92" s="43"/>
      <c r="BH92" s="12" t="s">
        <v>3560</v>
      </c>
    </row>
    <row r="93" spans="1:60" s="3" customFormat="1" ht="15" customHeight="1" x14ac:dyDescent="0.3">
      <c r="A93" s="437" t="s">
        <v>1849</v>
      </c>
      <c r="B93" s="418"/>
      <c r="C93" s="418"/>
      <c r="D93" s="418"/>
      <c r="E93" s="418"/>
      <c r="F93" s="418"/>
      <c r="G93" s="418"/>
      <c r="H93" s="61"/>
      <c r="I93" s="61"/>
      <c r="J93" s="61"/>
      <c r="K93" s="62"/>
      <c r="BC93" s="14"/>
      <c r="BD93" s="15" t="s">
        <v>1849</v>
      </c>
      <c r="BE93" s="21"/>
      <c r="BF93" s="12"/>
      <c r="BG93" s="43"/>
      <c r="BH93" s="12"/>
    </row>
    <row r="94" spans="1:60" s="3" customFormat="1" ht="21.6" x14ac:dyDescent="0.3">
      <c r="A94" s="16" t="s">
        <v>182</v>
      </c>
      <c r="B94" s="17" t="s">
        <v>3572</v>
      </c>
      <c r="C94" s="405" t="s">
        <v>3573</v>
      </c>
      <c r="D94" s="405"/>
      <c r="E94" s="405"/>
      <c r="F94" s="16" t="s">
        <v>38</v>
      </c>
      <c r="G94" s="23">
        <v>3</v>
      </c>
      <c r="H94" s="23">
        <v>0</v>
      </c>
      <c r="I94" s="19">
        <v>0</v>
      </c>
      <c r="J94" s="19">
        <f t="shared" ref="J94:J96" si="3">K94/G94</f>
        <v>5.6633333333333331</v>
      </c>
      <c r="K94" s="19">
        <v>16.989999999999998</v>
      </c>
      <c r="BC94" s="14"/>
      <c r="BD94" s="15"/>
      <c r="BE94" s="21" t="s">
        <v>3573</v>
      </c>
      <c r="BF94" s="12"/>
      <c r="BG94" s="43"/>
      <c r="BH94" s="12"/>
    </row>
    <row r="95" spans="1:60" s="3" customFormat="1" ht="31.8" x14ac:dyDescent="0.3">
      <c r="A95" s="16" t="s">
        <v>186</v>
      </c>
      <c r="B95" s="17" t="s">
        <v>3608</v>
      </c>
      <c r="C95" s="405" t="s">
        <v>3609</v>
      </c>
      <c r="D95" s="405"/>
      <c r="E95" s="405"/>
      <c r="F95" s="16" t="s">
        <v>38</v>
      </c>
      <c r="G95" s="23">
        <v>1</v>
      </c>
      <c r="H95" s="23">
        <v>0</v>
      </c>
      <c r="I95" s="19">
        <v>0</v>
      </c>
      <c r="J95" s="19">
        <f t="shared" si="3"/>
        <v>180.54</v>
      </c>
      <c r="K95" s="19">
        <v>180.54</v>
      </c>
      <c r="BC95" s="14"/>
      <c r="BD95" s="15"/>
      <c r="BE95" s="21" t="s">
        <v>3609</v>
      </c>
      <c r="BF95" s="12"/>
      <c r="BG95" s="43"/>
      <c r="BH95" s="12"/>
    </row>
    <row r="96" spans="1:60" s="3" customFormat="1" ht="21.6" x14ac:dyDescent="0.3">
      <c r="A96" s="16" t="s">
        <v>192</v>
      </c>
      <c r="B96" s="17" t="s">
        <v>3578</v>
      </c>
      <c r="C96" s="405" t="s">
        <v>3579</v>
      </c>
      <c r="D96" s="405"/>
      <c r="E96" s="405"/>
      <c r="F96" s="16" t="s">
        <v>38</v>
      </c>
      <c r="G96" s="23">
        <v>1</v>
      </c>
      <c r="H96" s="23">
        <v>0</v>
      </c>
      <c r="I96" s="19">
        <v>0</v>
      </c>
      <c r="J96" s="19">
        <f t="shared" si="3"/>
        <v>51.24</v>
      </c>
      <c r="K96" s="19">
        <v>51.24</v>
      </c>
      <c r="BC96" s="14"/>
      <c r="BD96" s="15"/>
      <c r="BE96" s="21" t="s">
        <v>3579</v>
      </c>
      <c r="BF96" s="12"/>
      <c r="BG96" s="43"/>
      <c r="BH96" s="12"/>
    </row>
    <row r="97" spans="1:60" s="3" customFormat="1" ht="15" customHeight="1" x14ac:dyDescent="0.3">
      <c r="A97" s="437" t="s">
        <v>1870</v>
      </c>
      <c r="B97" s="418"/>
      <c r="C97" s="418"/>
      <c r="D97" s="418"/>
      <c r="E97" s="418"/>
      <c r="F97" s="418"/>
      <c r="G97" s="418"/>
      <c r="H97" s="61"/>
      <c r="I97" s="61"/>
      <c r="J97" s="61"/>
      <c r="K97" s="62"/>
      <c r="BC97" s="14"/>
      <c r="BD97" s="15" t="s">
        <v>1870</v>
      </c>
      <c r="BE97" s="21"/>
      <c r="BF97" s="12"/>
      <c r="BG97" s="43"/>
      <c r="BH97" s="12"/>
    </row>
    <row r="98" spans="1:60" s="3" customFormat="1" ht="31.8" x14ac:dyDescent="0.3">
      <c r="A98" s="16" t="s">
        <v>196</v>
      </c>
      <c r="B98" s="17" t="s">
        <v>3596</v>
      </c>
      <c r="C98" s="405" t="s">
        <v>3597</v>
      </c>
      <c r="D98" s="405"/>
      <c r="E98" s="405"/>
      <c r="F98" s="16" t="s">
        <v>1261</v>
      </c>
      <c r="G98" s="24">
        <v>0.6</v>
      </c>
      <c r="H98" s="23">
        <v>0</v>
      </c>
      <c r="I98" s="19">
        <v>0</v>
      </c>
      <c r="J98" s="19">
        <f>K98/G98</f>
        <v>438.9666666666667</v>
      </c>
      <c r="K98" s="19">
        <v>263.38</v>
      </c>
      <c r="BC98" s="14"/>
      <c r="BD98" s="15"/>
      <c r="BE98" s="21" t="s">
        <v>3597</v>
      </c>
      <c r="BF98" s="12"/>
      <c r="BG98" s="43"/>
      <c r="BH98" s="12"/>
    </row>
    <row r="99" spans="1:60" s="3" customFormat="1" ht="15" customHeight="1" x14ac:dyDescent="0.3">
      <c r="A99" s="437" t="s">
        <v>1900</v>
      </c>
      <c r="B99" s="418"/>
      <c r="C99" s="418"/>
      <c r="D99" s="418"/>
      <c r="E99" s="418"/>
      <c r="F99" s="418"/>
      <c r="G99" s="418"/>
      <c r="H99" s="61"/>
      <c r="I99" s="61"/>
      <c r="J99" s="61"/>
      <c r="K99" s="62"/>
      <c r="BC99" s="14"/>
      <c r="BD99" s="15" t="s">
        <v>1900</v>
      </c>
      <c r="BE99" s="21"/>
      <c r="BF99" s="12"/>
      <c r="BG99" s="43"/>
      <c r="BH99" s="12"/>
    </row>
    <row r="100" spans="1:60" s="3" customFormat="1" ht="15" customHeight="1" x14ac:dyDescent="0.3">
      <c r="A100" s="437" t="s">
        <v>3610</v>
      </c>
      <c r="B100" s="418"/>
      <c r="C100" s="418"/>
      <c r="D100" s="418"/>
      <c r="E100" s="418"/>
      <c r="F100" s="418"/>
      <c r="G100" s="418"/>
      <c r="H100" s="61"/>
      <c r="I100" s="61"/>
      <c r="J100" s="61"/>
      <c r="K100" s="62"/>
      <c r="BC100" s="14"/>
      <c r="BD100" s="15" t="s">
        <v>3610</v>
      </c>
      <c r="BE100" s="21"/>
      <c r="BF100" s="12"/>
      <c r="BG100" s="43"/>
      <c r="BH100" s="12"/>
    </row>
    <row r="101" spans="1:60" s="3" customFormat="1" ht="15" customHeight="1" x14ac:dyDescent="0.3">
      <c r="A101" s="437" t="s">
        <v>3611</v>
      </c>
      <c r="B101" s="418"/>
      <c r="C101" s="418"/>
      <c r="D101" s="418"/>
      <c r="E101" s="418"/>
      <c r="F101" s="418"/>
      <c r="G101" s="418"/>
      <c r="H101" s="61"/>
      <c r="I101" s="61"/>
      <c r="J101" s="61"/>
      <c r="K101" s="62"/>
      <c r="BC101" s="14"/>
      <c r="BD101" s="15" t="s">
        <v>3611</v>
      </c>
      <c r="BE101" s="21"/>
      <c r="BF101" s="12"/>
      <c r="BG101" s="43"/>
      <c r="BH101" s="12"/>
    </row>
    <row r="102" spans="1:60" s="3" customFormat="1" ht="20.25" customHeight="1" x14ac:dyDescent="0.3">
      <c r="A102" s="406" t="s">
        <v>57</v>
      </c>
      <c r="B102" s="407"/>
      <c r="C102" s="407"/>
      <c r="D102" s="407"/>
      <c r="E102" s="407"/>
      <c r="F102" s="407"/>
      <c r="G102" s="407"/>
      <c r="H102" s="66"/>
      <c r="I102" s="67">
        <f>SUM(I13:I98)</f>
        <v>12773.170000000002</v>
      </c>
      <c r="J102" s="72"/>
      <c r="K102" s="67">
        <f>SUM(K13:K98)</f>
        <v>25816.070000000003</v>
      </c>
    </row>
    <row r="103" spans="1:60" s="53" customFormat="1" ht="20.25" customHeight="1" thickBot="1" x14ac:dyDescent="0.35">
      <c r="A103" s="408" t="s">
        <v>5461</v>
      </c>
      <c r="B103" s="409"/>
      <c r="C103" s="409"/>
      <c r="D103" s="409"/>
      <c r="E103" s="409"/>
      <c r="F103" s="409"/>
      <c r="G103" s="409"/>
      <c r="H103" s="88"/>
      <c r="I103" s="410">
        <f>I102+K102</f>
        <v>38589.240000000005</v>
      </c>
      <c r="J103" s="411"/>
      <c r="K103" s="412"/>
      <c r="M103" s="153"/>
    </row>
    <row r="104" spans="1:60" ht="11.25" customHeight="1" x14ac:dyDescent="0.2">
      <c r="M104" s="54"/>
    </row>
  </sheetData>
  <mergeCells count="101">
    <mergeCell ref="C95:E95"/>
    <mergeCell ref="C96:E96"/>
    <mergeCell ref="C98:E98"/>
    <mergeCell ref="A99:G99"/>
    <mergeCell ref="A97:G97"/>
    <mergeCell ref="C90:E90"/>
    <mergeCell ref="C91:E91"/>
    <mergeCell ref="C92:E92"/>
    <mergeCell ref="C94:E94"/>
    <mergeCell ref="A93:G93"/>
    <mergeCell ref="C85:E85"/>
    <mergeCell ref="C86:E86"/>
    <mergeCell ref="C87:E87"/>
    <mergeCell ref="C88:E88"/>
    <mergeCell ref="C89:E89"/>
    <mergeCell ref="C80:E80"/>
    <mergeCell ref="C83:E83"/>
    <mergeCell ref="A84:G84"/>
    <mergeCell ref="A82:G82"/>
    <mergeCell ref="A81:G81"/>
    <mergeCell ref="C75:E75"/>
    <mergeCell ref="C76:E76"/>
    <mergeCell ref="C77:E77"/>
    <mergeCell ref="C78:E78"/>
    <mergeCell ref="C79:E79"/>
    <mergeCell ref="C70:E70"/>
    <mergeCell ref="C71:E71"/>
    <mergeCell ref="C73:E73"/>
    <mergeCell ref="A74:G74"/>
    <mergeCell ref="A72:G72"/>
    <mergeCell ref="C65:E65"/>
    <mergeCell ref="C68:E68"/>
    <mergeCell ref="C69:E69"/>
    <mergeCell ref="A67:G67"/>
    <mergeCell ref="A66:G66"/>
    <mergeCell ref="C61:E61"/>
    <mergeCell ref="C62:E62"/>
    <mergeCell ref="C63:E63"/>
    <mergeCell ref="C64:E64"/>
    <mergeCell ref="A60:G60"/>
    <mergeCell ref="C55:E55"/>
    <mergeCell ref="C56:E56"/>
    <mergeCell ref="C57:E57"/>
    <mergeCell ref="C58:E58"/>
    <mergeCell ref="C59:E59"/>
    <mergeCell ref="C50:E50"/>
    <mergeCell ref="C52:E52"/>
    <mergeCell ref="C53:E53"/>
    <mergeCell ref="C54:E54"/>
    <mergeCell ref="A51:G51"/>
    <mergeCell ref="C45:E45"/>
    <mergeCell ref="C46:E46"/>
    <mergeCell ref="C47:E47"/>
    <mergeCell ref="C48:E48"/>
    <mergeCell ref="C49:E49"/>
    <mergeCell ref="C43:E43"/>
    <mergeCell ref="C44:E44"/>
    <mergeCell ref="A42:G42"/>
    <mergeCell ref="A41:G41"/>
    <mergeCell ref="A40:G40"/>
    <mergeCell ref="C35:E35"/>
    <mergeCell ref="C36:E36"/>
    <mergeCell ref="C37:E37"/>
    <mergeCell ref="C39:E39"/>
    <mergeCell ref="A38:G38"/>
    <mergeCell ref="C18:E18"/>
    <mergeCell ref="C19:E19"/>
    <mergeCell ref="C30:E30"/>
    <mergeCell ref="C31:E31"/>
    <mergeCell ref="C32:E32"/>
    <mergeCell ref="C33:E33"/>
    <mergeCell ref="C34:E34"/>
    <mergeCell ref="C25:E25"/>
    <mergeCell ref="C27:E27"/>
    <mergeCell ref="C28:E28"/>
    <mergeCell ref="C29:E29"/>
    <mergeCell ref="A26:G26"/>
    <mergeCell ref="A102:G102"/>
    <mergeCell ref="A103:G103"/>
    <mergeCell ref="I103:K103"/>
    <mergeCell ref="A101:G101"/>
    <mergeCell ref="A100:G100"/>
    <mergeCell ref="A2:K2"/>
    <mergeCell ref="A3:K3"/>
    <mergeCell ref="A5:K5"/>
    <mergeCell ref="C9:E9"/>
    <mergeCell ref="C10:E10"/>
    <mergeCell ref="C13:E13"/>
    <mergeCell ref="C14:E14"/>
    <mergeCell ref="A6:K6"/>
    <mergeCell ref="C7:G7"/>
    <mergeCell ref="A12:G12"/>
    <mergeCell ref="A11:G11"/>
    <mergeCell ref="C20:E20"/>
    <mergeCell ref="C21:E21"/>
    <mergeCell ref="C22:E22"/>
    <mergeCell ref="C23:E23"/>
    <mergeCell ref="C24:E24"/>
    <mergeCell ref="C15:E15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  <pageSetUpPr fitToPage="1"/>
  </sheetPr>
  <dimension ref="A1:BJ300"/>
  <sheetViews>
    <sheetView zoomScale="110" zoomScaleNormal="110" workbookViewId="0">
      <selection activeCell="M9" sqref="M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5546875" style="1" customWidth="1"/>
    <col min="4" max="4" width="13.5546875" style="1" customWidth="1"/>
    <col min="5" max="5" width="16.88671875" style="1" customWidth="1"/>
    <col min="6" max="7" width="10.6640625" style="1" customWidth="1"/>
    <col min="8" max="11" width="16.44140625" style="54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4" width="172.5546875" style="2" hidden="1" customWidth="1"/>
    <col min="55" max="55" width="34.109375" style="2" hidden="1" customWidth="1"/>
    <col min="56" max="56" width="172.5546875" style="2" hidden="1" customWidth="1"/>
    <col min="57" max="59" width="34.109375" style="2" hidden="1" customWidth="1"/>
    <col min="60" max="62" width="127.5546875" style="2" hidden="1" customWidth="1"/>
    <col min="63" max="16384" width="9.109375" style="1"/>
  </cols>
  <sheetData>
    <row r="1" spans="1:57" s="3" customFormat="1" ht="14.4" x14ac:dyDescent="0.3">
      <c r="A1" s="95" t="s">
        <v>5584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29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3858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3858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4.4" x14ac:dyDescent="0.3">
      <c r="A7" s="4"/>
      <c r="B7" s="8" t="s">
        <v>5</v>
      </c>
      <c r="C7" s="402" t="s">
        <v>3859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5" customHeight="1" x14ac:dyDescent="0.3">
      <c r="A11" s="435" t="s">
        <v>3860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B11" s="14" t="s">
        <v>3860</v>
      </c>
    </row>
    <row r="12" spans="1:57" s="3" customFormat="1" ht="31.8" x14ac:dyDescent="0.3">
      <c r="A12" s="16" t="s">
        <v>15</v>
      </c>
      <c r="B12" s="17" t="s">
        <v>1732</v>
      </c>
      <c r="C12" s="405" t="s">
        <v>1733</v>
      </c>
      <c r="D12" s="405"/>
      <c r="E12" s="405"/>
      <c r="F12" s="16" t="s">
        <v>125</v>
      </c>
      <c r="G12" s="30">
        <v>0.21149999999999999</v>
      </c>
      <c r="H12" s="57">
        <f>I12/G12</f>
        <v>140948.36879432626</v>
      </c>
      <c r="I12" s="19">
        <f>29810.58-K12</f>
        <v>29810.58</v>
      </c>
      <c r="J12" s="19">
        <f>K12/G12</f>
        <v>0</v>
      </c>
      <c r="K12" s="19">
        <v>0</v>
      </c>
      <c r="BB12" s="14"/>
      <c r="BC12" s="21" t="s">
        <v>1733</v>
      </c>
    </row>
    <row r="13" spans="1:57" s="3" customFormat="1" ht="21.6" x14ac:dyDescent="0.3">
      <c r="A13" s="16" t="s">
        <v>20</v>
      </c>
      <c r="B13" s="17" t="s">
        <v>123</v>
      </c>
      <c r="C13" s="405" t="s">
        <v>124</v>
      </c>
      <c r="D13" s="405"/>
      <c r="E13" s="405"/>
      <c r="F13" s="16" t="s">
        <v>125</v>
      </c>
      <c r="G13" s="18">
        <v>0.14099999999999999</v>
      </c>
      <c r="H13" s="57">
        <f>I13/G13</f>
        <v>64903.475177304965</v>
      </c>
      <c r="I13" s="19">
        <f>9151.39-K13</f>
        <v>9151.39</v>
      </c>
      <c r="J13" s="19">
        <f>K13/G13</f>
        <v>0</v>
      </c>
      <c r="K13" s="19">
        <v>0</v>
      </c>
      <c r="BB13" s="14"/>
      <c r="BC13" s="21" t="s">
        <v>124</v>
      </c>
    </row>
    <row r="14" spans="1:57" s="3" customFormat="1" ht="15" customHeight="1" x14ac:dyDescent="0.3">
      <c r="A14" s="437" t="s">
        <v>3861</v>
      </c>
      <c r="B14" s="418"/>
      <c r="C14" s="418"/>
      <c r="D14" s="418"/>
      <c r="E14" s="418"/>
      <c r="F14" s="418"/>
      <c r="G14" s="418"/>
      <c r="H14" s="123"/>
      <c r="I14" s="123"/>
      <c r="J14" s="123"/>
      <c r="K14" s="124"/>
      <c r="BB14" s="14"/>
      <c r="BC14" s="21"/>
      <c r="BD14" s="15" t="s">
        <v>3861</v>
      </c>
    </row>
    <row r="15" spans="1:57" s="3" customFormat="1" ht="21.6" x14ac:dyDescent="0.3">
      <c r="A15" s="16" t="s">
        <v>22</v>
      </c>
      <c r="B15" s="17" t="s">
        <v>1735</v>
      </c>
      <c r="C15" s="405" t="s">
        <v>1736</v>
      </c>
      <c r="D15" s="405"/>
      <c r="E15" s="405"/>
      <c r="F15" s="16" t="s">
        <v>67</v>
      </c>
      <c r="G15" s="31">
        <v>0.47</v>
      </c>
      <c r="H15" s="57">
        <f>I15/G15</f>
        <v>15444.276595744681</v>
      </c>
      <c r="I15" s="19">
        <f>10979.9-K15</f>
        <v>7258.8099999999995</v>
      </c>
      <c r="J15" s="19">
        <f>K15/G15</f>
        <v>7917.2127659574471</v>
      </c>
      <c r="K15" s="19">
        <v>3721.09</v>
      </c>
      <c r="BB15" s="14"/>
      <c r="BC15" s="21" t="s">
        <v>1736</v>
      </c>
      <c r="BD15" s="15"/>
    </row>
    <row r="16" spans="1:57" s="3" customFormat="1" ht="20.399999999999999" x14ac:dyDescent="0.3">
      <c r="A16" s="25"/>
      <c r="B16" s="26" t="s">
        <v>1693</v>
      </c>
      <c r="C16" s="419" t="s">
        <v>1694</v>
      </c>
      <c r="D16" s="419"/>
      <c r="E16" s="419"/>
      <c r="F16" s="27" t="s">
        <v>75</v>
      </c>
      <c r="G16" s="22" t="s">
        <v>3862</v>
      </c>
      <c r="H16" s="58"/>
      <c r="I16" s="28"/>
      <c r="J16" s="28"/>
      <c r="K16" s="29"/>
      <c r="BB16" s="14"/>
      <c r="BC16" s="21"/>
      <c r="BD16" s="15"/>
      <c r="BE16" s="12" t="s">
        <v>1694</v>
      </c>
    </row>
    <row r="17" spans="1:57" s="3" customFormat="1" ht="20.399999999999999" x14ac:dyDescent="0.3">
      <c r="A17" s="25"/>
      <c r="B17" s="26" t="s">
        <v>1738</v>
      </c>
      <c r="C17" s="419" t="s">
        <v>1739</v>
      </c>
      <c r="D17" s="419"/>
      <c r="E17" s="419"/>
      <c r="F17" s="27" t="s">
        <v>75</v>
      </c>
      <c r="G17" s="22" t="s">
        <v>3863</v>
      </c>
      <c r="H17" s="58"/>
      <c r="I17" s="28"/>
      <c r="J17" s="28"/>
      <c r="K17" s="29"/>
      <c r="BB17" s="14"/>
      <c r="BC17" s="21"/>
      <c r="BD17" s="15"/>
      <c r="BE17" s="12" t="s">
        <v>1739</v>
      </c>
    </row>
    <row r="18" spans="1:57" s="3" customFormat="1" ht="21.6" x14ac:dyDescent="0.3">
      <c r="A18" s="25"/>
      <c r="B18" s="26" t="s">
        <v>607</v>
      </c>
      <c r="C18" s="419" t="s">
        <v>608</v>
      </c>
      <c r="D18" s="419"/>
      <c r="E18" s="419"/>
      <c r="F18" s="27" t="s">
        <v>609</v>
      </c>
      <c r="G18" s="22" t="s">
        <v>3864</v>
      </c>
      <c r="H18" s="58"/>
      <c r="I18" s="28"/>
      <c r="J18" s="28"/>
      <c r="K18" s="29"/>
      <c r="BB18" s="14"/>
      <c r="BC18" s="21"/>
      <c r="BD18" s="15"/>
      <c r="BE18" s="12" t="s">
        <v>608</v>
      </c>
    </row>
    <row r="19" spans="1:57" s="3" customFormat="1" ht="21.6" x14ac:dyDescent="0.3">
      <c r="A19" s="16" t="s">
        <v>27</v>
      </c>
      <c r="B19" s="17" t="s">
        <v>3865</v>
      </c>
      <c r="C19" s="405" t="s">
        <v>3866</v>
      </c>
      <c r="D19" s="405"/>
      <c r="E19" s="405"/>
      <c r="F19" s="16" t="s">
        <v>115</v>
      </c>
      <c r="G19" s="23">
        <v>47</v>
      </c>
      <c r="H19" s="57">
        <v>0</v>
      </c>
      <c r="I19" s="19">
        <v>0</v>
      </c>
      <c r="J19" s="19">
        <f>K19/G19</f>
        <v>427.89744680851067</v>
      </c>
      <c r="K19" s="19">
        <v>20111.18</v>
      </c>
      <c r="BB19" s="14"/>
      <c r="BC19" s="21" t="s">
        <v>3866</v>
      </c>
      <c r="BD19" s="15"/>
      <c r="BE19" s="12"/>
    </row>
    <row r="20" spans="1:57" s="3" customFormat="1" ht="15" customHeight="1" x14ac:dyDescent="0.3">
      <c r="A20" s="437" t="s">
        <v>3867</v>
      </c>
      <c r="B20" s="418"/>
      <c r="C20" s="418"/>
      <c r="D20" s="418"/>
      <c r="E20" s="418"/>
      <c r="F20" s="418"/>
      <c r="G20" s="418"/>
      <c r="H20" s="123"/>
      <c r="I20" s="123"/>
      <c r="J20" s="123"/>
      <c r="K20" s="124"/>
      <c r="BB20" s="14"/>
      <c r="BC20" s="21"/>
      <c r="BD20" s="15" t="s">
        <v>3867</v>
      </c>
      <c r="BE20" s="12"/>
    </row>
    <row r="21" spans="1:57" s="3" customFormat="1" ht="21.6" x14ac:dyDescent="0.3">
      <c r="A21" s="16" t="s">
        <v>35</v>
      </c>
      <c r="B21" s="17" t="s">
        <v>3868</v>
      </c>
      <c r="C21" s="405" t="s">
        <v>3869</v>
      </c>
      <c r="D21" s="405"/>
      <c r="E21" s="405"/>
      <c r="F21" s="16" t="s">
        <v>1261</v>
      </c>
      <c r="G21" s="24">
        <v>1.3</v>
      </c>
      <c r="H21" s="57">
        <f>I21/G21</f>
        <v>7946.6923076923076</v>
      </c>
      <c r="I21" s="19">
        <f>15928.57-K21</f>
        <v>10330.700000000001</v>
      </c>
      <c r="J21" s="19">
        <f>K21/G21</f>
        <v>4306.0538461538463</v>
      </c>
      <c r="K21" s="19">
        <v>5597.87</v>
      </c>
      <c r="BB21" s="14"/>
      <c r="BC21" s="21" t="s">
        <v>3869</v>
      </c>
      <c r="BD21" s="15"/>
      <c r="BE21" s="12"/>
    </row>
    <row r="22" spans="1:57" s="3" customFormat="1" ht="20.399999999999999" x14ac:dyDescent="0.3">
      <c r="A22" s="25"/>
      <c r="B22" s="26" t="s">
        <v>1693</v>
      </c>
      <c r="C22" s="419" t="s">
        <v>1694</v>
      </c>
      <c r="D22" s="419"/>
      <c r="E22" s="419"/>
      <c r="F22" s="27" t="s">
        <v>75</v>
      </c>
      <c r="G22" s="22" t="s">
        <v>3870</v>
      </c>
      <c r="H22" s="58"/>
      <c r="I22" s="28"/>
      <c r="J22" s="28"/>
      <c r="K22" s="29"/>
      <c r="BB22" s="14"/>
      <c r="BC22" s="21"/>
      <c r="BD22" s="15"/>
      <c r="BE22" s="12" t="s">
        <v>1694</v>
      </c>
    </row>
    <row r="23" spans="1:57" s="3" customFormat="1" ht="20.399999999999999" x14ac:dyDescent="0.3">
      <c r="A23" s="25"/>
      <c r="B23" s="26" t="s">
        <v>1738</v>
      </c>
      <c r="C23" s="419" t="s">
        <v>1739</v>
      </c>
      <c r="D23" s="419"/>
      <c r="E23" s="419"/>
      <c r="F23" s="27" t="s">
        <v>75</v>
      </c>
      <c r="G23" s="22" t="s">
        <v>3871</v>
      </c>
      <c r="H23" s="58"/>
      <c r="I23" s="28"/>
      <c r="J23" s="28"/>
      <c r="K23" s="29"/>
      <c r="BB23" s="14"/>
      <c r="BC23" s="21"/>
      <c r="BD23" s="15"/>
      <c r="BE23" s="12" t="s">
        <v>1739</v>
      </c>
    </row>
    <row r="24" spans="1:57" s="3" customFormat="1" ht="21.6" x14ac:dyDescent="0.3">
      <c r="A24" s="25"/>
      <c r="B24" s="26" t="s">
        <v>607</v>
      </c>
      <c r="C24" s="419" t="s">
        <v>608</v>
      </c>
      <c r="D24" s="419"/>
      <c r="E24" s="419"/>
      <c r="F24" s="27" t="s">
        <v>609</v>
      </c>
      <c r="G24" s="22" t="s">
        <v>3872</v>
      </c>
      <c r="H24" s="58"/>
      <c r="I24" s="28"/>
      <c r="J24" s="28"/>
      <c r="K24" s="29"/>
      <c r="BB24" s="14"/>
      <c r="BC24" s="21"/>
      <c r="BD24" s="15"/>
      <c r="BE24" s="12" t="s">
        <v>608</v>
      </c>
    </row>
    <row r="25" spans="1:57" s="3" customFormat="1" ht="21.6" x14ac:dyDescent="0.3">
      <c r="A25" s="16" t="s">
        <v>40</v>
      </c>
      <c r="B25" s="17" t="s">
        <v>3873</v>
      </c>
      <c r="C25" s="405" t="s">
        <v>3874</v>
      </c>
      <c r="D25" s="405"/>
      <c r="E25" s="405"/>
      <c r="F25" s="16" t="s">
        <v>70</v>
      </c>
      <c r="G25" s="44">
        <v>6.1129999999999997E-2</v>
      </c>
      <c r="H25" s="57">
        <f>I25/G25</f>
        <v>0</v>
      </c>
      <c r="I25" s="19">
        <v>0</v>
      </c>
      <c r="J25" s="19">
        <f>K25/G25</f>
        <v>46285.620808113861</v>
      </c>
      <c r="K25" s="19">
        <v>2829.44</v>
      </c>
      <c r="BB25" s="14"/>
      <c r="BC25" s="21" t="s">
        <v>3874</v>
      </c>
      <c r="BD25" s="15"/>
      <c r="BE25" s="12"/>
    </row>
    <row r="26" spans="1:57" s="3" customFormat="1" ht="15" customHeight="1" x14ac:dyDescent="0.3">
      <c r="A26" s="437" t="s">
        <v>3875</v>
      </c>
      <c r="B26" s="418"/>
      <c r="C26" s="418"/>
      <c r="D26" s="418"/>
      <c r="E26" s="418"/>
      <c r="F26" s="418"/>
      <c r="G26" s="418"/>
      <c r="H26" s="123"/>
      <c r="I26" s="123"/>
      <c r="J26" s="123"/>
      <c r="K26" s="124"/>
      <c r="BB26" s="14"/>
      <c r="BC26" s="21"/>
      <c r="BD26" s="15" t="s">
        <v>3875</v>
      </c>
      <c r="BE26" s="12"/>
    </row>
    <row r="27" spans="1:57" s="3" customFormat="1" ht="31.8" x14ac:dyDescent="0.3">
      <c r="A27" s="16" t="s">
        <v>47</v>
      </c>
      <c r="B27" s="17" t="s">
        <v>3876</v>
      </c>
      <c r="C27" s="405" t="s">
        <v>3877</v>
      </c>
      <c r="D27" s="405"/>
      <c r="E27" s="405"/>
      <c r="F27" s="16" t="s">
        <v>67</v>
      </c>
      <c r="G27" s="31">
        <v>0.16</v>
      </c>
      <c r="H27" s="57">
        <f>I27/G27</f>
        <v>19669.687499999996</v>
      </c>
      <c r="I27" s="19">
        <f>3980.85-K27</f>
        <v>3147.1499999999996</v>
      </c>
      <c r="J27" s="19">
        <f>K27/G27</f>
        <v>5210.625</v>
      </c>
      <c r="K27" s="19">
        <v>833.7</v>
      </c>
      <c r="BB27" s="14"/>
      <c r="BC27" s="21" t="s">
        <v>3877</v>
      </c>
      <c r="BD27" s="15"/>
      <c r="BE27" s="12"/>
    </row>
    <row r="28" spans="1:57" s="3" customFormat="1" ht="20.399999999999999" x14ac:dyDescent="0.3">
      <c r="A28" s="25"/>
      <c r="B28" s="26" t="s">
        <v>1693</v>
      </c>
      <c r="C28" s="419" t="s">
        <v>1694</v>
      </c>
      <c r="D28" s="419"/>
      <c r="E28" s="419"/>
      <c r="F28" s="27" t="s">
        <v>75</v>
      </c>
      <c r="G28" s="22" t="s">
        <v>3878</v>
      </c>
      <c r="H28" s="58"/>
      <c r="I28" s="28"/>
      <c r="J28" s="28"/>
      <c r="K28" s="29"/>
      <c r="BB28" s="14"/>
      <c r="BC28" s="21"/>
      <c r="BD28" s="15"/>
      <c r="BE28" s="12" t="s">
        <v>1694</v>
      </c>
    </row>
    <row r="29" spans="1:57" s="3" customFormat="1" ht="21.6" x14ac:dyDescent="0.3">
      <c r="A29" s="25"/>
      <c r="B29" s="26" t="s">
        <v>1233</v>
      </c>
      <c r="C29" s="419" t="s">
        <v>1234</v>
      </c>
      <c r="D29" s="419"/>
      <c r="E29" s="419"/>
      <c r="F29" s="27" t="s">
        <v>70</v>
      </c>
      <c r="G29" s="22" t="s">
        <v>3879</v>
      </c>
      <c r="H29" s="58"/>
      <c r="I29" s="28"/>
      <c r="J29" s="28"/>
      <c r="K29" s="29"/>
      <c r="BB29" s="14"/>
      <c r="BC29" s="21"/>
      <c r="BD29" s="15"/>
      <c r="BE29" s="12" t="s">
        <v>1234</v>
      </c>
    </row>
    <row r="30" spans="1:57" s="3" customFormat="1" ht="20.399999999999999" x14ac:dyDescent="0.3">
      <c r="A30" s="25"/>
      <c r="B30" s="26" t="s">
        <v>1738</v>
      </c>
      <c r="C30" s="419" t="s">
        <v>1739</v>
      </c>
      <c r="D30" s="419"/>
      <c r="E30" s="419"/>
      <c r="F30" s="27" t="s">
        <v>75</v>
      </c>
      <c r="G30" s="22" t="s">
        <v>3880</v>
      </c>
      <c r="H30" s="58"/>
      <c r="I30" s="28"/>
      <c r="J30" s="28"/>
      <c r="K30" s="29"/>
      <c r="BB30" s="14"/>
      <c r="BC30" s="21"/>
      <c r="BD30" s="15"/>
      <c r="BE30" s="12" t="s">
        <v>1739</v>
      </c>
    </row>
    <row r="31" spans="1:57" s="3" customFormat="1" ht="21.6" x14ac:dyDescent="0.3">
      <c r="A31" s="25"/>
      <c r="B31" s="26" t="s">
        <v>607</v>
      </c>
      <c r="C31" s="419" t="s">
        <v>608</v>
      </c>
      <c r="D31" s="419"/>
      <c r="E31" s="419"/>
      <c r="F31" s="27" t="s">
        <v>609</v>
      </c>
      <c r="G31" s="22" t="s">
        <v>3881</v>
      </c>
      <c r="H31" s="58"/>
      <c r="I31" s="28"/>
      <c r="J31" s="28"/>
      <c r="K31" s="29"/>
      <c r="BB31" s="14"/>
      <c r="BC31" s="21"/>
      <c r="BD31" s="15"/>
      <c r="BE31" s="12" t="s">
        <v>608</v>
      </c>
    </row>
    <row r="32" spans="1:57" s="3" customFormat="1" ht="21.6" x14ac:dyDescent="0.3">
      <c r="A32" s="16" t="s">
        <v>52</v>
      </c>
      <c r="B32" s="17" t="s">
        <v>3865</v>
      </c>
      <c r="C32" s="405" t="s">
        <v>3866</v>
      </c>
      <c r="D32" s="405"/>
      <c r="E32" s="405"/>
      <c r="F32" s="16" t="s">
        <v>115</v>
      </c>
      <c r="G32" s="23">
        <v>16</v>
      </c>
      <c r="H32" s="57">
        <v>0</v>
      </c>
      <c r="I32" s="19">
        <v>0</v>
      </c>
      <c r="J32" s="19">
        <f>K32/G32</f>
        <v>427.89749999999998</v>
      </c>
      <c r="K32" s="19">
        <v>6846.36</v>
      </c>
      <c r="BB32" s="14"/>
      <c r="BC32" s="21" t="s">
        <v>3866</v>
      </c>
      <c r="BD32" s="15"/>
      <c r="BE32" s="12"/>
    </row>
    <row r="33" spans="1:57" s="3" customFormat="1" ht="15" customHeight="1" x14ac:dyDescent="0.3">
      <c r="A33" s="437" t="s">
        <v>3882</v>
      </c>
      <c r="B33" s="418"/>
      <c r="C33" s="418"/>
      <c r="D33" s="418"/>
      <c r="E33" s="418"/>
      <c r="F33" s="418"/>
      <c r="G33" s="418"/>
      <c r="H33" s="123"/>
      <c r="I33" s="123"/>
      <c r="J33" s="123"/>
      <c r="K33" s="124"/>
      <c r="BB33" s="14"/>
      <c r="BC33" s="21"/>
      <c r="BD33" s="15" t="s">
        <v>3882</v>
      </c>
      <c r="BE33" s="12"/>
    </row>
    <row r="34" spans="1:57" s="3" customFormat="1" ht="14.4" x14ac:dyDescent="0.3">
      <c r="A34" s="16" t="s">
        <v>55</v>
      </c>
      <c r="B34" s="17" t="s">
        <v>3883</v>
      </c>
      <c r="C34" s="405" t="s">
        <v>3884</v>
      </c>
      <c r="D34" s="405"/>
      <c r="E34" s="405"/>
      <c r="F34" s="16" t="s">
        <v>38</v>
      </c>
      <c r="G34" s="23">
        <v>1</v>
      </c>
      <c r="H34" s="57">
        <f>I34/G34</f>
        <v>491.77</v>
      </c>
      <c r="I34" s="19">
        <f>495.4-K34</f>
        <v>491.77</v>
      </c>
      <c r="J34" s="19">
        <f>K34/G34</f>
        <v>3.63</v>
      </c>
      <c r="K34" s="19">
        <v>3.63</v>
      </c>
      <c r="BB34" s="14"/>
      <c r="BC34" s="21" t="s">
        <v>3884</v>
      </c>
      <c r="BD34" s="15"/>
      <c r="BE34" s="12"/>
    </row>
    <row r="35" spans="1:57" s="3" customFormat="1" ht="20.399999999999999" x14ac:dyDescent="0.3">
      <c r="A35" s="25"/>
      <c r="B35" s="26" t="s">
        <v>1964</v>
      </c>
      <c r="C35" s="419" t="s">
        <v>1965</v>
      </c>
      <c r="D35" s="419"/>
      <c r="E35" s="419"/>
      <c r="F35" s="27" t="s">
        <v>70</v>
      </c>
      <c r="G35" s="22" t="s">
        <v>1471</v>
      </c>
      <c r="H35" s="58"/>
      <c r="I35" s="28"/>
      <c r="J35" s="28"/>
      <c r="K35" s="29"/>
      <c r="BB35" s="14"/>
      <c r="BC35" s="21"/>
      <c r="BD35" s="15"/>
      <c r="BE35" s="12" t="s">
        <v>1965</v>
      </c>
    </row>
    <row r="36" spans="1:57" s="3" customFormat="1" ht="20.399999999999999" x14ac:dyDescent="0.3">
      <c r="A36" s="25"/>
      <c r="B36" s="26" t="s">
        <v>1916</v>
      </c>
      <c r="C36" s="419" t="s">
        <v>1917</v>
      </c>
      <c r="D36" s="419"/>
      <c r="E36" s="419"/>
      <c r="F36" s="27" t="s">
        <v>70</v>
      </c>
      <c r="G36" s="22" t="s">
        <v>3885</v>
      </c>
      <c r="H36" s="58"/>
      <c r="I36" s="28"/>
      <c r="J36" s="28"/>
      <c r="K36" s="29"/>
      <c r="BB36" s="14"/>
      <c r="BC36" s="21"/>
      <c r="BD36" s="15"/>
      <c r="BE36" s="12" t="s">
        <v>1917</v>
      </c>
    </row>
    <row r="37" spans="1:57" s="3" customFormat="1" ht="21.6" x14ac:dyDescent="0.3">
      <c r="A37" s="25"/>
      <c r="B37" s="26" t="s">
        <v>3886</v>
      </c>
      <c r="C37" s="419" t="s">
        <v>3887</v>
      </c>
      <c r="D37" s="419"/>
      <c r="E37" s="419"/>
      <c r="F37" s="27" t="s">
        <v>70</v>
      </c>
      <c r="G37" s="22" t="s">
        <v>1471</v>
      </c>
      <c r="H37" s="58"/>
      <c r="I37" s="28"/>
      <c r="J37" s="28"/>
      <c r="K37" s="29"/>
      <c r="BB37" s="14"/>
      <c r="BC37" s="21"/>
      <c r="BD37" s="15"/>
      <c r="BE37" s="12" t="s">
        <v>3887</v>
      </c>
    </row>
    <row r="38" spans="1:57" s="3" customFormat="1" ht="21.6" x14ac:dyDescent="0.3">
      <c r="A38" s="25"/>
      <c r="B38" s="26" t="s">
        <v>607</v>
      </c>
      <c r="C38" s="419" t="s">
        <v>608</v>
      </c>
      <c r="D38" s="419"/>
      <c r="E38" s="419"/>
      <c r="F38" s="27" t="s">
        <v>609</v>
      </c>
      <c r="G38" s="22" t="s">
        <v>1910</v>
      </c>
      <c r="H38" s="58"/>
      <c r="I38" s="28"/>
      <c r="J38" s="28"/>
      <c r="K38" s="29"/>
      <c r="BB38" s="14"/>
      <c r="BC38" s="21"/>
      <c r="BD38" s="15"/>
      <c r="BE38" s="12" t="s">
        <v>608</v>
      </c>
    </row>
    <row r="39" spans="1:57" s="3" customFormat="1" ht="21.6" x14ac:dyDescent="0.3">
      <c r="A39" s="16" t="s">
        <v>56</v>
      </c>
      <c r="B39" s="17" t="s">
        <v>3888</v>
      </c>
      <c r="C39" s="405" t="s">
        <v>3889</v>
      </c>
      <c r="D39" s="405"/>
      <c r="E39" s="405"/>
      <c r="F39" s="16" t="s">
        <v>1460</v>
      </c>
      <c r="G39" s="23">
        <v>1</v>
      </c>
      <c r="H39" s="57">
        <v>0</v>
      </c>
      <c r="I39" s="19">
        <v>0</v>
      </c>
      <c r="J39" s="19">
        <f t="shared" ref="J39:J40" si="0">K39/G39</f>
        <v>416.48</v>
      </c>
      <c r="K39" s="19">
        <v>416.48</v>
      </c>
      <c r="BB39" s="14"/>
      <c r="BC39" s="21" t="s">
        <v>3889</v>
      </c>
      <c r="BD39" s="15"/>
      <c r="BE39" s="12"/>
    </row>
    <row r="40" spans="1:57" s="3" customFormat="1" ht="20.399999999999999" x14ac:dyDescent="0.3">
      <c r="A40" s="16" t="s">
        <v>166</v>
      </c>
      <c r="B40" s="17" t="s">
        <v>3890</v>
      </c>
      <c r="C40" s="405" t="s">
        <v>3891</v>
      </c>
      <c r="D40" s="405"/>
      <c r="E40" s="405"/>
      <c r="F40" s="16" t="s">
        <v>1460</v>
      </c>
      <c r="G40" s="23">
        <v>6</v>
      </c>
      <c r="H40" s="57">
        <v>0</v>
      </c>
      <c r="I40" s="19">
        <v>0</v>
      </c>
      <c r="J40" s="19">
        <f t="shared" si="0"/>
        <v>944.91499999999996</v>
      </c>
      <c r="K40" s="19">
        <v>5669.49</v>
      </c>
      <c r="BB40" s="14"/>
      <c r="BC40" s="21" t="s">
        <v>3891</v>
      </c>
      <c r="BD40" s="15"/>
      <c r="BE40" s="12"/>
    </row>
    <row r="41" spans="1:57" s="3" customFormat="1" ht="15" customHeight="1" x14ac:dyDescent="0.3">
      <c r="A41" s="437" t="s">
        <v>3892</v>
      </c>
      <c r="B41" s="418"/>
      <c r="C41" s="418"/>
      <c r="D41" s="418"/>
      <c r="E41" s="418"/>
      <c r="F41" s="418"/>
      <c r="G41" s="418"/>
      <c r="H41" s="123"/>
      <c r="I41" s="123"/>
      <c r="J41" s="123"/>
      <c r="K41" s="124"/>
      <c r="BB41" s="14"/>
      <c r="BC41" s="21"/>
      <c r="BD41" s="15" t="s">
        <v>3892</v>
      </c>
      <c r="BE41" s="12"/>
    </row>
    <row r="42" spans="1:57" s="3" customFormat="1" ht="42" x14ac:dyDescent="0.3">
      <c r="A42" s="16" t="s">
        <v>169</v>
      </c>
      <c r="B42" s="17" t="s">
        <v>3893</v>
      </c>
      <c r="C42" s="405" t="s">
        <v>3894</v>
      </c>
      <c r="D42" s="405"/>
      <c r="E42" s="405"/>
      <c r="F42" s="16" t="s">
        <v>67</v>
      </c>
      <c r="G42" s="31">
        <v>0.85</v>
      </c>
      <c r="H42" s="57">
        <f>I42/G42</f>
        <v>10174.529411764704</v>
      </c>
      <c r="I42" s="19">
        <f>8859.96-K42</f>
        <v>8648.3499999999985</v>
      </c>
      <c r="J42" s="19">
        <f>K42/G42</f>
        <v>248.9529411764706</v>
      </c>
      <c r="K42" s="19">
        <v>211.61</v>
      </c>
      <c r="BB42" s="14"/>
      <c r="BC42" s="21" t="s">
        <v>3894</v>
      </c>
      <c r="BD42" s="15"/>
      <c r="BE42" s="12"/>
    </row>
    <row r="43" spans="1:57" s="3" customFormat="1" ht="20.399999999999999" x14ac:dyDescent="0.3">
      <c r="A43" s="25"/>
      <c r="B43" s="26" t="s">
        <v>599</v>
      </c>
      <c r="C43" s="419" t="s">
        <v>600</v>
      </c>
      <c r="D43" s="419"/>
      <c r="E43" s="419"/>
      <c r="F43" s="27" t="s">
        <v>406</v>
      </c>
      <c r="G43" s="22" t="s">
        <v>3895</v>
      </c>
      <c r="H43" s="58"/>
      <c r="I43" s="28"/>
      <c r="J43" s="28"/>
      <c r="K43" s="29"/>
      <c r="BB43" s="14"/>
      <c r="BC43" s="21"/>
      <c r="BD43" s="15"/>
      <c r="BE43" s="12" t="s">
        <v>600</v>
      </c>
    </row>
    <row r="44" spans="1:57" s="3" customFormat="1" ht="20.399999999999999" x14ac:dyDescent="0.3">
      <c r="A44" s="25"/>
      <c r="B44" s="26" t="s">
        <v>1964</v>
      </c>
      <c r="C44" s="419" t="s">
        <v>1965</v>
      </c>
      <c r="D44" s="419"/>
      <c r="E44" s="419"/>
      <c r="F44" s="27" t="s">
        <v>70</v>
      </c>
      <c r="G44" s="22" t="s">
        <v>3896</v>
      </c>
      <c r="H44" s="58"/>
      <c r="I44" s="28"/>
      <c r="J44" s="28"/>
      <c r="K44" s="29"/>
      <c r="BB44" s="14"/>
      <c r="BC44" s="21"/>
      <c r="BD44" s="15"/>
      <c r="BE44" s="12" t="s">
        <v>1965</v>
      </c>
    </row>
    <row r="45" spans="1:57" s="3" customFormat="1" ht="21.6" x14ac:dyDescent="0.3">
      <c r="A45" s="25"/>
      <c r="B45" s="26" t="s">
        <v>1766</v>
      </c>
      <c r="C45" s="419" t="s">
        <v>1767</v>
      </c>
      <c r="D45" s="419"/>
      <c r="E45" s="419"/>
      <c r="F45" s="27" t="s">
        <v>70</v>
      </c>
      <c r="G45" s="22" t="s">
        <v>3897</v>
      </c>
      <c r="H45" s="58"/>
      <c r="I45" s="28"/>
      <c r="J45" s="28"/>
      <c r="K45" s="29"/>
      <c r="BB45" s="14"/>
      <c r="BC45" s="21"/>
      <c r="BD45" s="15"/>
      <c r="BE45" s="12" t="s">
        <v>1767</v>
      </c>
    </row>
    <row r="46" spans="1:57" s="3" customFormat="1" ht="20.399999999999999" x14ac:dyDescent="0.3">
      <c r="A46" s="25"/>
      <c r="B46" s="26" t="s">
        <v>89</v>
      </c>
      <c r="C46" s="419" t="s">
        <v>90</v>
      </c>
      <c r="D46" s="419"/>
      <c r="E46" s="419"/>
      <c r="F46" s="27" t="s">
        <v>70</v>
      </c>
      <c r="G46" s="22" t="s">
        <v>3898</v>
      </c>
      <c r="H46" s="58"/>
      <c r="I46" s="28"/>
      <c r="J46" s="28"/>
      <c r="K46" s="29"/>
      <c r="BB46" s="14"/>
      <c r="BC46" s="21"/>
      <c r="BD46" s="15"/>
      <c r="BE46" s="12" t="s">
        <v>90</v>
      </c>
    </row>
    <row r="47" spans="1:57" s="3" customFormat="1" ht="21.6" x14ac:dyDescent="0.3">
      <c r="A47" s="25"/>
      <c r="B47" s="26" t="s">
        <v>607</v>
      </c>
      <c r="C47" s="419" t="s">
        <v>608</v>
      </c>
      <c r="D47" s="419"/>
      <c r="E47" s="419"/>
      <c r="F47" s="27" t="s">
        <v>609</v>
      </c>
      <c r="G47" s="22" t="s">
        <v>3899</v>
      </c>
      <c r="H47" s="58"/>
      <c r="I47" s="28"/>
      <c r="J47" s="28"/>
      <c r="K47" s="29"/>
      <c r="BB47" s="14"/>
      <c r="BC47" s="21"/>
      <c r="BD47" s="15"/>
      <c r="BE47" s="12" t="s">
        <v>608</v>
      </c>
    </row>
    <row r="48" spans="1:57" s="3" customFormat="1" ht="52.2" x14ac:dyDescent="0.3">
      <c r="A48" s="16" t="s">
        <v>170</v>
      </c>
      <c r="B48" s="17" t="s">
        <v>3900</v>
      </c>
      <c r="C48" s="405" t="s">
        <v>3901</v>
      </c>
      <c r="D48" s="405"/>
      <c r="E48" s="405"/>
      <c r="F48" s="16" t="s">
        <v>115</v>
      </c>
      <c r="G48" s="24">
        <v>66.3</v>
      </c>
      <c r="H48" s="57">
        <v>0</v>
      </c>
      <c r="I48" s="19">
        <v>0</v>
      </c>
      <c r="J48" s="19">
        <f t="shared" ref="J48:J49" si="1">K48/G48</f>
        <v>357.71704374057316</v>
      </c>
      <c r="K48" s="19">
        <v>23716.639999999999</v>
      </c>
      <c r="BB48" s="14"/>
      <c r="BC48" s="21" t="s">
        <v>3901</v>
      </c>
      <c r="BD48" s="15"/>
      <c r="BE48" s="12"/>
    </row>
    <row r="49" spans="1:59" s="3" customFormat="1" ht="52.2" x14ac:dyDescent="0.3">
      <c r="A49" s="16" t="s">
        <v>173</v>
      </c>
      <c r="B49" s="17" t="s">
        <v>3902</v>
      </c>
      <c r="C49" s="405" t="s">
        <v>3903</v>
      </c>
      <c r="D49" s="405"/>
      <c r="E49" s="405"/>
      <c r="F49" s="16" t="s">
        <v>115</v>
      </c>
      <c r="G49" s="24">
        <v>20.6</v>
      </c>
      <c r="H49" s="57">
        <v>0</v>
      </c>
      <c r="I49" s="19">
        <v>0</v>
      </c>
      <c r="J49" s="19">
        <f t="shared" si="1"/>
        <v>149.38786407766989</v>
      </c>
      <c r="K49" s="19">
        <v>3077.39</v>
      </c>
      <c r="BB49" s="14"/>
      <c r="BC49" s="21" t="s">
        <v>3903</v>
      </c>
      <c r="BD49" s="15"/>
      <c r="BE49" s="12"/>
    </row>
    <row r="50" spans="1:59" s="3" customFormat="1" ht="15" customHeight="1" x14ac:dyDescent="0.3">
      <c r="A50" s="437" t="s">
        <v>3904</v>
      </c>
      <c r="B50" s="418"/>
      <c r="C50" s="418"/>
      <c r="D50" s="418"/>
      <c r="E50" s="418"/>
      <c r="F50" s="418"/>
      <c r="G50" s="418"/>
      <c r="H50" s="123"/>
      <c r="I50" s="123"/>
      <c r="J50" s="123"/>
      <c r="K50" s="124"/>
      <c r="BB50" s="14"/>
      <c r="BC50" s="21"/>
      <c r="BD50" s="15" t="s">
        <v>3904</v>
      </c>
      <c r="BE50" s="12"/>
    </row>
    <row r="51" spans="1:59" s="3" customFormat="1" ht="31.8" x14ac:dyDescent="0.3">
      <c r="A51" s="16" t="s">
        <v>176</v>
      </c>
      <c r="B51" s="17" t="s">
        <v>3905</v>
      </c>
      <c r="C51" s="405" t="s">
        <v>3906</v>
      </c>
      <c r="D51" s="405"/>
      <c r="E51" s="405"/>
      <c r="F51" s="16" t="s">
        <v>3907</v>
      </c>
      <c r="G51" s="30">
        <v>7.9000000000000008E-3</v>
      </c>
      <c r="H51" s="57">
        <f>I51/G51</f>
        <v>346824.05063291139</v>
      </c>
      <c r="I51" s="19">
        <f>4202.81-K51</f>
        <v>2739.9100000000003</v>
      </c>
      <c r="J51" s="19">
        <f>K51/G51</f>
        <v>185177.21518987342</v>
      </c>
      <c r="K51" s="19">
        <v>1462.9</v>
      </c>
      <c r="BB51" s="14"/>
      <c r="BC51" s="21" t="s">
        <v>3906</v>
      </c>
      <c r="BD51" s="15"/>
      <c r="BE51" s="12"/>
    </row>
    <row r="52" spans="1:59" s="3" customFormat="1" ht="20.399999999999999" x14ac:dyDescent="0.3">
      <c r="A52" s="25"/>
      <c r="B52" s="26" t="s">
        <v>154</v>
      </c>
      <c r="C52" s="419" t="s">
        <v>155</v>
      </c>
      <c r="D52" s="419"/>
      <c r="E52" s="419"/>
      <c r="F52" s="27" t="s">
        <v>46</v>
      </c>
      <c r="G52" s="22" t="s">
        <v>3908</v>
      </c>
      <c r="H52" s="58"/>
      <c r="I52" s="28"/>
      <c r="J52" s="28"/>
      <c r="K52" s="29"/>
      <c r="BB52" s="14"/>
      <c r="BC52" s="21"/>
      <c r="BD52" s="15"/>
      <c r="BE52" s="12" t="s">
        <v>155</v>
      </c>
    </row>
    <row r="53" spans="1:59" s="3" customFormat="1" ht="20.399999999999999" x14ac:dyDescent="0.3">
      <c r="A53" s="25"/>
      <c r="B53" s="26" t="s">
        <v>3497</v>
      </c>
      <c r="C53" s="419" t="s">
        <v>3498</v>
      </c>
      <c r="D53" s="419"/>
      <c r="E53" s="419"/>
      <c r="F53" s="27" t="s">
        <v>70</v>
      </c>
      <c r="G53" s="22" t="s">
        <v>3909</v>
      </c>
      <c r="H53" s="58"/>
      <c r="I53" s="28"/>
      <c r="J53" s="28"/>
      <c r="K53" s="29"/>
      <c r="BB53" s="14"/>
      <c r="BC53" s="21"/>
      <c r="BD53" s="15"/>
      <c r="BE53" s="12" t="s">
        <v>3498</v>
      </c>
    </row>
    <row r="54" spans="1:59" s="3" customFormat="1" ht="21.6" x14ac:dyDescent="0.3">
      <c r="A54" s="25"/>
      <c r="B54" s="26" t="s">
        <v>3910</v>
      </c>
      <c r="C54" s="419" t="s">
        <v>3911</v>
      </c>
      <c r="D54" s="419"/>
      <c r="E54" s="419"/>
      <c r="F54" s="27" t="s">
        <v>75</v>
      </c>
      <c r="G54" s="22" t="s">
        <v>3912</v>
      </c>
      <c r="H54" s="58"/>
      <c r="I54" s="28"/>
      <c r="J54" s="28"/>
      <c r="K54" s="29"/>
      <c r="BB54" s="14"/>
      <c r="BC54" s="21"/>
      <c r="BD54" s="15"/>
      <c r="BE54" s="12" t="s">
        <v>3911</v>
      </c>
    </row>
    <row r="55" spans="1:59" s="3" customFormat="1" ht="20.399999999999999" x14ac:dyDescent="0.3">
      <c r="A55" s="25"/>
      <c r="B55" s="26" t="s">
        <v>709</v>
      </c>
      <c r="C55" s="419" t="s">
        <v>710</v>
      </c>
      <c r="D55" s="419"/>
      <c r="E55" s="419"/>
      <c r="F55" s="27" t="s">
        <v>46</v>
      </c>
      <c r="G55" s="22" t="s">
        <v>3913</v>
      </c>
      <c r="H55" s="58"/>
      <c r="I55" s="28"/>
      <c r="J55" s="28"/>
      <c r="K55" s="29"/>
      <c r="BB55" s="14"/>
      <c r="BC55" s="21"/>
      <c r="BD55" s="15"/>
      <c r="BE55" s="12" t="s">
        <v>710</v>
      </c>
    </row>
    <row r="56" spans="1:59" s="3" customFormat="1" ht="21.6" x14ac:dyDescent="0.3">
      <c r="A56" s="25"/>
      <c r="B56" s="26" t="s">
        <v>3914</v>
      </c>
      <c r="C56" s="419" t="s">
        <v>3915</v>
      </c>
      <c r="D56" s="419"/>
      <c r="E56" s="419"/>
      <c r="F56" s="27" t="s">
        <v>46</v>
      </c>
      <c r="G56" s="22" t="s">
        <v>3916</v>
      </c>
      <c r="H56" s="58"/>
      <c r="I56" s="28"/>
      <c r="J56" s="28"/>
      <c r="K56" s="29"/>
      <c r="BB56" s="14"/>
      <c r="BC56" s="21"/>
      <c r="BD56" s="15"/>
      <c r="BE56" s="12" t="s">
        <v>3915</v>
      </c>
    </row>
    <row r="57" spans="1:59" s="3" customFormat="1" ht="20.399999999999999" x14ac:dyDescent="0.3">
      <c r="A57" s="37" t="s">
        <v>143</v>
      </c>
      <c r="B57" s="38" t="s">
        <v>3917</v>
      </c>
      <c r="C57" s="430" t="s">
        <v>3918</v>
      </c>
      <c r="D57" s="430"/>
      <c r="E57" s="430"/>
      <c r="F57" s="39" t="s">
        <v>115</v>
      </c>
      <c r="G57" s="40" t="s">
        <v>3919</v>
      </c>
      <c r="H57" s="100"/>
      <c r="I57" s="41"/>
      <c r="J57" s="41"/>
      <c r="K57" s="42"/>
      <c r="BB57" s="14"/>
      <c r="BC57" s="21"/>
      <c r="BD57" s="15"/>
      <c r="BE57" s="12"/>
      <c r="BF57" s="43" t="s">
        <v>3918</v>
      </c>
    </row>
    <row r="58" spans="1:59" s="3" customFormat="1" ht="20.399999999999999" x14ac:dyDescent="0.3">
      <c r="A58" s="37" t="s">
        <v>143</v>
      </c>
      <c r="B58" s="38" t="s">
        <v>3920</v>
      </c>
      <c r="C58" s="430" t="s">
        <v>3921</v>
      </c>
      <c r="D58" s="430"/>
      <c r="E58" s="430"/>
      <c r="F58" s="39" t="s">
        <v>38</v>
      </c>
      <c r="G58" s="40" t="s">
        <v>3922</v>
      </c>
      <c r="H58" s="100"/>
      <c r="I58" s="41"/>
      <c r="J58" s="41"/>
      <c r="K58" s="42"/>
      <c r="BB58" s="14"/>
      <c r="BC58" s="21"/>
      <c r="BD58" s="15"/>
      <c r="BE58" s="12"/>
      <c r="BF58" s="43" t="s">
        <v>3921</v>
      </c>
    </row>
    <row r="59" spans="1:59" s="3" customFormat="1" ht="21.6" x14ac:dyDescent="0.3">
      <c r="A59" s="25" t="s">
        <v>129</v>
      </c>
      <c r="B59" s="26" t="s">
        <v>3923</v>
      </c>
      <c r="C59" s="419" t="s">
        <v>3924</v>
      </c>
      <c r="D59" s="419"/>
      <c r="E59" s="419"/>
      <c r="F59" s="27" t="s">
        <v>115</v>
      </c>
      <c r="G59" s="22" t="s">
        <v>3925</v>
      </c>
      <c r="H59" s="57"/>
      <c r="I59" s="19"/>
      <c r="J59" s="19"/>
      <c r="K59" s="29"/>
      <c r="BB59" s="14"/>
      <c r="BC59" s="21"/>
      <c r="BD59" s="15"/>
      <c r="BE59" s="12"/>
      <c r="BF59" s="43"/>
      <c r="BG59" s="12" t="s">
        <v>3924</v>
      </c>
    </row>
    <row r="60" spans="1:59" s="3" customFormat="1" ht="15" customHeight="1" x14ac:dyDescent="0.3">
      <c r="A60" s="435" t="s">
        <v>3926</v>
      </c>
      <c r="B60" s="436"/>
      <c r="C60" s="436"/>
      <c r="D60" s="436"/>
      <c r="E60" s="436"/>
      <c r="F60" s="436"/>
      <c r="G60" s="436"/>
      <c r="H60" s="103"/>
      <c r="I60" s="103"/>
      <c r="J60" s="103"/>
      <c r="K60" s="104"/>
      <c r="BB60" s="14" t="s">
        <v>3926</v>
      </c>
      <c r="BC60" s="21"/>
      <c r="BD60" s="15"/>
      <c r="BE60" s="12"/>
      <c r="BF60" s="43"/>
      <c r="BG60" s="12"/>
    </row>
    <row r="61" spans="1:59" s="3" customFormat="1" ht="15" customHeight="1" x14ac:dyDescent="0.3">
      <c r="A61" s="437" t="s">
        <v>3927</v>
      </c>
      <c r="B61" s="418"/>
      <c r="C61" s="418"/>
      <c r="D61" s="418"/>
      <c r="E61" s="418"/>
      <c r="F61" s="418"/>
      <c r="G61" s="418"/>
      <c r="H61" s="123"/>
      <c r="I61" s="123"/>
      <c r="J61" s="123"/>
      <c r="K61" s="124"/>
      <c r="BB61" s="14"/>
      <c r="BC61" s="21"/>
      <c r="BD61" s="15" t="s">
        <v>3927</v>
      </c>
      <c r="BE61" s="12"/>
      <c r="BF61" s="43"/>
      <c r="BG61" s="12"/>
    </row>
    <row r="62" spans="1:59" s="3" customFormat="1" ht="42" x14ac:dyDescent="0.3">
      <c r="A62" s="16" t="s">
        <v>177</v>
      </c>
      <c r="B62" s="17" t="s">
        <v>3928</v>
      </c>
      <c r="C62" s="405" t="s">
        <v>3929</v>
      </c>
      <c r="D62" s="405"/>
      <c r="E62" s="405"/>
      <c r="F62" s="16" t="s">
        <v>38</v>
      </c>
      <c r="G62" s="23">
        <v>1</v>
      </c>
      <c r="H62" s="57">
        <f>I62/G62</f>
        <v>5929.26</v>
      </c>
      <c r="I62" s="19">
        <f>9035.26-K62</f>
        <v>5929.26</v>
      </c>
      <c r="J62" s="19">
        <f>K62/G62</f>
        <v>3106</v>
      </c>
      <c r="K62" s="19">
        <v>3106</v>
      </c>
      <c r="BB62" s="14"/>
      <c r="BC62" s="21" t="s">
        <v>3929</v>
      </c>
      <c r="BD62" s="15"/>
      <c r="BE62" s="12"/>
      <c r="BF62" s="43"/>
      <c r="BG62" s="12"/>
    </row>
    <row r="63" spans="1:59" s="3" customFormat="1" ht="20.399999999999999" x14ac:dyDescent="0.3">
      <c r="A63" s="25"/>
      <c r="B63" s="26" t="s">
        <v>1693</v>
      </c>
      <c r="C63" s="419" t="s">
        <v>1694</v>
      </c>
      <c r="D63" s="419"/>
      <c r="E63" s="419"/>
      <c r="F63" s="27" t="s">
        <v>75</v>
      </c>
      <c r="G63" s="22" t="s">
        <v>3930</v>
      </c>
      <c r="H63" s="58"/>
      <c r="I63" s="28"/>
      <c r="J63" s="28"/>
      <c r="K63" s="29"/>
      <c r="BB63" s="14"/>
      <c r="BC63" s="21"/>
      <c r="BD63" s="15"/>
      <c r="BE63" s="12" t="s">
        <v>1694</v>
      </c>
      <c r="BF63" s="43"/>
      <c r="BG63" s="12"/>
    </row>
    <row r="64" spans="1:59" s="3" customFormat="1" ht="20.399999999999999" x14ac:dyDescent="0.3">
      <c r="A64" s="25"/>
      <c r="B64" s="26" t="s">
        <v>391</v>
      </c>
      <c r="C64" s="419" t="s">
        <v>392</v>
      </c>
      <c r="D64" s="419"/>
      <c r="E64" s="419"/>
      <c r="F64" s="27" t="s">
        <v>75</v>
      </c>
      <c r="G64" s="22" t="s">
        <v>3931</v>
      </c>
      <c r="H64" s="58"/>
      <c r="I64" s="28"/>
      <c r="J64" s="28"/>
      <c r="K64" s="29"/>
      <c r="BB64" s="14"/>
      <c r="BC64" s="21"/>
      <c r="BD64" s="15"/>
      <c r="BE64" s="12" t="s">
        <v>392</v>
      </c>
      <c r="BF64" s="43"/>
      <c r="BG64" s="12"/>
    </row>
    <row r="65" spans="1:59" s="3" customFormat="1" ht="21.6" x14ac:dyDescent="0.3">
      <c r="A65" s="25"/>
      <c r="B65" s="26" t="s">
        <v>1931</v>
      </c>
      <c r="C65" s="419" t="s">
        <v>1932</v>
      </c>
      <c r="D65" s="419"/>
      <c r="E65" s="419"/>
      <c r="F65" s="27" t="s">
        <v>70</v>
      </c>
      <c r="G65" s="22" t="s">
        <v>1159</v>
      </c>
      <c r="H65" s="58"/>
      <c r="I65" s="28"/>
      <c r="J65" s="28"/>
      <c r="K65" s="29"/>
      <c r="BB65" s="14"/>
      <c r="BC65" s="21"/>
      <c r="BD65" s="15"/>
      <c r="BE65" s="12" t="s">
        <v>1932</v>
      </c>
      <c r="BF65" s="43"/>
      <c r="BG65" s="12"/>
    </row>
    <row r="66" spans="1:59" s="3" customFormat="1" ht="20.399999999999999" x14ac:dyDescent="0.3">
      <c r="A66" s="25"/>
      <c r="B66" s="26" t="s">
        <v>605</v>
      </c>
      <c r="C66" s="419" t="s">
        <v>606</v>
      </c>
      <c r="D66" s="419"/>
      <c r="E66" s="419"/>
      <c r="F66" s="27" t="s">
        <v>75</v>
      </c>
      <c r="G66" s="22" t="s">
        <v>3932</v>
      </c>
      <c r="H66" s="58"/>
      <c r="I66" s="28"/>
      <c r="J66" s="28"/>
      <c r="K66" s="29"/>
      <c r="BB66" s="14"/>
      <c r="BC66" s="21"/>
      <c r="BD66" s="15"/>
      <c r="BE66" s="12" t="s">
        <v>606</v>
      </c>
      <c r="BF66" s="43"/>
      <c r="BG66" s="12"/>
    </row>
    <row r="67" spans="1:59" s="3" customFormat="1" ht="21.6" x14ac:dyDescent="0.3">
      <c r="A67" s="25"/>
      <c r="B67" s="26" t="s">
        <v>607</v>
      </c>
      <c r="C67" s="419" t="s">
        <v>608</v>
      </c>
      <c r="D67" s="419"/>
      <c r="E67" s="419"/>
      <c r="F67" s="27" t="s">
        <v>609</v>
      </c>
      <c r="G67" s="22" t="s">
        <v>3933</v>
      </c>
      <c r="H67" s="58"/>
      <c r="I67" s="28"/>
      <c r="J67" s="28"/>
      <c r="K67" s="29"/>
      <c r="BB67" s="14"/>
      <c r="BC67" s="21"/>
      <c r="BD67" s="15"/>
      <c r="BE67" s="12" t="s">
        <v>608</v>
      </c>
      <c r="BF67" s="43"/>
      <c r="BG67" s="12"/>
    </row>
    <row r="68" spans="1:59" s="3" customFormat="1" ht="20.399999999999999" x14ac:dyDescent="0.3">
      <c r="A68" s="16" t="s">
        <v>1501</v>
      </c>
      <c r="B68" s="17" t="s">
        <v>3934</v>
      </c>
      <c r="C68" s="405" t="s">
        <v>3935</v>
      </c>
      <c r="D68" s="405"/>
      <c r="E68" s="405"/>
      <c r="F68" s="16" t="s">
        <v>1460</v>
      </c>
      <c r="G68" s="23">
        <v>1</v>
      </c>
      <c r="H68" s="57">
        <v>0</v>
      </c>
      <c r="I68" s="19">
        <v>0</v>
      </c>
      <c r="J68" s="19">
        <f>K68/G68</f>
        <v>1836160.3</v>
      </c>
      <c r="K68" s="19">
        <v>1836160.3</v>
      </c>
      <c r="BB68" s="14"/>
      <c r="BC68" s="21" t="s">
        <v>3935</v>
      </c>
      <c r="BD68" s="15"/>
      <c r="BE68" s="12"/>
      <c r="BF68" s="43"/>
      <c r="BG68" s="12"/>
    </row>
    <row r="69" spans="1:59" s="3" customFormat="1" ht="15" customHeight="1" x14ac:dyDescent="0.3">
      <c r="A69" s="437" t="s">
        <v>3936</v>
      </c>
      <c r="B69" s="418"/>
      <c r="C69" s="418"/>
      <c r="D69" s="418"/>
      <c r="E69" s="418"/>
      <c r="F69" s="418"/>
      <c r="G69" s="418"/>
      <c r="H69" s="123"/>
      <c r="I69" s="123"/>
      <c r="J69" s="123"/>
      <c r="K69" s="124"/>
      <c r="BB69" s="14"/>
      <c r="BC69" s="21"/>
      <c r="BD69" s="15" t="s">
        <v>3936</v>
      </c>
      <c r="BE69" s="12"/>
      <c r="BF69" s="43"/>
      <c r="BG69" s="12"/>
    </row>
    <row r="70" spans="1:59" s="3" customFormat="1" ht="31.8" x14ac:dyDescent="0.3">
      <c r="A70" s="16" t="s">
        <v>182</v>
      </c>
      <c r="B70" s="17" t="s">
        <v>1691</v>
      </c>
      <c r="C70" s="405" t="s">
        <v>1692</v>
      </c>
      <c r="D70" s="405"/>
      <c r="E70" s="405"/>
      <c r="F70" s="16" t="s">
        <v>38</v>
      </c>
      <c r="G70" s="23">
        <v>1</v>
      </c>
      <c r="H70" s="57">
        <f>I70/G70</f>
        <v>2837.52</v>
      </c>
      <c r="I70" s="19">
        <f>2863.54-K70</f>
        <v>2837.52</v>
      </c>
      <c r="J70" s="19">
        <f>K70/G70</f>
        <v>26.02</v>
      </c>
      <c r="K70" s="19">
        <v>26.02</v>
      </c>
      <c r="BB70" s="14"/>
      <c r="BC70" s="21" t="s">
        <v>1692</v>
      </c>
      <c r="BD70" s="15"/>
      <c r="BE70" s="12"/>
      <c r="BF70" s="43"/>
      <c r="BG70" s="12"/>
    </row>
    <row r="71" spans="1:59" s="3" customFormat="1" ht="20.399999999999999" x14ac:dyDescent="0.3">
      <c r="A71" s="25"/>
      <c r="B71" s="26" t="s">
        <v>1693</v>
      </c>
      <c r="C71" s="419" t="s">
        <v>1694</v>
      </c>
      <c r="D71" s="419"/>
      <c r="E71" s="419"/>
      <c r="F71" s="27" t="s">
        <v>75</v>
      </c>
      <c r="G71" s="22" t="s">
        <v>1910</v>
      </c>
      <c r="H71" s="58"/>
      <c r="I71" s="28"/>
      <c r="J71" s="28"/>
      <c r="K71" s="29"/>
      <c r="BB71" s="14"/>
      <c r="BC71" s="21"/>
      <c r="BD71" s="15"/>
      <c r="BE71" s="12" t="s">
        <v>1694</v>
      </c>
      <c r="BF71" s="43"/>
      <c r="BG71" s="12"/>
    </row>
    <row r="72" spans="1:59" s="3" customFormat="1" ht="20.399999999999999" x14ac:dyDescent="0.3">
      <c r="A72" s="25"/>
      <c r="B72" s="26" t="s">
        <v>391</v>
      </c>
      <c r="C72" s="419" t="s">
        <v>392</v>
      </c>
      <c r="D72" s="419"/>
      <c r="E72" s="419"/>
      <c r="F72" s="27" t="s">
        <v>75</v>
      </c>
      <c r="G72" s="22" t="s">
        <v>1910</v>
      </c>
      <c r="H72" s="58"/>
      <c r="I72" s="28"/>
      <c r="J72" s="28"/>
      <c r="K72" s="29"/>
      <c r="BB72" s="14"/>
      <c r="BC72" s="21"/>
      <c r="BD72" s="15"/>
      <c r="BE72" s="12" t="s">
        <v>392</v>
      </c>
      <c r="BF72" s="43"/>
      <c r="BG72" s="12"/>
    </row>
    <row r="73" spans="1:59" s="3" customFormat="1" ht="20.399999999999999" x14ac:dyDescent="0.3">
      <c r="A73" s="25"/>
      <c r="B73" s="26" t="s">
        <v>605</v>
      </c>
      <c r="C73" s="419" t="s">
        <v>606</v>
      </c>
      <c r="D73" s="419"/>
      <c r="E73" s="419"/>
      <c r="F73" s="27" t="s">
        <v>75</v>
      </c>
      <c r="G73" s="22" t="s">
        <v>1173</v>
      </c>
      <c r="H73" s="58"/>
      <c r="I73" s="28"/>
      <c r="J73" s="28"/>
      <c r="K73" s="29"/>
      <c r="BB73" s="14"/>
      <c r="BC73" s="21"/>
      <c r="BD73" s="15"/>
      <c r="BE73" s="12" t="s">
        <v>606</v>
      </c>
      <c r="BF73" s="43"/>
      <c r="BG73" s="12"/>
    </row>
    <row r="74" spans="1:59" s="3" customFormat="1" ht="21.6" x14ac:dyDescent="0.3">
      <c r="A74" s="25"/>
      <c r="B74" s="26" t="s">
        <v>607</v>
      </c>
      <c r="C74" s="419" t="s">
        <v>608</v>
      </c>
      <c r="D74" s="419"/>
      <c r="E74" s="419"/>
      <c r="F74" s="27" t="s">
        <v>609</v>
      </c>
      <c r="G74" s="22" t="s">
        <v>3937</v>
      </c>
      <c r="H74" s="58"/>
      <c r="I74" s="28"/>
      <c r="J74" s="28"/>
      <c r="K74" s="29"/>
      <c r="BB74" s="14"/>
      <c r="BC74" s="21"/>
      <c r="BD74" s="15"/>
      <c r="BE74" s="12" t="s">
        <v>608</v>
      </c>
      <c r="BF74" s="43"/>
      <c r="BG74" s="12"/>
    </row>
    <row r="75" spans="1:59" s="3" customFormat="1" ht="20.399999999999999" x14ac:dyDescent="0.3">
      <c r="A75" s="16" t="s">
        <v>3938</v>
      </c>
      <c r="B75" s="17" t="s">
        <v>3939</v>
      </c>
      <c r="C75" s="405" t="s">
        <v>3940</v>
      </c>
      <c r="D75" s="405"/>
      <c r="E75" s="405"/>
      <c r="F75" s="16" t="s">
        <v>1460</v>
      </c>
      <c r="G75" s="23">
        <v>1</v>
      </c>
      <c r="H75" s="57">
        <v>0</v>
      </c>
      <c r="I75" s="19">
        <v>0</v>
      </c>
      <c r="J75" s="19">
        <f>K75/G75</f>
        <v>88267.7</v>
      </c>
      <c r="K75" s="19">
        <v>88267.7</v>
      </c>
      <c r="BB75" s="14"/>
      <c r="BC75" s="21" t="s">
        <v>3940</v>
      </c>
      <c r="BD75" s="15"/>
      <c r="BE75" s="12"/>
      <c r="BF75" s="43"/>
      <c r="BG75" s="12"/>
    </row>
    <row r="76" spans="1:59" s="3" customFormat="1" ht="15" customHeight="1" x14ac:dyDescent="0.3">
      <c r="A76" s="437" t="s">
        <v>3941</v>
      </c>
      <c r="B76" s="418"/>
      <c r="C76" s="418"/>
      <c r="D76" s="418"/>
      <c r="E76" s="418"/>
      <c r="F76" s="418"/>
      <c r="G76" s="418"/>
      <c r="H76" s="123"/>
      <c r="I76" s="123"/>
      <c r="J76" s="123"/>
      <c r="K76" s="124"/>
      <c r="BB76" s="14"/>
      <c r="BC76" s="21"/>
      <c r="BD76" s="15" t="s">
        <v>3941</v>
      </c>
      <c r="BE76" s="12"/>
      <c r="BF76" s="43"/>
      <c r="BG76" s="12"/>
    </row>
    <row r="77" spans="1:59" s="3" customFormat="1" ht="14.4" x14ac:dyDescent="0.3">
      <c r="A77" s="16" t="s">
        <v>192</v>
      </c>
      <c r="B77" s="17" t="s">
        <v>3942</v>
      </c>
      <c r="C77" s="405" t="s">
        <v>3943</v>
      </c>
      <c r="D77" s="405"/>
      <c r="E77" s="405"/>
      <c r="F77" s="16" t="s">
        <v>38</v>
      </c>
      <c r="G77" s="23">
        <v>1</v>
      </c>
      <c r="H77" s="57">
        <f>I77/G77</f>
        <v>1238.83</v>
      </c>
      <c r="I77" s="19">
        <f>1271.31-K77</f>
        <v>1238.83</v>
      </c>
      <c r="J77" s="19">
        <f>K77/G77</f>
        <v>32.479999999999997</v>
      </c>
      <c r="K77" s="19">
        <v>32.479999999999997</v>
      </c>
      <c r="BB77" s="14"/>
      <c r="BC77" s="21" t="s">
        <v>3943</v>
      </c>
      <c r="BD77" s="15"/>
      <c r="BE77" s="12"/>
      <c r="BF77" s="43"/>
      <c r="BG77" s="12"/>
    </row>
    <row r="78" spans="1:59" s="3" customFormat="1" ht="20.399999999999999" x14ac:dyDescent="0.3">
      <c r="A78" s="25"/>
      <c r="B78" s="26" t="s">
        <v>1571</v>
      </c>
      <c r="C78" s="419" t="s">
        <v>1572</v>
      </c>
      <c r="D78" s="419"/>
      <c r="E78" s="419"/>
      <c r="F78" s="27" t="s">
        <v>142</v>
      </c>
      <c r="G78" s="22" t="s">
        <v>3944</v>
      </c>
      <c r="H78" s="58"/>
      <c r="I78" s="28"/>
      <c r="J78" s="28"/>
      <c r="K78" s="29"/>
      <c r="BB78" s="14"/>
      <c r="BC78" s="21"/>
      <c r="BD78" s="15"/>
      <c r="BE78" s="12" t="s">
        <v>1572</v>
      </c>
      <c r="BF78" s="43"/>
      <c r="BG78" s="12"/>
    </row>
    <row r="79" spans="1:59" s="3" customFormat="1" ht="21.6" x14ac:dyDescent="0.3">
      <c r="A79" s="25"/>
      <c r="B79" s="26" t="s">
        <v>607</v>
      </c>
      <c r="C79" s="419" t="s">
        <v>608</v>
      </c>
      <c r="D79" s="419"/>
      <c r="E79" s="419"/>
      <c r="F79" s="27" t="s">
        <v>609</v>
      </c>
      <c r="G79" s="22" t="s">
        <v>3945</v>
      </c>
      <c r="H79" s="58"/>
      <c r="I79" s="28"/>
      <c r="J79" s="28"/>
      <c r="K79" s="29"/>
      <c r="BB79" s="14"/>
      <c r="BC79" s="21"/>
      <c r="BD79" s="15"/>
      <c r="BE79" s="12" t="s">
        <v>608</v>
      </c>
      <c r="BF79" s="43"/>
      <c r="BG79" s="12"/>
    </row>
    <row r="80" spans="1:59" s="3" customFormat="1" ht="21.6" x14ac:dyDescent="0.3">
      <c r="A80" s="16" t="s">
        <v>3946</v>
      </c>
      <c r="B80" s="17" t="s">
        <v>3947</v>
      </c>
      <c r="C80" s="405" t="s">
        <v>3948</v>
      </c>
      <c r="D80" s="405"/>
      <c r="E80" s="405"/>
      <c r="F80" s="16" t="s">
        <v>38</v>
      </c>
      <c r="G80" s="23">
        <v>1</v>
      </c>
      <c r="H80" s="57">
        <f>I80/G80</f>
        <v>0</v>
      </c>
      <c r="I80" s="19">
        <v>0</v>
      </c>
      <c r="J80" s="19">
        <f>K80/G80</f>
        <v>1454.27</v>
      </c>
      <c r="K80" s="19">
        <v>1454.27</v>
      </c>
      <c r="BB80" s="14"/>
      <c r="BC80" s="21" t="s">
        <v>3948</v>
      </c>
      <c r="BD80" s="15"/>
      <c r="BE80" s="12"/>
      <c r="BF80" s="43"/>
      <c r="BG80" s="12"/>
    </row>
    <row r="81" spans="1:59" s="3" customFormat="1" ht="15" customHeight="1" x14ac:dyDescent="0.3">
      <c r="A81" s="435" t="s">
        <v>3949</v>
      </c>
      <c r="B81" s="436"/>
      <c r="C81" s="436"/>
      <c r="D81" s="436"/>
      <c r="E81" s="436"/>
      <c r="F81" s="436"/>
      <c r="G81" s="436"/>
      <c r="H81" s="103"/>
      <c r="I81" s="103"/>
      <c r="J81" s="103"/>
      <c r="K81" s="104"/>
      <c r="BB81" s="14" t="s">
        <v>3949</v>
      </c>
      <c r="BC81" s="21"/>
      <c r="BD81" s="15"/>
      <c r="BE81" s="12"/>
      <c r="BF81" s="43"/>
      <c r="BG81" s="12"/>
    </row>
    <row r="82" spans="1:59" s="3" customFormat="1" ht="15" customHeight="1" x14ac:dyDescent="0.3">
      <c r="A82" s="437" t="s">
        <v>3950</v>
      </c>
      <c r="B82" s="418"/>
      <c r="C82" s="418"/>
      <c r="D82" s="418"/>
      <c r="E82" s="418"/>
      <c r="F82" s="418"/>
      <c r="G82" s="418"/>
      <c r="H82" s="123"/>
      <c r="I82" s="123"/>
      <c r="J82" s="123"/>
      <c r="K82" s="124"/>
      <c r="BB82" s="14"/>
      <c r="BC82" s="21"/>
      <c r="BD82" s="15" t="s">
        <v>3950</v>
      </c>
      <c r="BE82" s="12"/>
      <c r="BF82" s="43"/>
      <c r="BG82" s="12"/>
    </row>
    <row r="83" spans="1:59" s="3" customFormat="1" ht="42" x14ac:dyDescent="0.3">
      <c r="A83" s="16" t="s">
        <v>198</v>
      </c>
      <c r="B83" s="17" t="s">
        <v>1611</v>
      </c>
      <c r="C83" s="405" t="s">
        <v>1612</v>
      </c>
      <c r="D83" s="405"/>
      <c r="E83" s="405"/>
      <c r="F83" s="16" t="s">
        <v>67</v>
      </c>
      <c r="G83" s="31">
        <v>0.97</v>
      </c>
      <c r="H83" s="57">
        <f>I83/G83</f>
        <v>14776.731958762888</v>
      </c>
      <c r="I83" s="19">
        <f>14477.56-K83</f>
        <v>14333.43</v>
      </c>
      <c r="J83" s="19">
        <f>K83/G83</f>
        <v>148.58762886597938</v>
      </c>
      <c r="K83" s="19">
        <v>144.13</v>
      </c>
      <c r="BB83" s="14"/>
      <c r="BC83" s="21" t="s">
        <v>1612</v>
      </c>
      <c r="BD83" s="15"/>
      <c r="BE83" s="12"/>
      <c r="BF83" s="43"/>
      <c r="BG83" s="12"/>
    </row>
    <row r="84" spans="1:59" s="3" customFormat="1" ht="20.399999999999999" x14ac:dyDescent="0.3">
      <c r="A84" s="25"/>
      <c r="B84" s="26" t="s">
        <v>1613</v>
      </c>
      <c r="C84" s="419" t="s">
        <v>1614</v>
      </c>
      <c r="D84" s="419"/>
      <c r="E84" s="419"/>
      <c r="F84" s="27" t="s">
        <v>142</v>
      </c>
      <c r="G84" s="22" t="s">
        <v>3951</v>
      </c>
      <c r="H84" s="58"/>
      <c r="I84" s="28"/>
      <c r="J84" s="28"/>
      <c r="K84" s="29"/>
      <c r="BB84" s="14"/>
      <c r="BC84" s="21"/>
      <c r="BD84" s="15"/>
      <c r="BE84" s="12" t="s">
        <v>1614</v>
      </c>
      <c r="BF84" s="43"/>
      <c r="BG84" s="12"/>
    </row>
    <row r="85" spans="1:59" s="3" customFormat="1" ht="21.6" x14ac:dyDescent="0.3">
      <c r="A85" s="25"/>
      <c r="B85" s="26" t="s">
        <v>607</v>
      </c>
      <c r="C85" s="419" t="s">
        <v>608</v>
      </c>
      <c r="D85" s="419"/>
      <c r="E85" s="419"/>
      <c r="F85" s="27" t="s">
        <v>609</v>
      </c>
      <c r="G85" s="22" t="s">
        <v>3952</v>
      </c>
      <c r="H85" s="58"/>
      <c r="I85" s="28"/>
      <c r="J85" s="28"/>
      <c r="K85" s="29"/>
      <c r="BB85" s="14"/>
      <c r="BC85" s="21"/>
      <c r="BD85" s="15"/>
      <c r="BE85" s="12" t="s">
        <v>608</v>
      </c>
      <c r="BF85" s="43"/>
      <c r="BG85" s="12"/>
    </row>
    <row r="86" spans="1:59" s="3" customFormat="1" ht="31.8" x14ac:dyDescent="0.3">
      <c r="A86" s="16" t="s">
        <v>201</v>
      </c>
      <c r="B86" s="17" t="s">
        <v>3953</v>
      </c>
      <c r="C86" s="405" t="s">
        <v>3954</v>
      </c>
      <c r="D86" s="405"/>
      <c r="E86" s="405"/>
      <c r="F86" s="16" t="s">
        <v>115</v>
      </c>
      <c r="G86" s="31">
        <v>98.94</v>
      </c>
      <c r="H86" s="57">
        <f t="shared" ref="H86:H87" si="2">I86/G86</f>
        <v>0</v>
      </c>
      <c r="I86" s="19">
        <v>0</v>
      </c>
      <c r="J86" s="19">
        <f t="shared" ref="J86:J87" si="3">K86/G86</f>
        <v>28.674044875682235</v>
      </c>
      <c r="K86" s="19">
        <v>2837.01</v>
      </c>
      <c r="BB86" s="14"/>
      <c r="BC86" s="21" t="s">
        <v>3954</v>
      </c>
      <c r="BD86" s="15"/>
      <c r="BE86" s="12"/>
      <c r="BF86" s="43"/>
      <c r="BG86" s="12"/>
    </row>
    <row r="87" spans="1:59" s="3" customFormat="1" ht="21.6" x14ac:dyDescent="0.3">
      <c r="A87" s="16" t="s">
        <v>219</v>
      </c>
      <c r="B87" s="17" t="s">
        <v>3955</v>
      </c>
      <c r="C87" s="405" t="s">
        <v>3956</v>
      </c>
      <c r="D87" s="405"/>
      <c r="E87" s="405"/>
      <c r="F87" s="16" t="s">
        <v>1261</v>
      </c>
      <c r="G87" s="23">
        <v>90</v>
      </c>
      <c r="H87" s="57">
        <f t="shared" si="2"/>
        <v>0</v>
      </c>
      <c r="I87" s="19">
        <v>0</v>
      </c>
      <c r="J87" s="19">
        <f t="shared" si="3"/>
        <v>25.664999999999999</v>
      </c>
      <c r="K87" s="19">
        <v>2309.85</v>
      </c>
      <c r="BB87" s="14"/>
      <c r="BC87" s="21" t="s">
        <v>3956</v>
      </c>
      <c r="BD87" s="15"/>
      <c r="BE87" s="12"/>
      <c r="BF87" s="43"/>
      <c r="BG87" s="12"/>
    </row>
    <row r="88" spans="1:59" s="3" customFormat="1" ht="15" customHeight="1" x14ac:dyDescent="0.3">
      <c r="A88" s="437" t="s">
        <v>3957</v>
      </c>
      <c r="B88" s="418"/>
      <c r="C88" s="418"/>
      <c r="D88" s="418"/>
      <c r="E88" s="418"/>
      <c r="F88" s="418"/>
      <c r="G88" s="418"/>
      <c r="H88" s="123"/>
      <c r="I88" s="123"/>
      <c r="J88" s="123"/>
      <c r="K88" s="124"/>
      <c r="BB88" s="14"/>
      <c r="BC88" s="21"/>
      <c r="BD88" s="15" t="s">
        <v>3957</v>
      </c>
      <c r="BE88" s="12"/>
      <c r="BF88" s="43"/>
      <c r="BG88" s="12"/>
    </row>
    <row r="89" spans="1:59" s="3" customFormat="1" ht="42" x14ac:dyDescent="0.3">
      <c r="A89" s="16" t="s">
        <v>222</v>
      </c>
      <c r="B89" s="17" t="s">
        <v>1611</v>
      </c>
      <c r="C89" s="405" t="s">
        <v>1612</v>
      </c>
      <c r="D89" s="405"/>
      <c r="E89" s="405"/>
      <c r="F89" s="16" t="s">
        <v>67</v>
      </c>
      <c r="G89" s="31">
        <v>0.28000000000000003</v>
      </c>
      <c r="H89" s="57">
        <f>I89/G89</f>
        <v>14776.714285714286</v>
      </c>
      <c r="I89" s="19">
        <f>4179.09-K89</f>
        <v>4137.4800000000005</v>
      </c>
      <c r="J89" s="19">
        <f>K89/G89</f>
        <v>148.60714285714283</v>
      </c>
      <c r="K89" s="19">
        <v>41.61</v>
      </c>
      <c r="BB89" s="14"/>
      <c r="BC89" s="21" t="s">
        <v>1612</v>
      </c>
      <c r="BD89" s="15"/>
      <c r="BE89" s="12"/>
      <c r="BF89" s="43"/>
      <c r="BG89" s="12"/>
    </row>
    <row r="90" spans="1:59" s="3" customFormat="1" ht="20.399999999999999" x14ac:dyDescent="0.3">
      <c r="A90" s="25"/>
      <c r="B90" s="26" t="s">
        <v>1613</v>
      </c>
      <c r="C90" s="419" t="s">
        <v>1614</v>
      </c>
      <c r="D90" s="419"/>
      <c r="E90" s="419"/>
      <c r="F90" s="27" t="s">
        <v>142</v>
      </c>
      <c r="G90" s="22" t="s">
        <v>3958</v>
      </c>
      <c r="H90" s="58"/>
      <c r="I90" s="28"/>
      <c r="J90" s="28"/>
      <c r="K90" s="29"/>
      <c r="BB90" s="14"/>
      <c r="BC90" s="21"/>
      <c r="BD90" s="15"/>
      <c r="BE90" s="12" t="s">
        <v>1614</v>
      </c>
      <c r="BF90" s="43"/>
      <c r="BG90" s="12"/>
    </row>
    <row r="91" spans="1:59" s="3" customFormat="1" ht="21.6" x14ac:dyDescent="0.3">
      <c r="A91" s="25"/>
      <c r="B91" s="26" t="s">
        <v>607</v>
      </c>
      <c r="C91" s="419" t="s">
        <v>608</v>
      </c>
      <c r="D91" s="419"/>
      <c r="E91" s="419"/>
      <c r="F91" s="27" t="s">
        <v>609</v>
      </c>
      <c r="G91" s="22" t="s">
        <v>3959</v>
      </c>
      <c r="H91" s="58"/>
      <c r="I91" s="28"/>
      <c r="J91" s="28"/>
      <c r="K91" s="29"/>
      <c r="BB91" s="14"/>
      <c r="BC91" s="21"/>
      <c r="BD91" s="15"/>
      <c r="BE91" s="12" t="s">
        <v>608</v>
      </c>
      <c r="BF91" s="43"/>
      <c r="BG91" s="12"/>
    </row>
    <row r="92" spans="1:59" s="3" customFormat="1" ht="31.8" x14ac:dyDescent="0.3">
      <c r="A92" s="16" t="s">
        <v>225</v>
      </c>
      <c r="B92" s="17" t="s">
        <v>3960</v>
      </c>
      <c r="C92" s="405" t="s">
        <v>3961</v>
      </c>
      <c r="D92" s="405"/>
      <c r="E92" s="405"/>
      <c r="F92" s="16" t="s">
        <v>115</v>
      </c>
      <c r="G92" s="31">
        <v>28.56</v>
      </c>
      <c r="H92" s="57">
        <f t="shared" ref="H92:H93" si="4">I92/G92</f>
        <v>0</v>
      </c>
      <c r="I92" s="19">
        <v>0</v>
      </c>
      <c r="J92" s="19">
        <f t="shared" ref="J92:J93" si="5">K92/G92</f>
        <v>30.355392156862749</v>
      </c>
      <c r="K92" s="19">
        <v>866.95</v>
      </c>
      <c r="BB92" s="14"/>
      <c r="BC92" s="21" t="s">
        <v>3961</v>
      </c>
      <c r="BD92" s="15"/>
      <c r="BE92" s="12"/>
      <c r="BF92" s="43"/>
      <c r="BG92" s="12"/>
    </row>
    <row r="93" spans="1:59" s="3" customFormat="1" ht="21.6" x14ac:dyDescent="0.3">
      <c r="A93" s="16" t="s">
        <v>227</v>
      </c>
      <c r="B93" s="17" t="s">
        <v>3962</v>
      </c>
      <c r="C93" s="405" t="s">
        <v>3963</v>
      </c>
      <c r="D93" s="405"/>
      <c r="E93" s="405"/>
      <c r="F93" s="16" t="s">
        <v>142</v>
      </c>
      <c r="G93" s="24">
        <v>1.9</v>
      </c>
      <c r="H93" s="57">
        <f t="shared" si="4"/>
        <v>0</v>
      </c>
      <c r="I93" s="19">
        <v>0</v>
      </c>
      <c r="J93" s="19">
        <f t="shared" si="5"/>
        <v>336.3</v>
      </c>
      <c r="K93" s="19">
        <v>638.97</v>
      </c>
      <c r="BB93" s="14"/>
      <c r="BC93" s="21" t="s">
        <v>3963</v>
      </c>
      <c r="BD93" s="15"/>
      <c r="BE93" s="12"/>
      <c r="BF93" s="43"/>
      <c r="BG93" s="12"/>
    </row>
    <row r="94" spans="1:59" s="3" customFormat="1" ht="15" customHeight="1" x14ac:dyDescent="0.3">
      <c r="A94" s="437" t="s">
        <v>3964</v>
      </c>
      <c r="B94" s="418"/>
      <c r="C94" s="418"/>
      <c r="D94" s="418"/>
      <c r="E94" s="418"/>
      <c r="F94" s="418"/>
      <c r="G94" s="418"/>
      <c r="H94" s="123"/>
      <c r="I94" s="123"/>
      <c r="J94" s="123"/>
      <c r="K94" s="124"/>
      <c r="BB94" s="14"/>
      <c r="BC94" s="21"/>
      <c r="BD94" s="15" t="s">
        <v>3964</v>
      </c>
      <c r="BE94" s="12"/>
      <c r="BF94" s="43"/>
      <c r="BG94" s="12"/>
    </row>
    <row r="95" spans="1:59" s="3" customFormat="1" ht="31.8" x14ac:dyDescent="0.3">
      <c r="A95" s="16" t="s">
        <v>230</v>
      </c>
      <c r="B95" s="17" t="s">
        <v>3965</v>
      </c>
      <c r="C95" s="405" t="s">
        <v>3966</v>
      </c>
      <c r="D95" s="405"/>
      <c r="E95" s="405"/>
      <c r="F95" s="16" t="s">
        <v>67</v>
      </c>
      <c r="G95" s="31">
        <v>0.06</v>
      </c>
      <c r="H95" s="57">
        <f>I95/G95</f>
        <v>21846</v>
      </c>
      <c r="I95" s="19">
        <f>1371.03-K95</f>
        <v>1310.76</v>
      </c>
      <c r="J95" s="19">
        <f>K95/G95</f>
        <v>1004.5000000000001</v>
      </c>
      <c r="K95" s="19">
        <v>60.27</v>
      </c>
      <c r="BB95" s="14"/>
      <c r="BC95" s="21" t="s">
        <v>3966</v>
      </c>
      <c r="BD95" s="15"/>
      <c r="BE95" s="12"/>
      <c r="BF95" s="43"/>
      <c r="BG95" s="12"/>
    </row>
    <row r="96" spans="1:59" s="3" customFormat="1" ht="20.399999999999999" x14ac:dyDescent="0.3">
      <c r="A96" s="25"/>
      <c r="B96" s="26" t="s">
        <v>1887</v>
      </c>
      <c r="C96" s="419" t="s">
        <v>1888</v>
      </c>
      <c r="D96" s="419"/>
      <c r="E96" s="419"/>
      <c r="F96" s="27" t="s">
        <v>75</v>
      </c>
      <c r="G96" s="22" t="s">
        <v>3967</v>
      </c>
      <c r="H96" s="58"/>
      <c r="I96" s="28"/>
      <c r="J96" s="28"/>
      <c r="K96" s="29"/>
      <c r="BB96" s="14"/>
      <c r="BC96" s="21"/>
      <c r="BD96" s="15"/>
      <c r="BE96" s="12" t="s">
        <v>1888</v>
      </c>
      <c r="BF96" s="43"/>
      <c r="BG96" s="12"/>
    </row>
    <row r="97" spans="1:59" s="3" customFormat="1" ht="20.399999999999999" x14ac:dyDescent="0.3">
      <c r="A97" s="25"/>
      <c r="B97" s="26" t="s">
        <v>1693</v>
      </c>
      <c r="C97" s="419" t="s">
        <v>1694</v>
      </c>
      <c r="D97" s="419"/>
      <c r="E97" s="419"/>
      <c r="F97" s="27" t="s">
        <v>75</v>
      </c>
      <c r="G97" s="22" t="s">
        <v>3968</v>
      </c>
      <c r="H97" s="58"/>
      <c r="I97" s="28"/>
      <c r="J97" s="28"/>
      <c r="K97" s="29"/>
      <c r="BB97" s="14"/>
      <c r="BC97" s="21"/>
      <c r="BD97" s="15"/>
      <c r="BE97" s="12" t="s">
        <v>1694</v>
      </c>
      <c r="BF97" s="43"/>
      <c r="BG97" s="12"/>
    </row>
    <row r="98" spans="1:59" s="3" customFormat="1" ht="20.399999999999999" x14ac:dyDescent="0.3">
      <c r="A98" s="25"/>
      <c r="B98" s="26" t="s">
        <v>3969</v>
      </c>
      <c r="C98" s="419" t="s">
        <v>3970</v>
      </c>
      <c r="D98" s="419"/>
      <c r="E98" s="419"/>
      <c r="F98" s="27" t="s">
        <v>46</v>
      </c>
      <c r="G98" s="22" t="s">
        <v>3971</v>
      </c>
      <c r="H98" s="58"/>
      <c r="I98" s="28"/>
      <c r="J98" s="28"/>
      <c r="K98" s="29"/>
      <c r="BB98" s="14"/>
      <c r="BC98" s="21"/>
      <c r="BD98" s="15"/>
      <c r="BE98" s="12" t="s">
        <v>3970</v>
      </c>
      <c r="BF98" s="43"/>
      <c r="BG98" s="12"/>
    </row>
    <row r="99" spans="1:59" s="3" customFormat="1" ht="21.6" x14ac:dyDescent="0.3">
      <c r="A99" s="25"/>
      <c r="B99" s="26" t="s">
        <v>601</v>
      </c>
      <c r="C99" s="419" t="s">
        <v>602</v>
      </c>
      <c r="D99" s="419"/>
      <c r="E99" s="419"/>
      <c r="F99" s="27" t="s">
        <v>70</v>
      </c>
      <c r="G99" s="22" t="s">
        <v>3972</v>
      </c>
      <c r="H99" s="58"/>
      <c r="I99" s="28"/>
      <c r="J99" s="28"/>
      <c r="K99" s="29"/>
      <c r="BB99" s="14"/>
      <c r="BC99" s="21"/>
      <c r="BD99" s="15"/>
      <c r="BE99" s="12" t="s">
        <v>602</v>
      </c>
      <c r="BF99" s="43"/>
      <c r="BG99" s="12"/>
    </row>
    <row r="100" spans="1:59" s="3" customFormat="1" ht="20.399999999999999" x14ac:dyDescent="0.3">
      <c r="A100" s="25"/>
      <c r="B100" s="26" t="s">
        <v>1936</v>
      </c>
      <c r="C100" s="419" t="s">
        <v>1937</v>
      </c>
      <c r="D100" s="419"/>
      <c r="E100" s="419"/>
      <c r="F100" s="27" t="s">
        <v>1261</v>
      </c>
      <c r="G100" s="22" t="s">
        <v>3973</v>
      </c>
      <c r="H100" s="58"/>
      <c r="I100" s="28"/>
      <c r="J100" s="28"/>
      <c r="K100" s="29"/>
      <c r="BB100" s="14"/>
      <c r="BC100" s="21"/>
      <c r="BD100" s="15"/>
      <c r="BE100" s="12" t="s">
        <v>1937</v>
      </c>
      <c r="BF100" s="43"/>
      <c r="BG100" s="12"/>
    </row>
    <row r="101" spans="1:59" s="3" customFormat="1" ht="20.399999999999999" x14ac:dyDescent="0.3">
      <c r="A101" s="25"/>
      <c r="B101" s="26" t="s">
        <v>3974</v>
      </c>
      <c r="C101" s="419" t="s">
        <v>3975</v>
      </c>
      <c r="D101" s="419"/>
      <c r="E101" s="419"/>
      <c r="F101" s="27" t="s">
        <v>1261</v>
      </c>
      <c r="G101" s="22" t="s">
        <v>3976</v>
      </c>
      <c r="H101" s="58"/>
      <c r="I101" s="28"/>
      <c r="J101" s="28"/>
      <c r="K101" s="29"/>
      <c r="BB101" s="14"/>
      <c r="BC101" s="21"/>
      <c r="BD101" s="15"/>
      <c r="BE101" s="12" t="s">
        <v>3975</v>
      </c>
      <c r="BF101" s="43"/>
      <c r="BG101" s="12"/>
    </row>
    <row r="102" spans="1:59" s="3" customFormat="1" ht="20.399999999999999" x14ac:dyDescent="0.3">
      <c r="A102" s="25"/>
      <c r="B102" s="26" t="s">
        <v>3977</v>
      </c>
      <c r="C102" s="419" t="s">
        <v>3978</v>
      </c>
      <c r="D102" s="419"/>
      <c r="E102" s="419"/>
      <c r="F102" s="27" t="s">
        <v>142</v>
      </c>
      <c r="G102" s="22" t="s">
        <v>3979</v>
      </c>
      <c r="H102" s="58"/>
      <c r="I102" s="28"/>
      <c r="J102" s="28"/>
      <c r="K102" s="29"/>
      <c r="BB102" s="14"/>
      <c r="BC102" s="21"/>
      <c r="BD102" s="15"/>
      <c r="BE102" s="12" t="s">
        <v>3978</v>
      </c>
      <c r="BF102" s="43"/>
      <c r="BG102" s="12"/>
    </row>
    <row r="103" spans="1:59" s="3" customFormat="1" ht="21.6" x14ac:dyDescent="0.3">
      <c r="A103" s="25"/>
      <c r="B103" s="26" t="s">
        <v>607</v>
      </c>
      <c r="C103" s="419" t="s">
        <v>608</v>
      </c>
      <c r="D103" s="419"/>
      <c r="E103" s="419"/>
      <c r="F103" s="27" t="s">
        <v>609</v>
      </c>
      <c r="G103" s="22" t="s">
        <v>3980</v>
      </c>
      <c r="H103" s="58"/>
      <c r="I103" s="28"/>
      <c r="J103" s="28"/>
      <c r="K103" s="29"/>
      <c r="BB103" s="14"/>
      <c r="BC103" s="21"/>
      <c r="BD103" s="15"/>
      <c r="BE103" s="12" t="s">
        <v>608</v>
      </c>
      <c r="BF103" s="43"/>
      <c r="BG103" s="12"/>
    </row>
    <row r="104" spans="1:59" s="3" customFormat="1" ht="42" x14ac:dyDescent="0.3">
      <c r="A104" s="16" t="s">
        <v>233</v>
      </c>
      <c r="B104" s="17" t="s">
        <v>3981</v>
      </c>
      <c r="C104" s="405" t="s">
        <v>3982</v>
      </c>
      <c r="D104" s="405"/>
      <c r="E104" s="405"/>
      <c r="F104" s="16" t="s">
        <v>115</v>
      </c>
      <c r="G104" s="23">
        <v>6</v>
      </c>
      <c r="H104" s="57">
        <f>I104/G104</f>
        <v>0</v>
      </c>
      <c r="I104" s="19">
        <v>0</v>
      </c>
      <c r="J104" s="19">
        <f>K104/G104</f>
        <v>234.52500000000001</v>
      </c>
      <c r="K104" s="19">
        <v>1407.15</v>
      </c>
      <c r="BB104" s="14"/>
      <c r="BC104" s="21" t="s">
        <v>3982</v>
      </c>
      <c r="BD104" s="15"/>
      <c r="BE104" s="12"/>
      <c r="BF104" s="43"/>
      <c r="BG104" s="12"/>
    </row>
    <row r="105" spans="1:59" s="3" customFormat="1" ht="15" customHeight="1" x14ac:dyDescent="0.3">
      <c r="A105" s="437" t="s">
        <v>3983</v>
      </c>
      <c r="B105" s="418"/>
      <c r="C105" s="418"/>
      <c r="D105" s="418"/>
      <c r="E105" s="418"/>
      <c r="F105" s="418"/>
      <c r="G105" s="418"/>
      <c r="H105" s="123"/>
      <c r="I105" s="123"/>
      <c r="J105" s="123"/>
      <c r="K105" s="124"/>
      <c r="BB105" s="14"/>
      <c r="BC105" s="21"/>
      <c r="BD105" s="15" t="s">
        <v>3983</v>
      </c>
      <c r="BE105" s="12"/>
      <c r="BF105" s="43"/>
      <c r="BG105" s="12"/>
    </row>
    <row r="106" spans="1:59" s="3" customFormat="1" ht="31.8" x14ac:dyDescent="0.3">
      <c r="A106" s="16" t="s">
        <v>235</v>
      </c>
      <c r="B106" s="17" t="s">
        <v>3984</v>
      </c>
      <c r="C106" s="405" t="s">
        <v>3985</v>
      </c>
      <c r="D106" s="405"/>
      <c r="E106" s="405"/>
      <c r="F106" s="16" t="s">
        <v>67</v>
      </c>
      <c r="G106" s="24">
        <v>0.1</v>
      </c>
      <c r="H106" s="57">
        <f>I106/G106</f>
        <v>19557.3</v>
      </c>
      <c r="I106" s="19">
        <f>1972.45-K106</f>
        <v>1955.73</v>
      </c>
      <c r="J106" s="19">
        <f>K106/G106</f>
        <v>167.2</v>
      </c>
      <c r="K106" s="19">
        <v>16.72</v>
      </c>
      <c r="BB106" s="14"/>
      <c r="BC106" s="21" t="s">
        <v>3985</v>
      </c>
      <c r="BD106" s="15"/>
      <c r="BE106" s="12"/>
      <c r="BF106" s="43"/>
      <c r="BG106" s="12"/>
    </row>
    <row r="107" spans="1:59" s="3" customFormat="1" ht="20.399999999999999" x14ac:dyDescent="0.3">
      <c r="A107" s="25"/>
      <c r="B107" s="26" t="s">
        <v>1693</v>
      </c>
      <c r="C107" s="419" t="s">
        <v>1694</v>
      </c>
      <c r="D107" s="419"/>
      <c r="E107" s="419"/>
      <c r="F107" s="27" t="s">
        <v>75</v>
      </c>
      <c r="G107" s="22" t="s">
        <v>3986</v>
      </c>
      <c r="H107" s="58"/>
      <c r="I107" s="28"/>
      <c r="J107" s="28"/>
      <c r="K107" s="29"/>
      <c r="BB107" s="14"/>
      <c r="BC107" s="21"/>
      <c r="BD107" s="15"/>
      <c r="BE107" s="12" t="s">
        <v>1694</v>
      </c>
      <c r="BF107" s="43"/>
      <c r="BG107" s="12"/>
    </row>
    <row r="108" spans="1:59" s="3" customFormat="1" ht="20.399999999999999" x14ac:dyDescent="0.3">
      <c r="A108" s="25"/>
      <c r="B108" s="26" t="s">
        <v>3987</v>
      </c>
      <c r="C108" s="419" t="s">
        <v>3988</v>
      </c>
      <c r="D108" s="419"/>
      <c r="E108" s="419"/>
      <c r="F108" s="27" t="s">
        <v>75</v>
      </c>
      <c r="G108" s="22" t="s">
        <v>3989</v>
      </c>
      <c r="H108" s="58"/>
      <c r="I108" s="28"/>
      <c r="J108" s="28"/>
      <c r="K108" s="29"/>
      <c r="BB108" s="14"/>
      <c r="BC108" s="21"/>
      <c r="BD108" s="15"/>
      <c r="BE108" s="12" t="s">
        <v>3988</v>
      </c>
      <c r="BF108" s="43"/>
      <c r="BG108" s="12"/>
    </row>
    <row r="109" spans="1:59" s="3" customFormat="1" ht="21.6" x14ac:dyDescent="0.3">
      <c r="A109" s="25"/>
      <c r="B109" s="26" t="s">
        <v>607</v>
      </c>
      <c r="C109" s="419" t="s">
        <v>608</v>
      </c>
      <c r="D109" s="419"/>
      <c r="E109" s="419"/>
      <c r="F109" s="27" t="s">
        <v>609</v>
      </c>
      <c r="G109" s="22" t="s">
        <v>3990</v>
      </c>
      <c r="H109" s="58"/>
      <c r="I109" s="28"/>
      <c r="J109" s="28"/>
      <c r="K109" s="29"/>
      <c r="BB109" s="14"/>
      <c r="BC109" s="21"/>
      <c r="BD109" s="15"/>
      <c r="BE109" s="12" t="s">
        <v>608</v>
      </c>
      <c r="BF109" s="43"/>
      <c r="BG109" s="12"/>
    </row>
    <row r="110" spans="1:59" s="3" customFormat="1" ht="21.6" x14ac:dyDescent="0.3">
      <c r="A110" s="16" t="s">
        <v>237</v>
      </c>
      <c r="B110" s="17" t="s">
        <v>3991</v>
      </c>
      <c r="C110" s="405" t="s">
        <v>3992</v>
      </c>
      <c r="D110" s="405"/>
      <c r="E110" s="405"/>
      <c r="F110" s="16" t="s">
        <v>406</v>
      </c>
      <c r="G110" s="23">
        <v>1</v>
      </c>
      <c r="H110" s="57">
        <f>I110/G110</f>
        <v>0</v>
      </c>
      <c r="I110" s="19">
        <v>0</v>
      </c>
      <c r="J110" s="19">
        <f>K110/G110</f>
        <v>352.23</v>
      </c>
      <c r="K110" s="19">
        <v>352.23</v>
      </c>
      <c r="BB110" s="14"/>
      <c r="BC110" s="21" t="s">
        <v>3992</v>
      </c>
      <c r="BD110" s="15"/>
      <c r="BE110" s="12"/>
      <c r="BF110" s="43"/>
      <c r="BG110" s="12"/>
    </row>
    <row r="111" spans="1:59" s="3" customFormat="1" ht="15" customHeight="1" x14ac:dyDescent="0.3">
      <c r="A111" s="437" t="s">
        <v>3993</v>
      </c>
      <c r="B111" s="418"/>
      <c r="C111" s="418"/>
      <c r="D111" s="418"/>
      <c r="E111" s="418"/>
      <c r="F111" s="418"/>
      <c r="G111" s="418"/>
      <c r="H111" s="123"/>
      <c r="I111" s="123"/>
      <c r="J111" s="123"/>
      <c r="K111" s="124"/>
      <c r="BB111" s="14"/>
      <c r="BC111" s="21"/>
      <c r="BD111" s="15" t="s">
        <v>3993</v>
      </c>
      <c r="BE111" s="12"/>
      <c r="BF111" s="43"/>
      <c r="BG111" s="12"/>
    </row>
    <row r="112" spans="1:59" s="3" customFormat="1" ht="31.8" x14ac:dyDescent="0.3">
      <c r="A112" s="16" t="s">
        <v>243</v>
      </c>
      <c r="B112" s="17" t="s">
        <v>3994</v>
      </c>
      <c r="C112" s="405" t="s">
        <v>3995</v>
      </c>
      <c r="D112" s="405"/>
      <c r="E112" s="405"/>
      <c r="F112" s="16" t="s">
        <v>38</v>
      </c>
      <c r="G112" s="23">
        <v>12</v>
      </c>
      <c r="H112" s="57">
        <f>I112/G112</f>
        <v>378.04916666666668</v>
      </c>
      <c r="I112" s="19">
        <f>6137.02-K112</f>
        <v>4536.59</v>
      </c>
      <c r="J112" s="19">
        <f>K112/G112</f>
        <v>133.36916666666667</v>
      </c>
      <c r="K112" s="19">
        <v>1600.43</v>
      </c>
      <c r="BB112" s="14"/>
      <c r="BC112" s="21" t="s">
        <v>3995</v>
      </c>
      <c r="BD112" s="15"/>
      <c r="BE112" s="12"/>
      <c r="BF112" s="43"/>
      <c r="BG112" s="12"/>
    </row>
    <row r="113" spans="1:59" s="3" customFormat="1" ht="21.6" x14ac:dyDescent="0.3">
      <c r="A113" s="25"/>
      <c r="B113" s="26" t="s">
        <v>3996</v>
      </c>
      <c r="C113" s="419" t="s">
        <v>3997</v>
      </c>
      <c r="D113" s="419"/>
      <c r="E113" s="419"/>
      <c r="F113" s="27" t="s">
        <v>70</v>
      </c>
      <c r="G113" s="22" t="s">
        <v>3998</v>
      </c>
      <c r="H113" s="58"/>
      <c r="I113" s="28"/>
      <c r="J113" s="28"/>
      <c r="K113" s="29"/>
      <c r="BB113" s="14"/>
      <c r="BC113" s="21"/>
      <c r="BD113" s="15"/>
      <c r="BE113" s="12" t="s">
        <v>3997</v>
      </c>
      <c r="BF113" s="43"/>
      <c r="BG113" s="12"/>
    </row>
    <row r="114" spans="1:59" s="3" customFormat="1" ht="20.399999999999999" x14ac:dyDescent="0.3">
      <c r="A114" s="25"/>
      <c r="B114" s="26" t="s">
        <v>73</v>
      </c>
      <c r="C114" s="419" t="s">
        <v>74</v>
      </c>
      <c r="D114" s="419"/>
      <c r="E114" s="419"/>
      <c r="F114" s="27" t="s">
        <v>75</v>
      </c>
      <c r="G114" s="22" t="s">
        <v>3999</v>
      </c>
      <c r="H114" s="58"/>
      <c r="I114" s="28"/>
      <c r="J114" s="28"/>
      <c r="K114" s="29"/>
      <c r="BB114" s="14"/>
      <c r="BC114" s="21"/>
      <c r="BD114" s="15"/>
      <c r="BE114" s="12" t="s">
        <v>74</v>
      </c>
      <c r="BF114" s="43"/>
      <c r="BG114" s="12"/>
    </row>
    <row r="115" spans="1:59" s="3" customFormat="1" ht="20.399999999999999" x14ac:dyDescent="0.3">
      <c r="A115" s="25"/>
      <c r="B115" s="26" t="s">
        <v>4000</v>
      </c>
      <c r="C115" s="419" t="s">
        <v>4001</v>
      </c>
      <c r="D115" s="419"/>
      <c r="E115" s="419"/>
      <c r="F115" s="27" t="s">
        <v>75</v>
      </c>
      <c r="G115" s="22" t="s">
        <v>4002</v>
      </c>
      <c r="H115" s="58"/>
      <c r="I115" s="28"/>
      <c r="J115" s="28"/>
      <c r="K115" s="29"/>
      <c r="BB115" s="14"/>
      <c r="BC115" s="21"/>
      <c r="BD115" s="15"/>
      <c r="BE115" s="12" t="s">
        <v>4001</v>
      </c>
      <c r="BF115" s="43"/>
      <c r="BG115" s="12"/>
    </row>
    <row r="116" spans="1:59" s="3" customFormat="1" ht="21.6" x14ac:dyDescent="0.3">
      <c r="A116" s="25"/>
      <c r="B116" s="26" t="s">
        <v>607</v>
      </c>
      <c r="C116" s="419" t="s">
        <v>608</v>
      </c>
      <c r="D116" s="419"/>
      <c r="E116" s="419"/>
      <c r="F116" s="27" t="s">
        <v>609</v>
      </c>
      <c r="G116" s="22" t="s">
        <v>4003</v>
      </c>
      <c r="H116" s="58"/>
      <c r="I116" s="28"/>
      <c r="J116" s="28"/>
      <c r="K116" s="29"/>
      <c r="BB116" s="14"/>
      <c r="BC116" s="21"/>
      <c r="BD116" s="15"/>
      <c r="BE116" s="12" t="s">
        <v>608</v>
      </c>
      <c r="BF116" s="43"/>
      <c r="BG116" s="12"/>
    </row>
    <row r="117" spans="1:59" s="3" customFormat="1" ht="15" customHeight="1" x14ac:dyDescent="0.3">
      <c r="A117" s="437" t="s">
        <v>4004</v>
      </c>
      <c r="B117" s="418"/>
      <c r="C117" s="418"/>
      <c r="D117" s="418"/>
      <c r="E117" s="418"/>
      <c r="F117" s="418"/>
      <c r="G117" s="418"/>
      <c r="H117" s="123"/>
      <c r="I117" s="123"/>
      <c r="J117" s="123"/>
      <c r="K117" s="124"/>
      <c r="BB117" s="14"/>
      <c r="BC117" s="21"/>
      <c r="BD117" s="15" t="s">
        <v>4004</v>
      </c>
      <c r="BE117" s="12"/>
      <c r="BF117" s="43"/>
      <c r="BG117" s="12"/>
    </row>
    <row r="118" spans="1:59" s="3" customFormat="1" ht="14.4" x14ac:dyDescent="0.3">
      <c r="A118" s="16" t="s">
        <v>244</v>
      </c>
      <c r="B118" s="17" t="s">
        <v>1961</v>
      </c>
      <c r="C118" s="405" t="s">
        <v>1962</v>
      </c>
      <c r="D118" s="405"/>
      <c r="E118" s="405"/>
      <c r="F118" s="16" t="s">
        <v>67</v>
      </c>
      <c r="G118" s="31">
        <v>1.04</v>
      </c>
      <c r="H118" s="57">
        <f>I118/G118</f>
        <v>16418.490384615383</v>
      </c>
      <c r="I118" s="19">
        <f>17549.51-K118</f>
        <v>17075.23</v>
      </c>
      <c r="J118" s="19">
        <f>K118/G118</f>
        <v>456.03846153846149</v>
      </c>
      <c r="K118" s="19">
        <v>474.28</v>
      </c>
      <c r="BB118" s="14"/>
      <c r="BC118" s="21" t="s">
        <v>1962</v>
      </c>
      <c r="BD118" s="15"/>
      <c r="BE118" s="12"/>
      <c r="BF118" s="43"/>
      <c r="BG118" s="12"/>
    </row>
    <row r="119" spans="1:59" s="3" customFormat="1" ht="21.6" x14ac:dyDescent="0.3">
      <c r="A119" s="25"/>
      <c r="B119" s="26" t="s">
        <v>1419</v>
      </c>
      <c r="C119" s="419" t="s">
        <v>1420</v>
      </c>
      <c r="D119" s="419"/>
      <c r="E119" s="419"/>
      <c r="F119" s="27" t="s">
        <v>1086</v>
      </c>
      <c r="G119" s="22" t="s">
        <v>4005</v>
      </c>
      <c r="H119" s="58"/>
      <c r="I119" s="28"/>
      <c r="J119" s="28"/>
      <c r="K119" s="29"/>
      <c r="BB119" s="14"/>
      <c r="BC119" s="21"/>
      <c r="BD119" s="15"/>
      <c r="BE119" s="12" t="s">
        <v>1420</v>
      </c>
      <c r="BF119" s="43"/>
      <c r="BG119" s="12"/>
    </row>
    <row r="120" spans="1:59" s="3" customFormat="1" ht="20.399999999999999" x14ac:dyDescent="0.3">
      <c r="A120" s="25"/>
      <c r="B120" s="26" t="s">
        <v>1964</v>
      </c>
      <c r="C120" s="419" t="s">
        <v>1965</v>
      </c>
      <c r="D120" s="419"/>
      <c r="E120" s="419"/>
      <c r="F120" s="27" t="s">
        <v>70</v>
      </c>
      <c r="G120" s="22" t="s">
        <v>4006</v>
      </c>
      <c r="H120" s="58"/>
      <c r="I120" s="28"/>
      <c r="J120" s="28"/>
      <c r="K120" s="29"/>
      <c r="BB120" s="14"/>
      <c r="BC120" s="21"/>
      <c r="BD120" s="15"/>
      <c r="BE120" s="12" t="s">
        <v>1965</v>
      </c>
      <c r="BF120" s="43"/>
      <c r="BG120" s="12"/>
    </row>
    <row r="121" spans="1:59" s="3" customFormat="1" ht="21.6" x14ac:dyDescent="0.3">
      <c r="A121" s="25"/>
      <c r="B121" s="26" t="s">
        <v>607</v>
      </c>
      <c r="C121" s="419" t="s">
        <v>608</v>
      </c>
      <c r="D121" s="419"/>
      <c r="E121" s="419"/>
      <c r="F121" s="27" t="s">
        <v>609</v>
      </c>
      <c r="G121" s="22" t="s">
        <v>4007</v>
      </c>
      <c r="H121" s="58"/>
      <c r="I121" s="28"/>
      <c r="J121" s="28"/>
      <c r="K121" s="29"/>
      <c r="BB121" s="14"/>
      <c r="BC121" s="21"/>
      <c r="BD121" s="15"/>
      <c r="BE121" s="12" t="s">
        <v>608</v>
      </c>
      <c r="BF121" s="43"/>
      <c r="BG121" s="12"/>
    </row>
    <row r="122" spans="1:59" s="3" customFormat="1" ht="14.4" x14ac:dyDescent="0.3">
      <c r="A122" s="16" t="s">
        <v>246</v>
      </c>
      <c r="B122" s="17" t="s">
        <v>4008</v>
      </c>
      <c r="C122" s="405" t="s">
        <v>4009</v>
      </c>
      <c r="D122" s="405"/>
      <c r="E122" s="405"/>
      <c r="F122" s="16" t="s">
        <v>115</v>
      </c>
      <c r="G122" s="23">
        <v>104</v>
      </c>
      <c r="H122" s="57">
        <f>I122/G122</f>
        <v>0</v>
      </c>
      <c r="I122" s="19">
        <v>0</v>
      </c>
      <c r="J122" s="19">
        <f>K122/G122</f>
        <v>10.531538461538462</v>
      </c>
      <c r="K122" s="19">
        <v>1095.28</v>
      </c>
      <c r="BB122" s="14"/>
      <c r="BC122" s="21" t="s">
        <v>4009</v>
      </c>
      <c r="BD122" s="15"/>
      <c r="BE122" s="12"/>
      <c r="BF122" s="43"/>
      <c r="BG122" s="12"/>
    </row>
    <row r="123" spans="1:59" s="3" customFormat="1" ht="15" customHeight="1" x14ac:dyDescent="0.3">
      <c r="A123" s="437" t="s">
        <v>4010</v>
      </c>
      <c r="B123" s="418"/>
      <c r="C123" s="418"/>
      <c r="D123" s="418"/>
      <c r="E123" s="418"/>
      <c r="F123" s="418"/>
      <c r="G123" s="418"/>
      <c r="H123" s="123"/>
      <c r="I123" s="123"/>
      <c r="J123" s="123"/>
      <c r="K123" s="124"/>
      <c r="BB123" s="14"/>
      <c r="BC123" s="21"/>
      <c r="BD123" s="15" t="s">
        <v>4010</v>
      </c>
      <c r="BE123" s="12"/>
      <c r="BF123" s="43"/>
      <c r="BG123" s="12"/>
    </row>
    <row r="124" spans="1:59" s="3" customFormat="1" ht="31.8" x14ac:dyDescent="0.3">
      <c r="A124" s="16" t="s">
        <v>247</v>
      </c>
      <c r="B124" s="17" t="s">
        <v>4011</v>
      </c>
      <c r="C124" s="405" t="s">
        <v>4012</v>
      </c>
      <c r="D124" s="405"/>
      <c r="E124" s="405"/>
      <c r="F124" s="16" t="s">
        <v>70</v>
      </c>
      <c r="G124" s="46">
        <v>4.7587999999999998E-2</v>
      </c>
      <c r="H124" s="57">
        <f>I124/G124</f>
        <v>52277.675044128773</v>
      </c>
      <c r="I124" s="19">
        <f>2510.09-K124</f>
        <v>2487.79</v>
      </c>
      <c r="J124" s="19">
        <f>K124/G124</f>
        <v>468.6055308060856</v>
      </c>
      <c r="K124" s="19">
        <v>22.3</v>
      </c>
      <c r="BB124" s="14"/>
      <c r="BC124" s="21" t="s">
        <v>4012</v>
      </c>
      <c r="BD124" s="15"/>
      <c r="BE124" s="12"/>
      <c r="BF124" s="43"/>
      <c r="BG124" s="12"/>
    </row>
    <row r="125" spans="1:59" s="3" customFormat="1" ht="20.399999999999999" x14ac:dyDescent="0.3">
      <c r="A125" s="25"/>
      <c r="B125" s="26" t="s">
        <v>1693</v>
      </c>
      <c r="C125" s="419" t="s">
        <v>1694</v>
      </c>
      <c r="D125" s="419"/>
      <c r="E125" s="419"/>
      <c r="F125" s="27" t="s">
        <v>75</v>
      </c>
      <c r="G125" s="22" t="s">
        <v>4013</v>
      </c>
      <c r="H125" s="58"/>
      <c r="I125" s="28"/>
      <c r="J125" s="28"/>
      <c r="K125" s="29"/>
      <c r="BB125" s="14"/>
      <c r="BC125" s="21"/>
      <c r="BD125" s="15"/>
      <c r="BE125" s="12" t="s">
        <v>1694</v>
      </c>
      <c r="BF125" s="43"/>
      <c r="BG125" s="12"/>
    </row>
    <row r="126" spans="1:59" s="3" customFormat="1" ht="20.399999999999999" x14ac:dyDescent="0.3">
      <c r="A126" s="25"/>
      <c r="B126" s="26" t="s">
        <v>391</v>
      </c>
      <c r="C126" s="419" t="s">
        <v>392</v>
      </c>
      <c r="D126" s="419"/>
      <c r="E126" s="419"/>
      <c r="F126" s="27" t="s">
        <v>75</v>
      </c>
      <c r="G126" s="22" t="s">
        <v>4014</v>
      </c>
      <c r="H126" s="58"/>
      <c r="I126" s="28"/>
      <c r="J126" s="28"/>
      <c r="K126" s="29"/>
      <c r="BB126" s="14"/>
      <c r="BC126" s="21"/>
      <c r="BD126" s="15"/>
      <c r="BE126" s="12" t="s">
        <v>392</v>
      </c>
      <c r="BF126" s="43"/>
      <c r="BG126" s="12"/>
    </row>
    <row r="127" spans="1:59" s="3" customFormat="1" ht="21.6" x14ac:dyDescent="0.3">
      <c r="A127" s="25"/>
      <c r="B127" s="26" t="s">
        <v>607</v>
      </c>
      <c r="C127" s="419" t="s">
        <v>608</v>
      </c>
      <c r="D127" s="419"/>
      <c r="E127" s="419"/>
      <c r="F127" s="27" t="s">
        <v>609</v>
      </c>
      <c r="G127" s="22" t="s">
        <v>4015</v>
      </c>
      <c r="H127" s="58"/>
      <c r="I127" s="28"/>
      <c r="J127" s="28"/>
      <c r="K127" s="29"/>
      <c r="BB127" s="14"/>
      <c r="BC127" s="21"/>
      <c r="BD127" s="15"/>
      <c r="BE127" s="12" t="s">
        <v>608</v>
      </c>
      <c r="BF127" s="43"/>
      <c r="BG127" s="12"/>
    </row>
    <row r="128" spans="1:59" s="3" customFormat="1" ht="20.399999999999999" x14ac:dyDescent="0.3">
      <c r="A128" s="16" t="s">
        <v>531</v>
      </c>
      <c r="B128" s="17" t="s">
        <v>4016</v>
      </c>
      <c r="C128" s="405" t="s">
        <v>4017</v>
      </c>
      <c r="D128" s="405"/>
      <c r="E128" s="405"/>
      <c r="F128" s="16" t="s">
        <v>115</v>
      </c>
      <c r="G128" s="23">
        <v>3</v>
      </c>
      <c r="H128" s="57">
        <v>0</v>
      </c>
      <c r="I128" s="19">
        <v>0</v>
      </c>
      <c r="J128" s="19">
        <f t="shared" ref="J128:J136" si="6">K128/G128</f>
        <v>1939.83</v>
      </c>
      <c r="K128" s="19">
        <v>5819.49</v>
      </c>
      <c r="BB128" s="14"/>
      <c r="BC128" s="21" t="s">
        <v>4017</v>
      </c>
      <c r="BD128" s="15"/>
      <c r="BE128" s="12"/>
      <c r="BF128" s="43"/>
      <c r="BG128" s="12"/>
    </row>
    <row r="129" spans="1:59" s="3" customFormat="1" ht="21.6" x14ac:dyDescent="0.3">
      <c r="A129" s="16" t="s">
        <v>533</v>
      </c>
      <c r="B129" s="17" t="s">
        <v>4018</v>
      </c>
      <c r="C129" s="405" t="s">
        <v>4019</v>
      </c>
      <c r="D129" s="405"/>
      <c r="E129" s="405"/>
      <c r="F129" s="16" t="s">
        <v>115</v>
      </c>
      <c r="G129" s="23">
        <v>6</v>
      </c>
      <c r="H129" s="57">
        <v>0</v>
      </c>
      <c r="I129" s="19">
        <v>0</v>
      </c>
      <c r="J129" s="19">
        <f t="shared" si="6"/>
        <v>1440.8683333333331</v>
      </c>
      <c r="K129" s="19">
        <v>8645.2099999999991</v>
      </c>
      <c r="BB129" s="14"/>
      <c r="BC129" s="21" t="s">
        <v>4019</v>
      </c>
      <c r="BD129" s="15"/>
      <c r="BE129" s="12"/>
      <c r="BF129" s="43"/>
      <c r="BG129" s="12"/>
    </row>
    <row r="130" spans="1:59" s="3" customFormat="1" ht="20.399999999999999" x14ac:dyDescent="0.3">
      <c r="A130" s="16" t="s">
        <v>539</v>
      </c>
      <c r="B130" s="17" t="s">
        <v>4020</v>
      </c>
      <c r="C130" s="405" t="s">
        <v>4021</v>
      </c>
      <c r="D130" s="405"/>
      <c r="E130" s="405"/>
      <c r="F130" s="16" t="s">
        <v>115</v>
      </c>
      <c r="G130" s="23">
        <v>6</v>
      </c>
      <c r="H130" s="57">
        <v>0</v>
      </c>
      <c r="I130" s="19">
        <v>0</v>
      </c>
      <c r="J130" s="19">
        <f t="shared" si="6"/>
        <v>1176.6083333333333</v>
      </c>
      <c r="K130" s="19">
        <v>7059.65</v>
      </c>
      <c r="BB130" s="14"/>
      <c r="BC130" s="21" t="s">
        <v>4021</v>
      </c>
      <c r="BD130" s="15"/>
      <c r="BE130" s="12"/>
      <c r="BF130" s="43"/>
      <c r="BG130" s="12"/>
    </row>
    <row r="131" spans="1:59" s="3" customFormat="1" ht="42" x14ac:dyDescent="0.3">
      <c r="A131" s="16" t="s">
        <v>542</v>
      </c>
      <c r="B131" s="17" t="s">
        <v>4022</v>
      </c>
      <c r="C131" s="405" t="s">
        <v>4023</v>
      </c>
      <c r="D131" s="405"/>
      <c r="E131" s="405"/>
      <c r="F131" s="16" t="s">
        <v>1460</v>
      </c>
      <c r="G131" s="23">
        <v>1</v>
      </c>
      <c r="H131" s="57">
        <v>0</v>
      </c>
      <c r="I131" s="19">
        <v>0</v>
      </c>
      <c r="J131" s="19">
        <f t="shared" si="6"/>
        <v>3276.71</v>
      </c>
      <c r="K131" s="19">
        <v>3276.71</v>
      </c>
      <c r="BB131" s="14"/>
      <c r="BC131" s="21" t="s">
        <v>4023</v>
      </c>
      <c r="BD131" s="15"/>
      <c r="BE131" s="12"/>
      <c r="BF131" s="43"/>
      <c r="BG131" s="12"/>
    </row>
    <row r="132" spans="1:59" s="3" customFormat="1" ht="42" x14ac:dyDescent="0.3">
      <c r="A132" s="16" t="s">
        <v>547</v>
      </c>
      <c r="B132" s="17" t="s">
        <v>4024</v>
      </c>
      <c r="C132" s="405" t="s">
        <v>4025</v>
      </c>
      <c r="D132" s="405"/>
      <c r="E132" s="405"/>
      <c r="F132" s="16" t="s">
        <v>1460</v>
      </c>
      <c r="G132" s="23">
        <v>1</v>
      </c>
      <c r="H132" s="57">
        <v>0</v>
      </c>
      <c r="I132" s="19">
        <v>0</v>
      </c>
      <c r="J132" s="19">
        <f t="shared" si="6"/>
        <v>3525.84</v>
      </c>
      <c r="K132" s="19">
        <v>3525.84</v>
      </c>
      <c r="BB132" s="14"/>
      <c r="BC132" s="21" t="s">
        <v>4025</v>
      </c>
      <c r="BD132" s="15"/>
      <c r="BE132" s="12"/>
      <c r="BF132" s="43"/>
      <c r="BG132" s="12"/>
    </row>
    <row r="133" spans="1:59" s="3" customFormat="1" ht="42" x14ac:dyDescent="0.3">
      <c r="A133" s="16" t="s">
        <v>549</v>
      </c>
      <c r="B133" s="17" t="s">
        <v>4026</v>
      </c>
      <c r="C133" s="405" t="s">
        <v>4027</v>
      </c>
      <c r="D133" s="405"/>
      <c r="E133" s="405"/>
      <c r="F133" s="16" t="s">
        <v>1460</v>
      </c>
      <c r="G133" s="23">
        <v>2</v>
      </c>
      <c r="H133" s="57">
        <v>0</v>
      </c>
      <c r="I133" s="19">
        <v>0</v>
      </c>
      <c r="J133" s="19">
        <f t="shared" si="6"/>
        <v>4155.0749999999998</v>
      </c>
      <c r="K133" s="19">
        <v>8310.15</v>
      </c>
      <c r="BB133" s="14"/>
      <c r="BC133" s="21" t="s">
        <v>4027</v>
      </c>
      <c r="BD133" s="15"/>
      <c r="BE133" s="12"/>
      <c r="BF133" s="43"/>
      <c r="BG133" s="12"/>
    </row>
    <row r="134" spans="1:59" s="3" customFormat="1" ht="20.399999999999999" x14ac:dyDescent="0.3">
      <c r="A134" s="16" t="s">
        <v>570</v>
      </c>
      <c r="B134" s="17" t="s">
        <v>4028</v>
      </c>
      <c r="C134" s="405" t="s">
        <v>4029</v>
      </c>
      <c r="D134" s="405"/>
      <c r="E134" s="405"/>
      <c r="F134" s="16" t="s">
        <v>1460</v>
      </c>
      <c r="G134" s="23">
        <v>4</v>
      </c>
      <c r="H134" s="57">
        <v>0</v>
      </c>
      <c r="I134" s="19">
        <v>0</v>
      </c>
      <c r="J134" s="19">
        <f t="shared" si="6"/>
        <v>5937.82</v>
      </c>
      <c r="K134" s="19">
        <v>23751.279999999999</v>
      </c>
      <c r="BB134" s="14"/>
      <c r="BC134" s="21" t="s">
        <v>4029</v>
      </c>
      <c r="BD134" s="15"/>
      <c r="BE134" s="12"/>
      <c r="BF134" s="43"/>
      <c r="BG134" s="12"/>
    </row>
    <row r="135" spans="1:59" s="3" customFormat="1" ht="20.399999999999999" x14ac:dyDescent="0.3">
      <c r="A135" s="16" t="s">
        <v>584</v>
      </c>
      <c r="B135" s="17" t="s">
        <v>4030</v>
      </c>
      <c r="C135" s="405" t="s">
        <v>4031</v>
      </c>
      <c r="D135" s="405"/>
      <c r="E135" s="405"/>
      <c r="F135" s="16" t="s">
        <v>1460</v>
      </c>
      <c r="G135" s="23">
        <v>2</v>
      </c>
      <c r="H135" s="57">
        <v>0</v>
      </c>
      <c r="I135" s="19">
        <v>0</v>
      </c>
      <c r="J135" s="19">
        <f t="shared" si="6"/>
        <v>970.22500000000002</v>
      </c>
      <c r="K135" s="19">
        <v>1940.45</v>
      </c>
      <c r="BB135" s="14"/>
      <c r="BC135" s="21" t="s">
        <v>4031</v>
      </c>
      <c r="BD135" s="15"/>
      <c r="BE135" s="12"/>
      <c r="BF135" s="43"/>
      <c r="BG135" s="12"/>
    </row>
    <row r="136" spans="1:59" s="3" customFormat="1" ht="20.399999999999999" x14ac:dyDescent="0.3">
      <c r="A136" s="16" t="s">
        <v>585</v>
      </c>
      <c r="B136" s="17" t="s">
        <v>4032</v>
      </c>
      <c r="C136" s="405" t="s">
        <v>4033</v>
      </c>
      <c r="D136" s="405"/>
      <c r="E136" s="405"/>
      <c r="F136" s="16" t="s">
        <v>1460</v>
      </c>
      <c r="G136" s="23">
        <v>3</v>
      </c>
      <c r="H136" s="57">
        <v>0</v>
      </c>
      <c r="I136" s="19">
        <v>0</v>
      </c>
      <c r="J136" s="19">
        <f t="shared" si="6"/>
        <v>2364.19</v>
      </c>
      <c r="K136" s="19">
        <v>7092.57</v>
      </c>
      <c r="BB136" s="14"/>
      <c r="BC136" s="21" t="s">
        <v>4033</v>
      </c>
      <c r="BD136" s="15"/>
      <c r="BE136" s="12"/>
      <c r="BF136" s="43"/>
      <c r="BG136" s="12"/>
    </row>
    <row r="137" spans="1:59" s="3" customFormat="1" ht="15" customHeight="1" x14ac:dyDescent="0.3">
      <c r="A137" s="435" t="s">
        <v>4034</v>
      </c>
      <c r="B137" s="436"/>
      <c r="C137" s="436"/>
      <c r="D137" s="436"/>
      <c r="E137" s="436"/>
      <c r="F137" s="436"/>
      <c r="G137" s="436"/>
      <c r="H137" s="103"/>
      <c r="I137" s="103"/>
      <c r="J137" s="103"/>
      <c r="K137" s="104"/>
      <c r="BB137" s="14" t="s">
        <v>4034</v>
      </c>
      <c r="BC137" s="21"/>
      <c r="BD137" s="15"/>
      <c r="BE137" s="12"/>
      <c r="BF137" s="43"/>
      <c r="BG137" s="12"/>
    </row>
    <row r="138" spans="1:59" s="3" customFormat="1" ht="15" customHeight="1" x14ac:dyDescent="0.3">
      <c r="A138" s="437" t="s">
        <v>4035</v>
      </c>
      <c r="B138" s="418"/>
      <c r="C138" s="418"/>
      <c r="D138" s="418"/>
      <c r="E138" s="418"/>
      <c r="F138" s="418"/>
      <c r="G138" s="418"/>
      <c r="H138" s="123"/>
      <c r="I138" s="123"/>
      <c r="J138" s="123"/>
      <c r="K138" s="124"/>
      <c r="BB138" s="14"/>
      <c r="BC138" s="21"/>
      <c r="BD138" s="15" t="s">
        <v>4035</v>
      </c>
      <c r="BE138" s="12"/>
      <c r="BF138" s="43"/>
      <c r="BG138" s="12"/>
    </row>
    <row r="139" spans="1:59" s="3" customFormat="1" ht="21.6" x14ac:dyDescent="0.3">
      <c r="A139" s="16" t="s">
        <v>2137</v>
      </c>
      <c r="B139" s="17" t="s">
        <v>1945</v>
      </c>
      <c r="C139" s="405" t="s">
        <v>1946</v>
      </c>
      <c r="D139" s="405"/>
      <c r="E139" s="405"/>
      <c r="F139" s="16" t="s">
        <v>67</v>
      </c>
      <c r="G139" s="31">
        <v>0.87</v>
      </c>
      <c r="H139" s="57">
        <f>I139/G139</f>
        <v>10823.344827586207</v>
      </c>
      <c r="I139" s="19">
        <f>9701.42-K139</f>
        <v>9416.31</v>
      </c>
      <c r="J139" s="19">
        <f>K139/G139</f>
        <v>327.71264367816093</v>
      </c>
      <c r="K139" s="19">
        <v>285.11</v>
      </c>
      <c r="BB139" s="14"/>
      <c r="BC139" s="21" t="s">
        <v>1946</v>
      </c>
      <c r="BD139" s="15"/>
      <c r="BE139" s="12"/>
      <c r="BF139" s="43"/>
      <c r="BG139" s="12"/>
    </row>
    <row r="140" spans="1:59" s="3" customFormat="1" ht="20.399999999999999" x14ac:dyDescent="0.3">
      <c r="A140" s="25"/>
      <c r="B140" s="26" t="s">
        <v>599</v>
      </c>
      <c r="C140" s="419" t="s">
        <v>600</v>
      </c>
      <c r="D140" s="419"/>
      <c r="E140" s="419"/>
      <c r="F140" s="27" t="s">
        <v>406</v>
      </c>
      <c r="G140" s="22" t="s">
        <v>4036</v>
      </c>
      <c r="H140" s="58"/>
      <c r="I140" s="28"/>
      <c r="J140" s="28"/>
      <c r="K140" s="29"/>
      <c r="BB140" s="14"/>
      <c r="BC140" s="21"/>
      <c r="BD140" s="15"/>
      <c r="BE140" s="12" t="s">
        <v>600</v>
      </c>
      <c r="BF140" s="43"/>
      <c r="BG140" s="12"/>
    </row>
    <row r="141" spans="1:59" s="3" customFormat="1" ht="21.6" x14ac:dyDescent="0.3">
      <c r="A141" s="25"/>
      <c r="B141" s="26" t="s">
        <v>1766</v>
      </c>
      <c r="C141" s="419" t="s">
        <v>1767</v>
      </c>
      <c r="D141" s="419"/>
      <c r="E141" s="419"/>
      <c r="F141" s="27" t="s">
        <v>70</v>
      </c>
      <c r="G141" s="22" t="s">
        <v>4037</v>
      </c>
      <c r="H141" s="58"/>
      <c r="I141" s="28"/>
      <c r="J141" s="28"/>
      <c r="K141" s="29"/>
      <c r="BB141" s="14"/>
      <c r="BC141" s="21"/>
      <c r="BD141" s="15"/>
      <c r="BE141" s="12" t="s">
        <v>1767</v>
      </c>
      <c r="BF141" s="43"/>
      <c r="BG141" s="12"/>
    </row>
    <row r="142" spans="1:59" s="3" customFormat="1" ht="20.399999999999999" x14ac:dyDescent="0.3">
      <c r="A142" s="25"/>
      <c r="B142" s="26" t="s">
        <v>89</v>
      </c>
      <c r="C142" s="419" t="s">
        <v>90</v>
      </c>
      <c r="D142" s="419"/>
      <c r="E142" s="419"/>
      <c r="F142" s="27" t="s">
        <v>70</v>
      </c>
      <c r="G142" s="22" t="s">
        <v>4038</v>
      </c>
      <c r="H142" s="58"/>
      <c r="I142" s="28"/>
      <c r="J142" s="28"/>
      <c r="K142" s="29"/>
      <c r="BB142" s="14"/>
      <c r="BC142" s="21"/>
      <c r="BD142" s="15"/>
      <c r="BE142" s="12" t="s">
        <v>90</v>
      </c>
      <c r="BF142" s="43"/>
      <c r="BG142" s="12"/>
    </row>
    <row r="143" spans="1:59" s="3" customFormat="1" ht="21.6" x14ac:dyDescent="0.3">
      <c r="A143" s="25"/>
      <c r="B143" s="26" t="s">
        <v>607</v>
      </c>
      <c r="C143" s="419" t="s">
        <v>608</v>
      </c>
      <c r="D143" s="419"/>
      <c r="E143" s="419"/>
      <c r="F143" s="27" t="s">
        <v>609</v>
      </c>
      <c r="G143" s="22" t="s">
        <v>4039</v>
      </c>
      <c r="H143" s="58"/>
      <c r="I143" s="28"/>
      <c r="J143" s="28"/>
      <c r="K143" s="29"/>
      <c r="BB143" s="14"/>
      <c r="BC143" s="21"/>
      <c r="BD143" s="15"/>
      <c r="BE143" s="12" t="s">
        <v>608</v>
      </c>
      <c r="BF143" s="43"/>
      <c r="BG143" s="12"/>
    </row>
    <row r="144" spans="1:59" s="3" customFormat="1" ht="42" x14ac:dyDescent="0.3">
      <c r="A144" s="16" t="s">
        <v>2138</v>
      </c>
      <c r="B144" s="17" t="s">
        <v>3893</v>
      </c>
      <c r="C144" s="405" t="s">
        <v>3894</v>
      </c>
      <c r="D144" s="405"/>
      <c r="E144" s="405"/>
      <c r="F144" s="16" t="s">
        <v>67</v>
      </c>
      <c r="G144" s="31">
        <v>0.22</v>
      </c>
      <c r="H144" s="57">
        <f>I144/G144</f>
        <v>10174.590909090908</v>
      </c>
      <c r="I144" s="19">
        <f>2293.18-K144</f>
        <v>2238.41</v>
      </c>
      <c r="J144" s="19">
        <f>K144/G144</f>
        <v>248.95454545454547</v>
      </c>
      <c r="K144" s="19">
        <v>54.77</v>
      </c>
      <c r="BB144" s="14"/>
      <c r="BC144" s="21" t="s">
        <v>3894</v>
      </c>
      <c r="BD144" s="15"/>
      <c r="BE144" s="12"/>
      <c r="BF144" s="43"/>
      <c r="BG144" s="12"/>
    </row>
    <row r="145" spans="1:59" s="3" customFormat="1" ht="20.399999999999999" x14ac:dyDescent="0.3">
      <c r="A145" s="25"/>
      <c r="B145" s="26" t="s">
        <v>599</v>
      </c>
      <c r="C145" s="419" t="s">
        <v>600</v>
      </c>
      <c r="D145" s="419"/>
      <c r="E145" s="419"/>
      <c r="F145" s="27" t="s">
        <v>406</v>
      </c>
      <c r="G145" s="22" t="s">
        <v>4040</v>
      </c>
      <c r="H145" s="58"/>
      <c r="I145" s="28"/>
      <c r="J145" s="28"/>
      <c r="K145" s="29"/>
      <c r="BB145" s="14"/>
      <c r="BC145" s="21"/>
      <c r="BD145" s="15"/>
      <c r="BE145" s="12" t="s">
        <v>600</v>
      </c>
      <c r="BF145" s="43"/>
      <c r="BG145" s="12"/>
    </row>
    <row r="146" spans="1:59" s="3" customFormat="1" ht="20.399999999999999" x14ac:dyDescent="0.3">
      <c r="A146" s="25"/>
      <c r="B146" s="26" t="s">
        <v>1964</v>
      </c>
      <c r="C146" s="419" t="s">
        <v>1965</v>
      </c>
      <c r="D146" s="419"/>
      <c r="E146" s="419"/>
      <c r="F146" s="27" t="s">
        <v>70</v>
      </c>
      <c r="G146" s="22" t="s">
        <v>4041</v>
      </c>
      <c r="H146" s="58"/>
      <c r="I146" s="28"/>
      <c r="J146" s="28"/>
      <c r="K146" s="29"/>
      <c r="BB146" s="14"/>
      <c r="BC146" s="21"/>
      <c r="BD146" s="15"/>
      <c r="BE146" s="12" t="s">
        <v>1965</v>
      </c>
      <c r="BF146" s="43"/>
      <c r="BG146" s="12"/>
    </row>
    <row r="147" spans="1:59" s="3" customFormat="1" ht="21.6" x14ac:dyDescent="0.3">
      <c r="A147" s="25"/>
      <c r="B147" s="26" t="s">
        <v>1766</v>
      </c>
      <c r="C147" s="419" t="s">
        <v>1767</v>
      </c>
      <c r="D147" s="419"/>
      <c r="E147" s="419"/>
      <c r="F147" s="27" t="s">
        <v>70</v>
      </c>
      <c r="G147" s="22" t="s">
        <v>4042</v>
      </c>
      <c r="H147" s="58"/>
      <c r="I147" s="28"/>
      <c r="J147" s="28"/>
      <c r="K147" s="29"/>
      <c r="BB147" s="14"/>
      <c r="BC147" s="21"/>
      <c r="BD147" s="15"/>
      <c r="BE147" s="12" t="s">
        <v>1767</v>
      </c>
      <c r="BF147" s="43"/>
      <c r="BG147" s="12"/>
    </row>
    <row r="148" spans="1:59" s="3" customFormat="1" ht="20.399999999999999" x14ac:dyDescent="0.3">
      <c r="A148" s="25"/>
      <c r="B148" s="26" t="s">
        <v>89</v>
      </c>
      <c r="C148" s="419" t="s">
        <v>90</v>
      </c>
      <c r="D148" s="419"/>
      <c r="E148" s="419"/>
      <c r="F148" s="27" t="s">
        <v>70</v>
      </c>
      <c r="G148" s="22" t="s">
        <v>4043</v>
      </c>
      <c r="H148" s="58"/>
      <c r="I148" s="28"/>
      <c r="J148" s="28"/>
      <c r="K148" s="29"/>
      <c r="BB148" s="14"/>
      <c r="BC148" s="21"/>
      <c r="BD148" s="15"/>
      <c r="BE148" s="12" t="s">
        <v>90</v>
      </c>
      <c r="BF148" s="43"/>
      <c r="BG148" s="12"/>
    </row>
    <row r="149" spans="1:59" s="3" customFormat="1" ht="21.6" x14ac:dyDescent="0.3">
      <c r="A149" s="25"/>
      <c r="B149" s="26" t="s">
        <v>607</v>
      </c>
      <c r="C149" s="419" t="s">
        <v>608</v>
      </c>
      <c r="D149" s="419"/>
      <c r="E149" s="419"/>
      <c r="F149" s="27" t="s">
        <v>609</v>
      </c>
      <c r="G149" s="22" t="s">
        <v>4044</v>
      </c>
      <c r="H149" s="58"/>
      <c r="I149" s="28"/>
      <c r="J149" s="28"/>
      <c r="K149" s="29"/>
      <c r="BB149" s="14"/>
      <c r="BC149" s="21"/>
      <c r="BD149" s="15"/>
      <c r="BE149" s="12" t="s">
        <v>608</v>
      </c>
      <c r="BF149" s="43"/>
      <c r="BG149" s="12"/>
    </row>
    <row r="150" spans="1:59" s="3" customFormat="1" ht="62.4" x14ac:dyDescent="0.3">
      <c r="A150" s="16" t="s">
        <v>2139</v>
      </c>
      <c r="B150" s="17" t="s">
        <v>4045</v>
      </c>
      <c r="C150" s="405" t="s">
        <v>4046</v>
      </c>
      <c r="D150" s="405"/>
      <c r="E150" s="405"/>
      <c r="F150" s="16" t="s">
        <v>115</v>
      </c>
      <c r="G150" s="31">
        <v>47.94</v>
      </c>
      <c r="H150" s="57">
        <v>0</v>
      </c>
      <c r="I150" s="19">
        <v>0</v>
      </c>
      <c r="J150" s="19">
        <f t="shared" ref="J150:J151" si="7">K150/G150</f>
        <v>65.843971631205676</v>
      </c>
      <c r="K150" s="19">
        <v>3156.56</v>
      </c>
      <c r="BB150" s="14"/>
      <c r="BC150" s="21" t="s">
        <v>4046</v>
      </c>
      <c r="BD150" s="15"/>
      <c r="BE150" s="12"/>
      <c r="BF150" s="43"/>
      <c r="BG150" s="12"/>
    </row>
    <row r="151" spans="1:59" s="3" customFormat="1" ht="72.599999999999994" x14ac:dyDescent="0.3">
      <c r="A151" s="16" t="s">
        <v>2144</v>
      </c>
      <c r="B151" s="17" t="s">
        <v>4047</v>
      </c>
      <c r="C151" s="405" t="s">
        <v>4048</v>
      </c>
      <c r="D151" s="405"/>
      <c r="E151" s="405"/>
      <c r="F151" s="16" t="s">
        <v>115</v>
      </c>
      <c r="G151" s="31">
        <v>63.24</v>
      </c>
      <c r="H151" s="57">
        <v>0</v>
      </c>
      <c r="I151" s="19">
        <v>0</v>
      </c>
      <c r="J151" s="19">
        <f t="shared" si="7"/>
        <v>78.145477545857048</v>
      </c>
      <c r="K151" s="19">
        <v>4941.92</v>
      </c>
      <c r="BB151" s="14"/>
      <c r="BC151" s="21" t="s">
        <v>4048</v>
      </c>
      <c r="BD151" s="15"/>
      <c r="BE151" s="12"/>
      <c r="BF151" s="43"/>
      <c r="BG151" s="12"/>
    </row>
    <row r="152" spans="1:59" s="3" customFormat="1" ht="15" customHeight="1" x14ac:dyDescent="0.3">
      <c r="A152" s="437" t="s">
        <v>4049</v>
      </c>
      <c r="B152" s="418"/>
      <c r="C152" s="418"/>
      <c r="D152" s="418"/>
      <c r="E152" s="418"/>
      <c r="F152" s="418"/>
      <c r="G152" s="418"/>
      <c r="H152" s="123"/>
      <c r="I152" s="123"/>
      <c r="J152" s="123"/>
      <c r="K152" s="124"/>
      <c r="BB152" s="14"/>
      <c r="BC152" s="21"/>
      <c r="BD152" s="15" t="s">
        <v>4049</v>
      </c>
      <c r="BE152" s="12"/>
      <c r="BF152" s="43"/>
      <c r="BG152" s="12"/>
    </row>
    <row r="153" spans="1:59" s="3" customFormat="1" ht="21.6" x14ac:dyDescent="0.3">
      <c r="A153" s="16" t="s">
        <v>2169</v>
      </c>
      <c r="B153" s="17" t="s">
        <v>1945</v>
      </c>
      <c r="C153" s="405" t="s">
        <v>1946</v>
      </c>
      <c r="D153" s="405"/>
      <c r="E153" s="405"/>
      <c r="F153" s="16" t="s">
        <v>67</v>
      </c>
      <c r="G153" s="31">
        <v>1.1100000000000001</v>
      </c>
      <c r="H153" s="57">
        <f>I153/G153</f>
        <v>10823.360360360361</v>
      </c>
      <c r="I153" s="19">
        <f>12377.69-K153</f>
        <v>12013.93</v>
      </c>
      <c r="J153" s="19">
        <f>K153/G153</f>
        <v>327.7117117117117</v>
      </c>
      <c r="K153" s="19">
        <v>363.76</v>
      </c>
      <c r="BB153" s="14"/>
      <c r="BC153" s="21" t="s">
        <v>1946</v>
      </c>
      <c r="BD153" s="15"/>
      <c r="BE153" s="12"/>
      <c r="BF153" s="43"/>
      <c r="BG153" s="12"/>
    </row>
    <row r="154" spans="1:59" s="3" customFormat="1" ht="20.399999999999999" x14ac:dyDescent="0.3">
      <c r="A154" s="25"/>
      <c r="B154" s="26" t="s">
        <v>599</v>
      </c>
      <c r="C154" s="419" t="s">
        <v>600</v>
      </c>
      <c r="D154" s="419"/>
      <c r="E154" s="419"/>
      <c r="F154" s="27" t="s">
        <v>406</v>
      </c>
      <c r="G154" s="22" t="s">
        <v>4050</v>
      </c>
      <c r="H154" s="58"/>
      <c r="I154" s="28"/>
      <c r="J154" s="28"/>
      <c r="K154" s="29"/>
      <c r="BB154" s="14"/>
      <c r="BC154" s="21"/>
      <c r="BD154" s="15"/>
      <c r="BE154" s="12" t="s">
        <v>600</v>
      </c>
      <c r="BF154" s="43"/>
      <c r="BG154" s="12"/>
    </row>
    <row r="155" spans="1:59" s="3" customFormat="1" ht="21.6" x14ac:dyDescent="0.3">
      <c r="A155" s="25"/>
      <c r="B155" s="26" t="s">
        <v>1766</v>
      </c>
      <c r="C155" s="419" t="s">
        <v>1767</v>
      </c>
      <c r="D155" s="419"/>
      <c r="E155" s="419"/>
      <c r="F155" s="27" t="s">
        <v>70</v>
      </c>
      <c r="G155" s="22" t="s">
        <v>4051</v>
      </c>
      <c r="H155" s="58"/>
      <c r="I155" s="28"/>
      <c r="J155" s="28"/>
      <c r="K155" s="29"/>
      <c r="BB155" s="14"/>
      <c r="BC155" s="21"/>
      <c r="BD155" s="15"/>
      <c r="BE155" s="12" t="s">
        <v>1767</v>
      </c>
      <c r="BF155" s="43"/>
      <c r="BG155" s="12"/>
    </row>
    <row r="156" spans="1:59" s="3" customFormat="1" ht="20.399999999999999" x14ac:dyDescent="0.3">
      <c r="A156" s="25"/>
      <c r="B156" s="26" t="s">
        <v>89</v>
      </c>
      <c r="C156" s="419" t="s">
        <v>90</v>
      </c>
      <c r="D156" s="419"/>
      <c r="E156" s="419"/>
      <c r="F156" s="27" t="s">
        <v>70</v>
      </c>
      <c r="G156" s="22" t="s">
        <v>4052</v>
      </c>
      <c r="H156" s="58"/>
      <c r="I156" s="28"/>
      <c r="J156" s="28"/>
      <c r="K156" s="29"/>
      <c r="BB156" s="14"/>
      <c r="BC156" s="21"/>
      <c r="BD156" s="15"/>
      <c r="BE156" s="12" t="s">
        <v>90</v>
      </c>
      <c r="BF156" s="43"/>
      <c r="BG156" s="12"/>
    </row>
    <row r="157" spans="1:59" s="3" customFormat="1" ht="21.6" x14ac:dyDescent="0.3">
      <c r="A157" s="25"/>
      <c r="B157" s="26" t="s">
        <v>607</v>
      </c>
      <c r="C157" s="419" t="s">
        <v>608</v>
      </c>
      <c r="D157" s="419"/>
      <c r="E157" s="419"/>
      <c r="F157" s="27" t="s">
        <v>609</v>
      </c>
      <c r="G157" s="22" t="s">
        <v>4053</v>
      </c>
      <c r="H157" s="58"/>
      <c r="I157" s="28"/>
      <c r="J157" s="28"/>
      <c r="K157" s="29"/>
      <c r="BB157" s="14"/>
      <c r="BC157" s="21"/>
      <c r="BD157" s="15"/>
      <c r="BE157" s="12" t="s">
        <v>608</v>
      </c>
      <c r="BF157" s="43"/>
      <c r="BG157" s="12"/>
    </row>
    <row r="158" spans="1:59" s="3" customFormat="1" ht="42" x14ac:dyDescent="0.3">
      <c r="A158" s="16" t="s">
        <v>2179</v>
      </c>
      <c r="B158" s="17" t="s">
        <v>3893</v>
      </c>
      <c r="C158" s="405" t="s">
        <v>3894</v>
      </c>
      <c r="D158" s="405"/>
      <c r="E158" s="405"/>
      <c r="F158" s="16" t="s">
        <v>67</v>
      </c>
      <c r="G158" s="24">
        <v>0.4</v>
      </c>
      <c r="H158" s="57">
        <f>I158/G158</f>
        <v>10174.525</v>
      </c>
      <c r="I158" s="19">
        <f>4169.39-K158</f>
        <v>4069.8100000000004</v>
      </c>
      <c r="J158" s="19">
        <f>K158/G158</f>
        <v>248.95</v>
      </c>
      <c r="K158" s="19">
        <v>99.58</v>
      </c>
      <c r="BB158" s="14"/>
      <c r="BC158" s="21" t="s">
        <v>3894</v>
      </c>
      <c r="BD158" s="15"/>
      <c r="BE158" s="12"/>
      <c r="BF158" s="43"/>
      <c r="BG158" s="12"/>
    </row>
    <row r="159" spans="1:59" s="3" customFormat="1" ht="20.399999999999999" x14ac:dyDescent="0.3">
      <c r="A159" s="25"/>
      <c r="B159" s="26" t="s">
        <v>599</v>
      </c>
      <c r="C159" s="419" t="s">
        <v>600</v>
      </c>
      <c r="D159" s="419"/>
      <c r="E159" s="419"/>
      <c r="F159" s="27" t="s">
        <v>406</v>
      </c>
      <c r="G159" s="22" t="s">
        <v>4054</v>
      </c>
      <c r="H159" s="58"/>
      <c r="I159" s="28"/>
      <c r="J159" s="28"/>
      <c r="K159" s="29"/>
      <c r="BB159" s="14"/>
      <c r="BC159" s="21"/>
      <c r="BD159" s="15"/>
      <c r="BE159" s="12" t="s">
        <v>600</v>
      </c>
      <c r="BF159" s="43"/>
      <c r="BG159" s="12"/>
    </row>
    <row r="160" spans="1:59" s="3" customFormat="1" ht="20.399999999999999" x14ac:dyDescent="0.3">
      <c r="A160" s="25"/>
      <c r="B160" s="26" t="s">
        <v>1964</v>
      </c>
      <c r="C160" s="419" t="s">
        <v>1965</v>
      </c>
      <c r="D160" s="419"/>
      <c r="E160" s="419"/>
      <c r="F160" s="27" t="s">
        <v>70</v>
      </c>
      <c r="G160" s="22" t="s">
        <v>4055</v>
      </c>
      <c r="H160" s="58"/>
      <c r="I160" s="28"/>
      <c r="J160" s="28"/>
      <c r="K160" s="29"/>
      <c r="BB160" s="14"/>
      <c r="BC160" s="21"/>
      <c r="BD160" s="15"/>
      <c r="BE160" s="12" t="s">
        <v>1965</v>
      </c>
      <c r="BF160" s="43"/>
      <c r="BG160" s="12"/>
    </row>
    <row r="161" spans="1:59" s="3" customFormat="1" ht="21.6" x14ac:dyDescent="0.3">
      <c r="A161" s="25"/>
      <c r="B161" s="26" t="s">
        <v>1766</v>
      </c>
      <c r="C161" s="419" t="s">
        <v>1767</v>
      </c>
      <c r="D161" s="419"/>
      <c r="E161" s="419"/>
      <c r="F161" s="27" t="s">
        <v>70</v>
      </c>
      <c r="G161" s="22" t="s">
        <v>4056</v>
      </c>
      <c r="H161" s="58"/>
      <c r="I161" s="28"/>
      <c r="J161" s="28"/>
      <c r="K161" s="29"/>
      <c r="BB161" s="14"/>
      <c r="BC161" s="21"/>
      <c r="BD161" s="15"/>
      <c r="BE161" s="12" t="s">
        <v>1767</v>
      </c>
      <c r="BF161" s="43"/>
      <c r="BG161" s="12"/>
    </row>
    <row r="162" spans="1:59" s="3" customFormat="1" ht="20.399999999999999" x14ac:dyDescent="0.3">
      <c r="A162" s="25"/>
      <c r="B162" s="26" t="s">
        <v>89</v>
      </c>
      <c r="C162" s="419" t="s">
        <v>90</v>
      </c>
      <c r="D162" s="419"/>
      <c r="E162" s="419"/>
      <c r="F162" s="27" t="s">
        <v>70</v>
      </c>
      <c r="G162" s="22" t="s">
        <v>4057</v>
      </c>
      <c r="H162" s="58"/>
      <c r="I162" s="28"/>
      <c r="J162" s="28"/>
      <c r="K162" s="29"/>
      <c r="BB162" s="14"/>
      <c r="BC162" s="21"/>
      <c r="BD162" s="15"/>
      <c r="BE162" s="12" t="s">
        <v>90</v>
      </c>
      <c r="BF162" s="43"/>
      <c r="BG162" s="12"/>
    </row>
    <row r="163" spans="1:59" s="3" customFormat="1" ht="21.6" x14ac:dyDescent="0.3">
      <c r="A163" s="25"/>
      <c r="B163" s="26" t="s">
        <v>607</v>
      </c>
      <c r="C163" s="419" t="s">
        <v>608</v>
      </c>
      <c r="D163" s="419"/>
      <c r="E163" s="419"/>
      <c r="F163" s="27" t="s">
        <v>609</v>
      </c>
      <c r="G163" s="22" t="s">
        <v>3830</v>
      </c>
      <c r="H163" s="58"/>
      <c r="I163" s="28"/>
      <c r="J163" s="28"/>
      <c r="K163" s="29"/>
      <c r="BB163" s="14"/>
      <c r="BC163" s="21"/>
      <c r="BD163" s="15"/>
      <c r="BE163" s="12" t="s">
        <v>608</v>
      </c>
      <c r="BF163" s="43"/>
      <c r="BG163" s="12"/>
    </row>
    <row r="164" spans="1:59" s="3" customFormat="1" ht="62.4" x14ac:dyDescent="0.3">
      <c r="A164" s="16" t="s">
        <v>2180</v>
      </c>
      <c r="B164" s="17" t="s">
        <v>4058</v>
      </c>
      <c r="C164" s="405" t="s">
        <v>4059</v>
      </c>
      <c r="D164" s="405"/>
      <c r="E164" s="405"/>
      <c r="F164" s="16" t="s">
        <v>115</v>
      </c>
      <c r="G164" s="31">
        <v>154.02000000000001</v>
      </c>
      <c r="H164" s="57">
        <v>0</v>
      </c>
      <c r="I164" s="19">
        <v>0</v>
      </c>
      <c r="J164" s="19">
        <f>K164/G164</f>
        <v>100.44747435398</v>
      </c>
      <c r="K164" s="19">
        <v>15470.92</v>
      </c>
      <c r="BB164" s="14"/>
      <c r="BC164" s="21" t="s">
        <v>4059</v>
      </c>
      <c r="BD164" s="15"/>
      <c r="BE164" s="12"/>
      <c r="BF164" s="43"/>
      <c r="BG164" s="12"/>
    </row>
    <row r="165" spans="1:59" s="3" customFormat="1" ht="15" customHeight="1" x14ac:dyDescent="0.3">
      <c r="A165" s="437" t="s">
        <v>4060</v>
      </c>
      <c r="B165" s="418"/>
      <c r="C165" s="418"/>
      <c r="D165" s="418"/>
      <c r="E165" s="418"/>
      <c r="F165" s="418"/>
      <c r="G165" s="418"/>
      <c r="H165" s="123"/>
      <c r="I165" s="123"/>
      <c r="J165" s="123"/>
      <c r="K165" s="124"/>
      <c r="BB165" s="14"/>
      <c r="BC165" s="21"/>
      <c r="BD165" s="15" t="s">
        <v>4060</v>
      </c>
      <c r="BE165" s="12"/>
      <c r="BF165" s="43"/>
      <c r="BG165" s="12"/>
    </row>
    <row r="166" spans="1:59" s="3" customFormat="1" ht="21.6" x14ac:dyDescent="0.3">
      <c r="A166" s="16" t="s">
        <v>2183</v>
      </c>
      <c r="B166" s="17" t="s">
        <v>1945</v>
      </c>
      <c r="C166" s="405" t="s">
        <v>1946</v>
      </c>
      <c r="D166" s="405"/>
      <c r="E166" s="405"/>
      <c r="F166" s="16" t="s">
        <v>67</v>
      </c>
      <c r="G166" s="31">
        <v>0.08</v>
      </c>
      <c r="H166" s="57">
        <f>I166/G166</f>
        <v>10823.375</v>
      </c>
      <c r="I166" s="19">
        <f>892.09-K166</f>
        <v>865.87</v>
      </c>
      <c r="J166" s="19">
        <f>K166/G166</f>
        <v>327.75</v>
      </c>
      <c r="K166" s="19">
        <v>26.22</v>
      </c>
      <c r="BB166" s="14"/>
      <c r="BC166" s="21" t="s">
        <v>1946</v>
      </c>
      <c r="BD166" s="15"/>
      <c r="BE166" s="12"/>
      <c r="BF166" s="43"/>
      <c r="BG166" s="12"/>
    </row>
    <row r="167" spans="1:59" s="3" customFormat="1" ht="20.399999999999999" x14ac:dyDescent="0.3">
      <c r="A167" s="25"/>
      <c r="B167" s="26" t="s">
        <v>599</v>
      </c>
      <c r="C167" s="419" t="s">
        <v>600</v>
      </c>
      <c r="D167" s="419"/>
      <c r="E167" s="419"/>
      <c r="F167" s="27" t="s">
        <v>406</v>
      </c>
      <c r="G167" s="22" t="s">
        <v>4061</v>
      </c>
      <c r="H167" s="58"/>
      <c r="I167" s="28"/>
      <c r="J167" s="28"/>
      <c r="K167" s="29"/>
      <c r="BB167" s="14"/>
      <c r="BC167" s="21"/>
      <c r="BD167" s="15"/>
      <c r="BE167" s="12" t="s">
        <v>600</v>
      </c>
      <c r="BF167" s="43"/>
      <c r="BG167" s="12"/>
    </row>
    <row r="168" spans="1:59" s="3" customFormat="1" ht="21.6" x14ac:dyDescent="0.3">
      <c r="A168" s="25"/>
      <c r="B168" s="26" t="s">
        <v>1766</v>
      </c>
      <c r="C168" s="419" t="s">
        <v>1767</v>
      </c>
      <c r="D168" s="419"/>
      <c r="E168" s="419"/>
      <c r="F168" s="27" t="s">
        <v>70</v>
      </c>
      <c r="G168" s="22" t="s">
        <v>4062</v>
      </c>
      <c r="H168" s="58"/>
      <c r="I168" s="28"/>
      <c r="J168" s="28"/>
      <c r="K168" s="29"/>
      <c r="BB168" s="14"/>
      <c r="BC168" s="21"/>
      <c r="BD168" s="15"/>
      <c r="BE168" s="12" t="s">
        <v>1767</v>
      </c>
      <c r="BF168" s="43"/>
      <c r="BG168" s="12"/>
    </row>
    <row r="169" spans="1:59" s="3" customFormat="1" ht="20.399999999999999" x14ac:dyDescent="0.3">
      <c r="A169" s="25"/>
      <c r="B169" s="26" t="s">
        <v>89</v>
      </c>
      <c r="C169" s="419" t="s">
        <v>90</v>
      </c>
      <c r="D169" s="419"/>
      <c r="E169" s="419"/>
      <c r="F169" s="27" t="s">
        <v>70</v>
      </c>
      <c r="G169" s="22" t="s">
        <v>4063</v>
      </c>
      <c r="H169" s="58"/>
      <c r="I169" s="28"/>
      <c r="J169" s="28"/>
      <c r="K169" s="29"/>
      <c r="BB169" s="14"/>
      <c r="BC169" s="21"/>
      <c r="BD169" s="15"/>
      <c r="BE169" s="12" t="s">
        <v>90</v>
      </c>
      <c r="BF169" s="43"/>
      <c r="BG169" s="12"/>
    </row>
    <row r="170" spans="1:59" s="3" customFormat="1" ht="21.6" x14ac:dyDescent="0.3">
      <c r="A170" s="25"/>
      <c r="B170" s="26" t="s">
        <v>607</v>
      </c>
      <c r="C170" s="419" t="s">
        <v>608</v>
      </c>
      <c r="D170" s="419"/>
      <c r="E170" s="419"/>
      <c r="F170" s="27" t="s">
        <v>609</v>
      </c>
      <c r="G170" s="22" t="s">
        <v>4064</v>
      </c>
      <c r="H170" s="58"/>
      <c r="I170" s="28"/>
      <c r="J170" s="28"/>
      <c r="K170" s="29"/>
      <c r="BB170" s="14"/>
      <c r="BC170" s="21"/>
      <c r="BD170" s="15"/>
      <c r="BE170" s="12" t="s">
        <v>608</v>
      </c>
      <c r="BF170" s="43"/>
      <c r="BG170" s="12"/>
    </row>
    <row r="171" spans="1:59" s="3" customFormat="1" ht="62.4" x14ac:dyDescent="0.3">
      <c r="A171" s="16" t="s">
        <v>2210</v>
      </c>
      <c r="B171" s="17" t="s">
        <v>4065</v>
      </c>
      <c r="C171" s="405" t="s">
        <v>4066</v>
      </c>
      <c r="D171" s="405"/>
      <c r="E171" s="405"/>
      <c r="F171" s="16" t="s">
        <v>115</v>
      </c>
      <c r="G171" s="31">
        <v>8.16</v>
      </c>
      <c r="H171" s="57">
        <v>0</v>
      </c>
      <c r="I171" s="19">
        <v>0</v>
      </c>
      <c r="J171" s="19">
        <f>K171/G171</f>
        <v>155.58333333333331</v>
      </c>
      <c r="K171" s="19">
        <v>1269.56</v>
      </c>
      <c r="BB171" s="14"/>
      <c r="BC171" s="21" t="s">
        <v>4066</v>
      </c>
      <c r="BD171" s="15"/>
      <c r="BE171" s="12"/>
      <c r="BF171" s="43"/>
      <c r="BG171" s="12"/>
    </row>
    <row r="172" spans="1:59" s="3" customFormat="1" ht="15" customHeight="1" x14ac:dyDescent="0.3">
      <c r="A172" s="437" t="s">
        <v>4067</v>
      </c>
      <c r="B172" s="418"/>
      <c r="C172" s="418"/>
      <c r="D172" s="418"/>
      <c r="E172" s="418"/>
      <c r="F172" s="418"/>
      <c r="G172" s="418"/>
      <c r="H172" s="123"/>
      <c r="I172" s="123"/>
      <c r="J172" s="123"/>
      <c r="K172" s="124"/>
      <c r="BB172" s="14"/>
      <c r="BC172" s="21"/>
      <c r="BD172" s="15" t="s">
        <v>4067</v>
      </c>
      <c r="BE172" s="12"/>
      <c r="BF172" s="43"/>
      <c r="BG172" s="12"/>
    </row>
    <row r="173" spans="1:59" s="3" customFormat="1" ht="21.6" x14ac:dyDescent="0.3">
      <c r="A173" s="16" t="s">
        <v>2214</v>
      </c>
      <c r="B173" s="17" t="s">
        <v>1945</v>
      </c>
      <c r="C173" s="405" t="s">
        <v>1946</v>
      </c>
      <c r="D173" s="405"/>
      <c r="E173" s="405"/>
      <c r="F173" s="16" t="s">
        <v>67</v>
      </c>
      <c r="G173" s="31">
        <v>0.02</v>
      </c>
      <c r="H173" s="57">
        <f>I173/G173</f>
        <v>10824</v>
      </c>
      <c r="I173" s="19">
        <f>223.03-K173</f>
        <v>216.48</v>
      </c>
      <c r="J173" s="19">
        <f>K173/G173</f>
        <v>327.5</v>
      </c>
      <c r="K173" s="19">
        <v>6.55</v>
      </c>
      <c r="BB173" s="14"/>
      <c r="BC173" s="21" t="s">
        <v>1946</v>
      </c>
      <c r="BD173" s="15"/>
      <c r="BE173" s="12"/>
      <c r="BF173" s="43"/>
      <c r="BG173" s="12"/>
    </row>
    <row r="174" spans="1:59" s="3" customFormat="1" ht="20.399999999999999" x14ac:dyDescent="0.3">
      <c r="A174" s="25"/>
      <c r="B174" s="26" t="s">
        <v>599</v>
      </c>
      <c r="C174" s="419" t="s">
        <v>600</v>
      </c>
      <c r="D174" s="419"/>
      <c r="E174" s="419"/>
      <c r="F174" s="27" t="s">
        <v>406</v>
      </c>
      <c r="G174" s="22" t="s">
        <v>4068</v>
      </c>
      <c r="H174" s="58"/>
      <c r="I174" s="28"/>
      <c r="J174" s="28"/>
      <c r="K174" s="29"/>
      <c r="BB174" s="14"/>
      <c r="BC174" s="21"/>
      <c r="BD174" s="15"/>
      <c r="BE174" s="12" t="s">
        <v>600</v>
      </c>
      <c r="BF174" s="43"/>
      <c r="BG174" s="12"/>
    </row>
    <row r="175" spans="1:59" s="3" customFormat="1" ht="21.6" x14ac:dyDescent="0.3">
      <c r="A175" s="25"/>
      <c r="B175" s="26" t="s">
        <v>1766</v>
      </c>
      <c r="C175" s="419" t="s">
        <v>1767</v>
      </c>
      <c r="D175" s="419"/>
      <c r="E175" s="419"/>
      <c r="F175" s="27" t="s">
        <v>70</v>
      </c>
      <c r="G175" s="22" t="s">
        <v>4069</v>
      </c>
      <c r="H175" s="58"/>
      <c r="I175" s="28"/>
      <c r="J175" s="28"/>
      <c r="K175" s="29"/>
      <c r="BB175" s="14"/>
      <c r="BC175" s="21"/>
      <c r="BD175" s="15"/>
      <c r="BE175" s="12" t="s">
        <v>1767</v>
      </c>
      <c r="BF175" s="43"/>
      <c r="BG175" s="12"/>
    </row>
    <row r="176" spans="1:59" s="3" customFormat="1" ht="20.399999999999999" x14ac:dyDescent="0.3">
      <c r="A176" s="25"/>
      <c r="B176" s="26" t="s">
        <v>89</v>
      </c>
      <c r="C176" s="419" t="s">
        <v>90</v>
      </c>
      <c r="D176" s="419"/>
      <c r="E176" s="419"/>
      <c r="F176" s="27" t="s">
        <v>70</v>
      </c>
      <c r="G176" s="22" t="s">
        <v>4070</v>
      </c>
      <c r="H176" s="58"/>
      <c r="I176" s="28"/>
      <c r="J176" s="28"/>
      <c r="K176" s="29"/>
      <c r="BB176" s="14"/>
      <c r="BC176" s="21"/>
      <c r="BD176" s="15"/>
      <c r="BE176" s="12" t="s">
        <v>90</v>
      </c>
      <c r="BF176" s="43"/>
      <c r="BG176" s="12"/>
    </row>
    <row r="177" spans="1:59" s="3" customFormat="1" ht="21.6" x14ac:dyDescent="0.3">
      <c r="A177" s="25"/>
      <c r="B177" s="26" t="s">
        <v>607</v>
      </c>
      <c r="C177" s="419" t="s">
        <v>608</v>
      </c>
      <c r="D177" s="419"/>
      <c r="E177" s="419"/>
      <c r="F177" s="27" t="s">
        <v>609</v>
      </c>
      <c r="G177" s="22" t="s">
        <v>4071</v>
      </c>
      <c r="H177" s="58"/>
      <c r="I177" s="28"/>
      <c r="J177" s="28"/>
      <c r="K177" s="29"/>
      <c r="BB177" s="14"/>
      <c r="BC177" s="21"/>
      <c r="BD177" s="15"/>
      <c r="BE177" s="12" t="s">
        <v>608</v>
      </c>
      <c r="BF177" s="43"/>
      <c r="BG177" s="12"/>
    </row>
    <row r="178" spans="1:59" s="3" customFormat="1" ht="42" x14ac:dyDescent="0.3">
      <c r="A178" s="16" t="s">
        <v>2222</v>
      </c>
      <c r="B178" s="17" t="s">
        <v>3893</v>
      </c>
      <c r="C178" s="405" t="s">
        <v>3894</v>
      </c>
      <c r="D178" s="405"/>
      <c r="E178" s="405"/>
      <c r="F178" s="16" t="s">
        <v>67</v>
      </c>
      <c r="G178" s="31">
        <v>0.16</v>
      </c>
      <c r="H178" s="57">
        <f>I178/G178</f>
        <v>10174.625</v>
      </c>
      <c r="I178" s="19">
        <f>1667.77-K178</f>
        <v>1627.94</v>
      </c>
      <c r="J178" s="19">
        <f>K178/G178</f>
        <v>248.93749999999997</v>
      </c>
      <c r="K178" s="19">
        <v>39.83</v>
      </c>
      <c r="BB178" s="14"/>
      <c r="BC178" s="21" t="s">
        <v>3894</v>
      </c>
      <c r="BD178" s="15"/>
      <c r="BE178" s="12"/>
      <c r="BF178" s="43"/>
      <c r="BG178" s="12"/>
    </row>
    <row r="179" spans="1:59" s="3" customFormat="1" ht="20.399999999999999" x14ac:dyDescent="0.3">
      <c r="A179" s="25"/>
      <c r="B179" s="26" t="s">
        <v>599</v>
      </c>
      <c r="C179" s="419" t="s">
        <v>600</v>
      </c>
      <c r="D179" s="419"/>
      <c r="E179" s="419"/>
      <c r="F179" s="27" t="s">
        <v>406</v>
      </c>
      <c r="G179" s="22" t="s">
        <v>4072</v>
      </c>
      <c r="H179" s="58"/>
      <c r="I179" s="28"/>
      <c r="J179" s="28"/>
      <c r="K179" s="29"/>
      <c r="BB179" s="14"/>
      <c r="BC179" s="21"/>
      <c r="BD179" s="15"/>
      <c r="BE179" s="12" t="s">
        <v>600</v>
      </c>
      <c r="BF179" s="43"/>
      <c r="BG179" s="12"/>
    </row>
    <row r="180" spans="1:59" s="3" customFormat="1" ht="20.399999999999999" x14ac:dyDescent="0.3">
      <c r="A180" s="25"/>
      <c r="B180" s="26" t="s">
        <v>1964</v>
      </c>
      <c r="C180" s="419" t="s">
        <v>1965</v>
      </c>
      <c r="D180" s="419"/>
      <c r="E180" s="419"/>
      <c r="F180" s="27" t="s">
        <v>70</v>
      </c>
      <c r="G180" s="22" t="s">
        <v>4073</v>
      </c>
      <c r="H180" s="58"/>
      <c r="I180" s="28"/>
      <c r="J180" s="28"/>
      <c r="K180" s="29"/>
      <c r="BB180" s="14"/>
      <c r="BC180" s="21"/>
      <c r="BD180" s="15"/>
      <c r="BE180" s="12" t="s">
        <v>1965</v>
      </c>
      <c r="BF180" s="43"/>
      <c r="BG180" s="12"/>
    </row>
    <row r="181" spans="1:59" s="3" customFormat="1" ht="21.6" x14ac:dyDescent="0.3">
      <c r="A181" s="25"/>
      <c r="B181" s="26" t="s">
        <v>1766</v>
      </c>
      <c r="C181" s="419" t="s">
        <v>1767</v>
      </c>
      <c r="D181" s="419"/>
      <c r="E181" s="419"/>
      <c r="F181" s="27" t="s">
        <v>70</v>
      </c>
      <c r="G181" s="22" t="s">
        <v>4074</v>
      </c>
      <c r="H181" s="58"/>
      <c r="I181" s="28"/>
      <c r="J181" s="28"/>
      <c r="K181" s="29"/>
      <c r="BB181" s="14"/>
      <c r="BC181" s="21"/>
      <c r="BD181" s="15"/>
      <c r="BE181" s="12" t="s">
        <v>1767</v>
      </c>
      <c r="BF181" s="43"/>
      <c r="BG181" s="12"/>
    </row>
    <row r="182" spans="1:59" s="3" customFormat="1" ht="20.399999999999999" x14ac:dyDescent="0.3">
      <c r="A182" s="25"/>
      <c r="B182" s="26" t="s">
        <v>89</v>
      </c>
      <c r="C182" s="419" t="s">
        <v>90</v>
      </c>
      <c r="D182" s="419"/>
      <c r="E182" s="419"/>
      <c r="F182" s="27" t="s">
        <v>70</v>
      </c>
      <c r="G182" s="22" t="s">
        <v>4075</v>
      </c>
      <c r="H182" s="58"/>
      <c r="I182" s="28"/>
      <c r="J182" s="28"/>
      <c r="K182" s="29"/>
      <c r="BB182" s="14"/>
      <c r="BC182" s="21"/>
      <c r="BD182" s="15"/>
      <c r="BE182" s="12" t="s">
        <v>90</v>
      </c>
      <c r="BF182" s="43"/>
      <c r="BG182" s="12"/>
    </row>
    <row r="183" spans="1:59" s="3" customFormat="1" ht="21.6" x14ac:dyDescent="0.3">
      <c r="A183" s="25"/>
      <c r="B183" s="26" t="s">
        <v>607</v>
      </c>
      <c r="C183" s="419" t="s">
        <v>608</v>
      </c>
      <c r="D183" s="419"/>
      <c r="E183" s="419"/>
      <c r="F183" s="27" t="s">
        <v>609</v>
      </c>
      <c r="G183" s="22" t="s">
        <v>4076</v>
      </c>
      <c r="H183" s="58"/>
      <c r="I183" s="28"/>
      <c r="J183" s="28"/>
      <c r="K183" s="29"/>
      <c r="BB183" s="14"/>
      <c r="BC183" s="21"/>
      <c r="BD183" s="15"/>
      <c r="BE183" s="12" t="s">
        <v>608</v>
      </c>
      <c r="BF183" s="43"/>
      <c r="BG183" s="12"/>
    </row>
    <row r="184" spans="1:59" s="3" customFormat="1" ht="62.4" x14ac:dyDescent="0.3">
      <c r="A184" s="16" t="s">
        <v>2226</v>
      </c>
      <c r="B184" s="17" t="s">
        <v>4077</v>
      </c>
      <c r="C184" s="405" t="s">
        <v>4078</v>
      </c>
      <c r="D184" s="405"/>
      <c r="E184" s="405"/>
      <c r="F184" s="16" t="s">
        <v>115</v>
      </c>
      <c r="G184" s="31">
        <v>2.04</v>
      </c>
      <c r="H184" s="57">
        <v>0</v>
      </c>
      <c r="I184" s="19">
        <v>0</v>
      </c>
      <c r="J184" s="19">
        <f t="shared" ref="J184:J185" si="8">K184/G184</f>
        <v>161.77941176470586</v>
      </c>
      <c r="K184" s="19">
        <v>330.03</v>
      </c>
      <c r="BB184" s="14"/>
      <c r="BC184" s="21" t="s">
        <v>4078</v>
      </c>
      <c r="BD184" s="15"/>
      <c r="BE184" s="12"/>
      <c r="BF184" s="43"/>
      <c r="BG184" s="12"/>
    </row>
    <row r="185" spans="1:59" s="3" customFormat="1" ht="72.599999999999994" x14ac:dyDescent="0.3">
      <c r="A185" s="16" t="s">
        <v>2229</v>
      </c>
      <c r="B185" s="17" t="s">
        <v>4079</v>
      </c>
      <c r="C185" s="405" t="s">
        <v>4080</v>
      </c>
      <c r="D185" s="405"/>
      <c r="E185" s="405"/>
      <c r="F185" s="16" t="s">
        <v>115</v>
      </c>
      <c r="G185" s="31">
        <v>16.32</v>
      </c>
      <c r="H185" s="57">
        <v>0</v>
      </c>
      <c r="I185" s="19">
        <v>0</v>
      </c>
      <c r="J185" s="19">
        <f t="shared" si="8"/>
        <v>183.37193627450981</v>
      </c>
      <c r="K185" s="19">
        <v>2992.63</v>
      </c>
      <c r="BB185" s="14"/>
      <c r="BC185" s="21" t="s">
        <v>4080</v>
      </c>
      <c r="BD185" s="15"/>
      <c r="BE185" s="12"/>
      <c r="BF185" s="43"/>
      <c r="BG185" s="12"/>
    </row>
    <row r="186" spans="1:59" s="3" customFormat="1" ht="15" customHeight="1" x14ac:dyDescent="0.3">
      <c r="A186" s="437" t="s">
        <v>4081</v>
      </c>
      <c r="B186" s="418"/>
      <c r="C186" s="418"/>
      <c r="D186" s="418"/>
      <c r="E186" s="418"/>
      <c r="F186" s="418"/>
      <c r="G186" s="418"/>
      <c r="H186" s="123"/>
      <c r="I186" s="123"/>
      <c r="J186" s="123"/>
      <c r="K186" s="124"/>
      <c r="BB186" s="14"/>
      <c r="BC186" s="21"/>
      <c r="BD186" s="15" t="s">
        <v>4081</v>
      </c>
      <c r="BE186" s="12"/>
      <c r="BF186" s="43"/>
      <c r="BG186" s="12"/>
    </row>
    <row r="187" spans="1:59" s="3" customFormat="1" ht="21.6" x14ac:dyDescent="0.3">
      <c r="A187" s="16" t="s">
        <v>2230</v>
      </c>
      <c r="B187" s="17" t="s">
        <v>1945</v>
      </c>
      <c r="C187" s="405" t="s">
        <v>1946</v>
      </c>
      <c r="D187" s="405"/>
      <c r="E187" s="405"/>
      <c r="F187" s="16" t="s">
        <v>67</v>
      </c>
      <c r="G187" s="31">
        <v>0.02</v>
      </c>
      <c r="H187" s="57">
        <f>I187/G187</f>
        <v>10824</v>
      </c>
      <c r="I187" s="19">
        <f>223.03-K187</f>
        <v>216.48</v>
      </c>
      <c r="J187" s="19">
        <f>K187/G187</f>
        <v>327.5</v>
      </c>
      <c r="K187" s="19">
        <v>6.55</v>
      </c>
      <c r="BB187" s="14"/>
      <c r="BC187" s="21" t="s">
        <v>1946</v>
      </c>
      <c r="BD187" s="15"/>
      <c r="BE187" s="12"/>
      <c r="BF187" s="43"/>
      <c r="BG187" s="12"/>
    </row>
    <row r="188" spans="1:59" s="3" customFormat="1" ht="20.399999999999999" x14ac:dyDescent="0.3">
      <c r="A188" s="25"/>
      <c r="B188" s="26" t="s">
        <v>599</v>
      </c>
      <c r="C188" s="419" t="s">
        <v>600</v>
      </c>
      <c r="D188" s="419"/>
      <c r="E188" s="419"/>
      <c r="F188" s="27" t="s">
        <v>406</v>
      </c>
      <c r="G188" s="22" t="s">
        <v>4068</v>
      </c>
      <c r="H188" s="58"/>
      <c r="I188" s="28"/>
      <c r="J188" s="28"/>
      <c r="K188" s="29"/>
      <c r="BB188" s="14"/>
      <c r="BC188" s="21"/>
      <c r="BD188" s="15"/>
      <c r="BE188" s="12" t="s">
        <v>600</v>
      </c>
      <c r="BF188" s="43"/>
      <c r="BG188" s="12"/>
    </row>
    <row r="189" spans="1:59" s="3" customFormat="1" ht="21.6" x14ac:dyDescent="0.3">
      <c r="A189" s="25"/>
      <c r="B189" s="26" t="s">
        <v>1766</v>
      </c>
      <c r="C189" s="419" t="s">
        <v>1767</v>
      </c>
      <c r="D189" s="419"/>
      <c r="E189" s="419"/>
      <c r="F189" s="27" t="s">
        <v>70</v>
      </c>
      <c r="G189" s="22" t="s">
        <v>4069</v>
      </c>
      <c r="H189" s="58"/>
      <c r="I189" s="28"/>
      <c r="J189" s="28"/>
      <c r="K189" s="29"/>
      <c r="BB189" s="14"/>
      <c r="BC189" s="21"/>
      <c r="BD189" s="15"/>
      <c r="BE189" s="12" t="s">
        <v>1767</v>
      </c>
      <c r="BF189" s="43"/>
      <c r="BG189" s="12"/>
    </row>
    <row r="190" spans="1:59" s="3" customFormat="1" ht="20.399999999999999" x14ac:dyDescent="0.3">
      <c r="A190" s="25"/>
      <c r="B190" s="26" t="s">
        <v>89</v>
      </c>
      <c r="C190" s="419" t="s">
        <v>90</v>
      </c>
      <c r="D190" s="419"/>
      <c r="E190" s="419"/>
      <c r="F190" s="27" t="s">
        <v>70</v>
      </c>
      <c r="G190" s="22" t="s">
        <v>4070</v>
      </c>
      <c r="H190" s="58"/>
      <c r="I190" s="28"/>
      <c r="J190" s="28"/>
      <c r="K190" s="29"/>
      <c r="BB190" s="14"/>
      <c r="BC190" s="21"/>
      <c r="BD190" s="15"/>
      <c r="BE190" s="12" t="s">
        <v>90</v>
      </c>
      <c r="BF190" s="43"/>
      <c r="BG190" s="12"/>
    </row>
    <row r="191" spans="1:59" s="3" customFormat="1" ht="21.6" x14ac:dyDescent="0.3">
      <c r="A191" s="25"/>
      <c r="B191" s="26" t="s">
        <v>607</v>
      </c>
      <c r="C191" s="419" t="s">
        <v>608</v>
      </c>
      <c r="D191" s="419"/>
      <c r="E191" s="419"/>
      <c r="F191" s="27" t="s">
        <v>609</v>
      </c>
      <c r="G191" s="22" t="s">
        <v>4071</v>
      </c>
      <c r="H191" s="58"/>
      <c r="I191" s="28"/>
      <c r="J191" s="28"/>
      <c r="K191" s="29"/>
      <c r="BB191" s="14"/>
      <c r="BC191" s="21"/>
      <c r="BD191" s="15"/>
      <c r="BE191" s="12" t="s">
        <v>608</v>
      </c>
      <c r="BF191" s="43"/>
      <c r="BG191" s="12"/>
    </row>
    <row r="192" spans="1:59" s="3" customFormat="1" ht="62.4" x14ac:dyDescent="0.3">
      <c r="A192" s="16" t="s">
        <v>2232</v>
      </c>
      <c r="B192" s="17" t="s">
        <v>4082</v>
      </c>
      <c r="C192" s="405" t="s">
        <v>4083</v>
      </c>
      <c r="D192" s="405"/>
      <c r="E192" s="405"/>
      <c r="F192" s="16" t="s">
        <v>115</v>
      </c>
      <c r="G192" s="31">
        <v>2.04</v>
      </c>
      <c r="H192" s="57">
        <v>0</v>
      </c>
      <c r="I192" s="19">
        <v>0</v>
      </c>
      <c r="J192" s="19">
        <f>K192/G192</f>
        <v>252.57843137254901</v>
      </c>
      <c r="K192" s="19">
        <v>515.26</v>
      </c>
      <c r="BB192" s="14"/>
      <c r="BC192" s="21" t="s">
        <v>4083</v>
      </c>
      <c r="BD192" s="15"/>
      <c r="BE192" s="12"/>
      <c r="BF192" s="43"/>
      <c r="BG192" s="12"/>
    </row>
    <row r="193" spans="1:59" s="3" customFormat="1" ht="15" customHeight="1" x14ac:dyDescent="0.3">
      <c r="A193" s="437" t="s">
        <v>4084</v>
      </c>
      <c r="B193" s="418"/>
      <c r="C193" s="418"/>
      <c r="D193" s="418"/>
      <c r="E193" s="418"/>
      <c r="F193" s="418"/>
      <c r="G193" s="418"/>
      <c r="H193" s="123"/>
      <c r="I193" s="123"/>
      <c r="J193" s="123"/>
      <c r="K193" s="124"/>
      <c r="BB193" s="14"/>
      <c r="BC193" s="21"/>
      <c r="BD193" s="15" t="s">
        <v>4084</v>
      </c>
      <c r="BE193" s="12"/>
      <c r="BF193" s="43"/>
      <c r="BG193" s="12"/>
    </row>
    <row r="194" spans="1:59" s="3" customFormat="1" ht="21.6" x14ac:dyDescent="0.3">
      <c r="A194" s="16" t="s">
        <v>2872</v>
      </c>
      <c r="B194" s="17" t="s">
        <v>1945</v>
      </c>
      <c r="C194" s="405" t="s">
        <v>1946</v>
      </c>
      <c r="D194" s="405"/>
      <c r="E194" s="405"/>
      <c r="F194" s="16" t="s">
        <v>67</v>
      </c>
      <c r="G194" s="24">
        <v>0.3</v>
      </c>
      <c r="H194" s="57">
        <f>I194/G194</f>
        <v>10823.333333333334</v>
      </c>
      <c r="I194" s="19">
        <f>3345.31-K194</f>
        <v>3247</v>
      </c>
      <c r="J194" s="19">
        <f>K194/G194</f>
        <v>327.70000000000005</v>
      </c>
      <c r="K194" s="19">
        <v>98.31</v>
      </c>
      <c r="BB194" s="14"/>
      <c r="BC194" s="21" t="s">
        <v>1946</v>
      </c>
      <c r="BD194" s="15"/>
      <c r="BE194" s="12"/>
      <c r="BF194" s="43"/>
      <c r="BG194" s="12"/>
    </row>
    <row r="195" spans="1:59" s="3" customFormat="1" ht="20.399999999999999" x14ac:dyDescent="0.3">
      <c r="A195" s="25"/>
      <c r="B195" s="26" t="s">
        <v>599</v>
      </c>
      <c r="C195" s="419" t="s">
        <v>600</v>
      </c>
      <c r="D195" s="419"/>
      <c r="E195" s="419"/>
      <c r="F195" s="27" t="s">
        <v>406</v>
      </c>
      <c r="G195" s="22" t="s">
        <v>3688</v>
      </c>
      <c r="H195" s="58"/>
      <c r="I195" s="28"/>
      <c r="J195" s="28"/>
      <c r="K195" s="29"/>
      <c r="BB195" s="14"/>
      <c r="BC195" s="21"/>
      <c r="BD195" s="15"/>
      <c r="BE195" s="12" t="s">
        <v>600</v>
      </c>
      <c r="BF195" s="43"/>
      <c r="BG195" s="12"/>
    </row>
    <row r="196" spans="1:59" s="3" customFormat="1" ht="21.6" x14ac:dyDescent="0.3">
      <c r="A196" s="25"/>
      <c r="B196" s="26" t="s">
        <v>1766</v>
      </c>
      <c r="C196" s="419" t="s">
        <v>1767</v>
      </c>
      <c r="D196" s="419"/>
      <c r="E196" s="419"/>
      <c r="F196" s="27" t="s">
        <v>70</v>
      </c>
      <c r="G196" s="22" t="s">
        <v>4085</v>
      </c>
      <c r="H196" s="58"/>
      <c r="I196" s="28"/>
      <c r="J196" s="28"/>
      <c r="K196" s="29"/>
      <c r="BB196" s="14"/>
      <c r="BC196" s="21"/>
      <c r="BD196" s="15"/>
      <c r="BE196" s="12" t="s">
        <v>1767</v>
      </c>
      <c r="BF196" s="43"/>
      <c r="BG196" s="12"/>
    </row>
    <row r="197" spans="1:59" s="3" customFormat="1" ht="20.399999999999999" x14ac:dyDescent="0.3">
      <c r="A197" s="25"/>
      <c r="B197" s="26" t="s">
        <v>89</v>
      </c>
      <c r="C197" s="419" t="s">
        <v>90</v>
      </c>
      <c r="D197" s="419"/>
      <c r="E197" s="419"/>
      <c r="F197" s="27" t="s">
        <v>70</v>
      </c>
      <c r="G197" s="22" t="s">
        <v>3692</v>
      </c>
      <c r="H197" s="58"/>
      <c r="I197" s="28"/>
      <c r="J197" s="28"/>
      <c r="K197" s="29"/>
      <c r="BB197" s="14"/>
      <c r="BC197" s="21"/>
      <c r="BD197" s="15"/>
      <c r="BE197" s="12" t="s">
        <v>90</v>
      </c>
      <c r="BF197" s="43"/>
      <c r="BG197" s="12"/>
    </row>
    <row r="198" spans="1:59" s="3" customFormat="1" ht="21.6" x14ac:dyDescent="0.3">
      <c r="A198" s="25"/>
      <c r="B198" s="26" t="s">
        <v>607</v>
      </c>
      <c r="C198" s="419" t="s">
        <v>608</v>
      </c>
      <c r="D198" s="419"/>
      <c r="E198" s="419"/>
      <c r="F198" s="27" t="s">
        <v>609</v>
      </c>
      <c r="G198" s="22" t="s">
        <v>4086</v>
      </c>
      <c r="H198" s="58"/>
      <c r="I198" s="28"/>
      <c r="J198" s="28"/>
      <c r="K198" s="29"/>
      <c r="BB198" s="14"/>
      <c r="BC198" s="21"/>
      <c r="BD198" s="15"/>
      <c r="BE198" s="12" t="s">
        <v>608</v>
      </c>
      <c r="BF198" s="43"/>
      <c r="BG198" s="12"/>
    </row>
    <row r="199" spans="1:59" s="3" customFormat="1" ht="62.4" x14ac:dyDescent="0.3">
      <c r="A199" s="16" t="s">
        <v>2880</v>
      </c>
      <c r="B199" s="17" t="s">
        <v>4087</v>
      </c>
      <c r="C199" s="405" t="s">
        <v>4088</v>
      </c>
      <c r="D199" s="405"/>
      <c r="E199" s="405"/>
      <c r="F199" s="16" t="s">
        <v>115</v>
      </c>
      <c r="G199" s="24">
        <v>20.399999999999999</v>
      </c>
      <c r="H199" s="57">
        <v>0</v>
      </c>
      <c r="I199" s="19">
        <v>0</v>
      </c>
      <c r="J199" s="19">
        <f t="shared" ref="J199:J200" si="9">K199/G199</f>
        <v>47.524509803921575</v>
      </c>
      <c r="K199" s="19">
        <v>969.5</v>
      </c>
      <c r="BB199" s="14"/>
      <c r="BC199" s="21" t="s">
        <v>4088</v>
      </c>
      <c r="BD199" s="15"/>
      <c r="BE199" s="12"/>
      <c r="BF199" s="43"/>
      <c r="BG199" s="12"/>
    </row>
    <row r="200" spans="1:59" s="3" customFormat="1" ht="72.599999999999994" x14ac:dyDescent="0.3">
      <c r="A200" s="16" t="s">
        <v>2895</v>
      </c>
      <c r="B200" s="17" t="s">
        <v>4089</v>
      </c>
      <c r="C200" s="405" t="s">
        <v>4090</v>
      </c>
      <c r="D200" s="405"/>
      <c r="E200" s="405"/>
      <c r="F200" s="16" t="s">
        <v>115</v>
      </c>
      <c r="G200" s="24">
        <v>10.199999999999999</v>
      </c>
      <c r="H200" s="57">
        <v>0</v>
      </c>
      <c r="I200" s="19">
        <v>0</v>
      </c>
      <c r="J200" s="19">
        <f t="shared" si="9"/>
        <v>57.259803921568626</v>
      </c>
      <c r="K200" s="19">
        <v>584.04999999999995</v>
      </c>
      <c r="BB200" s="14"/>
      <c r="BC200" s="21" t="s">
        <v>4090</v>
      </c>
      <c r="BD200" s="15"/>
      <c r="BE200" s="12"/>
      <c r="BF200" s="43"/>
      <c r="BG200" s="12"/>
    </row>
    <row r="201" spans="1:59" s="3" customFormat="1" ht="15" customHeight="1" x14ac:dyDescent="0.3">
      <c r="A201" s="437" t="s">
        <v>4091</v>
      </c>
      <c r="B201" s="418"/>
      <c r="C201" s="418"/>
      <c r="D201" s="418"/>
      <c r="E201" s="418"/>
      <c r="F201" s="418"/>
      <c r="G201" s="418"/>
      <c r="H201" s="123"/>
      <c r="I201" s="123"/>
      <c r="J201" s="123"/>
      <c r="K201" s="124"/>
      <c r="BB201" s="14"/>
      <c r="BC201" s="21"/>
      <c r="BD201" s="15" t="s">
        <v>4091</v>
      </c>
      <c r="BE201" s="12"/>
      <c r="BF201" s="43"/>
      <c r="BG201" s="12"/>
    </row>
    <row r="202" spans="1:59" s="3" customFormat="1" ht="21.6" x14ac:dyDescent="0.3">
      <c r="A202" s="16" t="s">
        <v>2899</v>
      </c>
      <c r="B202" s="17" t="s">
        <v>597</v>
      </c>
      <c r="C202" s="405" t="s">
        <v>598</v>
      </c>
      <c r="D202" s="405"/>
      <c r="E202" s="405"/>
      <c r="F202" s="16" t="s">
        <v>67</v>
      </c>
      <c r="G202" s="31">
        <v>0.11</v>
      </c>
      <c r="H202" s="57">
        <f>I202/G202</f>
        <v>12315.09090909091</v>
      </c>
      <c r="I202" s="19">
        <f>1425.7-K202</f>
        <v>1354.66</v>
      </c>
      <c r="J202" s="19">
        <f>K202/G202</f>
        <v>645.81818181818187</v>
      </c>
      <c r="K202" s="19">
        <v>71.040000000000006</v>
      </c>
      <c r="BB202" s="14"/>
      <c r="BC202" s="21" t="s">
        <v>598</v>
      </c>
      <c r="BD202" s="15"/>
      <c r="BE202" s="12"/>
      <c r="BF202" s="43"/>
      <c r="BG202" s="12"/>
    </row>
    <row r="203" spans="1:59" s="3" customFormat="1" ht="20.399999999999999" x14ac:dyDescent="0.3">
      <c r="A203" s="25"/>
      <c r="B203" s="26" t="s">
        <v>599</v>
      </c>
      <c r="C203" s="419" t="s">
        <v>600</v>
      </c>
      <c r="D203" s="419"/>
      <c r="E203" s="419"/>
      <c r="F203" s="27" t="s">
        <v>406</v>
      </c>
      <c r="G203" s="22" t="s">
        <v>4092</v>
      </c>
      <c r="H203" s="58"/>
      <c r="I203" s="28"/>
      <c r="J203" s="28"/>
      <c r="K203" s="29"/>
      <c r="BB203" s="14"/>
      <c r="BC203" s="21"/>
      <c r="BD203" s="15"/>
      <c r="BE203" s="12" t="s">
        <v>600</v>
      </c>
      <c r="BF203" s="43"/>
      <c r="BG203" s="12"/>
    </row>
    <row r="204" spans="1:59" s="3" customFormat="1" ht="21.6" x14ac:dyDescent="0.3">
      <c r="A204" s="25"/>
      <c r="B204" s="26" t="s">
        <v>601</v>
      </c>
      <c r="C204" s="419" t="s">
        <v>602</v>
      </c>
      <c r="D204" s="419"/>
      <c r="E204" s="419"/>
      <c r="F204" s="27" t="s">
        <v>70</v>
      </c>
      <c r="G204" s="22" t="s">
        <v>4093</v>
      </c>
      <c r="H204" s="58"/>
      <c r="I204" s="28"/>
      <c r="J204" s="28"/>
      <c r="K204" s="29"/>
      <c r="BB204" s="14"/>
      <c r="BC204" s="21"/>
      <c r="BD204" s="15"/>
      <c r="BE204" s="12" t="s">
        <v>602</v>
      </c>
      <c r="BF204" s="43"/>
      <c r="BG204" s="12"/>
    </row>
    <row r="205" spans="1:59" s="3" customFormat="1" ht="21.6" x14ac:dyDescent="0.3">
      <c r="A205" s="25"/>
      <c r="B205" s="26" t="s">
        <v>603</v>
      </c>
      <c r="C205" s="419" t="s">
        <v>604</v>
      </c>
      <c r="D205" s="419"/>
      <c r="E205" s="419"/>
      <c r="F205" s="27" t="s">
        <v>70</v>
      </c>
      <c r="G205" s="22" t="s">
        <v>4094</v>
      </c>
      <c r="H205" s="58"/>
      <c r="I205" s="28"/>
      <c r="J205" s="28"/>
      <c r="K205" s="29"/>
      <c r="BB205" s="14"/>
      <c r="BC205" s="21"/>
      <c r="BD205" s="15"/>
      <c r="BE205" s="12" t="s">
        <v>604</v>
      </c>
      <c r="BF205" s="43"/>
      <c r="BG205" s="12"/>
    </row>
    <row r="206" spans="1:59" s="3" customFormat="1" ht="20.399999999999999" x14ac:dyDescent="0.3">
      <c r="A206" s="25"/>
      <c r="B206" s="26" t="s">
        <v>605</v>
      </c>
      <c r="C206" s="419" t="s">
        <v>606</v>
      </c>
      <c r="D206" s="419"/>
      <c r="E206" s="419"/>
      <c r="F206" s="27" t="s">
        <v>75</v>
      </c>
      <c r="G206" s="22" t="s">
        <v>4095</v>
      </c>
      <c r="H206" s="58"/>
      <c r="I206" s="28"/>
      <c r="J206" s="28"/>
      <c r="K206" s="29"/>
      <c r="BB206" s="14"/>
      <c r="BC206" s="21"/>
      <c r="BD206" s="15"/>
      <c r="BE206" s="12" t="s">
        <v>606</v>
      </c>
      <c r="BF206" s="43"/>
      <c r="BG206" s="12"/>
    </row>
    <row r="207" spans="1:59" s="3" customFormat="1" ht="20.399999999999999" x14ac:dyDescent="0.3">
      <c r="A207" s="25"/>
      <c r="B207" s="26" t="s">
        <v>89</v>
      </c>
      <c r="C207" s="419" t="s">
        <v>90</v>
      </c>
      <c r="D207" s="419"/>
      <c r="E207" s="419"/>
      <c r="F207" s="27" t="s">
        <v>70</v>
      </c>
      <c r="G207" s="22" t="s">
        <v>4096</v>
      </c>
      <c r="H207" s="58"/>
      <c r="I207" s="28"/>
      <c r="J207" s="28"/>
      <c r="K207" s="29"/>
      <c r="BB207" s="14"/>
      <c r="BC207" s="21"/>
      <c r="BD207" s="15"/>
      <c r="BE207" s="12" t="s">
        <v>90</v>
      </c>
      <c r="BF207" s="43"/>
      <c r="BG207" s="12"/>
    </row>
    <row r="208" spans="1:59" s="3" customFormat="1" ht="21.6" x14ac:dyDescent="0.3">
      <c r="A208" s="25"/>
      <c r="B208" s="26" t="s">
        <v>607</v>
      </c>
      <c r="C208" s="419" t="s">
        <v>608</v>
      </c>
      <c r="D208" s="419"/>
      <c r="E208" s="419"/>
      <c r="F208" s="27" t="s">
        <v>609</v>
      </c>
      <c r="G208" s="22" t="s">
        <v>4097</v>
      </c>
      <c r="H208" s="58"/>
      <c r="I208" s="28"/>
      <c r="J208" s="28"/>
      <c r="K208" s="29"/>
      <c r="BB208" s="14"/>
      <c r="BC208" s="21"/>
      <c r="BD208" s="15"/>
      <c r="BE208" s="12" t="s">
        <v>608</v>
      </c>
      <c r="BF208" s="43"/>
      <c r="BG208" s="12"/>
    </row>
    <row r="209" spans="1:59" s="3" customFormat="1" ht="52.2" x14ac:dyDescent="0.3">
      <c r="A209" s="16" t="s">
        <v>2916</v>
      </c>
      <c r="B209" s="17" t="s">
        <v>4098</v>
      </c>
      <c r="C209" s="405" t="s">
        <v>4099</v>
      </c>
      <c r="D209" s="405"/>
      <c r="E209" s="405"/>
      <c r="F209" s="16" t="s">
        <v>115</v>
      </c>
      <c r="G209" s="31">
        <v>11.22</v>
      </c>
      <c r="H209" s="57">
        <v>0</v>
      </c>
      <c r="I209" s="19">
        <v>0</v>
      </c>
      <c r="J209" s="19">
        <f>K209/G209</f>
        <v>626.58021390374324</v>
      </c>
      <c r="K209" s="19">
        <v>7030.23</v>
      </c>
      <c r="BB209" s="14"/>
      <c r="BC209" s="21" t="s">
        <v>4099</v>
      </c>
      <c r="BD209" s="15"/>
      <c r="BE209" s="12"/>
      <c r="BF209" s="43"/>
      <c r="BG209" s="12"/>
    </row>
    <row r="210" spans="1:59" s="3" customFormat="1" ht="15" customHeight="1" x14ac:dyDescent="0.3">
      <c r="A210" s="437" t="s">
        <v>4100</v>
      </c>
      <c r="B210" s="418"/>
      <c r="C210" s="418"/>
      <c r="D210" s="418"/>
      <c r="E210" s="418"/>
      <c r="F210" s="418"/>
      <c r="G210" s="418"/>
      <c r="H210" s="123"/>
      <c r="I210" s="123"/>
      <c r="J210" s="123"/>
      <c r="K210" s="124"/>
      <c r="BB210" s="14"/>
      <c r="BC210" s="21"/>
      <c r="BD210" s="15" t="s">
        <v>4100</v>
      </c>
      <c r="BE210" s="12"/>
      <c r="BF210" s="43"/>
      <c r="BG210" s="12"/>
    </row>
    <row r="211" spans="1:59" s="3" customFormat="1" ht="31.8" x14ac:dyDescent="0.3">
      <c r="A211" s="16" t="s">
        <v>2921</v>
      </c>
      <c r="B211" s="17" t="s">
        <v>1753</v>
      </c>
      <c r="C211" s="405" t="s">
        <v>1754</v>
      </c>
      <c r="D211" s="405"/>
      <c r="E211" s="405"/>
      <c r="F211" s="16" t="s">
        <v>142</v>
      </c>
      <c r="G211" s="31">
        <v>1.28</v>
      </c>
      <c r="H211" s="57">
        <f>I211/G211</f>
        <v>16270.7578125</v>
      </c>
      <c r="I211" s="19">
        <f>21946.12-K211</f>
        <v>20826.57</v>
      </c>
      <c r="J211" s="19">
        <f>K211/G211</f>
        <v>874.6484375</v>
      </c>
      <c r="K211" s="19">
        <v>1119.55</v>
      </c>
      <c r="BB211" s="14"/>
      <c r="BC211" s="21" t="s">
        <v>1754</v>
      </c>
      <c r="BD211" s="15"/>
      <c r="BE211" s="12"/>
      <c r="BF211" s="43"/>
      <c r="BG211" s="12"/>
    </row>
    <row r="212" spans="1:59" s="3" customFormat="1" ht="20.399999999999999" x14ac:dyDescent="0.3">
      <c r="A212" s="25"/>
      <c r="B212" s="26" t="s">
        <v>1755</v>
      </c>
      <c r="C212" s="419" t="s">
        <v>1756</v>
      </c>
      <c r="D212" s="419"/>
      <c r="E212" s="419"/>
      <c r="F212" s="27" t="s">
        <v>75</v>
      </c>
      <c r="G212" s="22" t="s">
        <v>4101</v>
      </c>
      <c r="H212" s="58"/>
      <c r="I212" s="28"/>
      <c r="J212" s="28"/>
      <c r="K212" s="29"/>
      <c r="BB212" s="14"/>
      <c r="BC212" s="21"/>
      <c r="BD212" s="15"/>
      <c r="BE212" s="12" t="s">
        <v>1756</v>
      </c>
      <c r="BF212" s="43"/>
      <c r="BG212" s="12"/>
    </row>
    <row r="213" spans="1:59" s="3" customFormat="1" ht="20.399999999999999" x14ac:dyDescent="0.3">
      <c r="A213" s="25"/>
      <c r="B213" s="26" t="s">
        <v>1758</v>
      </c>
      <c r="C213" s="419" t="s">
        <v>1759</v>
      </c>
      <c r="D213" s="419"/>
      <c r="E213" s="419"/>
      <c r="F213" s="27" t="s">
        <v>75</v>
      </c>
      <c r="G213" s="22" t="s">
        <v>4102</v>
      </c>
      <c r="H213" s="58"/>
      <c r="I213" s="28"/>
      <c r="J213" s="28"/>
      <c r="K213" s="29"/>
      <c r="BB213" s="14"/>
      <c r="BC213" s="21"/>
      <c r="BD213" s="15"/>
      <c r="BE213" s="12" t="s">
        <v>1759</v>
      </c>
      <c r="BF213" s="43"/>
      <c r="BG213" s="12"/>
    </row>
    <row r="214" spans="1:59" s="3" customFormat="1" ht="31.8" x14ac:dyDescent="0.3">
      <c r="A214" s="25"/>
      <c r="B214" s="26" t="s">
        <v>1703</v>
      </c>
      <c r="C214" s="419" t="s">
        <v>1704</v>
      </c>
      <c r="D214" s="419"/>
      <c r="E214" s="419"/>
      <c r="F214" s="27" t="s">
        <v>75</v>
      </c>
      <c r="G214" s="22" t="s">
        <v>4103</v>
      </c>
      <c r="H214" s="58"/>
      <c r="I214" s="28"/>
      <c r="J214" s="28"/>
      <c r="K214" s="29"/>
      <c r="BB214" s="14"/>
      <c r="BC214" s="21"/>
      <c r="BD214" s="15"/>
      <c r="BE214" s="12" t="s">
        <v>1704</v>
      </c>
      <c r="BF214" s="43"/>
      <c r="BG214" s="12"/>
    </row>
    <row r="215" spans="1:59" s="3" customFormat="1" ht="20.399999999999999" x14ac:dyDescent="0.3">
      <c r="A215" s="25"/>
      <c r="B215" s="26" t="s">
        <v>599</v>
      </c>
      <c r="C215" s="419" t="s">
        <v>600</v>
      </c>
      <c r="D215" s="419"/>
      <c r="E215" s="419"/>
      <c r="F215" s="27" t="s">
        <v>406</v>
      </c>
      <c r="G215" s="22" t="s">
        <v>4104</v>
      </c>
      <c r="H215" s="58"/>
      <c r="I215" s="28"/>
      <c r="J215" s="28"/>
      <c r="K215" s="29"/>
      <c r="BB215" s="14"/>
      <c r="BC215" s="21"/>
      <c r="BD215" s="15"/>
      <c r="BE215" s="12" t="s">
        <v>600</v>
      </c>
      <c r="BF215" s="43"/>
      <c r="BG215" s="12"/>
    </row>
    <row r="216" spans="1:59" s="3" customFormat="1" ht="20.399999999999999" x14ac:dyDescent="0.3">
      <c r="A216" s="25"/>
      <c r="B216" s="26" t="s">
        <v>1763</v>
      </c>
      <c r="C216" s="419" t="s">
        <v>1764</v>
      </c>
      <c r="D216" s="419"/>
      <c r="E216" s="419"/>
      <c r="F216" s="27" t="s">
        <v>75</v>
      </c>
      <c r="G216" s="22" t="s">
        <v>4105</v>
      </c>
      <c r="H216" s="58"/>
      <c r="I216" s="28"/>
      <c r="J216" s="28"/>
      <c r="K216" s="29"/>
      <c r="BB216" s="14"/>
      <c r="BC216" s="21"/>
      <c r="BD216" s="15"/>
      <c r="BE216" s="12" t="s">
        <v>1764</v>
      </c>
      <c r="BF216" s="43"/>
      <c r="BG216" s="12"/>
    </row>
    <row r="217" spans="1:59" s="3" customFormat="1" ht="21.6" x14ac:dyDescent="0.3">
      <c r="A217" s="25"/>
      <c r="B217" s="26" t="s">
        <v>1766</v>
      </c>
      <c r="C217" s="419" t="s">
        <v>1767</v>
      </c>
      <c r="D217" s="419"/>
      <c r="E217" s="419"/>
      <c r="F217" s="27" t="s">
        <v>70</v>
      </c>
      <c r="G217" s="22" t="s">
        <v>4106</v>
      </c>
      <c r="H217" s="58"/>
      <c r="I217" s="28"/>
      <c r="J217" s="28"/>
      <c r="K217" s="29"/>
      <c r="BB217" s="14"/>
      <c r="BC217" s="21"/>
      <c r="BD217" s="15"/>
      <c r="BE217" s="12" t="s">
        <v>1767</v>
      </c>
      <c r="BF217" s="43"/>
      <c r="BG217" s="12"/>
    </row>
    <row r="218" spans="1:59" s="3" customFormat="1" ht="20.399999999999999" x14ac:dyDescent="0.3">
      <c r="A218" s="25"/>
      <c r="B218" s="26" t="s">
        <v>1708</v>
      </c>
      <c r="C218" s="419" t="s">
        <v>1709</v>
      </c>
      <c r="D218" s="419"/>
      <c r="E218" s="419"/>
      <c r="F218" s="27" t="s">
        <v>70</v>
      </c>
      <c r="G218" s="22" t="s">
        <v>4107</v>
      </c>
      <c r="H218" s="58"/>
      <c r="I218" s="28"/>
      <c r="J218" s="28"/>
      <c r="K218" s="29"/>
      <c r="BB218" s="14"/>
      <c r="BC218" s="21"/>
      <c r="BD218" s="15"/>
      <c r="BE218" s="12" t="s">
        <v>1709</v>
      </c>
      <c r="BF218" s="43"/>
      <c r="BG218" s="12"/>
    </row>
    <row r="219" spans="1:59" s="3" customFormat="1" ht="20.399999999999999" x14ac:dyDescent="0.3">
      <c r="A219" s="25"/>
      <c r="B219" s="26" t="s">
        <v>1770</v>
      </c>
      <c r="C219" s="419" t="s">
        <v>1771</v>
      </c>
      <c r="D219" s="419"/>
      <c r="E219" s="419"/>
      <c r="F219" s="27" t="s">
        <v>142</v>
      </c>
      <c r="G219" s="22" t="s">
        <v>4108</v>
      </c>
      <c r="H219" s="58"/>
      <c r="I219" s="28"/>
      <c r="J219" s="28"/>
      <c r="K219" s="29"/>
      <c r="BB219" s="14"/>
      <c r="BC219" s="21"/>
      <c r="BD219" s="15"/>
      <c r="BE219" s="12" t="s">
        <v>1771</v>
      </c>
      <c r="BF219" s="43"/>
      <c r="BG219" s="12"/>
    </row>
    <row r="220" spans="1:59" s="3" customFormat="1" ht="21.6" x14ac:dyDescent="0.3">
      <c r="A220" s="25"/>
      <c r="B220" s="26" t="s">
        <v>607</v>
      </c>
      <c r="C220" s="419" t="s">
        <v>608</v>
      </c>
      <c r="D220" s="419"/>
      <c r="E220" s="419"/>
      <c r="F220" s="27" t="s">
        <v>609</v>
      </c>
      <c r="G220" s="22" t="s">
        <v>4109</v>
      </c>
      <c r="H220" s="58"/>
      <c r="I220" s="28"/>
      <c r="J220" s="28"/>
      <c r="K220" s="29"/>
      <c r="BB220" s="14"/>
      <c r="BC220" s="21"/>
      <c r="BD220" s="15"/>
      <c r="BE220" s="12" t="s">
        <v>608</v>
      </c>
      <c r="BF220" s="43"/>
      <c r="BG220" s="12"/>
    </row>
    <row r="221" spans="1:59" s="3" customFormat="1" ht="15" customHeight="1" x14ac:dyDescent="0.3">
      <c r="A221" s="437" t="s">
        <v>4110</v>
      </c>
      <c r="B221" s="418"/>
      <c r="C221" s="418"/>
      <c r="D221" s="418"/>
      <c r="E221" s="418"/>
      <c r="F221" s="418"/>
      <c r="G221" s="418"/>
      <c r="H221" s="123"/>
      <c r="I221" s="123"/>
      <c r="J221" s="123"/>
      <c r="K221" s="124"/>
      <c r="BB221" s="14"/>
      <c r="BC221" s="21"/>
      <c r="BD221" s="15" t="s">
        <v>4110</v>
      </c>
      <c r="BE221" s="12"/>
      <c r="BF221" s="43"/>
      <c r="BG221" s="12"/>
    </row>
    <row r="222" spans="1:59" s="3" customFormat="1" ht="15" customHeight="1" x14ac:dyDescent="0.3">
      <c r="A222" s="435" t="s">
        <v>4111</v>
      </c>
      <c r="B222" s="436"/>
      <c r="C222" s="436"/>
      <c r="D222" s="436"/>
      <c r="E222" s="436"/>
      <c r="F222" s="436"/>
      <c r="G222" s="436"/>
      <c r="H222" s="103"/>
      <c r="I222" s="103"/>
      <c r="J222" s="103"/>
      <c r="K222" s="104"/>
      <c r="BB222" s="14" t="s">
        <v>4111</v>
      </c>
      <c r="BC222" s="21"/>
      <c r="BD222" s="15"/>
      <c r="BE222" s="12"/>
      <c r="BF222" s="43"/>
      <c r="BG222" s="12"/>
    </row>
    <row r="223" spans="1:59" s="3" customFormat="1" ht="15" customHeight="1" x14ac:dyDescent="0.3">
      <c r="A223" s="437" t="s">
        <v>4112</v>
      </c>
      <c r="B223" s="418"/>
      <c r="C223" s="418"/>
      <c r="D223" s="418"/>
      <c r="E223" s="418"/>
      <c r="F223" s="418"/>
      <c r="G223" s="418"/>
      <c r="H223" s="123"/>
      <c r="I223" s="123"/>
      <c r="J223" s="123"/>
      <c r="K223" s="124"/>
      <c r="BB223" s="14"/>
      <c r="BC223" s="21"/>
      <c r="BD223" s="15" t="s">
        <v>4112</v>
      </c>
      <c r="BE223" s="12"/>
      <c r="BF223" s="43"/>
      <c r="BG223" s="12"/>
    </row>
    <row r="224" spans="1:59" s="3" customFormat="1" ht="21.6" x14ac:dyDescent="0.3">
      <c r="A224" s="16" t="s">
        <v>2930</v>
      </c>
      <c r="B224" s="17" t="s">
        <v>4113</v>
      </c>
      <c r="C224" s="405" t="s">
        <v>4114</v>
      </c>
      <c r="D224" s="405"/>
      <c r="E224" s="405"/>
      <c r="F224" s="16" t="s">
        <v>142</v>
      </c>
      <c r="G224" s="31">
        <v>0.01</v>
      </c>
      <c r="H224" s="57">
        <f>I224/G224</f>
        <v>32124</v>
      </c>
      <c r="I224" s="19">
        <f>326.75-K224</f>
        <v>321.24</v>
      </c>
      <c r="J224" s="19">
        <f>K224/G224</f>
        <v>551</v>
      </c>
      <c r="K224" s="19">
        <v>5.51</v>
      </c>
      <c r="BB224" s="14"/>
      <c r="BC224" s="21" t="s">
        <v>4114</v>
      </c>
      <c r="BD224" s="15"/>
      <c r="BE224" s="12"/>
      <c r="BF224" s="43"/>
      <c r="BG224" s="12"/>
    </row>
    <row r="225" spans="1:59" s="3" customFormat="1" ht="31.8" x14ac:dyDescent="0.3">
      <c r="A225" s="25"/>
      <c r="B225" s="26" t="s">
        <v>1703</v>
      </c>
      <c r="C225" s="419" t="s">
        <v>1704</v>
      </c>
      <c r="D225" s="419"/>
      <c r="E225" s="419"/>
      <c r="F225" s="27" t="s">
        <v>75</v>
      </c>
      <c r="G225" s="22" t="s">
        <v>4115</v>
      </c>
      <c r="H225" s="58"/>
      <c r="I225" s="28"/>
      <c r="J225" s="28"/>
      <c r="K225" s="29"/>
      <c r="BB225" s="14"/>
      <c r="BC225" s="21"/>
      <c r="BD225" s="15"/>
      <c r="BE225" s="12" t="s">
        <v>1704</v>
      </c>
      <c r="BF225" s="43"/>
      <c r="BG225" s="12"/>
    </row>
    <row r="226" spans="1:59" s="3" customFormat="1" ht="20.399999999999999" x14ac:dyDescent="0.3">
      <c r="A226" s="25"/>
      <c r="B226" s="26" t="s">
        <v>391</v>
      </c>
      <c r="C226" s="419" t="s">
        <v>392</v>
      </c>
      <c r="D226" s="419"/>
      <c r="E226" s="419"/>
      <c r="F226" s="27" t="s">
        <v>75</v>
      </c>
      <c r="G226" s="22" t="s">
        <v>4116</v>
      </c>
      <c r="H226" s="58"/>
      <c r="I226" s="28"/>
      <c r="J226" s="28"/>
      <c r="K226" s="29"/>
      <c r="BB226" s="14"/>
      <c r="BC226" s="21"/>
      <c r="BD226" s="15"/>
      <c r="BE226" s="12" t="s">
        <v>392</v>
      </c>
      <c r="BF226" s="43"/>
      <c r="BG226" s="12"/>
    </row>
    <row r="227" spans="1:59" s="3" customFormat="1" ht="20.399999999999999" x14ac:dyDescent="0.3">
      <c r="A227" s="25"/>
      <c r="B227" s="26" t="s">
        <v>1916</v>
      </c>
      <c r="C227" s="419" t="s">
        <v>1917</v>
      </c>
      <c r="D227" s="419"/>
      <c r="E227" s="419"/>
      <c r="F227" s="27" t="s">
        <v>70</v>
      </c>
      <c r="G227" s="22" t="s">
        <v>4117</v>
      </c>
      <c r="H227" s="58"/>
      <c r="I227" s="28"/>
      <c r="J227" s="28"/>
      <c r="K227" s="29"/>
      <c r="BB227" s="14"/>
      <c r="BC227" s="21"/>
      <c r="BD227" s="15"/>
      <c r="BE227" s="12" t="s">
        <v>1917</v>
      </c>
      <c r="BF227" s="43"/>
      <c r="BG227" s="12"/>
    </row>
    <row r="228" spans="1:59" s="3" customFormat="1" ht="20.399999999999999" x14ac:dyDescent="0.3">
      <c r="A228" s="25"/>
      <c r="B228" s="26" t="s">
        <v>1084</v>
      </c>
      <c r="C228" s="419" t="s">
        <v>1085</v>
      </c>
      <c r="D228" s="419"/>
      <c r="E228" s="419"/>
      <c r="F228" s="27" t="s">
        <v>1086</v>
      </c>
      <c r="G228" s="22" t="s">
        <v>4118</v>
      </c>
      <c r="H228" s="58"/>
      <c r="I228" s="28"/>
      <c r="J228" s="28"/>
      <c r="K228" s="29"/>
      <c r="BB228" s="14"/>
      <c r="BC228" s="21"/>
      <c r="BD228" s="15"/>
      <c r="BE228" s="12" t="s">
        <v>1085</v>
      </c>
      <c r="BF228" s="43"/>
      <c r="BG228" s="12"/>
    </row>
    <row r="229" spans="1:59" s="3" customFormat="1" ht="21.6" x14ac:dyDescent="0.3">
      <c r="A229" s="25"/>
      <c r="B229" s="26" t="s">
        <v>607</v>
      </c>
      <c r="C229" s="419" t="s">
        <v>608</v>
      </c>
      <c r="D229" s="419"/>
      <c r="E229" s="419"/>
      <c r="F229" s="27" t="s">
        <v>609</v>
      </c>
      <c r="G229" s="22" t="s">
        <v>4119</v>
      </c>
      <c r="H229" s="58"/>
      <c r="I229" s="28"/>
      <c r="J229" s="28"/>
      <c r="K229" s="29"/>
      <c r="BB229" s="14"/>
      <c r="BC229" s="21"/>
      <c r="BD229" s="15"/>
      <c r="BE229" s="12" t="s">
        <v>608</v>
      </c>
      <c r="BF229" s="43"/>
      <c r="BG229" s="12"/>
    </row>
    <row r="230" spans="1:59" s="3" customFormat="1" ht="21.6" x14ac:dyDescent="0.3">
      <c r="A230" s="16" t="s">
        <v>2939</v>
      </c>
      <c r="B230" s="17" t="s">
        <v>4120</v>
      </c>
      <c r="C230" s="405" t="s">
        <v>4121</v>
      </c>
      <c r="D230" s="405"/>
      <c r="E230" s="405"/>
      <c r="F230" s="16" t="s">
        <v>1460</v>
      </c>
      <c r="G230" s="23">
        <v>1</v>
      </c>
      <c r="H230" s="57">
        <v>0</v>
      </c>
      <c r="I230" s="19">
        <v>0</v>
      </c>
      <c r="J230" s="19">
        <f>K230/G230</f>
        <v>767.3</v>
      </c>
      <c r="K230" s="19">
        <v>767.3</v>
      </c>
      <c r="BB230" s="14"/>
      <c r="BC230" s="21" t="s">
        <v>4121</v>
      </c>
      <c r="BD230" s="15"/>
      <c r="BE230" s="12"/>
      <c r="BF230" s="43"/>
      <c r="BG230" s="12"/>
    </row>
    <row r="231" spans="1:59" s="3" customFormat="1" ht="21.6" x14ac:dyDescent="0.3">
      <c r="A231" s="16" t="s">
        <v>2946</v>
      </c>
      <c r="B231" s="17" t="s">
        <v>4122</v>
      </c>
      <c r="C231" s="405" t="s">
        <v>4123</v>
      </c>
      <c r="D231" s="405"/>
      <c r="E231" s="405"/>
      <c r="F231" s="16" t="s">
        <v>142</v>
      </c>
      <c r="G231" s="31">
        <v>0.17</v>
      </c>
      <c r="H231" s="57">
        <f>I231/G231</f>
        <v>0</v>
      </c>
      <c r="I231" s="19">
        <v>0</v>
      </c>
      <c r="J231" s="19">
        <f>K231/G231</f>
        <v>33661.352941176468</v>
      </c>
      <c r="K231" s="19">
        <v>5722.43</v>
      </c>
      <c r="BB231" s="14"/>
      <c r="BC231" s="21" t="s">
        <v>4123</v>
      </c>
      <c r="BD231" s="15"/>
      <c r="BE231" s="12"/>
      <c r="BF231" s="43"/>
      <c r="BG231" s="12"/>
    </row>
    <row r="232" spans="1:59" s="3" customFormat="1" ht="31.8" x14ac:dyDescent="0.3">
      <c r="A232" s="16" t="s">
        <v>2953</v>
      </c>
      <c r="B232" s="17" t="s">
        <v>4124</v>
      </c>
      <c r="C232" s="405" t="s">
        <v>4125</v>
      </c>
      <c r="D232" s="405"/>
      <c r="E232" s="405"/>
      <c r="F232" s="16" t="s">
        <v>1460</v>
      </c>
      <c r="G232" s="23">
        <v>8</v>
      </c>
      <c r="H232" s="57">
        <v>0</v>
      </c>
      <c r="I232" s="19">
        <v>0</v>
      </c>
      <c r="J232" s="19">
        <f t="shared" ref="J232:J234" si="10">K232/G232</f>
        <v>162.57499999999999</v>
      </c>
      <c r="K232" s="19">
        <v>1300.5999999999999</v>
      </c>
      <c r="BB232" s="14"/>
      <c r="BC232" s="21" t="s">
        <v>4125</v>
      </c>
      <c r="BD232" s="15"/>
      <c r="BE232" s="12"/>
      <c r="BF232" s="43"/>
      <c r="BG232" s="12"/>
    </row>
    <row r="233" spans="1:59" s="3" customFormat="1" ht="21.6" x14ac:dyDescent="0.3">
      <c r="A233" s="16" t="s">
        <v>2958</v>
      </c>
      <c r="B233" s="17" t="s">
        <v>4126</v>
      </c>
      <c r="C233" s="405" t="s">
        <v>4127</v>
      </c>
      <c r="D233" s="405"/>
      <c r="E233" s="405"/>
      <c r="F233" s="16" t="s">
        <v>1460</v>
      </c>
      <c r="G233" s="23">
        <v>3</v>
      </c>
      <c r="H233" s="57">
        <v>0</v>
      </c>
      <c r="I233" s="19">
        <v>0</v>
      </c>
      <c r="J233" s="19">
        <f t="shared" si="10"/>
        <v>381.61333333333329</v>
      </c>
      <c r="K233" s="19">
        <v>1144.8399999999999</v>
      </c>
      <c r="BB233" s="14"/>
      <c r="BC233" s="21" t="s">
        <v>4127</v>
      </c>
      <c r="BD233" s="15"/>
      <c r="BE233" s="12"/>
      <c r="BF233" s="43"/>
      <c r="BG233" s="12"/>
    </row>
    <row r="234" spans="1:59" s="3" customFormat="1" ht="31.8" x14ac:dyDescent="0.3">
      <c r="A234" s="16" t="s">
        <v>2978</v>
      </c>
      <c r="B234" s="17" t="s">
        <v>4128</v>
      </c>
      <c r="C234" s="405" t="s">
        <v>4129</v>
      </c>
      <c r="D234" s="405"/>
      <c r="E234" s="405"/>
      <c r="F234" s="16" t="s">
        <v>1460</v>
      </c>
      <c r="G234" s="23">
        <v>6</v>
      </c>
      <c r="H234" s="57">
        <v>0</v>
      </c>
      <c r="I234" s="19">
        <v>0</v>
      </c>
      <c r="J234" s="19">
        <f t="shared" si="10"/>
        <v>266.56166666666667</v>
      </c>
      <c r="K234" s="19">
        <v>1599.37</v>
      </c>
      <c r="BB234" s="14"/>
      <c r="BC234" s="21" t="s">
        <v>4129</v>
      </c>
      <c r="BD234" s="15"/>
      <c r="BE234" s="12"/>
      <c r="BF234" s="43"/>
      <c r="BG234" s="12"/>
    </row>
    <row r="235" spans="1:59" s="3" customFormat="1" ht="15" customHeight="1" x14ac:dyDescent="0.3">
      <c r="A235" s="437" t="s">
        <v>4130</v>
      </c>
      <c r="B235" s="418"/>
      <c r="C235" s="418"/>
      <c r="D235" s="418"/>
      <c r="E235" s="418"/>
      <c r="F235" s="418"/>
      <c r="G235" s="418"/>
      <c r="H235" s="123"/>
      <c r="I235" s="123"/>
      <c r="J235" s="123"/>
      <c r="K235" s="124"/>
      <c r="BB235" s="14"/>
      <c r="BC235" s="21"/>
      <c r="BD235" s="15" t="s">
        <v>4130</v>
      </c>
      <c r="BE235" s="12"/>
      <c r="BF235" s="43"/>
      <c r="BG235" s="12"/>
    </row>
    <row r="236" spans="1:59" s="3" customFormat="1" ht="21.6" x14ac:dyDescent="0.3">
      <c r="A236" s="16" t="s">
        <v>3002</v>
      </c>
      <c r="B236" s="17" t="s">
        <v>4131</v>
      </c>
      <c r="C236" s="405" t="s">
        <v>4132</v>
      </c>
      <c r="D236" s="405"/>
      <c r="E236" s="405"/>
      <c r="F236" s="16" t="s">
        <v>142</v>
      </c>
      <c r="G236" s="31">
        <v>0.11</v>
      </c>
      <c r="H236" s="57">
        <f>I236/G236</f>
        <v>33300.818181818177</v>
      </c>
      <c r="I236" s="19">
        <f>3766.12-K236</f>
        <v>3663.0899999999997</v>
      </c>
      <c r="J236" s="19">
        <f>K236/G236</f>
        <v>936.63636363636363</v>
      </c>
      <c r="K236" s="19">
        <v>103.03</v>
      </c>
      <c r="BB236" s="14"/>
      <c r="BC236" s="21" t="s">
        <v>4132</v>
      </c>
      <c r="BD236" s="15"/>
      <c r="BE236" s="12"/>
      <c r="BF236" s="43"/>
      <c r="BG236" s="12"/>
    </row>
    <row r="237" spans="1:59" s="3" customFormat="1" ht="31.8" x14ac:dyDescent="0.3">
      <c r="A237" s="25"/>
      <c r="B237" s="26" t="s">
        <v>1703</v>
      </c>
      <c r="C237" s="419" t="s">
        <v>1704</v>
      </c>
      <c r="D237" s="419"/>
      <c r="E237" s="419"/>
      <c r="F237" s="27" t="s">
        <v>75</v>
      </c>
      <c r="G237" s="22" t="s">
        <v>4133</v>
      </c>
      <c r="H237" s="58"/>
      <c r="I237" s="28"/>
      <c r="J237" s="28"/>
      <c r="K237" s="29"/>
      <c r="BB237" s="14"/>
      <c r="BC237" s="21"/>
      <c r="BD237" s="15"/>
      <c r="BE237" s="12" t="s">
        <v>1704</v>
      </c>
      <c r="BF237" s="43"/>
      <c r="BG237" s="12"/>
    </row>
    <row r="238" spans="1:59" s="3" customFormat="1" ht="20.399999999999999" x14ac:dyDescent="0.3">
      <c r="A238" s="25"/>
      <c r="B238" s="26" t="s">
        <v>1571</v>
      </c>
      <c r="C238" s="419" t="s">
        <v>1572</v>
      </c>
      <c r="D238" s="419"/>
      <c r="E238" s="419"/>
      <c r="F238" s="27" t="s">
        <v>142</v>
      </c>
      <c r="G238" s="22" t="s">
        <v>3823</v>
      </c>
      <c r="H238" s="58"/>
      <c r="I238" s="28"/>
      <c r="J238" s="28"/>
      <c r="K238" s="29"/>
      <c r="BB238" s="14"/>
      <c r="BC238" s="21"/>
      <c r="BD238" s="15"/>
      <c r="BE238" s="12" t="s">
        <v>1572</v>
      </c>
      <c r="BF238" s="43"/>
      <c r="BG238" s="12"/>
    </row>
    <row r="239" spans="1:59" s="3" customFormat="1" ht="20.399999999999999" x14ac:dyDescent="0.3">
      <c r="A239" s="25"/>
      <c r="B239" s="26" t="s">
        <v>4134</v>
      </c>
      <c r="C239" s="419" t="s">
        <v>4135</v>
      </c>
      <c r="D239" s="419"/>
      <c r="E239" s="419"/>
      <c r="F239" s="27" t="s">
        <v>70</v>
      </c>
      <c r="G239" s="22" t="s">
        <v>4136</v>
      </c>
      <c r="H239" s="58"/>
      <c r="I239" s="28"/>
      <c r="J239" s="28"/>
      <c r="K239" s="29"/>
      <c r="BB239" s="14"/>
      <c r="BC239" s="21"/>
      <c r="BD239" s="15"/>
      <c r="BE239" s="12" t="s">
        <v>4135</v>
      </c>
      <c r="BF239" s="43"/>
      <c r="BG239" s="12"/>
    </row>
    <row r="240" spans="1:59" s="3" customFormat="1" ht="20.399999999999999" x14ac:dyDescent="0.3">
      <c r="A240" s="25"/>
      <c r="B240" s="26" t="s">
        <v>1964</v>
      </c>
      <c r="C240" s="419" t="s">
        <v>1965</v>
      </c>
      <c r="D240" s="419"/>
      <c r="E240" s="419"/>
      <c r="F240" s="27" t="s">
        <v>70</v>
      </c>
      <c r="G240" s="22" t="s">
        <v>3822</v>
      </c>
      <c r="H240" s="58"/>
      <c r="I240" s="28"/>
      <c r="J240" s="28"/>
      <c r="K240" s="29"/>
      <c r="BB240" s="14"/>
      <c r="BC240" s="21"/>
      <c r="BD240" s="15"/>
      <c r="BE240" s="12" t="s">
        <v>1965</v>
      </c>
      <c r="BF240" s="43"/>
      <c r="BG240" s="12"/>
    </row>
    <row r="241" spans="1:59" s="3" customFormat="1" ht="21.6" x14ac:dyDescent="0.3">
      <c r="A241" s="25"/>
      <c r="B241" s="26" t="s">
        <v>607</v>
      </c>
      <c r="C241" s="419" t="s">
        <v>608</v>
      </c>
      <c r="D241" s="419"/>
      <c r="E241" s="419"/>
      <c r="F241" s="27" t="s">
        <v>609</v>
      </c>
      <c r="G241" s="22" t="s">
        <v>4137</v>
      </c>
      <c r="H241" s="58"/>
      <c r="I241" s="28"/>
      <c r="J241" s="28"/>
      <c r="K241" s="29"/>
      <c r="BB241" s="14"/>
      <c r="BC241" s="21"/>
      <c r="BD241" s="15"/>
      <c r="BE241" s="12" t="s">
        <v>608</v>
      </c>
      <c r="BF241" s="43"/>
      <c r="BG241" s="12"/>
    </row>
    <row r="242" spans="1:59" s="3" customFormat="1" ht="21.6" x14ac:dyDescent="0.3">
      <c r="A242" s="16" t="s">
        <v>3008</v>
      </c>
      <c r="B242" s="17" t="s">
        <v>4138</v>
      </c>
      <c r="C242" s="405" t="s">
        <v>4139</v>
      </c>
      <c r="D242" s="405"/>
      <c r="E242" s="405"/>
      <c r="F242" s="16" t="s">
        <v>1460</v>
      </c>
      <c r="G242" s="23">
        <v>8</v>
      </c>
      <c r="H242" s="57">
        <v>0</v>
      </c>
      <c r="I242" s="19">
        <v>0</v>
      </c>
      <c r="J242" s="19">
        <f t="shared" ref="J242:J243" si="11">K242/G242</f>
        <v>141.42250000000001</v>
      </c>
      <c r="K242" s="19">
        <v>1131.3800000000001</v>
      </c>
      <c r="BB242" s="14"/>
      <c r="BC242" s="21" t="s">
        <v>4139</v>
      </c>
      <c r="BD242" s="15"/>
      <c r="BE242" s="12"/>
      <c r="BF242" s="43"/>
      <c r="BG242" s="12"/>
    </row>
    <row r="243" spans="1:59" s="3" customFormat="1" ht="21.6" x14ac:dyDescent="0.3">
      <c r="A243" s="16" t="s">
        <v>3012</v>
      </c>
      <c r="B243" s="17" t="s">
        <v>4140</v>
      </c>
      <c r="C243" s="405" t="s">
        <v>4141</v>
      </c>
      <c r="D243" s="405"/>
      <c r="E243" s="405"/>
      <c r="F243" s="16" t="s">
        <v>1460</v>
      </c>
      <c r="G243" s="23">
        <v>3</v>
      </c>
      <c r="H243" s="57">
        <v>0</v>
      </c>
      <c r="I243" s="19">
        <v>0</v>
      </c>
      <c r="J243" s="19">
        <f t="shared" si="11"/>
        <v>1083.8599999999999</v>
      </c>
      <c r="K243" s="19">
        <v>3251.58</v>
      </c>
      <c r="BB243" s="14"/>
      <c r="BC243" s="21" t="s">
        <v>4141</v>
      </c>
      <c r="BD243" s="15"/>
      <c r="BE243" s="12"/>
      <c r="BF243" s="43"/>
      <c r="BG243" s="12"/>
    </row>
    <row r="244" spans="1:59" s="3" customFormat="1" ht="14.4" x14ac:dyDescent="0.3">
      <c r="A244" s="437" t="s">
        <v>4142</v>
      </c>
      <c r="B244" s="418"/>
      <c r="C244" s="418"/>
      <c r="D244" s="418"/>
      <c r="E244" s="418"/>
      <c r="F244" s="418"/>
      <c r="G244" s="418"/>
      <c r="H244" s="123"/>
      <c r="I244" s="123"/>
      <c r="J244" s="123"/>
      <c r="K244" s="124"/>
      <c r="BB244" s="14"/>
      <c r="BC244" s="21"/>
      <c r="BD244" s="15" t="s">
        <v>4142</v>
      </c>
      <c r="BE244" s="12"/>
      <c r="BF244" s="43"/>
      <c r="BG244" s="12"/>
    </row>
    <row r="245" spans="1:59" s="3" customFormat="1" ht="14.4" x14ac:dyDescent="0.3">
      <c r="A245" s="16" t="s">
        <v>3015</v>
      </c>
      <c r="B245" s="17" t="s">
        <v>3883</v>
      </c>
      <c r="C245" s="405" t="s">
        <v>3884</v>
      </c>
      <c r="D245" s="405"/>
      <c r="E245" s="405"/>
      <c r="F245" s="16" t="s">
        <v>38</v>
      </c>
      <c r="G245" s="23">
        <v>31</v>
      </c>
      <c r="H245" s="57">
        <f>I245/G245</f>
        <v>491.76741935483875</v>
      </c>
      <c r="I245" s="19">
        <f>15357.27-K245</f>
        <v>15244.79</v>
      </c>
      <c r="J245" s="19">
        <f>K245/G245</f>
        <v>3.6283870967741936</v>
      </c>
      <c r="K245" s="19">
        <v>112.48</v>
      </c>
      <c r="BB245" s="14"/>
      <c r="BC245" s="21" t="s">
        <v>3884</v>
      </c>
      <c r="BD245" s="15"/>
      <c r="BE245" s="12"/>
      <c r="BF245" s="43"/>
      <c r="BG245" s="12"/>
    </row>
    <row r="246" spans="1:59" s="3" customFormat="1" ht="20.399999999999999" x14ac:dyDescent="0.3">
      <c r="A246" s="25"/>
      <c r="B246" s="26" t="s">
        <v>1964</v>
      </c>
      <c r="C246" s="419" t="s">
        <v>1965</v>
      </c>
      <c r="D246" s="419"/>
      <c r="E246" s="419"/>
      <c r="F246" s="27" t="s">
        <v>70</v>
      </c>
      <c r="G246" s="22" t="s">
        <v>4143</v>
      </c>
      <c r="H246" s="58"/>
      <c r="I246" s="28"/>
      <c r="J246" s="28"/>
      <c r="K246" s="29"/>
      <c r="BB246" s="14"/>
      <c r="BC246" s="21"/>
      <c r="BD246" s="15"/>
      <c r="BE246" s="12" t="s">
        <v>1965</v>
      </c>
      <c r="BF246" s="43"/>
      <c r="BG246" s="12"/>
    </row>
    <row r="247" spans="1:59" s="3" customFormat="1" ht="20.399999999999999" x14ac:dyDescent="0.3">
      <c r="A247" s="25"/>
      <c r="B247" s="26" t="s">
        <v>1916</v>
      </c>
      <c r="C247" s="419" t="s">
        <v>1917</v>
      </c>
      <c r="D247" s="419"/>
      <c r="E247" s="419"/>
      <c r="F247" s="27" t="s">
        <v>70</v>
      </c>
      <c r="G247" s="22" t="s">
        <v>4144</v>
      </c>
      <c r="H247" s="58"/>
      <c r="I247" s="28"/>
      <c r="J247" s="28"/>
      <c r="K247" s="29"/>
      <c r="BB247" s="14"/>
      <c r="BC247" s="21"/>
      <c r="BD247" s="15"/>
      <c r="BE247" s="12" t="s">
        <v>1917</v>
      </c>
      <c r="BF247" s="43"/>
      <c r="BG247" s="12"/>
    </row>
    <row r="248" spans="1:59" s="3" customFormat="1" ht="21.6" x14ac:dyDescent="0.3">
      <c r="A248" s="25"/>
      <c r="B248" s="26" t="s">
        <v>3886</v>
      </c>
      <c r="C248" s="419" t="s">
        <v>3887</v>
      </c>
      <c r="D248" s="419"/>
      <c r="E248" s="419"/>
      <c r="F248" s="27" t="s">
        <v>70</v>
      </c>
      <c r="G248" s="22" t="s">
        <v>4143</v>
      </c>
      <c r="H248" s="58"/>
      <c r="I248" s="28"/>
      <c r="J248" s="28"/>
      <c r="K248" s="29"/>
      <c r="BB248" s="14"/>
      <c r="BC248" s="21"/>
      <c r="BD248" s="15"/>
      <c r="BE248" s="12" t="s">
        <v>3887</v>
      </c>
      <c r="BF248" s="43"/>
      <c r="BG248" s="12"/>
    </row>
    <row r="249" spans="1:59" s="3" customFormat="1" ht="21.6" x14ac:dyDescent="0.3">
      <c r="A249" s="25"/>
      <c r="B249" s="26" t="s">
        <v>607</v>
      </c>
      <c r="C249" s="419" t="s">
        <v>608</v>
      </c>
      <c r="D249" s="419"/>
      <c r="E249" s="419"/>
      <c r="F249" s="27" t="s">
        <v>609</v>
      </c>
      <c r="G249" s="22" t="s">
        <v>4145</v>
      </c>
      <c r="H249" s="58"/>
      <c r="I249" s="28"/>
      <c r="J249" s="28"/>
      <c r="K249" s="29"/>
      <c r="BB249" s="14"/>
      <c r="BC249" s="21"/>
      <c r="BD249" s="15"/>
      <c r="BE249" s="12" t="s">
        <v>608</v>
      </c>
      <c r="BF249" s="43"/>
      <c r="BG249" s="12"/>
    </row>
    <row r="250" spans="1:59" s="3" customFormat="1" ht="21.6" x14ac:dyDescent="0.3">
      <c r="A250" s="16" t="s">
        <v>3016</v>
      </c>
      <c r="B250" s="17" t="s">
        <v>4146</v>
      </c>
      <c r="C250" s="405" t="s">
        <v>4147</v>
      </c>
      <c r="D250" s="405"/>
      <c r="E250" s="405"/>
      <c r="F250" s="16" t="s">
        <v>1460</v>
      </c>
      <c r="G250" s="23">
        <v>25</v>
      </c>
      <c r="H250" s="57">
        <v>0</v>
      </c>
      <c r="I250" s="19">
        <v>0</v>
      </c>
      <c r="J250" s="19">
        <f t="shared" ref="J250:J251" si="12">K250/G250</f>
        <v>127.8824</v>
      </c>
      <c r="K250" s="19">
        <v>3197.06</v>
      </c>
      <c r="BB250" s="14"/>
      <c r="BC250" s="21" t="s">
        <v>4147</v>
      </c>
      <c r="BD250" s="15"/>
      <c r="BE250" s="12"/>
      <c r="BF250" s="43"/>
      <c r="BG250" s="12"/>
    </row>
    <row r="251" spans="1:59" s="3" customFormat="1" ht="31.8" x14ac:dyDescent="0.3">
      <c r="A251" s="16" t="s">
        <v>3019</v>
      </c>
      <c r="B251" s="17" t="s">
        <v>4148</v>
      </c>
      <c r="C251" s="405" t="s">
        <v>4149</v>
      </c>
      <c r="D251" s="405"/>
      <c r="E251" s="405"/>
      <c r="F251" s="16" t="s">
        <v>1460</v>
      </c>
      <c r="G251" s="23">
        <v>6</v>
      </c>
      <c r="H251" s="57">
        <v>0</v>
      </c>
      <c r="I251" s="19">
        <v>0</v>
      </c>
      <c r="J251" s="19">
        <f t="shared" si="12"/>
        <v>280.63333333333333</v>
      </c>
      <c r="K251" s="19">
        <v>1683.8</v>
      </c>
      <c r="BB251" s="14"/>
      <c r="BC251" s="21" t="s">
        <v>4149</v>
      </c>
      <c r="BD251" s="15"/>
      <c r="BE251" s="12"/>
      <c r="BF251" s="43"/>
      <c r="BG251" s="12"/>
    </row>
    <row r="252" spans="1:59" s="3" customFormat="1" ht="15" customHeight="1" x14ac:dyDescent="0.3">
      <c r="A252" s="435" t="s">
        <v>4150</v>
      </c>
      <c r="B252" s="436"/>
      <c r="C252" s="436"/>
      <c r="D252" s="436"/>
      <c r="E252" s="436"/>
      <c r="F252" s="436"/>
      <c r="G252" s="436"/>
      <c r="H252" s="103"/>
      <c r="I252" s="103"/>
      <c r="J252" s="103"/>
      <c r="K252" s="104"/>
      <c r="BB252" s="14" t="s">
        <v>4150</v>
      </c>
      <c r="BC252" s="21"/>
      <c r="BD252" s="15"/>
      <c r="BE252" s="12"/>
      <c r="BF252" s="43"/>
      <c r="BG252" s="12"/>
    </row>
    <row r="253" spans="1:59" s="3" customFormat="1" ht="15" customHeight="1" x14ac:dyDescent="0.3">
      <c r="A253" s="437" t="s">
        <v>4151</v>
      </c>
      <c r="B253" s="418"/>
      <c r="C253" s="418"/>
      <c r="D253" s="418"/>
      <c r="E253" s="418"/>
      <c r="F253" s="418"/>
      <c r="G253" s="418"/>
      <c r="H253" s="123"/>
      <c r="I253" s="123"/>
      <c r="J253" s="123"/>
      <c r="K253" s="124"/>
      <c r="BB253" s="14"/>
      <c r="BC253" s="21"/>
      <c r="BD253" s="15" t="s">
        <v>4151</v>
      </c>
      <c r="BE253" s="12"/>
      <c r="BF253" s="43"/>
      <c r="BG253" s="12"/>
    </row>
    <row r="254" spans="1:59" s="3" customFormat="1" ht="31.8" x14ac:dyDescent="0.3">
      <c r="A254" s="16" t="s">
        <v>3022</v>
      </c>
      <c r="B254" s="17" t="s">
        <v>4152</v>
      </c>
      <c r="C254" s="405" t="s">
        <v>4153</v>
      </c>
      <c r="D254" s="405"/>
      <c r="E254" s="405"/>
      <c r="F254" s="16" t="s">
        <v>142</v>
      </c>
      <c r="G254" s="31">
        <v>0.01</v>
      </c>
      <c r="H254" s="57">
        <f>I254/G254</f>
        <v>74764</v>
      </c>
      <c r="I254" s="19">
        <f>757.93-K254</f>
        <v>747.64</v>
      </c>
      <c r="J254" s="19">
        <f>K254/G254</f>
        <v>1029</v>
      </c>
      <c r="K254" s="19">
        <v>10.29</v>
      </c>
      <c r="BB254" s="14"/>
      <c r="BC254" s="21" t="s">
        <v>4153</v>
      </c>
      <c r="BD254" s="15"/>
      <c r="BE254" s="12"/>
      <c r="BF254" s="43"/>
      <c r="BG254" s="12"/>
    </row>
    <row r="255" spans="1:59" s="3" customFormat="1" ht="20.399999999999999" x14ac:dyDescent="0.3">
      <c r="A255" s="25"/>
      <c r="B255" s="26" t="s">
        <v>1916</v>
      </c>
      <c r="C255" s="419" t="s">
        <v>1917</v>
      </c>
      <c r="D255" s="419"/>
      <c r="E255" s="419"/>
      <c r="F255" s="27" t="s">
        <v>70</v>
      </c>
      <c r="G255" s="22" t="s">
        <v>4117</v>
      </c>
      <c r="H255" s="58"/>
      <c r="I255" s="28"/>
      <c r="J255" s="28"/>
      <c r="K255" s="29"/>
      <c r="BB255" s="14"/>
      <c r="BC255" s="21"/>
      <c r="BD255" s="15"/>
      <c r="BE255" s="12" t="s">
        <v>1917</v>
      </c>
      <c r="BF255" s="43"/>
      <c r="BG255" s="12"/>
    </row>
    <row r="256" spans="1:59" s="3" customFormat="1" ht="20.399999999999999" x14ac:dyDescent="0.3">
      <c r="A256" s="25"/>
      <c r="B256" s="26" t="s">
        <v>4154</v>
      </c>
      <c r="C256" s="419" t="s">
        <v>4155</v>
      </c>
      <c r="D256" s="419"/>
      <c r="E256" s="419"/>
      <c r="F256" s="27" t="s">
        <v>75</v>
      </c>
      <c r="G256" s="22" t="s">
        <v>4156</v>
      </c>
      <c r="H256" s="58"/>
      <c r="I256" s="28"/>
      <c r="J256" s="28"/>
      <c r="K256" s="29"/>
      <c r="BB256" s="14"/>
      <c r="BC256" s="21"/>
      <c r="BD256" s="15"/>
      <c r="BE256" s="12" t="s">
        <v>4155</v>
      </c>
      <c r="BF256" s="43"/>
      <c r="BG256" s="12"/>
    </row>
    <row r="257" spans="1:59" s="3" customFormat="1" ht="21.6" x14ac:dyDescent="0.3">
      <c r="A257" s="25"/>
      <c r="B257" s="26" t="s">
        <v>607</v>
      </c>
      <c r="C257" s="419" t="s">
        <v>608</v>
      </c>
      <c r="D257" s="419"/>
      <c r="E257" s="419"/>
      <c r="F257" s="27" t="s">
        <v>609</v>
      </c>
      <c r="G257" s="22" t="s">
        <v>4157</v>
      </c>
      <c r="H257" s="58"/>
      <c r="I257" s="28"/>
      <c r="J257" s="28"/>
      <c r="K257" s="29"/>
      <c r="BB257" s="14"/>
      <c r="BC257" s="21"/>
      <c r="BD257" s="15"/>
      <c r="BE257" s="12" t="s">
        <v>608</v>
      </c>
      <c r="BF257" s="43"/>
      <c r="BG257" s="12"/>
    </row>
    <row r="258" spans="1:59" s="3" customFormat="1" ht="21.6" x14ac:dyDescent="0.3">
      <c r="A258" s="16" t="s">
        <v>3027</v>
      </c>
      <c r="B258" s="17" t="s">
        <v>4158</v>
      </c>
      <c r="C258" s="405" t="s">
        <v>4159</v>
      </c>
      <c r="D258" s="405"/>
      <c r="E258" s="405"/>
      <c r="F258" s="16" t="s">
        <v>1460</v>
      </c>
      <c r="G258" s="23">
        <v>1</v>
      </c>
      <c r="H258" s="57">
        <v>0</v>
      </c>
      <c r="I258" s="19">
        <v>0</v>
      </c>
      <c r="J258" s="19">
        <f>K258/G258</f>
        <v>15147.66</v>
      </c>
      <c r="K258" s="19">
        <v>15147.66</v>
      </c>
      <c r="BB258" s="14"/>
      <c r="BC258" s="21" t="s">
        <v>4159</v>
      </c>
      <c r="BD258" s="15"/>
      <c r="BE258" s="12"/>
      <c r="BF258" s="43"/>
      <c r="BG258" s="12"/>
    </row>
    <row r="259" spans="1:59" s="3" customFormat="1" ht="15" customHeight="1" x14ac:dyDescent="0.3">
      <c r="A259" s="437" t="s">
        <v>4160</v>
      </c>
      <c r="B259" s="418"/>
      <c r="C259" s="418"/>
      <c r="D259" s="418"/>
      <c r="E259" s="418"/>
      <c r="F259" s="418"/>
      <c r="G259" s="418"/>
      <c r="H259" s="123"/>
      <c r="I259" s="123"/>
      <c r="J259" s="123"/>
      <c r="K259" s="124"/>
      <c r="BB259" s="14"/>
      <c r="BC259" s="21"/>
      <c r="BD259" s="15" t="s">
        <v>4160</v>
      </c>
      <c r="BE259" s="12"/>
      <c r="BF259" s="43"/>
      <c r="BG259" s="12"/>
    </row>
    <row r="260" spans="1:59" s="3" customFormat="1" ht="31.8" x14ac:dyDescent="0.3">
      <c r="A260" s="16" t="s">
        <v>3050</v>
      </c>
      <c r="B260" s="17" t="s">
        <v>4152</v>
      </c>
      <c r="C260" s="405" t="s">
        <v>4153</v>
      </c>
      <c r="D260" s="405"/>
      <c r="E260" s="405"/>
      <c r="F260" s="16" t="s">
        <v>142</v>
      </c>
      <c r="G260" s="31">
        <v>0.02</v>
      </c>
      <c r="H260" s="57">
        <f>I260/G260</f>
        <v>78464.5</v>
      </c>
      <c r="I260" s="19">
        <f>1589.86-K260</f>
        <v>1569.29</v>
      </c>
      <c r="J260" s="19">
        <f>K260/G260</f>
        <v>1028.5</v>
      </c>
      <c r="K260" s="19">
        <v>20.57</v>
      </c>
      <c r="BB260" s="14"/>
      <c r="BC260" s="21" t="s">
        <v>4153</v>
      </c>
      <c r="BD260" s="15"/>
      <c r="BE260" s="12"/>
      <c r="BF260" s="43"/>
      <c r="BG260" s="12"/>
    </row>
    <row r="261" spans="1:59" s="3" customFormat="1" ht="20.399999999999999" x14ac:dyDescent="0.3">
      <c r="A261" s="25"/>
      <c r="B261" s="26" t="s">
        <v>1916</v>
      </c>
      <c r="C261" s="419" t="s">
        <v>1917</v>
      </c>
      <c r="D261" s="419"/>
      <c r="E261" s="419"/>
      <c r="F261" s="27" t="s">
        <v>70</v>
      </c>
      <c r="G261" s="22" t="s">
        <v>1918</v>
      </c>
      <c r="H261" s="58"/>
      <c r="I261" s="28"/>
      <c r="J261" s="28"/>
      <c r="K261" s="29"/>
      <c r="BB261" s="14"/>
      <c r="BC261" s="21"/>
      <c r="BD261" s="15"/>
      <c r="BE261" s="12" t="s">
        <v>1917</v>
      </c>
      <c r="BF261" s="43"/>
      <c r="BG261" s="12"/>
    </row>
    <row r="262" spans="1:59" s="3" customFormat="1" ht="20.399999999999999" x14ac:dyDescent="0.3">
      <c r="A262" s="25"/>
      <c r="B262" s="26" t="s">
        <v>4154</v>
      </c>
      <c r="C262" s="419" t="s">
        <v>4155</v>
      </c>
      <c r="D262" s="419"/>
      <c r="E262" s="419"/>
      <c r="F262" s="27" t="s">
        <v>75</v>
      </c>
      <c r="G262" s="22" t="s">
        <v>4161</v>
      </c>
      <c r="H262" s="58"/>
      <c r="I262" s="28"/>
      <c r="J262" s="28"/>
      <c r="K262" s="29"/>
      <c r="BB262" s="14"/>
      <c r="BC262" s="21"/>
      <c r="BD262" s="15"/>
      <c r="BE262" s="12" t="s">
        <v>4155</v>
      </c>
      <c r="BF262" s="43"/>
      <c r="BG262" s="12"/>
    </row>
    <row r="263" spans="1:59" s="3" customFormat="1" ht="21.6" x14ac:dyDescent="0.3">
      <c r="A263" s="25"/>
      <c r="B263" s="26" t="s">
        <v>607</v>
      </c>
      <c r="C263" s="419" t="s">
        <v>608</v>
      </c>
      <c r="D263" s="419"/>
      <c r="E263" s="419"/>
      <c r="F263" s="27" t="s">
        <v>609</v>
      </c>
      <c r="G263" s="22" t="s">
        <v>4162</v>
      </c>
      <c r="H263" s="58"/>
      <c r="I263" s="28"/>
      <c r="J263" s="28"/>
      <c r="K263" s="29"/>
      <c r="BB263" s="14"/>
      <c r="BC263" s="21"/>
      <c r="BD263" s="15"/>
      <c r="BE263" s="12" t="s">
        <v>608</v>
      </c>
      <c r="BF263" s="43"/>
      <c r="BG263" s="12"/>
    </row>
    <row r="264" spans="1:59" s="3" customFormat="1" ht="31.8" x14ac:dyDescent="0.3">
      <c r="A264" s="16" t="s">
        <v>3063</v>
      </c>
      <c r="B264" s="17" t="s">
        <v>4163</v>
      </c>
      <c r="C264" s="405" t="s">
        <v>4164</v>
      </c>
      <c r="D264" s="405"/>
      <c r="E264" s="405"/>
      <c r="F264" s="16" t="s">
        <v>1460</v>
      </c>
      <c r="G264" s="23">
        <v>2</v>
      </c>
      <c r="H264" s="57">
        <v>0</v>
      </c>
      <c r="I264" s="19">
        <v>0</v>
      </c>
      <c r="J264" s="19">
        <f>K264/G264</f>
        <v>7975.18</v>
      </c>
      <c r="K264" s="19">
        <v>15950.36</v>
      </c>
      <c r="BB264" s="14"/>
      <c r="BC264" s="21" t="s">
        <v>4164</v>
      </c>
      <c r="BD264" s="15"/>
      <c r="BE264" s="12"/>
      <c r="BF264" s="43"/>
      <c r="BG264" s="12"/>
    </row>
    <row r="265" spans="1:59" s="3" customFormat="1" ht="15" customHeight="1" x14ac:dyDescent="0.3">
      <c r="A265" s="437" t="s">
        <v>4165</v>
      </c>
      <c r="B265" s="418"/>
      <c r="C265" s="418"/>
      <c r="D265" s="418"/>
      <c r="E265" s="418"/>
      <c r="F265" s="418"/>
      <c r="G265" s="418"/>
      <c r="H265" s="123"/>
      <c r="I265" s="123"/>
      <c r="J265" s="123"/>
      <c r="K265" s="124"/>
      <c r="BB265" s="14"/>
      <c r="BC265" s="21"/>
      <c r="BD265" s="15" t="s">
        <v>4165</v>
      </c>
      <c r="BE265" s="12"/>
      <c r="BF265" s="43"/>
      <c r="BG265" s="12"/>
    </row>
    <row r="266" spans="1:59" s="3" customFormat="1" ht="31.8" x14ac:dyDescent="0.3">
      <c r="A266" s="16" t="s">
        <v>3080</v>
      </c>
      <c r="B266" s="17" t="s">
        <v>4166</v>
      </c>
      <c r="C266" s="405" t="s">
        <v>4167</v>
      </c>
      <c r="D266" s="405"/>
      <c r="E266" s="405"/>
      <c r="F266" s="16" t="s">
        <v>142</v>
      </c>
      <c r="G266" s="31">
        <v>0.11</v>
      </c>
      <c r="H266" s="57">
        <f>I266/G266</f>
        <v>231060.45454545453</v>
      </c>
      <c r="I266" s="19">
        <f>28532.69-K266</f>
        <v>25416.649999999998</v>
      </c>
      <c r="J266" s="19">
        <f>K266/G266</f>
        <v>28327.636363636364</v>
      </c>
      <c r="K266" s="19">
        <v>3116.04</v>
      </c>
      <c r="BB266" s="14"/>
      <c r="BC266" s="21" t="s">
        <v>4167</v>
      </c>
      <c r="BD266" s="15"/>
      <c r="BE266" s="12"/>
      <c r="BF266" s="43"/>
      <c r="BG266" s="12"/>
    </row>
    <row r="267" spans="1:59" s="3" customFormat="1" ht="31.8" x14ac:dyDescent="0.3">
      <c r="A267" s="25"/>
      <c r="B267" s="26" t="s">
        <v>1703</v>
      </c>
      <c r="C267" s="419" t="s">
        <v>1704</v>
      </c>
      <c r="D267" s="419"/>
      <c r="E267" s="419"/>
      <c r="F267" s="27" t="s">
        <v>75</v>
      </c>
      <c r="G267" s="22" t="s">
        <v>4168</v>
      </c>
      <c r="H267" s="58"/>
      <c r="I267" s="28"/>
      <c r="J267" s="28"/>
      <c r="K267" s="29"/>
      <c r="BB267" s="14"/>
      <c r="BC267" s="21"/>
      <c r="BD267" s="15"/>
      <c r="BE267" s="12" t="s">
        <v>1704</v>
      </c>
      <c r="BF267" s="43"/>
      <c r="BG267" s="12"/>
    </row>
    <row r="268" spans="1:59" s="3" customFormat="1" ht="20.399999999999999" x14ac:dyDescent="0.3">
      <c r="A268" s="25"/>
      <c r="B268" s="26" t="s">
        <v>599</v>
      </c>
      <c r="C268" s="419" t="s">
        <v>600</v>
      </c>
      <c r="D268" s="419"/>
      <c r="E268" s="419"/>
      <c r="F268" s="27" t="s">
        <v>406</v>
      </c>
      <c r="G268" s="22" t="s">
        <v>4169</v>
      </c>
      <c r="H268" s="58"/>
      <c r="I268" s="28"/>
      <c r="J268" s="28"/>
      <c r="K268" s="29"/>
      <c r="BB268" s="14"/>
      <c r="BC268" s="21"/>
      <c r="BD268" s="15"/>
      <c r="BE268" s="12" t="s">
        <v>600</v>
      </c>
      <c r="BF268" s="43"/>
      <c r="BG268" s="12"/>
    </row>
    <row r="269" spans="1:59" s="3" customFormat="1" ht="20.399999999999999" x14ac:dyDescent="0.3">
      <c r="A269" s="25"/>
      <c r="B269" s="26" t="s">
        <v>1693</v>
      </c>
      <c r="C269" s="419" t="s">
        <v>1694</v>
      </c>
      <c r="D269" s="419"/>
      <c r="E269" s="419"/>
      <c r="F269" s="27" t="s">
        <v>75</v>
      </c>
      <c r="G269" s="22" t="s">
        <v>4170</v>
      </c>
      <c r="H269" s="58"/>
      <c r="I269" s="28"/>
      <c r="J269" s="28"/>
      <c r="K269" s="29"/>
      <c r="BB269" s="14"/>
      <c r="BC269" s="21"/>
      <c r="BD269" s="15"/>
      <c r="BE269" s="12" t="s">
        <v>1694</v>
      </c>
      <c r="BF269" s="43"/>
      <c r="BG269" s="12"/>
    </row>
    <row r="270" spans="1:59" s="3" customFormat="1" ht="20.399999999999999" x14ac:dyDescent="0.3">
      <c r="A270" s="25"/>
      <c r="B270" s="26" t="s">
        <v>391</v>
      </c>
      <c r="C270" s="419" t="s">
        <v>392</v>
      </c>
      <c r="D270" s="419"/>
      <c r="E270" s="419"/>
      <c r="F270" s="27" t="s">
        <v>75</v>
      </c>
      <c r="G270" s="22" t="s">
        <v>4171</v>
      </c>
      <c r="H270" s="58"/>
      <c r="I270" s="28"/>
      <c r="J270" s="28"/>
      <c r="K270" s="29"/>
      <c r="BB270" s="14"/>
      <c r="BC270" s="21"/>
      <c r="BD270" s="15"/>
      <c r="BE270" s="12" t="s">
        <v>392</v>
      </c>
      <c r="BF270" s="43"/>
      <c r="BG270" s="12"/>
    </row>
    <row r="271" spans="1:59" s="3" customFormat="1" ht="21.6" x14ac:dyDescent="0.3">
      <c r="A271" s="25"/>
      <c r="B271" s="26" t="s">
        <v>4172</v>
      </c>
      <c r="C271" s="419" t="s">
        <v>4173</v>
      </c>
      <c r="D271" s="419"/>
      <c r="E271" s="419"/>
      <c r="F271" s="27" t="s">
        <v>70</v>
      </c>
      <c r="G271" s="22" t="s">
        <v>4174</v>
      </c>
      <c r="H271" s="58"/>
      <c r="I271" s="28"/>
      <c r="J271" s="28"/>
      <c r="K271" s="29"/>
      <c r="BB271" s="14"/>
      <c r="BC271" s="21"/>
      <c r="BD271" s="15"/>
      <c r="BE271" s="12" t="s">
        <v>4173</v>
      </c>
      <c r="BF271" s="43"/>
      <c r="BG271" s="12"/>
    </row>
    <row r="272" spans="1:59" s="3" customFormat="1" ht="21.6" x14ac:dyDescent="0.3">
      <c r="A272" s="25"/>
      <c r="B272" s="26" t="s">
        <v>4175</v>
      </c>
      <c r="C272" s="419" t="s">
        <v>4176</v>
      </c>
      <c r="D272" s="419"/>
      <c r="E272" s="419"/>
      <c r="F272" s="27" t="s">
        <v>70</v>
      </c>
      <c r="G272" s="22" t="s">
        <v>4177</v>
      </c>
      <c r="H272" s="58"/>
      <c r="I272" s="28"/>
      <c r="J272" s="28"/>
      <c r="K272" s="29"/>
      <c r="BB272" s="14"/>
      <c r="BC272" s="21"/>
      <c r="BD272" s="15"/>
      <c r="BE272" s="12" t="s">
        <v>4176</v>
      </c>
      <c r="BF272" s="43"/>
      <c r="BG272" s="12"/>
    </row>
    <row r="273" spans="1:59" s="3" customFormat="1" ht="20.399999999999999" x14ac:dyDescent="0.3">
      <c r="A273" s="25"/>
      <c r="B273" s="26" t="s">
        <v>605</v>
      </c>
      <c r="C273" s="419" t="s">
        <v>606</v>
      </c>
      <c r="D273" s="419"/>
      <c r="E273" s="419"/>
      <c r="F273" s="27" t="s">
        <v>75</v>
      </c>
      <c r="G273" s="22" t="s">
        <v>4178</v>
      </c>
      <c r="H273" s="58"/>
      <c r="I273" s="28"/>
      <c r="J273" s="28"/>
      <c r="K273" s="29"/>
      <c r="BB273" s="14"/>
      <c r="BC273" s="21"/>
      <c r="BD273" s="15"/>
      <c r="BE273" s="12" t="s">
        <v>606</v>
      </c>
      <c r="BF273" s="43"/>
      <c r="BG273" s="12"/>
    </row>
    <row r="274" spans="1:59" s="3" customFormat="1" ht="21.6" x14ac:dyDescent="0.3">
      <c r="A274" s="25"/>
      <c r="B274" s="26" t="s">
        <v>607</v>
      </c>
      <c r="C274" s="419" t="s">
        <v>608</v>
      </c>
      <c r="D274" s="419"/>
      <c r="E274" s="419"/>
      <c r="F274" s="27" t="s">
        <v>609</v>
      </c>
      <c r="G274" s="22" t="s">
        <v>4179</v>
      </c>
      <c r="H274" s="58"/>
      <c r="I274" s="28"/>
      <c r="J274" s="28"/>
      <c r="K274" s="29"/>
      <c r="BB274" s="14"/>
      <c r="BC274" s="21"/>
      <c r="BD274" s="15"/>
      <c r="BE274" s="12" t="s">
        <v>608</v>
      </c>
      <c r="BF274" s="43"/>
      <c r="BG274" s="12"/>
    </row>
    <row r="275" spans="1:59" s="3" customFormat="1" ht="21.6" x14ac:dyDescent="0.3">
      <c r="A275" s="16" t="s">
        <v>3092</v>
      </c>
      <c r="B275" s="17" t="s">
        <v>4180</v>
      </c>
      <c r="C275" s="405" t="s">
        <v>4181</v>
      </c>
      <c r="D275" s="405"/>
      <c r="E275" s="405"/>
      <c r="F275" s="16" t="s">
        <v>1460</v>
      </c>
      <c r="G275" s="23">
        <v>3</v>
      </c>
      <c r="H275" s="57">
        <v>0</v>
      </c>
      <c r="I275" s="19">
        <v>0</v>
      </c>
      <c r="J275" s="19">
        <f t="shared" ref="J275:J279" si="13">K275/G275</f>
        <v>6908.84</v>
      </c>
      <c r="K275" s="19">
        <v>20726.52</v>
      </c>
      <c r="BB275" s="14"/>
      <c r="BC275" s="21" t="s">
        <v>4181</v>
      </c>
      <c r="BD275" s="15"/>
      <c r="BE275" s="12"/>
      <c r="BF275" s="43"/>
      <c r="BG275" s="12"/>
    </row>
    <row r="276" spans="1:59" s="3" customFormat="1" ht="21.6" x14ac:dyDescent="0.3">
      <c r="A276" s="16" t="s">
        <v>3095</v>
      </c>
      <c r="B276" s="17" t="s">
        <v>4182</v>
      </c>
      <c r="C276" s="405" t="s">
        <v>4183</v>
      </c>
      <c r="D276" s="405"/>
      <c r="E276" s="405"/>
      <c r="F276" s="16" t="s">
        <v>1460</v>
      </c>
      <c r="G276" s="23">
        <v>1</v>
      </c>
      <c r="H276" s="57">
        <v>0</v>
      </c>
      <c r="I276" s="19">
        <v>0</v>
      </c>
      <c r="J276" s="19">
        <f t="shared" si="13"/>
        <v>14941.28</v>
      </c>
      <c r="K276" s="19">
        <v>14941.28</v>
      </c>
      <c r="BB276" s="14"/>
      <c r="BC276" s="21" t="s">
        <v>4183</v>
      </c>
      <c r="BD276" s="15"/>
      <c r="BE276" s="12"/>
      <c r="BF276" s="43"/>
      <c r="BG276" s="12"/>
    </row>
    <row r="277" spans="1:59" s="3" customFormat="1" ht="21.6" x14ac:dyDescent="0.3">
      <c r="A277" s="16" t="s">
        <v>3110</v>
      </c>
      <c r="B277" s="17" t="s">
        <v>4184</v>
      </c>
      <c r="C277" s="405" t="s">
        <v>4185</v>
      </c>
      <c r="D277" s="405"/>
      <c r="E277" s="405"/>
      <c r="F277" s="16" t="s">
        <v>1460</v>
      </c>
      <c r="G277" s="23">
        <v>3</v>
      </c>
      <c r="H277" s="57">
        <v>0</v>
      </c>
      <c r="I277" s="19">
        <v>0</v>
      </c>
      <c r="J277" s="19">
        <f t="shared" si="13"/>
        <v>8005.2666666666664</v>
      </c>
      <c r="K277" s="19">
        <v>24015.8</v>
      </c>
      <c r="BB277" s="14"/>
      <c r="BC277" s="21" t="s">
        <v>4185</v>
      </c>
      <c r="BD277" s="15"/>
      <c r="BE277" s="12"/>
      <c r="BF277" s="43"/>
      <c r="BG277" s="12"/>
    </row>
    <row r="278" spans="1:59" s="3" customFormat="1" ht="21.6" x14ac:dyDescent="0.3">
      <c r="A278" s="16" t="s">
        <v>3124</v>
      </c>
      <c r="B278" s="17" t="s">
        <v>4184</v>
      </c>
      <c r="C278" s="405" t="s">
        <v>4185</v>
      </c>
      <c r="D278" s="405"/>
      <c r="E278" s="405"/>
      <c r="F278" s="16" t="s">
        <v>1460</v>
      </c>
      <c r="G278" s="23">
        <v>3</v>
      </c>
      <c r="H278" s="57">
        <v>0</v>
      </c>
      <c r="I278" s="19">
        <v>0</v>
      </c>
      <c r="J278" s="19">
        <f t="shared" si="13"/>
        <v>8005.2666666666664</v>
      </c>
      <c r="K278" s="19">
        <v>24015.8</v>
      </c>
      <c r="BB278" s="14"/>
      <c r="BC278" s="21" t="s">
        <v>4185</v>
      </c>
      <c r="BD278" s="15"/>
      <c r="BE278" s="12"/>
      <c r="BF278" s="43"/>
      <c r="BG278" s="12"/>
    </row>
    <row r="279" spans="1:59" s="3" customFormat="1" ht="21.6" x14ac:dyDescent="0.3">
      <c r="A279" s="16" t="s">
        <v>3126</v>
      </c>
      <c r="B279" s="17" t="s">
        <v>4186</v>
      </c>
      <c r="C279" s="405" t="s">
        <v>4187</v>
      </c>
      <c r="D279" s="405"/>
      <c r="E279" s="405"/>
      <c r="F279" s="16" t="s">
        <v>1460</v>
      </c>
      <c r="G279" s="23">
        <v>1</v>
      </c>
      <c r="H279" s="57">
        <v>0</v>
      </c>
      <c r="I279" s="19">
        <v>0</v>
      </c>
      <c r="J279" s="19">
        <f t="shared" si="13"/>
        <v>14941.28</v>
      </c>
      <c r="K279" s="19">
        <v>14941.28</v>
      </c>
      <c r="BB279" s="14"/>
      <c r="BC279" s="21" t="s">
        <v>4187</v>
      </c>
      <c r="BD279" s="15"/>
      <c r="BE279" s="12"/>
      <c r="BF279" s="43"/>
      <c r="BG279" s="12"/>
    </row>
    <row r="280" spans="1:59" s="3" customFormat="1" ht="15" customHeight="1" x14ac:dyDescent="0.3">
      <c r="A280" s="437" t="s">
        <v>4188</v>
      </c>
      <c r="B280" s="418"/>
      <c r="C280" s="418"/>
      <c r="D280" s="418"/>
      <c r="E280" s="418"/>
      <c r="F280" s="418"/>
      <c r="G280" s="418"/>
      <c r="H280" s="123"/>
      <c r="I280" s="123"/>
      <c r="J280" s="123"/>
      <c r="K280" s="124"/>
      <c r="BB280" s="14"/>
      <c r="BC280" s="21"/>
      <c r="BD280" s="15" t="s">
        <v>4188</v>
      </c>
      <c r="BE280" s="12"/>
      <c r="BF280" s="43"/>
      <c r="BG280" s="12"/>
    </row>
    <row r="281" spans="1:59" s="3" customFormat="1" ht="31.8" x14ac:dyDescent="0.3">
      <c r="A281" s="16" t="s">
        <v>3132</v>
      </c>
      <c r="B281" s="17" t="s">
        <v>4189</v>
      </c>
      <c r="C281" s="405" t="s">
        <v>4190</v>
      </c>
      <c r="D281" s="405"/>
      <c r="E281" s="405"/>
      <c r="F281" s="16" t="s">
        <v>142</v>
      </c>
      <c r="G281" s="31">
        <v>0.03</v>
      </c>
      <c r="H281" s="57">
        <f>I281/G281</f>
        <v>94095</v>
      </c>
      <c r="I281" s="19">
        <f>2857.43-K281</f>
        <v>2822.85</v>
      </c>
      <c r="J281" s="19">
        <f>K281/G281</f>
        <v>1152.6666666666667</v>
      </c>
      <c r="K281" s="19">
        <v>34.58</v>
      </c>
      <c r="BB281" s="14"/>
      <c r="BC281" s="21" t="s">
        <v>4190</v>
      </c>
      <c r="BD281" s="15"/>
      <c r="BE281" s="12"/>
      <c r="BF281" s="43"/>
      <c r="BG281" s="12"/>
    </row>
    <row r="282" spans="1:59" s="3" customFormat="1" ht="20.399999999999999" x14ac:dyDescent="0.3">
      <c r="A282" s="25"/>
      <c r="B282" s="26" t="s">
        <v>1916</v>
      </c>
      <c r="C282" s="419" t="s">
        <v>1917</v>
      </c>
      <c r="D282" s="419"/>
      <c r="E282" s="419"/>
      <c r="F282" s="27" t="s">
        <v>70</v>
      </c>
      <c r="G282" s="22" t="s">
        <v>4191</v>
      </c>
      <c r="H282" s="58"/>
      <c r="I282" s="28"/>
      <c r="J282" s="28"/>
      <c r="K282" s="29"/>
      <c r="BB282" s="14"/>
      <c r="BC282" s="21"/>
      <c r="BD282" s="15"/>
      <c r="BE282" s="12" t="s">
        <v>1917</v>
      </c>
      <c r="BF282" s="43"/>
      <c r="BG282" s="12"/>
    </row>
    <row r="283" spans="1:59" s="3" customFormat="1" ht="20.399999999999999" x14ac:dyDescent="0.3">
      <c r="A283" s="25"/>
      <c r="B283" s="26" t="s">
        <v>4154</v>
      </c>
      <c r="C283" s="419" t="s">
        <v>4155</v>
      </c>
      <c r="D283" s="419"/>
      <c r="E283" s="419"/>
      <c r="F283" s="27" t="s">
        <v>75</v>
      </c>
      <c r="G283" s="22" t="s">
        <v>4192</v>
      </c>
      <c r="H283" s="58"/>
      <c r="I283" s="28"/>
      <c r="J283" s="28"/>
      <c r="K283" s="29"/>
      <c r="BB283" s="14"/>
      <c r="BC283" s="21"/>
      <c r="BD283" s="15"/>
      <c r="BE283" s="12" t="s">
        <v>4155</v>
      </c>
      <c r="BF283" s="43"/>
      <c r="BG283" s="12"/>
    </row>
    <row r="284" spans="1:59" s="3" customFormat="1" ht="21.6" x14ac:dyDescent="0.3">
      <c r="A284" s="25"/>
      <c r="B284" s="26" t="s">
        <v>607</v>
      </c>
      <c r="C284" s="419" t="s">
        <v>608</v>
      </c>
      <c r="D284" s="419"/>
      <c r="E284" s="419"/>
      <c r="F284" s="27" t="s">
        <v>609</v>
      </c>
      <c r="G284" s="22" t="s">
        <v>4193</v>
      </c>
      <c r="H284" s="58"/>
      <c r="I284" s="28"/>
      <c r="J284" s="28"/>
      <c r="K284" s="29"/>
      <c r="BB284" s="14"/>
      <c r="BC284" s="21"/>
      <c r="BD284" s="15"/>
      <c r="BE284" s="12" t="s">
        <v>608</v>
      </c>
      <c r="BF284" s="43"/>
      <c r="BG284" s="12"/>
    </row>
    <row r="285" spans="1:59" s="3" customFormat="1" ht="21.6" x14ac:dyDescent="0.3">
      <c r="A285" s="16" t="s">
        <v>3135</v>
      </c>
      <c r="B285" s="17" t="s">
        <v>4194</v>
      </c>
      <c r="C285" s="405" t="s">
        <v>4195</v>
      </c>
      <c r="D285" s="405"/>
      <c r="E285" s="405"/>
      <c r="F285" s="16" t="s">
        <v>1460</v>
      </c>
      <c r="G285" s="23">
        <v>2</v>
      </c>
      <c r="H285" s="57">
        <v>0</v>
      </c>
      <c r="I285" s="19">
        <v>0</v>
      </c>
      <c r="J285" s="19">
        <f t="shared" ref="J285:J286" si="14">K285/G285</f>
        <v>17843.724999999999</v>
      </c>
      <c r="K285" s="19">
        <v>35687.449999999997</v>
      </c>
      <c r="BB285" s="14"/>
      <c r="BC285" s="21" t="s">
        <v>4195</v>
      </c>
      <c r="BD285" s="15"/>
      <c r="BE285" s="12"/>
      <c r="BF285" s="43"/>
      <c r="BG285" s="12"/>
    </row>
    <row r="286" spans="1:59" s="3" customFormat="1" ht="21.6" x14ac:dyDescent="0.3">
      <c r="A286" s="16" t="s">
        <v>3148</v>
      </c>
      <c r="B286" s="17" t="s">
        <v>4196</v>
      </c>
      <c r="C286" s="405" t="s">
        <v>4197</v>
      </c>
      <c r="D286" s="405"/>
      <c r="E286" s="405"/>
      <c r="F286" s="16" t="s">
        <v>1460</v>
      </c>
      <c r="G286" s="23">
        <v>1</v>
      </c>
      <c r="H286" s="57">
        <v>0</v>
      </c>
      <c r="I286" s="19">
        <v>0</v>
      </c>
      <c r="J286" s="19">
        <f t="shared" si="14"/>
        <v>12669.22</v>
      </c>
      <c r="K286" s="19">
        <v>12669.22</v>
      </c>
      <c r="BB286" s="14"/>
      <c r="BC286" s="21" t="s">
        <v>4197</v>
      </c>
      <c r="BD286" s="15"/>
      <c r="BE286" s="12"/>
      <c r="BF286" s="43"/>
      <c r="BG286" s="12"/>
    </row>
    <row r="287" spans="1:59" s="3" customFormat="1" ht="15" customHeight="1" x14ac:dyDescent="0.3">
      <c r="A287" s="435" t="s">
        <v>4198</v>
      </c>
      <c r="B287" s="436"/>
      <c r="C287" s="436"/>
      <c r="D287" s="436"/>
      <c r="E287" s="436"/>
      <c r="F287" s="436"/>
      <c r="G287" s="436"/>
      <c r="H287" s="103"/>
      <c r="I287" s="103"/>
      <c r="J287" s="103"/>
      <c r="K287" s="104"/>
      <c r="BB287" s="14" t="s">
        <v>4198</v>
      </c>
      <c r="BC287" s="21"/>
      <c r="BD287" s="15"/>
      <c r="BE287" s="12"/>
      <c r="BF287" s="43"/>
      <c r="BG287" s="12"/>
    </row>
    <row r="288" spans="1:59" s="3" customFormat="1" ht="21.6" x14ac:dyDescent="0.3">
      <c r="A288" s="16" t="s">
        <v>3151</v>
      </c>
      <c r="B288" s="17" t="s">
        <v>2094</v>
      </c>
      <c r="C288" s="405" t="s">
        <v>2095</v>
      </c>
      <c r="D288" s="405"/>
      <c r="E288" s="405"/>
      <c r="F288" s="16" t="s">
        <v>329</v>
      </c>
      <c r="G288" s="24">
        <v>0.1</v>
      </c>
      <c r="H288" s="57">
        <f>I288/G288</f>
        <v>6055.5999999999995</v>
      </c>
      <c r="I288" s="19">
        <f>740.12-K288</f>
        <v>605.55999999999995</v>
      </c>
      <c r="J288" s="19">
        <f>K288/G288</f>
        <v>1345.6</v>
      </c>
      <c r="K288" s="19">
        <v>134.56</v>
      </c>
      <c r="BB288" s="14"/>
      <c r="BC288" s="21" t="s">
        <v>2095</v>
      </c>
      <c r="BD288" s="15"/>
      <c r="BE288" s="12"/>
      <c r="BF288" s="43"/>
      <c r="BG288" s="12"/>
    </row>
    <row r="289" spans="1:59" s="3" customFormat="1" ht="20.399999999999999" x14ac:dyDescent="0.3">
      <c r="A289" s="25"/>
      <c r="B289" s="26" t="s">
        <v>415</v>
      </c>
      <c r="C289" s="419" t="s">
        <v>416</v>
      </c>
      <c r="D289" s="419"/>
      <c r="E289" s="419"/>
      <c r="F289" s="27" t="s">
        <v>70</v>
      </c>
      <c r="G289" s="22" t="s">
        <v>4199</v>
      </c>
      <c r="H289" s="58"/>
      <c r="I289" s="28"/>
      <c r="J289" s="28"/>
      <c r="K289" s="29"/>
      <c r="BB289" s="14"/>
      <c r="BC289" s="21"/>
      <c r="BD289" s="15"/>
      <c r="BE289" s="12" t="s">
        <v>416</v>
      </c>
      <c r="BF289" s="43"/>
      <c r="BG289" s="12"/>
    </row>
    <row r="290" spans="1:59" s="3" customFormat="1" ht="20.399999999999999" x14ac:dyDescent="0.3">
      <c r="A290" s="25"/>
      <c r="B290" s="26" t="s">
        <v>2097</v>
      </c>
      <c r="C290" s="419" t="s">
        <v>2098</v>
      </c>
      <c r="D290" s="419"/>
      <c r="E290" s="419"/>
      <c r="F290" s="27" t="s">
        <v>70</v>
      </c>
      <c r="G290" s="22" t="s">
        <v>4200</v>
      </c>
      <c r="H290" s="58"/>
      <c r="I290" s="28"/>
      <c r="J290" s="28"/>
      <c r="K290" s="29"/>
      <c r="BB290" s="14"/>
      <c r="BC290" s="21"/>
      <c r="BD290" s="15"/>
      <c r="BE290" s="12" t="s">
        <v>2098</v>
      </c>
      <c r="BF290" s="43"/>
      <c r="BG290" s="12"/>
    </row>
    <row r="291" spans="1:59" s="3" customFormat="1" ht="21.6" x14ac:dyDescent="0.3">
      <c r="A291" s="16" t="s">
        <v>3154</v>
      </c>
      <c r="B291" s="17" t="s">
        <v>2101</v>
      </c>
      <c r="C291" s="405" t="s">
        <v>2102</v>
      </c>
      <c r="D291" s="405"/>
      <c r="E291" s="405"/>
      <c r="F291" s="16" t="s">
        <v>329</v>
      </c>
      <c r="G291" s="30">
        <v>8.8900000000000007E-2</v>
      </c>
      <c r="H291" s="57">
        <f>I291/G291</f>
        <v>2116.8728908886387</v>
      </c>
      <c r="I291" s="19">
        <f>296.89-K291</f>
        <v>188.19</v>
      </c>
      <c r="J291" s="19">
        <f>K291/G291</f>
        <v>1222.7221597300336</v>
      </c>
      <c r="K291" s="19">
        <v>108.7</v>
      </c>
      <c r="BB291" s="14"/>
      <c r="BC291" s="21" t="s">
        <v>2102</v>
      </c>
      <c r="BD291" s="15"/>
      <c r="BE291" s="12"/>
      <c r="BF291" s="43"/>
      <c r="BG291" s="12"/>
    </row>
    <row r="292" spans="1:59" s="3" customFormat="1" ht="20.399999999999999" x14ac:dyDescent="0.3">
      <c r="A292" s="25"/>
      <c r="B292" s="26" t="s">
        <v>2103</v>
      </c>
      <c r="C292" s="419" t="s">
        <v>2104</v>
      </c>
      <c r="D292" s="419"/>
      <c r="E292" s="419"/>
      <c r="F292" s="27" t="s">
        <v>70</v>
      </c>
      <c r="G292" s="22" t="s">
        <v>4201</v>
      </c>
      <c r="H292" s="58"/>
      <c r="I292" s="28"/>
      <c r="J292" s="28"/>
      <c r="K292" s="29"/>
      <c r="BB292" s="14"/>
      <c r="BC292" s="21"/>
      <c r="BD292" s="15"/>
      <c r="BE292" s="12" t="s">
        <v>2104</v>
      </c>
      <c r="BF292" s="43"/>
      <c r="BG292" s="12"/>
    </row>
    <row r="293" spans="1:59" s="3" customFormat="1" ht="20.399999999999999" x14ac:dyDescent="0.3">
      <c r="A293" s="25"/>
      <c r="B293" s="26" t="s">
        <v>353</v>
      </c>
      <c r="C293" s="419" t="s">
        <v>354</v>
      </c>
      <c r="D293" s="419"/>
      <c r="E293" s="419"/>
      <c r="F293" s="27" t="s">
        <v>75</v>
      </c>
      <c r="G293" s="22" t="s">
        <v>4202</v>
      </c>
      <c r="H293" s="58"/>
      <c r="I293" s="28"/>
      <c r="J293" s="28"/>
      <c r="K293" s="29"/>
      <c r="BB293" s="14"/>
      <c r="BC293" s="21"/>
      <c r="BD293" s="15"/>
      <c r="BE293" s="12" t="s">
        <v>354</v>
      </c>
      <c r="BF293" s="43"/>
      <c r="BG293" s="12"/>
    </row>
    <row r="294" spans="1:59" s="3" customFormat="1" ht="21.6" x14ac:dyDescent="0.3">
      <c r="A294" s="16" t="s">
        <v>3159</v>
      </c>
      <c r="B294" s="17" t="s">
        <v>4203</v>
      </c>
      <c r="C294" s="405" t="s">
        <v>4204</v>
      </c>
      <c r="D294" s="405"/>
      <c r="E294" s="405"/>
      <c r="F294" s="16" t="s">
        <v>329</v>
      </c>
      <c r="G294" s="31">
        <v>0.05</v>
      </c>
      <c r="H294" s="57">
        <f>I294/G294</f>
        <v>4647.2</v>
      </c>
      <c r="I294" s="19">
        <f>274.23-K294</f>
        <v>232.36</v>
      </c>
      <c r="J294" s="19">
        <f>K294/G294</f>
        <v>837.39999999999986</v>
      </c>
      <c r="K294" s="19">
        <v>41.87</v>
      </c>
      <c r="BB294" s="14"/>
      <c r="BC294" s="21" t="s">
        <v>4204</v>
      </c>
      <c r="BD294" s="15"/>
      <c r="BE294" s="12"/>
      <c r="BF294" s="43"/>
      <c r="BG294" s="12"/>
    </row>
    <row r="295" spans="1:59" s="3" customFormat="1" ht="20.399999999999999" x14ac:dyDescent="0.3">
      <c r="A295" s="25"/>
      <c r="B295" s="26" t="s">
        <v>350</v>
      </c>
      <c r="C295" s="419" t="s">
        <v>351</v>
      </c>
      <c r="D295" s="419"/>
      <c r="E295" s="419"/>
      <c r="F295" s="27" t="s">
        <v>70</v>
      </c>
      <c r="G295" s="22" t="s">
        <v>4205</v>
      </c>
      <c r="H295" s="58"/>
      <c r="I295" s="28"/>
      <c r="J295" s="28"/>
      <c r="K295" s="29"/>
      <c r="BB295" s="14"/>
      <c r="BC295" s="21"/>
      <c r="BD295" s="15"/>
      <c r="BE295" s="12" t="s">
        <v>351</v>
      </c>
      <c r="BF295" s="43"/>
      <c r="BG295" s="12"/>
    </row>
    <row r="296" spans="1:59" s="3" customFormat="1" ht="20.399999999999999" x14ac:dyDescent="0.3">
      <c r="A296" s="25"/>
      <c r="B296" s="26" t="s">
        <v>353</v>
      </c>
      <c r="C296" s="419" t="s">
        <v>354</v>
      </c>
      <c r="D296" s="419"/>
      <c r="E296" s="419"/>
      <c r="F296" s="27" t="s">
        <v>75</v>
      </c>
      <c r="G296" s="22" t="s">
        <v>4206</v>
      </c>
      <c r="H296" s="58"/>
      <c r="I296" s="28"/>
      <c r="J296" s="28"/>
      <c r="K296" s="29"/>
      <c r="BB296" s="14"/>
      <c r="BC296" s="21"/>
      <c r="BD296" s="15"/>
      <c r="BE296" s="12" t="s">
        <v>354</v>
      </c>
      <c r="BF296" s="43"/>
      <c r="BG296" s="12"/>
    </row>
    <row r="297" spans="1:59" s="3" customFormat="1" ht="21.6" x14ac:dyDescent="0.3">
      <c r="A297" s="16" t="s">
        <v>3161</v>
      </c>
      <c r="B297" s="17" t="s">
        <v>4207</v>
      </c>
      <c r="C297" s="405" t="s">
        <v>4208</v>
      </c>
      <c r="D297" s="405"/>
      <c r="E297" s="405"/>
      <c r="F297" s="16" t="s">
        <v>38</v>
      </c>
      <c r="G297" s="23">
        <v>1</v>
      </c>
      <c r="H297" s="57">
        <f t="shared" ref="H297:H298" si="15">I297/G297</f>
        <v>0</v>
      </c>
      <c r="I297" s="19">
        <v>0</v>
      </c>
      <c r="J297" s="19">
        <f t="shared" ref="J297:J298" si="16">K297/G297</f>
        <v>208.68</v>
      </c>
      <c r="K297" s="19">
        <v>208.68</v>
      </c>
      <c r="BB297" s="14"/>
      <c r="BC297" s="21" t="s">
        <v>4208</v>
      </c>
      <c r="BD297" s="15"/>
      <c r="BE297" s="12"/>
      <c r="BF297" s="43"/>
      <c r="BG297" s="12"/>
    </row>
    <row r="298" spans="1:59" s="3" customFormat="1" ht="14.4" x14ac:dyDescent="0.3">
      <c r="A298" s="16" t="s">
        <v>3163</v>
      </c>
      <c r="B298" s="17" t="s">
        <v>4209</v>
      </c>
      <c r="C298" s="405" t="s">
        <v>4210</v>
      </c>
      <c r="D298" s="405"/>
      <c r="E298" s="405"/>
      <c r="F298" s="16" t="s">
        <v>142</v>
      </c>
      <c r="G298" s="23">
        <v>1</v>
      </c>
      <c r="H298" s="57">
        <f t="shared" si="15"/>
        <v>0</v>
      </c>
      <c r="I298" s="19">
        <v>0</v>
      </c>
      <c r="J298" s="19">
        <f t="shared" si="16"/>
        <v>407.99</v>
      </c>
      <c r="K298" s="19">
        <v>407.99</v>
      </c>
      <c r="BB298" s="14"/>
      <c r="BC298" s="21" t="s">
        <v>4210</v>
      </c>
      <c r="BD298" s="15"/>
      <c r="BE298" s="12"/>
      <c r="BF298" s="43"/>
      <c r="BG298" s="12"/>
    </row>
    <row r="299" spans="1:59" s="3" customFormat="1" ht="20.25" customHeight="1" x14ac:dyDescent="0.3">
      <c r="A299" s="406" t="s">
        <v>57</v>
      </c>
      <c r="B299" s="407"/>
      <c r="C299" s="407"/>
      <c r="D299" s="407"/>
      <c r="E299" s="407"/>
      <c r="F299" s="407"/>
      <c r="G299" s="407"/>
      <c r="H299" s="66"/>
      <c r="I299" s="67">
        <f>SUM(I12:I298)</f>
        <v>234326.40000000002</v>
      </c>
      <c r="J299" s="72"/>
      <c r="K299" s="67">
        <f>SUM(K12:K298)</f>
        <v>2326463.0399999991</v>
      </c>
    </row>
    <row r="300" spans="1:59" s="53" customFormat="1" ht="20.25" customHeight="1" thickBot="1" x14ac:dyDescent="0.35">
      <c r="A300" s="408" t="s">
        <v>5461</v>
      </c>
      <c r="B300" s="409"/>
      <c r="C300" s="409"/>
      <c r="D300" s="409"/>
      <c r="E300" s="409"/>
      <c r="F300" s="409"/>
      <c r="G300" s="409"/>
      <c r="H300" s="88"/>
      <c r="I300" s="410">
        <f>I299+K299</f>
        <v>2560789.439999999</v>
      </c>
      <c r="J300" s="411"/>
      <c r="K300" s="412"/>
    </row>
  </sheetData>
  <mergeCells count="298">
    <mergeCell ref="C296:E296"/>
    <mergeCell ref="C297:E297"/>
    <mergeCell ref="C298:E298"/>
    <mergeCell ref="C290:E290"/>
    <mergeCell ref="C291:E291"/>
    <mergeCell ref="C292:E292"/>
    <mergeCell ref="C293:E293"/>
    <mergeCell ref="C294:E294"/>
    <mergeCell ref="C285:E285"/>
    <mergeCell ref="C286:E286"/>
    <mergeCell ref="C288:E288"/>
    <mergeCell ref="C289:E289"/>
    <mergeCell ref="C281:E281"/>
    <mergeCell ref="C282:E282"/>
    <mergeCell ref="C283:E283"/>
    <mergeCell ref="C284:E284"/>
    <mergeCell ref="C295:E29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7:E257"/>
    <mergeCell ref="C258:E258"/>
    <mergeCell ref="C250:E250"/>
    <mergeCell ref="C251:E251"/>
    <mergeCell ref="C254:E254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47:E247"/>
    <mergeCell ref="C248:E248"/>
    <mergeCell ref="C249:E249"/>
    <mergeCell ref="C240:E240"/>
    <mergeCell ref="C241:E241"/>
    <mergeCell ref="C242:E242"/>
    <mergeCell ref="C243:E243"/>
    <mergeCell ref="C255:E255"/>
    <mergeCell ref="C256:E256"/>
    <mergeCell ref="C238:E238"/>
    <mergeCell ref="C239:E239"/>
    <mergeCell ref="C230:E230"/>
    <mergeCell ref="C231:E231"/>
    <mergeCell ref="C232:E232"/>
    <mergeCell ref="C233:E233"/>
    <mergeCell ref="C234:E234"/>
    <mergeCell ref="C245:E245"/>
    <mergeCell ref="C246:E246"/>
    <mergeCell ref="C225:E225"/>
    <mergeCell ref="C226:E226"/>
    <mergeCell ref="C227:E227"/>
    <mergeCell ref="C228:E228"/>
    <mergeCell ref="C229:E229"/>
    <mergeCell ref="C220:E220"/>
    <mergeCell ref="C224:E224"/>
    <mergeCell ref="C236:E236"/>
    <mergeCell ref="C237:E237"/>
    <mergeCell ref="C215:E215"/>
    <mergeCell ref="C216:E216"/>
    <mergeCell ref="C217:E217"/>
    <mergeCell ref="C218:E218"/>
    <mergeCell ref="C219:E219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4:E194"/>
    <mergeCell ref="C185:E185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3:E173"/>
    <mergeCell ref="C174:E174"/>
    <mergeCell ref="A172:G172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5:G165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C166:E16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5:E155"/>
    <mergeCell ref="C136:E136"/>
    <mergeCell ref="C139:E139"/>
    <mergeCell ref="C130:E130"/>
    <mergeCell ref="C131:E131"/>
    <mergeCell ref="C132:E132"/>
    <mergeCell ref="C133:E133"/>
    <mergeCell ref="C134:E134"/>
    <mergeCell ref="C145:E145"/>
    <mergeCell ref="C146:E146"/>
    <mergeCell ref="C126:E126"/>
    <mergeCell ref="C127:E127"/>
    <mergeCell ref="C128:E128"/>
    <mergeCell ref="C129:E129"/>
    <mergeCell ref="C120:E120"/>
    <mergeCell ref="C121:E121"/>
    <mergeCell ref="C122:E122"/>
    <mergeCell ref="C124:E124"/>
    <mergeCell ref="C135:E135"/>
    <mergeCell ref="C115:E115"/>
    <mergeCell ref="C116:E116"/>
    <mergeCell ref="C118:E118"/>
    <mergeCell ref="C119:E119"/>
    <mergeCell ref="C110:E110"/>
    <mergeCell ref="C112:E112"/>
    <mergeCell ref="C113:E113"/>
    <mergeCell ref="C114:E114"/>
    <mergeCell ref="C125:E12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5:G105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A94:G94"/>
    <mergeCell ref="C85:E85"/>
    <mergeCell ref="C86:E86"/>
    <mergeCell ref="C87:E87"/>
    <mergeCell ref="C89:E89"/>
    <mergeCell ref="C80:E80"/>
    <mergeCell ref="C83:E83"/>
    <mergeCell ref="C84:E84"/>
    <mergeCell ref="A88:G88"/>
    <mergeCell ref="A82:G82"/>
    <mergeCell ref="A81:G81"/>
    <mergeCell ref="A60:G60"/>
    <mergeCell ref="C75:E75"/>
    <mergeCell ref="C77:E77"/>
    <mergeCell ref="C78:E78"/>
    <mergeCell ref="C79:E79"/>
    <mergeCell ref="C70:E70"/>
    <mergeCell ref="C71:E71"/>
    <mergeCell ref="C72:E72"/>
    <mergeCell ref="C73:E73"/>
    <mergeCell ref="C74:E74"/>
    <mergeCell ref="A76:G76"/>
    <mergeCell ref="C65:E65"/>
    <mergeCell ref="C66:E66"/>
    <mergeCell ref="C67:E67"/>
    <mergeCell ref="C68:E68"/>
    <mergeCell ref="C62:E62"/>
    <mergeCell ref="C63:E63"/>
    <mergeCell ref="C64:E64"/>
    <mergeCell ref="A69:G69"/>
    <mergeCell ref="A61:G61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C47:E47"/>
    <mergeCell ref="C48:E48"/>
    <mergeCell ref="C49:E49"/>
    <mergeCell ref="C40:E40"/>
    <mergeCell ref="C42:E42"/>
    <mergeCell ref="C43:E43"/>
    <mergeCell ref="C44:E44"/>
    <mergeCell ref="A41:G41"/>
    <mergeCell ref="C55:E55"/>
    <mergeCell ref="C37:E37"/>
    <mergeCell ref="C38:E38"/>
    <mergeCell ref="C39:E39"/>
    <mergeCell ref="C30:E30"/>
    <mergeCell ref="C31:E31"/>
    <mergeCell ref="C32:E32"/>
    <mergeCell ref="C34:E34"/>
    <mergeCell ref="C45:E45"/>
    <mergeCell ref="C46:E46"/>
    <mergeCell ref="C28:E28"/>
    <mergeCell ref="C29:E29"/>
    <mergeCell ref="C21:E21"/>
    <mergeCell ref="C22:E22"/>
    <mergeCell ref="C23:E23"/>
    <mergeCell ref="C24:E24"/>
    <mergeCell ref="C35:E35"/>
    <mergeCell ref="A33:G33"/>
    <mergeCell ref="C36:E36"/>
    <mergeCell ref="C17:E17"/>
    <mergeCell ref="C18:E18"/>
    <mergeCell ref="C19:E19"/>
    <mergeCell ref="C12:E12"/>
    <mergeCell ref="C13:E13"/>
    <mergeCell ref="C25:E25"/>
    <mergeCell ref="A26:G26"/>
    <mergeCell ref="A20:G20"/>
    <mergeCell ref="C27:E27"/>
    <mergeCell ref="A2:K2"/>
    <mergeCell ref="A3:K3"/>
    <mergeCell ref="A5:K5"/>
    <mergeCell ref="C9:E9"/>
    <mergeCell ref="C10:E10"/>
    <mergeCell ref="A6:K6"/>
    <mergeCell ref="C7:G7"/>
    <mergeCell ref="C15:E15"/>
    <mergeCell ref="C16:E16"/>
    <mergeCell ref="A14:G14"/>
    <mergeCell ref="A11:G11"/>
    <mergeCell ref="A299:G299"/>
    <mergeCell ref="A300:G300"/>
    <mergeCell ref="I300:K300"/>
    <mergeCell ref="A152:G152"/>
    <mergeCell ref="A138:G138"/>
    <mergeCell ref="A137:G137"/>
    <mergeCell ref="A123:G123"/>
    <mergeCell ref="A117:G117"/>
    <mergeCell ref="A111:G111"/>
    <mergeCell ref="A287:G287"/>
    <mergeCell ref="A280:G280"/>
    <mergeCell ref="A265:G265"/>
    <mergeCell ref="A259:G259"/>
    <mergeCell ref="A253:G253"/>
    <mergeCell ref="A252:G252"/>
    <mergeCell ref="A244:G244"/>
    <mergeCell ref="A235:G235"/>
    <mergeCell ref="A223:G223"/>
    <mergeCell ref="A222:G222"/>
    <mergeCell ref="A221:G221"/>
    <mergeCell ref="A210:G210"/>
    <mergeCell ref="A201:G201"/>
    <mergeCell ref="A193:G193"/>
    <mergeCell ref="A186:G18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  <pageSetUpPr fitToPage="1"/>
  </sheetPr>
  <dimension ref="A1:BG20"/>
  <sheetViews>
    <sheetView workbookViewId="0">
      <selection activeCell="M13" sqref="M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16.109375" style="1" customWidth="1"/>
    <col min="6" max="7" width="10.6640625" style="1" customWidth="1"/>
    <col min="8" max="10" width="15.6640625" style="1" customWidth="1"/>
    <col min="11" max="11" width="19.10937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5" width="172.5546875" style="2" hidden="1" customWidth="1"/>
    <col min="56" max="56" width="34.109375" style="2" hidden="1" customWidth="1"/>
    <col min="57" max="59" width="127.5546875" style="2" hidden="1" customWidth="1"/>
    <col min="60" max="16384" width="9.109375" style="1"/>
  </cols>
  <sheetData>
    <row r="1" spans="1:56" s="3" customFormat="1" ht="14.4" x14ac:dyDescent="0.3">
      <c r="A1" s="95" t="s">
        <v>5572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6" s="3" customFormat="1" ht="27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6" s="3" customFormat="1" ht="14.4" x14ac:dyDescent="0.3">
      <c r="A5" s="404" t="s">
        <v>5118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5118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30.75" customHeight="1" x14ac:dyDescent="0.3">
      <c r="A7" s="4"/>
      <c r="B7" s="8" t="s">
        <v>5</v>
      </c>
      <c r="C7" s="402" t="s">
        <v>5119</v>
      </c>
      <c r="D7" s="402"/>
      <c r="E7" s="402"/>
      <c r="F7" s="402"/>
      <c r="G7" s="402"/>
      <c r="H7" s="11"/>
      <c r="I7" s="9"/>
      <c r="J7" s="9"/>
      <c r="K7" s="9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9"/>
      <c r="J8" s="9"/>
      <c r="K8" s="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4.4" x14ac:dyDescent="0.3">
      <c r="A11" s="136"/>
      <c r="B11" s="136"/>
      <c r="C11" s="136"/>
      <c r="D11" s="136"/>
      <c r="E11" s="136"/>
      <c r="F11" s="137"/>
      <c r="G11" s="136"/>
      <c r="H11" s="144"/>
      <c r="I11" s="139"/>
      <c r="J11" s="139"/>
      <c r="K11" s="140"/>
    </row>
    <row r="12" spans="1:56" s="3" customFormat="1" ht="14.4" x14ac:dyDescent="0.3">
      <c r="A12" s="446" t="s">
        <v>4726</v>
      </c>
      <c r="B12" s="447"/>
      <c r="C12" s="447"/>
      <c r="D12" s="447"/>
      <c r="E12" s="447"/>
      <c r="F12" s="447"/>
      <c r="G12" s="447"/>
      <c r="H12" s="447"/>
      <c r="I12" s="447"/>
      <c r="J12" s="447"/>
      <c r="K12" s="448"/>
      <c r="BC12" s="14" t="s">
        <v>4726</v>
      </c>
    </row>
    <row r="13" spans="1:56" s="3" customFormat="1" ht="82.8" x14ac:dyDescent="0.3">
      <c r="A13" s="16" t="s">
        <v>15</v>
      </c>
      <c r="B13" s="17" t="s">
        <v>5120</v>
      </c>
      <c r="C13" s="405" t="s">
        <v>5121</v>
      </c>
      <c r="D13" s="405"/>
      <c r="E13" s="405"/>
      <c r="F13" s="16" t="s">
        <v>38</v>
      </c>
      <c r="G13" s="23">
        <v>30</v>
      </c>
      <c r="H13" s="23">
        <f>I13/G13</f>
        <v>367.64699999999999</v>
      </c>
      <c r="I13" s="19">
        <v>11029.41</v>
      </c>
      <c r="J13" s="19">
        <v>0</v>
      </c>
      <c r="K13" s="19">
        <v>0</v>
      </c>
      <c r="BC13" s="14"/>
      <c r="BD13" s="21" t="s">
        <v>5121</v>
      </c>
    </row>
    <row r="14" spans="1:56" s="3" customFormat="1" ht="31.8" x14ac:dyDescent="0.3">
      <c r="A14" s="16" t="s">
        <v>20</v>
      </c>
      <c r="B14" s="17" t="s">
        <v>4735</v>
      </c>
      <c r="C14" s="405" t="s">
        <v>4736</v>
      </c>
      <c r="D14" s="405"/>
      <c r="E14" s="405"/>
      <c r="F14" s="16" t="s">
        <v>4737</v>
      </c>
      <c r="G14" s="24">
        <v>0.1</v>
      </c>
      <c r="H14" s="23">
        <f t="shared" ref="H14:H17" si="0">I14/G14</f>
        <v>14880.8</v>
      </c>
      <c r="I14" s="19">
        <v>1488.08</v>
      </c>
      <c r="J14" s="19">
        <v>0</v>
      </c>
      <c r="K14" s="19">
        <v>0</v>
      </c>
      <c r="BC14" s="14"/>
      <c r="BD14" s="21" t="s">
        <v>4736</v>
      </c>
    </row>
    <row r="15" spans="1:56" s="3" customFormat="1" ht="31.8" x14ac:dyDescent="0.3">
      <c r="A15" s="16" t="s">
        <v>22</v>
      </c>
      <c r="B15" s="17" t="s">
        <v>5122</v>
      </c>
      <c r="C15" s="405" t="s">
        <v>5123</v>
      </c>
      <c r="D15" s="405"/>
      <c r="E15" s="405"/>
      <c r="F15" s="16" t="s">
        <v>38</v>
      </c>
      <c r="G15" s="23">
        <v>26</v>
      </c>
      <c r="H15" s="23">
        <f t="shared" si="0"/>
        <v>1094.8703846153846</v>
      </c>
      <c r="I15" s="19">
        <v>28466.63</v>
      </c>
      <c r="J15" s="19">
        <v>0</v>
      </c>
      <c r="K15" s="19">
        <v>0</v>
      </c>
      <c r="BC15" s="14"/>
      <c r="BD15" s="21" t="s">
        <v>5123</v>
      </c>
    </row>
    <row r="16" spans="1:56" s="3" customFormat="1" ht="21.6" x14ac:dyDescent="0.3">
      <c r="A16" s="16" t="s">
        <v>27</v>
      </c>
      <c r="B16" s="17" t="s">
        <v>5124</v>
      </c>
      <c r="C16" s="405" t="s">
        <v>5125</v>
      </c>
      <c r="D16" s="405"/>
      <c r="E16" s="405"/>
      <c r="F16" s="16" t="s">
        <v>38</v>
      </c>
      <c r="G16" s="23">
        <v>2</v>
      </c>
      <c r="H16" s="23">
        <f t="shared" si="0"/>
        <v>23759.865000000002</v>
      </c>
      <c r="I16" s="19">
        <v>47519.73</v>
      </c>
      <c r="J16" s="19">
        <v>0</v>
      </c>
      <c r="K16" s="19">
        <v>0</v>
      </c>
      <c r="BC16" s="14"/>
      <c r="BD16" s="21" t="s">
        <v>5125</v>
      </c>
    </row>
    <row r="17" spans="1:56" s="3" customFormat="1" ht="21.6" x14ac:dyDescent="0.3">
      <c r="A17" s="16" t="s">
        <v>35</v>
      </c>
      <c r="B17" s="17" t="s">
        <v>5126</v>
      </c>
      <c r="C17" s="405" t="s">
        <v>5127</v>
      </c>
      <c r="D17" s="405"/>
      <c r="E17" s="405"/>
      <c r="F17" s="16" t="s">
        <v>38</v>
      </c>
      <c r="G17" s="23">
        <v>30</v>
      </c>
      <c r="H17" s="23">
        <f t="shared" si="0"/>
        <v>1148.6726666666666</v>
      </c>
      <c r="I17" s="19">
        <v>34460.18</v>
      </c>
      <c r="J17" s="19"/>
      <c r="K17" s="19">
        <v>0</v>
      </c>
      <c r="BC17" s="14"/>
      <c r="BD17" s="21" t="s">
        <v>5127</v>
      </c>
    </row>
    <row r="18" spans="1:56" s="3" customFormat="1" ht="20.25" customHeight="1" x14ac:dyDescent="0.3">
      <c r="A18" s="406" t="s">
        <v>57</v>
      </c>
      <c r="B18" s="407"/>
      <c r="C18" s="407"/>
      <c r="D18" s="407"/>
      <c r="E18" s="407"/>
      <c r="F18" s="407"/>
      <c r="G18" s="407"/>
      <c r="H18" s="66"/>
      <c r="I18" s="67">
        <f>SUM(I13:I17)</f>
        <v>122964.03</v>
      </c>
      <c r="J18" s="72"/>
      <c r="K18" s="67">
        <f>SUM(K13:K17)</f>
        <v>0</v>
      </c>
    </row>
    <row r="19" spans="1:56" s="53" customFormat="1" ht="20.25" customHeight="1" thickBot="1" x14ac:dyDescent="0.35">
      <c r="A19" s="408" t="s">
        <v>5461</v>
      </c>
      <c r="B19" s="409"/>
      <c r="C19" s="409"/>
      <c r="D19" s="409"/>
      <c r="E19" s="409"/>
      <c r="F19" s="409"/>
      <c r="G19" s="409"/>
      <c r="H19" s="88"/>
      <c r="I19" s="410">
        <f>I18+K18</f>
        <v>122964.03</v>
      </c>
      <c r="J19" s="411"/>
      <c r="K19" s="412"/>
      <c r="M19" s="153"/>
    </row>
    <row r="20" spans="1:56" ht="11.25" customHeight="1" x14ac:dyDescent="0.2">
      <c r="M20" s="54"/>
    </row>
  </sheetData>
  <autoFilter ref="A11:BG19" xr:uid="{00000000-0001-0000-2400-000000000000}"/>
  <mergeCells count="16">
    <mergeCell ref="A2:K2"/>
    <mergeCell ref="A3:K3"/>
    <mergeCell ref="A5:K5"/>
    <mergeCell ref="A6:K6"/>
    <mergeCell ref="C7:G7"/>
    <mergeCell ref="A18:G18"/>
    <mergeCell ref="A19:G19"/>
    <mergeCell ref="I19:K19"/>
    <mergeCell ref="C9:E9"/>
    <mergeCell ref="C10:E10"/>
    <mergeCell ref="C16:E16"/>
    <mergeCell ref="C17:E17"/>
    <mergeCell ref="A12:K12"/>
    <mergeCell ref="C13:E13"/>
    <mergeCell ref="C14:E14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  <pageSetUpPr fitToPage="1"/>
  </sheetPr>
  <dimension ref="A1:BK70"/>
  <sheetViews>
    <sheetView workbookViewId="0">
      <selection activeCell="H1" sqref="H1:K1048576"/>
    </sheetView>
  </sheetViews>
  <sheetFormatPr defaultColWidth="9.109375" defaultRowHeight="11.25" customHeight="1" x14ac:dyDescent="0.2"/>
  <cols>
    <col min="1" max="1" width="9" style="1" customWidth="1"/>
    <col min="2" max="2" width="31.109375" style="1" customWidth="1"/>
    <col min="3" max="3" width="16" style="1" customWidth="1"/>
    <col min="4" max="5" width="15" style="1" customWidth="1"/>
    <col min="6" max="7" width="10.6640625" style="1" customWidth="1"/>
    <col min="8" max="11" width="15.3320312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5588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37.5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1774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3296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3296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4.4" x14ac:dyDescent="0.3">
      <c r="A7" s="4"/>
      <c r="B7" s="8" t="s">
        <v>5</v>
      </c>
      <c r="C7" s="402" t="s">
        <v>3297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5" customHeight="1" x14ac:dyDescent="0.3">
      <c r="A11" s="435" t="s">
        <v>1303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1303</v>
      </c>
    </row>
    <row r="12" spans="1:57" s="3" customFormat="1" ht="15" customHeight="1" x14ac:dyDescent="0.3">
      <c r="A12" s="454" t="s">
        <v>3298</v>
      </c>
      <c r="B12" s="455"/>
      <c r="C12" s="455"/>
      <c r="D12" s="455"/>
      <c r="E12" s="455"/>
      <c r="F12" s="455"/>
      <c r="G12" s="455"/>
      <c r="H12" s="296"/>
      <c r="I12" s="296"/>
      <c r="J12" s="296"/>
      <c r="K12" s="297"/>
      <c r="BC12" s="14"/>
      <c r="BD12" s="15" t="s">
        <v>3298</v>
      </c>
    </row>
    <row r="13" spans="1:57" s="3" customFormat="1" ht="42" x14ac:dyDescent="0.3">
      <c r="A13" s="16" t="s">
        <v>15</v>
      </c>
      <c r="B13" s="17" t="s">
        <v>617</v>
      </c>
      <c r="C13" s="405" t="s">
        <v>618</v>
      </c>
      <c r="D13" s="405"/>
      <c r="E13" s="405"/>
      <c r="F13" s="16" t="s">
        <v>43</v>
      </c>
      <c r="G13" s="44">
        <v>3.5490000000000001E-2</v>
      </c>
      <c r="H13" s="57">
        <f>I13/G13</f>
        <v>46988.729219498455</v>
      </c>
      <c r="I13" s="19">
        <f>1667.63-K13</f>
        <v>1667.63</v>
      </c>
      <c r="J13" s="19">
        <v>0</v>
      </c>
      <c r="K13" s="19">
        <v>0</v>
      </c>
      <c r="BC13" s="14"/>
      <c r="BD13" s="15"/>
      <c r="BE13" s="21" t="s">
        <v>618</v>
      </c>
    </row>
    <row r="14" spans="1:57" s="3" customFormat="1" ht="42" x14ac:dyDescent="0.3">
      <c r="A14" s="16" t="s">
        <v>20</v>
      </c>
      <c r="B14" s="17" t="s">
        <v>48</v>
      </c>
      <c r="C14" s="405" t="s">
        <v>49</v>
      </c>
      <c r="D14" s="405"/>
      <c r="E14" s="405"/>
      <c r="F14" s="16" t="s">
        <v>50</v>
      </c>
      <c r="G14" s="31">
        <v>70.98</v>
      </c>
      <c r="H14" s="57">
        <f>I14/G14</f>
        <v>598.37573964497039</v>
      </c>
      <c r="I14" s="19">
        <v>42472.71</v>
      </c>
      <c r="J14" s="19">
        <f>K14/G14</f>
        <v>0</v>
      </c>
      <c r="K14" s="19">
        <v>0</v>
      </c>
      <c r="BC14" s="14"/>
      <c r="BD14" s="15"/>
      <c r="BE14" s="21" t="s">
        <v>49</v>
      </c>
    </row>
    <row r="15" spans="1:57" s="3" customFormat="1" ht="15" customHeight="1" x14ac:dyDescent="0.3">
      <c r="A15" s="454" t="s">
        <v>1983</v>
      </c>
      <c r="B15" s="455"/>
      <c r="C15" s="455"/>
      <c r="D15" s="455"/>
      <c r="E15" s="455"/>
      <c r="F15" s="455"/>
      <c r="G15" s="455"/>
      <c r="H15" s="296"/>
      <c r="I15" s="296"/>
      <c r="J15" s="296"/>
      <c r="K15" s="297"/>
      <c r="BC15" s="14"/>
      <c r="BD15" s="15" t="s">
        <v>1983</v>
      </c>
      <c r="BE15" s="21"/>
    </row>
    <row r="16" spans="1:57" s="3" customFormat="1" ht="42" x14ac:dyDescent="0.3">
      <c r="A16" s="16" t="s">
        <v>22</v>
      </c>
      <c r="B16" s="17" t="s">
        <v>257</v>
      </c>
      <c r="C16" s="405" t="s">
        <v>258</v>
      </c>
      <c r="D16" s="405"/>
      <c r="E16" s="405"/>
      <c r="F16" s="16" t="s">
        <v>43</v>
      </c>
      <c r="G16" s="44">
        <v>9.41E-3</v>
      </c>
      <c r="H16" s="57">
        <f>I16/G16</f>
        <v>11165.781083953241</v>
      </c>
      <c r="I16" s="19">
        <f>105.07-K16</f>
        <v>105.07</v>
      </c>
      <c r="J16" s="19">
        <v>0</v>
      </c>
      <c r="K16" s="19">
        <v>0</v>
      </c>
      <c r="BC16" s="14"/>
      <c r="BD16" s="15"/>
      <c r="BE16" s="21" t="s">
        <v>258</v>
      </c>
    </row>
    <row r="17" spans="1:60" s="3" customFormat="1" ht="21.6" x14ac:dyDescent="0.3">
      <c r="A17" s="16" t="s">
        <v>27</v>
      </c>
      <c r="B17" s="17" t="s">
        <v>205</v>
      </c>
      <c r="C17" s="405" t="s">
        <v>82</v>
      </c>
      <c r="D17" s="405"/>
      <c r="E17" s="405"/>
      <c r="F17" s="16" t="s">
        <v>46</v>
      </c>
      <c r="G17" s="18">
        <v>10.351000000000001</v>
      </c>
      <c r="H17" s="57">
        <f>I17/G17</f>
        <v>0</v>
      </c>
      <c r="I17" s="19">
        <v>0</v>
      </c>
      <c r="J17" s="19">
        <f>K17/G17</f>
        <v>530.91102308955658</v>
      </c>
      <c r="K17" s="19">
        <v>5495.46</v>
      </c>
      <c r="BC17" s="14"/>
      <c r="BD17" s="15"/>
      <c r="BE17" s="21" t="s">
        <v>82</v>
      </c>
    </row>
    <row r="18" spans="1:60" s="3" customFormat="1" ht="15" customHeight="1" x14ac:dyDescent="0.3">
      <c r="A18" s="435" t="s">
        <v>3299</v>
      </c>
      <c r="B18" s="436"/>
      <c r="C18" s="436"/>
      <c r="D18" s="436"/>
      <c r="E18" s="436"/>
      <c r="F18" s="436"/>
      <c r="G18" s="436"/>
      <c r="H18" s="103"/>
      <c r="I18" s="103"/>
      <c r="J18" s="103"/>
      <c r="K18" s="104"/>
      <c r="BC18" s="14" t="s">
        <v>3299</v>
      </c>
      <c r="BD18" s="15"/>
      <c r="BE18" s="21"/>
    </row>
    <row r="19" spans="1:60" s="3" customFormat="1" ht="15" customHeight="1" x14ac:dyDescent="0.3">
      <c r="A19" s="454" t="s">
        <v>1986</v>
      </c>
      <c r="B19" s="455"/>
      <c r="C19" s="455"/>
      <c r="D19" s="455"/>
      <c r="E19" s="455"/>
      <c r="F19" s="455"/>
      <c r="G19" s="455"/>
      <c r="H19" s="296"/>
      <c r="I19" s="296"/>
      <c r="J19" s="296"/>
      <c r="K19" s="297"/>
      <c r="BC19" s="14"/>
      <c r="BD19" s="15" t="s">
        <v>1986</v>
      </c>
      <c r="BE19" s="21"/>
    </row>
    <row r="20" spans="1:60" s="3" customFormat="1" ht="31.8" x14ac:dyDescent="0.3">
      <c r="A20" s="16" t="s">
        <v>35</v>
      </c>
      <c r="B20" s="17" t="s">
        <v>1183</v>
      </c>
      <c r="C20" s="405" t="s">
        <v>1184</v>
      </c>
      <c r="D20" s="405"/>
      <c r="E20" s="405"/>
      <c r="F20" s="16" t="s">
        <v>189</v>
      </c>
      <c r="G20" s="44">
        <v>0.11371000000000001</v>
      </c>
      <c r="H20" s="57">
        <f>I20/G20</f>
        <v>49544.279307009063</v>
      </c>
      <c r="I20" s="19">
        <f>9896.29-K20</f>
        <v>5633.6800000000012</v>
      </c>
      <c r="J20" s="19">
        <f>K20/G20</f>
        <v>37486.676633541458</v>
      </c>
      <c r="K20" s="19">
        <v>4262.6099999999997</v>
      </c>
      <c r="BC20" s="14"/>
      <c r="BD20" s="15"/>
      <c r="BE20" s="21" t="s">
        <v>1184</v>
      </c>
    </row>
    <row r="21" spans="1:60" s="3" customFormat="1" ht="21.6" x14ac:dyDescent="0.3">
      <c r="A21" s="37" t="s">
        <v>78</v>
      </c>
      <c r="B21" s="38" t="s">
        <v>1185</v>
      </c>
      <c r="C21" s="430" t="s">
        <v>1186</v>
      </c>
      <c r="D21" s="430"/>
      <c r="E21" s="430"/>
      <c r="F21" s="39" t="s">
        <v>158</v>
      </c>
      <c r="G21" s="40" t="s">
        <v>33</v>
      </c>
      <c r="H21" s="100"/>
      <c r="I21" s="41"/>
      <c r="J21" s="41"/>
      <c r="K21" s="42"/>
      <c r="BC21" s="14"/>
      <c r="BD21" s="15"/>
      <c r="BE21" s="21"/>
      <c r="BF21" s="43" t="s">
        <v>1186</v>
      </c>
    </row>
    <row r="22" spans="1:60" s="3" customFormat="1" ht="20.399999999999999" x14ac:dyDescent="0.3">
      <c r="A22" s="25"/>
      <c r="B22" s="26" t="s">
        <v>648</v>
      </c>
      <c r="C22" s="419" t="s">
        <v>649</v>
      </c>
      <c r="D22" s="419"/>
      <c r="E22" s="419"/>
      <c r="F22" s="27" t="s">
        <v>70</v>
      </c>
      <c r="G22" s="22" t="s">
        <v>3300</v>
      </c>
      <c r="H22" s="58"/>
      <c r="I22" s="28"/>
      <c r="J22" s="28"/>
      <c r="K22" s="29"/>
      <c r="BC22" s="14"/>
      <c r="BD22" s="15"/>
      <c r="BE22" s="21"/>
      <c r="BF22" s="43"/>
      <c r="BG22" s="12" t="s">
        <v>649</v>
      </c>
    </row>
    <row r="23" spans="1:60" s="3" customFormat="1" ht="21.6" x14ac:dyDescent="0.3">
      <c r="A23" s="25" t="s">
        <v>129</v>
      </c>
      <c r="B23" s="26" t="s">
        <v>1988</v>
      </c>
      <c r="C23" s="419" t="s">
        <v>1989</v>
      </c>
      <c r="D23" s="419"/>
      <c r="E23" s="419"/>
      <c r="F23" s="27" t="s">
        <v>158</v>
      </c>
      <c r="G23" s="22" t="s">
        <v>3301</v>
      </c>
      <c r="H23" s="57"/>
      <c r="I23" s="28"/>
      <c r="J23" s="19"/>
      <c r="K23" s="29"/>
      <c r="BC23" s="14"/>
      <c r="BD23" s="15"/>
      <c r="BE23" s="21"/>
      <c r="BF23" s="43"/>
      <c r="BG23" s="12"/>
      <c r="BH23" s="12" t="s">
        <v>1989</v>
      </c>
    </row>
    <row r="24" spans="1:60" s="3" customFormat="1" ht="15" customHeight="1" x14ac:dyDescent="0.3">
      <c r="A24" s="454" t="s">
        <v>1991</v>
      </c>
      <c r="B24" s="455"/>
      <c r="C24" s="455"/>
      <c r="D24" s="455"/>
      <c r="E24" s="455"/>
      <c r="F24" s="455"/>
      <c r="G24" s="455"/>
      <c r="H24" s="296"/>
      <c r="I24" s="296"/>
      <c r="J24" s="296"/>
      <c r="K24" s="297"/>
      <c r="BC24" s="14"/>
      <c r="BD24" s="15" t="s">
        <v>1991</v>
      </c>
      <c r="BE24" s="21"/>
      <c r="BF24" s="43"/>
      <c r="BG24" s="12"/>
      <c r="BH24" s="12"/>
    </row>
    <row r="25" spans="1:60" s="3" customFormat="1" ht="14.4" x14ac:dyDescent="0.3">
      <c r="A25" s="16" t="s">
        <v>40</v>
      </c>
      <c r="B25" s="17" t="s">
        <v>152</v>
      </c>
      <c r="C25" s="405" t="s">
        <v>153</v>
      </c>
      <c r="D25" s="405"/>
      <c r="E25" s="405"/>
      <c r="F25" s="16" t="s">
        <v>125</v>
      </c>
      <c r="G25" s="30">
        <v>0.1095</v>
      </c>
      <c r="H25" s="57">
        <f>I25/G25</f>
        <v>154977.4429223745</v>
      </c>
      <c r="I25" s="19">
        <f>73204.74-K25</f>
        <v>16970.030000000006</v>
      </c>
      <c r="J25" s="19">
        <f>K25/G25</f>
        <v>513558.99543378997</v>
      </c>
      <c r="K25" s="19">
        <v>56234.71</v>
      </c>
      <c r="BC25" s="14"/>
      <c r="BD25" s="15"/>
      <c r="BE25" s="21" t="s">
        <v>153</v>
      </c>
      <c r="BF25" s="43"/>
      <c r="BG25" s="12"/>
      <c r="BH25" s="12"/>
    </row>
    <row r="26" spans="1:60" s="3" customFormat="1" ht="20.399999999999999" x14ac:dyDescent="0.3">
      <c r="A26" s="25"/>
      <c r="B26" s="26" t="s">
        <v>154</v>
      </c>
      <c r="C26" s="419" t="s">
        <v>155</v>
      </c>
      <c r="D26" s="419"/>
      <c r="E26" s="419"/>
      <c r="F26" s="27" t="s">
        <v>46</v>
      </c>
      <c r="G26" s="22" t="s">
        <v>3302</v>
      </c>
      <c r="H26" s="58"/>
      <c r="I26" s="28"/>
      <c r="J26" s="28"/>
      <c r="K26" s="29"/>
      <c r="BC26" s="14"/>
      <c r="BD26" s="15"/>
      <c r="BE26" s="21"/>
      <c r="BF26" s="43"/>
      <c r="BG26" s="12" t="s">
        <v>155</v>
      </c>
      <c r="BH26" s="12"/>
    </row>
    <row r="27" spans="1:60" s="3" customFormat="1" ht="20.399999999999999" x14ac:dyDescent="0.3">
      <c r="A27" s="25"/>
      <c r="B27" s="26" t="s">
        <v>156</v>
      </c>
      <c r="C27" s="419" t="s">
        <v>157</v>
      </c>
      <c r="D27" s="419"/>
      <c r="E27" s="419"/>
      <c r="F27" s="27" t="s">
        <v>158</v>
      </c>
      <c r="G27" s="22" t="s">
        <v>3303</v>
      </c>
      <c r="H27" s="58"/>
      <c r="I27" s="28"/>
      <c r="J27" s="28"/>
      <c r="K27" s="29"/>
      <c r="BC27" s="14"/>
      <c r="BD27" s="15"/>
      <c r="BE27" s="21"/>
      <c r="BF27" s="43"/>
      <c r="BG27" s="12" t="s">
        <v>157</v>
      </c>
      <c r="BH27" s="12"/>
    </row>
    <row r="28" spans="1:60" s="3" customFormat="1" ht="20.399999999999999" x14ac:dyDescent="0.3">
      <c r="A28" s="37" t="s">
        <v>143</v>
      </c>
      <c r="B28" s="38" t="s">
        <v>159</v>
      </c>
      <c r="C28" s="430" t="s">
        <v>160</v>
      </c>
      <c r="D28" s="430"/>
      <c r="E28" s="430"/>
      <c r="F28" s="39" t="s">
        <v>46</v>
      </c>
      <c r="G28" s="40" t="s">
        <v>3304</v>
      </c>
      <c r="H28" s="100"/>
      <c r="I28" s="41"/>
      <c r="J28" s="41"/>
      <c r="K28" s="42"/>
      <c r="BC28" s="14"/>
      <c r="BD28" s="15"/>
      <c r="BE28" s="21"/>
      <c r="BF28" s="43" t="s">
        <v>160</v>
      </c>
      <c r="BG28" s="12"/>
      <c r="BH28" s="12"/>
    </row>
    <row r="29" spans="1:60" s="3" customFormat="1" ht="21.6" x14ac:dyDescent="0.3">
      <c r="A29" s="25" t="s">
        <v>129</v>
      </c>
      <c r="B29" s="26" t="s">
        <v>1995</v>
      </c>
      <c r="C29" s="419" t="s">
        <v>1996</v>
      </c>
      <c r="D29" s="419"/>
      <c r="E29" s="419"/>
      <c r="F29" s="27" t="s">
        <v>46</v>
      </c>
      <c r="G29" s="22" t="s">
        <v>3304</v>
      </c>
      <c r="H29" s="57"/>
      <c r="I29" s="28"/>
      <c r="J29" s="19"/>
      <c r="K29" s="29"/>
      <c r="BC29" s="14"/>
      <c r="BD29" s="15"/>
      <c r="BE29" s="21"/>
      <c r="BF29" s="43"/>
      <c r="BG29" s="12"/>
      <c r="BH29" s="12" t="s">
        <v>1996</v>
      </c>
    </row>
    <row r="30" spans="1:60" s="3" customFormat="1" ht="15" customHeight="1" x14ac:dyDescent="0.3">
      <c r="A30" s="454" t="s">
        <v>2016</v>
      </c>
      <c r="B30" s="455"/>
      <c r="C30" s="455"/>
      <c r="D30" s="455"/>
      <c r="E30" s="455"/>
      <c r="F30" s="455"/>
      <c r="G30" s="455"/>
      <c r="H30" s="296"/>
      <c r="I30" s="296"/>
      <c r="J30" s="296"/>
      <c r="K30" s="297"/>
      <c r="BC30" s="14"/>
      <c r="BD30" s="15" t="s">
        <v>2016</v>
      </c>
      <c r="BE30" s="21"/>
      <c r="BF30" s="43"/>
      <c r="BG30" s="12"/>
      <c r="BH30" s="12"/>
    </row>
    <row r="31" spans="1:60" s="3" customFormat="1" ht="21.6" x14ac:dyDescent="0.3">
      <c r="A31" s="16" t="s">
        <v>47</v>
      </c>
      <c r="B31" s="17" t="s">
        <v>273</v>
      </c>
      <c r="C31" s="405" t="s">
        <v>274</v>
      </c>
      <c r="D31" s="405"/>
      <c r="E31" s="405"/>
      <c r="F31" s="16" t="s">
        <v>125</v>
      </c>
      <c r="G31" s="30">
        <v>0.3362</v>
      </c>
      <c r="H31" s="57">
        <f>I31/G31</f>
        <v>230715.64544913734</v>
      </c>
      <c r="I31" s="19">
        <v>77566.599999999977</v>
      </c>
      <c r="J31" s="19">
        <f>K31/G31</f>
        <v>958161.45151695423</v>
      </c>
      <c r="K31" s="19">
        <v>322133.88</v>
      </c>
      <c r="BC31" s="14"/>
      <c r="BD31" s="15"/>
      <c r="BE31" s="21" t="s">
        <v>274</v>
      </c>
      <c r="BF31" s="43"/>
      <c r="BG31" s="12"/>
      <c r="BH31" s="12"/>
    </row>
    <row r="32" spans="1:60" s="3" customFormat="1" ht="20.399999999999999" x14ac:dyDescent="0.3">
      <c r="A32" s="25"/>
      <c r="B32" s="26" t="s">
        <v>154</v>
      </c>
      <c r="C32" s="419" t="s">
        <v>155</v>
      </c>
      <c r="D32" s="419"/>
      <c r="E32" s="419"/>
      <c r="F32" s="27" t="s">
        <v>46</v>
      </c>
      <c r="G32" s="22" t="s">
        <v>3305</v>
      </c>
      <c r="H32" s="58"/>
      <c r="I32" s="28"/>
      <c r="J32" s="28"/>
      <c r="K32" s="29"/>
      <c r="BC32" s="14"/>
      <c r="BD32" s="15"/>
      <c r="BE32" s="21"/>
      <c r="BF32" s="43"/>
      <c r="BG32" s="12" t="s">
        <v>155</v>
      </c>
      <c r="BH32" s="12"/>
    </row>
    <row r="33" spans="1:60" s="3" customFormat="1" ht="20.399999999999999" x14ac:dyDescent="0.3">
      <c r="A33" s="25"/>
      <c r="B33" s="26" t="s">
        <v>156</v>
      </c>
      <c r="C33" s="419" t="s">
        <v>157</v>
      </c>
      <c r="D33" s="419"/>
      <c r="E33" s="419"/>
      <c r="F33" s="27" t="s">
        <v>158</v>
      </c>
      <c r="G33" s="22" t="s">
        <v>3306</v>
      </c>
      <c r="H33" s="58"/>
      <c r="I33" s="28"/>
      <c r="J33" s="28"/>
      <c r="K33" s="29"/>
      <c r="BC33" s="14"/>
      <c r="BD33" s="15"/>
      <c r="BE33" s="21"/>
      <c r="BF33" s="43"/>
      <c r="BG33" s="12" t="s">
        <v>157</v>
      </c>
      <c r="BH33" s="12"/>
    </row>
    <row r="34" spans="1:60" s="3" customFormat="1" ht="20.399999999999999" x14ac:dyDescent="0.3">
      <c r="A34" s="25"/>
      <c r="B34" s="26" t="s">
        <v>277</v>
      </c>
      <c r="C34" s="419" t="s">
        <v>278</v>
      </c>
      <c r="D34" s="419"/>
      <c r="E34" s="419"/>
      <c r="F34" s="27" t="s">
        <v>70</v>
      </c>
      <c r="G34" s="22" t="s">
        <v>3307</v>
      </c>
      <c r="H34" s="58"/>
      <c r="I34" s="28"/>
      <c r="J34" s="28"/>
      <c r="K34" s="29"/>
      <c r="BC34" s="14"/>
      <c r="BD34" s="15"/>
      <c r="BE34" s="21"/>
      <c r="BF34" s="43"/>
      <c r="BG34" s="12" t="s">
        <v>278</v>
      </c>
      <c r="BH34" s="12"/>
    </row>
    <row r="35" spans="1:60" s="3" customFormat="1" ht="20.399999999999999" x14ac:dyDescent="0.3">
      <c r="A35" s="25"/>
      <c r="B35" s="26" t="s">
        <v>76</v>
      </c>
      <c r="C35" s="419" t="s">
        <v>77</v>
      </c>
      <c r="D35" s="419"/>
      <c r="E35" s="419"/>
      <c r="F35" s="27" t="s">
        <v>70</v>
      </c>
      <c r="G35" s="22" t="s">
        <v>3308</v>
      </c>
      <c r="H35" s="58"/>
      <c r="I35" s="28"/>
      <c r="J35" s="28"/>
      <c r="K35" s="29"/>
      <c r="BC35" s="14"/>
      <c r="BD35" s="15"/>
      <c r="BE35" s="21"/>
      <c r="BF35" s="43"/>
      <c r="BG35" s="12" t="s">
        <v>77</v>
      </c>
      <c r="BH35" s="12"/>
    </row>
    <row r="36" spans="1:60" s="3" customFormat="1" ht="21.6" x14ac:dyDescent="0.3">
      <c r="A36" s="25"/>
      <c r="B36" s="26" t="s">
        <v>281</v>
      </c>
      <c r="C36" s="419" t="s">
        <v>282</v>
      </c>
      <c r="D36" s="419"/>
      <c r="E36" s="419"/>
      <c r="F36" s="27" t="s">
        <v>70</v>
      </c>
      <c r="G36" s="22" t="s">
        <v>3309</v>
      </c>
      <c r="H36" s="58"/>
      <c r="I36" s="28"/>
      <c r="J36" s="28"/>
      <c r="K36" s="29"/>
      <c r="BC36" s="14"/>
      <c r="BD36" s="15"/>
      <c r="BE36" s="21"/>
      <c r="BF36" s="43"/>
      <c r="BG36" s="12" t="s">
        <v>282</v>
      </c>
      <c r="BH36" s="12"/>
    </row>
    <row r="37" spans="1:60" s="3" customFormat="1" ht="20.399999999999999" x14ac:dyDescent="0.3">
      <c r="A37" s="37" t="s">
        <v>143</v>
      </c>
      <c r="B37" s="38" t="s">
        <v>159</v>
      </c>
      <c r="C37" s="430" t="s">
        <v>160</v>
      </c>
      <c r="D37" s="430"/>
      <c r="E37" s="430"/>
      <c r="F37" s="39" t="s">
        <v>46</v>
      </c>
      <c r="G37" s="40" t="s">
        <v>3310</v>
      </c>
      <c r="H37" s="100"/>
      <c r="I37" s="41"/>
      <c r="J37" s="41"/>
      <c r="K37" s="42"/>
      <c r="BC37" s="14"/>
      <c r="BD37" s="15"/>
      <c r="BE37" s="21"/>
      <c r="BF37" s="43" t="s">
        <v>160</v>
      </c>
      <c r="BG37" s="12"/>
      <c r="BH37" s="12"/>
    </row>
    <row r="38" spans="1:60" s="3" customFormat="1" ht="21.6" x14ac:dyDescent="0.3">
      <c r="A38" s="25"/>
      <c r="B38" s="26" t="s">
        <v>285</v>
      </c>
      <c r="C38" s="419" t="s">
        <v>286</v>
      </c>
      <c r="D38" s="419"/>
      <c r="E38" s="419"/>
      <c r="F38" s="27" t="s">
        <v>70</v>
      </c>
      <c r="G38" s="22" t="s">
        <v>3311</v>
      </c>
      <c r="H38" s="58"/>
      <c r="I38" s="28"/>
      <c r="J38" s="28"/>
      <c r="K38" s="29"/>
      <c r="BC38" s="14"/>
      <c r="BD38" s="15"/>
      <c r="BE38" s="21"/>
      <c r="BF38" s="43"/>
      <c r="BG38" s="12" t="s">
        <v>286</v>
      </c>
      <c r="BH38" s="12"/>
    </row>
    <row r="39" spans="1:60" s="3" customFormat="1" ht="20.399999999999999" x14ac:dyDescent="0.3">
      <c r="A39" s="37" t="s">
        <v>143</v>
      </c>
      <c r="B39" s="38" t="s">
        <v>288</v>
      </c>
      <c r="C39" s="430" t="s">
        <v>289</v>
      </c>
      <c r="D39" s="430"/>
      <c r="E39" s="430"/>
      <c r="F39" s="39" t="s">
        <v>70</v>
      </c>
      <c r="G39" s="40" t="s">
        <v>3312</v>
      </c>
      <c r="H39" s="100"/>
      <c r="I39" s="41"/>
      <c r="J39" s="41"/>
      <c r="K39" s="42"/>
      <c r="BC39" s="14"/>
      <c r="BD39" s="15"/>
      <c r="BE39" s="21"/>
      <c r="BF39" s="43" t="s">
        <v>289</v>
      </c>
      <c r="BG39" s="12"/>
      <c r="BH39" s="12"/>
    </row>
    <row r="40" spans="1:60" s="3" customFormat="1" ht="31.8" x14ac:dyDescent="0.3">
      <c r="A40" s="25"/>
      <c r="B40" s="26" t="s">
        <v>291</v>
      </c>
      <c r="C40" s="419" t="s">
        <v>292</v>
      </c>
      <c r="D40" s="419"/>
      <c r="E40" s="419"/>
      <c r="F40" s="27" t="s">
        <v>46</v>
      </c>
      <c r="G40" s="22" t="s">
        <v>3313</v>
      </c>
      <c r="H40" s="58"/>
      <c r="I40" s="28"/>
      <c r="J40" s="28"/>
      <c r="K40" s="29"/>
      <c r="BC40" s="14"/>
      <c r="BD40" s="15"/>
      <c r="BE40" s="21"/>
      <c r="BF40" s="43"/>
      <c r="BG40" s="12" t="s">
        <v>292</v>
      </c>
      <c r="BH40" s="12"/>
    </row>
    <row r="41" spans="1:60" s="3" customFormat="1" ht="20.399999999999999" x14ac:dyDescent="0.3">
      <c r="A41" s="25"/>
      <c r="B41" s="26" t="s">
        <v>294</v>
      </c>
      <c r="C41" s="419" t="s">
        <v>295</v>
      </c>
      <c r="D41" s="419"/>
      <c r="E41" s="419"/>
      <c r="F41" s="27" t="s">
        <v>158</v>
      </c>
      <c r="G41" s="22" t="s">
        <v>3314</v>
      </c>
      <c r="H41" s="58"/>
      <c r="I41" s="28"/>
      <c r="J41" s="28"/>
      <c r="K41" s="29"/>
      <c r="BC41" s="14"/>
      <c r="BD41" s="15"/>
      <c r="BE41" s="21"/>
      <c r="BF41" s="43"/>
      <c r="BG41" s="12" t="s">
        <v>295</v>
      </c>
      <c r="BH41" s="12"/>
    </row>
    <row r="42" spans="1:60" s="3" customFormat="1" ht="21.6" x14ac:dyDescent="0.3">
      <c r="A42" s="25" t="s">
        <v>129</v>
      </c>
      <c r="B42" s="26" t="s">
        <v>2031</v>
      </c>
      <c r="C42" s="419" t="s">
        <v>2032</v>
      </c>
      <c r="D42" s="419"/>
      <c r="E42" s="419"/>
      <c r="F42" s="27" t="s">
        <v>46</v>
      </c>
      <c r="G42" s="22" t="s">
        <v>3310</v>
      </c>
      <c r="H42" s="57"/>
      <c r="I42" s="28"/>
      <c r="J42" s="19"/>
      <c r="K42" s="29"/>
      <c r="BC42" s="14"/>
      <c r="BD42" s="15"/>
      <c r="BE42" s="21"/>
      <c r="BF42" s="43"/>
      <c r="BG42" s="12"/>
      <c r="BH42" s="12" t="s">
        <v>2032</v>
      </c>
    </row>
    <row r="43" spans="1:60" s="3" customFormat="1" ht="21.6" x14ac:dyDescent="0.3">
      <c r="A43" s="25" t="s">
        <v>129</v>
      </c>
      <c r="B43" s="26" t="s">
        <v>2033</v>
      </c>
      <c r="C43" s="419" t="s">
        <v>2034</v>
      </c>
      <c r="D43" s="419"/>
      <c r="E43" s="419"/>
      <c r="F43" s="27" t="s">
        <v>70</v>
      </c>
      <c r="G43" s="22" t="s">
        <v>3315</v>
      </c>
      <c r="H43" s="57"/>
      <c r="I43" s="28"/>
      <c r="J43" s="19"/>
      <c r="K43" s="29"/>
      <c r="BC43" s="14"/>
      <c r="BD43" s="15"/>
      <c r="BE43" s="21"/>
      <c r="BF43" s="43"/>
      <c r="BG43" s="12"/>
      <c r="BH43" s="12" t="s">
        <v>2034</v>
      </c>
    </row>
    <row r="44" spans="1:60" s="3" customFormat="1" ht="21.6" x14ac:dyDescent="0.3">
      <c r="A44" s="25" t="s">
        <v>129</v>
      </c>
      <c r="B44" s="26" t="s">
        <v>2039</v>
      </c>
      <c r="C44" s="419" t="s">
        <v>2040</v>
      </c>
      <c r="D44" s="419"/>
      <c r="E44" s="419"/>
      <c r="F44" s="27" t="s">
        <v>70</v>
      </c>
      <c r="G44" s="22" t="s">
        <v>3316</v>
      </c>
      <c r="H44" s="57"/>
      <c r="I44" s="28"/>
      <c r="J44" s="19"/>
      <c r="K44" s="29"/>
      <c r="BC44" s="14"/>
      <c r="BD44" s="15"/>
      <c r="BE44" s="21"/>
      <c r="BF44" s="43"/>
      <c r="BG44" s="12"/>
      <c r="BH44" s="12" t="s">
        <v>2040</v>
      </c>
    </row>
    <row r="45" spans="1:60" s="3" customFormat="1" ht="21.6" x14ac:dyDescent="0.3">
      <c r="A45" s="25" t="s">
        <v>129</v>
      </c>
      <c r="B45" s="26" t="s">
        <v>2043</v>
      </c>
      <c r="C45" s="419" t="s">
        <v>2044</v>
      </c>
      <c r="D45" s="419"/>
      <c r="E45" s="419"/>
      <c r="F45" s="27" t="s">
        <v>70</v>
      </c>
      <c r="G45" s="22" t="s">
        <v>3317</v>
      </c>
      <c r="H45" s="57"/>
      <c r="I45" s="28"/>
      <c r="J45" s="19"/>
      <c r="K45" s="29"/>
      <c r="BC45" s="14"/>
      <c r="BD45" s="15"/>
      <c r="BE45" s="21"/>
      <c r="BF45" s="43"/>
      <c r="BG45" s="12"/>
      <c r="BH45" s="12" t="s">
        <v>2044</v>
      </c>
    </row>
    <row r="46" spans="1:60" s="3" customFormat="1" ht="31.8" x14ac:dyDescent="0.3">
      <c r="A46" s="16" t="s">
        <v>52</v>
      </c>
      <c r="B46" s="17" t="s">
        <v>2027</v>
      </c>
      <c r="C46" s="405" t="s">
        <v>2028</v>
      </c>
      <c r="D46" s="405"/>
      <c r="E46" s="405"/>
      <c r="F46" s="16" t="s">
        <v>311</v>
      </c>
      <c r="G46" s="31">
        <v>33.619999999999997</v>
      </c>
      <c r="H46" s="57">
        <f t="shared" ref="H46:H47" si="0">I46/G46</f>
        <v>0</v>
      </c>
      <c r="I46" s="19">
        <v>0</v>
      </c>
      <c r="J46" s="19">
        <f t="shared" ref="J46:J47" si="1">K46/G46</f>
        <v>64.251041046995837</v>
      </c>
      <c r="K46" s="19">
        <v>2160.12</v>
      </c>
      <c r="BC46" s="14"/>
      <c r="BD46" s="15"/>
      <c r="BE46" s="21" t="s">
        <v>2028</v>
      </c>
      <c r="BF46" s="43"/>
      <c r="BG46" s="12"/>
      <c r="BH46" s="12"/>
    </row>
    <row r="47" spans="1:60" s="3" customFormat="1" ht="31.8" x14ac:dyDescent="0.3">
      <c r="A47" s="16" t="s">
        <v>55</v>
      </c>
      <c r="B47" s="17" t="s">
        <v>2029</v>
      </c>
      <c r="C47" s="405" t="s">
        <v>2030</v>
      </c>
      <c r="D47" s="405"/>
      <c r="E47" s="405"/>
      <c r="F47" s="16" t="s">
        <v>311</v>
      </c>
      <c r="G47" s="31">
        <v>33.619999999999997</v>
      </c>
      <c r="H47" s="57">
        <f t="shared" si="0"/>
        <v>0</v>
      </c>
      <c r="I47" s="19">
        <v>0</v>
      </c>
      <c r="J47" s="19">
        <f t="shared" si="1"/>
        <v>192.66448542534206</v>
      </c>
      <c r="K47" s="19">
        <v>6477.38</v>
      </c>
      <c r="BC47" s="14"/>
      <c r="BD47" s="15"/>
      <c r="BE47" s="21" t="s">
        <v>2030</v>
      </c>
      <c r="BF47" s="43"/>
      <c r="BG47" s="12"/>
      <c r="BH47" s="12"/>
    </row>
    <row r="48" spans="1:60" s="3" customFormat="1" ht="15" customHeight="1" x14ac:dyDescent="0.3">
      <c r="A48" s="454" t="s">
        <v>3318</v>
      </c>
      <c r="B48" s="455"/>
      <c r="C48" s="455"/>
      <c r="D48" s="455"/>
      <c r="E48" s="455"/>
      <c r="F48" s="455"/>
      <c r="G48" s="455"/>
      <c r="H48" s="296"/>
      <c r="I48" s="296"/>
      <c r="J48" s="296"/>
      <c r="K48" s="297"/>
      <c r="BC48" s="14"/>
      <c r="BD48" s="15" t="s">
        <v>3318</v>
      </c>
      <c r="BE48" s="21"/>
      <c r="BF48" s="43"/>
      <c r="BG48" s="12"/>
      <c r="BH48" s="12"/>
    </row>
    <row r="49" spans="1:60" s="3" customFormat="1" ht="21.6" x14ac:dyDescent="0.3">
      <c r="A49" s="16" t="s">
        <v>56</v>
      </c>
      <c r="B49" s="17" t="s">
        <v>3319</v>
      </c>
      <c r="C49" s="405" t="s">
        <v>3320</v>
      </c>
      <c r="D49" s="405"/>
      <c r="E49" s="405"/>
      <c r="F49" s="16" t="s">
        <v>70</v>
      </c>
      <c r="G49" s="30">
        <v>0.17419999999999999</v>
      </c>
      <c r="H49" s="57">
        <f>I49/G49</f>
        <v>59073.478760045917</v>
      </c>
      <c r="I49" s="19">
        <f>25321.03-K49</f>
        <v>10290.599999999999</v>
      </c>
      <c r="J49" s="19">
        <f>K49/G49</f>
        <v>86282.60619977038</v>
      </c>
      <c r="K49" s="19">
        <v>15030.43</v>
      </c>
      <c r="BC49" s="14"/>
      <c r="BD49" s="15"/>
      <c r="BE49" s="21" t="s">
        <v>3320</v>
      </c>
      <c r="BF49" s="43"/>
      <c r="BG49" s="12"/>
      <c r="BH49" s="12"/>
    </row>
    <row r="50" spans="1:60" s="3" customFormat="1" ht="20.399999999999999" x14ac:dyDescent="0.3">
      <c r="A50" s="37" t="s">
        <v>143</v>
      </c>
      <c r="B50" s="38" t="s">
        <v>2048</v>
      </c>
      <c r="C50" s="430" t="s">
        <v>2049</v>
      </c>
      <c r="D50" s="430"/>
      <c r="E50" s="430"/>
      <c r="F50" s="39" t="s">
        <v>70</v>
      </c>
      <c r="G50" s="40" t="s">
        <v>3321</v>
      </c>
      <c r="H50" s="100"/>
      <c r="I50" s="41"/>
      <c r="J50" s="41"/>
      <c r="K50" s="42"/>
      <c r="BC50" s="14"/>
      <c r="BD50" s="15"/>
      <c r="BE50" s="21"/>
      <c r="BF50" s="43" t="s">
        <v>2049</v>
      </c>
      <c r="BG50" s="12"/>
      <c r="BH50" s="12"/>
    </row>
    <row r="51" spans="1:60" s="3" customFormat="1" ht="42" x14ac:dyDescent="0.3">
      <c r="A51" s="25" t="s">
        <v>129</v>
      </c>
      <c r="B51" s="26" t="s">
        <v>3322</v>
      </c>
      <c r="C51" s="419" t="s">
        <v>3323</v>
      </c>
      <c r="D51" s="419"/>
      <c r="E51" s="419"/>
      <c r="F51" s="27" t="s">
        <v>70</v>
      </c>
      <c r="G51" s="22" t="s">
        <v>3321</v>
      </c>
      <c r="H51" s="58"/>
      <c r="I51" s="28"/>
      <c r="J51" s="28"/>
      <c r="K51" s="29"/>
      <c r="BC51" s="14"/>
      <c r="BD51" s="15"/>
      <c r="BE51" s="21"/>
      <c r="BF51" s="43"/>
      <c r="BG51" s="12"/>
      <c r="BH51" s="12" t="s">
        <v>3323</v>
      </c>
    </row>
    <row r="52" spans="1:60" s="3" customFormat="1" ht="15" customHeight="1" x14ac:dyDescent="0.3">
      <c r="A52" s="454" t="s">
        <v>2093</v>
      </c>
      <c r="B52" s="455"/>
      <c r="C52" s="455"/>
      <c r="D52" s="455"/>
      <c r="E52" s="455"/>
      <c r="F52" s="455"/>
      <c r="G52" s="455"/>
      <c r="H52" s="296"/>
      <c r="I52" s="296"/>
      <c r="J52" s="296"/>
      <c r="K52" s="297"/>
      <c r="BC52" s="14"/>
      <c r="BD52" s="15" t="s">
        <v>2093</v>
      </c>
      <c r="BE52" s="21"/>
      <c r="BF52" s="43"/>
      <c r="BG52" s="12"/>
      <c r="BH52" s="12"/>
    </row>
    <row r="53" spans="1:60" s="3" customFormat="1" ht="21.6" x14ac:dyDescent="0.3">
      <c r="A53" s="16" t="s">
        <v>166</v>
      </c>
      <c r="B53" s="17" t="s">
        <v>2094</v>
      </c>
      <c r="C53" s="405" t="s">
        <v>2095</v>
      </c>
      <c r="D53" s="405"/>
      <c r="E53" s="405"/>
      <c r="F53" s="16" t="s">
        <v>329</v>
      </c>
      <c r="G53" s="30">
        <v>2.3400000000000001E-2</v>
      </c>
      <c r="H53" s="57">
        <f>I53/G53</f>
        <v>0</v>
      </c>
      <c r="I53" s="19">
        <v>0</v>
      </c>
      <c r="J53" s="19">
        <f>K53/G53</f>
        <v>1345.7264957264956</v>
      </c>
      <c r="K53" s="19">
        <v>31.49</v>
      </c>
      <c r="BC53" s="14"/>
      <c r="BD53" s="15"/>
      <c r="BE53" s="21" t="s">
        <v>2095</v>
      </c>
      <c r="BF53" s="43"/>
      <c r="BG53" s="12"/>
      <c r="BH53" s="12"/>
    </row>
    <row r="54" spans="1:60" s="3" customFormat="1" ht="20.399999999999999" x14ac:dyDescent="0.3">
      <c r="A54" s="25"/>
      <c r="B54" s="26" t="s">
        <v>415</v>
      </c>
      <c r="C54" s="419" t="s">
        <v>416</v>
      </c>
      <c r="D54" s="419"/>
      <c r="E54" s="419"/>
      <c r="F54" s="27" t="s">
        <v>70</v>
      </c>
      <c r="G54" s="22" t="s">
        <v>3324</v>
      </c>
      <c r="H54" s="58"/>
      <c r="I54" s="28"/>
      <c r="J54" s="28"/>
      <c r="K54" s="29"/>
      <c r="BC54" s="14"/>
      <c r="BD54" s="15"/>
      <c r="BE54" s="21"/>
      <c r="BF54" s="43"/>
      <c r="BG54" s="12" t="s">
        <v>416</v>
      </c>
      <c r="BH54" s="12"/>
    </row>
    <row r="55" spans="1:60" s="3" customFormat="1" ht="20.399999999999999" x14ac:dyDescent="0.3">
      <c r="A55" s="25"/>
      <c r="B55" s="26" t="s">
        <v>2097</v>
      </c>
      <c r="C55" s="419" t="s">
        <v>2098</v>
      </c>
      <c r="D55" s="419"/>
      <c r="E55" s="419"/>
      <c r="F55" s="27" t="s">
        <v>70</v>
      </c>
      <c r="G55" s="22" t="s">
        <v>3325</v>
      </c>
      <c r="H55" s="58"/>
      <c r="I55" s="28"/>
      <c r="J55" s="28"/>
      <c r="K55" s="29"/>
      <c r="BC55" s="14"/>
      <c r="BD55" s="15"/>
      <c r="BE55" s="21"/>
      <c r="BF55" s="43"/>
      <c r="BG55" s="12" t="s">
        <v>2098</v>
      </c>
      <c r="BH55" s="12"/>
    </row>
    <row r="56" spans="1:60" s="3" customFormat="1" ht="15" customHeight="1" x14ac:dyDescent="0.3">
      <c r="A56" s="454" t="s">
        <v>3326</v>
      </c>
      <c r="B56" s="455"/>
      <c r="C56" s="455"/>
      <c r="D56" s="455"/>
      <c r="E56" s="455"/>
      <c r="F56" s="455"/>
      <c r="G56" s="455"/>
      <c r="H56" s="296"/>
      <c r="I56" s="296"/>
      <c r="J56" s="296"/>
      <c r="K56" s="297"/>
      <c r="BC56" s="14"/>
      <c r="BD56" s="15" t="s">
        <v>3326</v>
      </c>
      <c r="BE56" s="21"/>
      <c r="BF56" s="43"/>
      <c r="BG56" s="12"/>
      <c r="BH56" s="12"/>
    </row>
    <row r="57" spans="1:60" s="3" customFormat="1" ht="21.6" x14ac:dyDescent="0.3">
      <c r="A57" s="16" t="s">
        <v>169</v>
      </c>
      <c r="B57" s="17" t="s">
        <v>2101</v>
      </c>
      <c r="C57" s="405" t="s">
        <v>2102</v>
      </c>
      <c r="D57" s="405"/>
      <c r="E57" s="405"/>
      <c r="F57" s="16" t="s">
        <v>329</v>
      </c>
      <c r="G57" s="30">
        <v>2.3400000000000001E-2</v>
      </c>
      <c r="H57" s="57">
        <f>I57/G57</f>
        <v>0</v>
      </c>
      <c r="I57" s="19">
        <v>0</v>
      </c>
      <c r="J57" s="19">
        <f>K57/G57</f>
        <v>2445.299145299145</v>
      </c>
      <c r="K57" s="19">
        <v>57.22</v>
      </c>
      <c r="BC57" s="14"/>
      <c r="BD57" s="15"/>
      <c r="BE57" s="21" t="s">
        <v>2102</v>
      </c>
      <c r="BF57" s="43"/>
      <c r="BG57" s="12"/>
      <c r="BH57" s="12"/>
    </row>
    <row r="58" spans="1:60" s="3" customFormat="1" ht="20.399999999999999" x14ac:dyDescent="0.3">
      <c r="A58" s="25"/>
      <c r="B58" s="26" t="s">
        <v>2103</v>
      </c>
      <c r="C58" s="419" t="s">
        <v>2104</v>
      </c>
      <c r="D58" s="419"/>
      <c r="E58" s="419"/>
      <c r="F58" s="27" t="s">
        <v>70</v>
      </c>
      <c r="G58" s="22" t="s">
        <v>3327</v>
      </c>
      <c r="H58" s="58"/>
      <c r="I58" s="28"/>
      <c r="J58" s="28"/>
      <c r="K58" s="29"/>
      <c r="BC58" s="14"/>
      <c r="BD58" s="15"/>
      <c r="BE58" s="21"/>
      <c r="BF58" s="43"/>
      <c r="BG58" s="12" t="s">
        <v>2104</v>
      </c>
      <c r="BH58" s="12"/>
    </row>
    <row r="59" spans="1:60" s="3" customFormat="1" ht="20.399999999999999" x14ac:dyDescent="0.3">
      <c r="A59" s="25"/>
      <c r="B59" s="26" t="s">
        <v>353</v>
      </c>
      <c r="C59" s="419" t="s">
        <v>354</v>
      </c>
      <c r="D59" s="419"/>
      <c r="E59" s="419"/>
      <c r="F59" s="27" t="s">
        <v>75</v>
      </c>
      <c r="G59" s="22" t="s">
        <v>3328</v>
      </c>
      <c r="H59" s="58"/>
      <c r="I59" s="28"/>
      <c r="J59" s="28"/>
      <c r="K59" s="29"/>
      <c r="BC59" s="14"/>
      <c r="BD59" s="15"/>
      <c r="BE59" s="21"/>
      <c r="BF59" s="43"/>
      <c r="BG59" s="12" t="s">
        <v>354</v>
      </c>
      <c r="BH59" s="12"/>
    </row>
    <row r="60" spans="1:60" s="3" customFormat="1" ht="15" customHeight="1" x14ac:dyDescent="0.3">
      <c r="A60" s="454" t="s">
        <v>2283</v>
      </c>
      <c r="B60" s="455"/>
      <c r="C60" s="455"/>
      <c r="D60" s="455"/>
      <c r="E60" s="455"/>
      <c r="F60" s="455"/>
      <c r="G60" s="455"/>
      <c r="H60" s="296"/>
      <c r="I60" s="296"/>
      <c r="J60" s="296"/>
      <c r="K60" s="297"/>
      <c r="BC60" s="14"/>
      <c r="BD60" s="15" t="s">
        <v>2283</v>
      </c>
      <c r="BE60" s="21"/>
      <c r="BF60" s="43"/>
      <c r="BG60" s="12"/>
      <c r="BH60" s="12"/>
    </row>
    <row r="61" spans="1:60" s="3" customFormat="1" ht="42" x14ac:dyDescent="0.3">
      <c r="A61" s="16" t="s">
        <v>170</v>
      </c>
      <c r="B61" s="17" t="s">
        <v>327</v>
      </c>
      <c r="C61" s="405" t="s">
        <v>328</v>
      </c>
      <c r="D61" s="405"/>
      <c r="E61" s="405"/>
      <c r="F61" s="16" t="s">
        <v>329</v>
      </c>
      <c r="G61" s="30">
        <v>8.2199999999999995E-2</v>
      </c>
      <c r="H61" s="57">
        <f>I61/G61</f>
        <v>25173.600973236007</v>
      </c>
      <c r="I61" s="19">
        <f>4212.69-K61</f>
        <v>2069.2699999999995</v>
      </c>
      <c r="J61" s="19">
        <f>K61/G61</f>
        <v>26075.669099756695</v>
      </c>
      <c r="K61" s="19">
        <v>2143.42</v>
      </c>
      <c r="BC61" s="14"/>
      <c r="BD61" s="15"/>
      <c r="BE61" s="21" t="s">
        <v>328</v>
      </c>
      <c r="BF61" s="43"/>
      <c r="BG61" s="12"/>
      <c r="BH61" s="12"/>
    </row>
    <row r="62" spans="1:60" s="3" customFormat="1" ht="20.399999999999999" x14ac:dyDescent="0.3">
      <c r="A62" s="37" t="s">
        <v>143</v>
      </c>
      <c r="B62" s="38" t="s">
        <v>330</v>
      </c>
      <c r="C62" s="430" t="s">
        <v>331</v>
      </c>
      <c r="D62" s="430"/>
      <c r="E62" s="430"/>
      <c r="F62" s="39" t="s">
        <v>70</v>
      </c>
      <c r="G62" s="40" t="s">
        <v>3329</v>
      </c>
      <c r="H62" s="100"/>
      <c r="I62" s="41"/>
      <c r="J62" s="41"/>
      <c r="K62" s="42"/>
      <c r="BC62" s="14"/>
      <c r="BD62" s="15"/>
      <c r="BE62" s="21"/>
      <c r="BF62" s="43" t="s">
        <v>331</v>
      </c>
      <c r="BG62" s="12"/>
      <c r="BH62" s="12"/>
    </row>
    <row r="63" spans="1:60" s="3" customFormat="1" ht="20.399999999999999" x14ac:dyDescent="0.3">
      <c r="A63" s="37" t="s">
        <v>143</v>
      </c>
      <c r="B63" s="38" t="s">
        <v>333</v>
      </c>
      <c r="C63" s="430" t="s">
        <v>334</v>
      </c>
      <c r="D63" s="430"/>
      <c r="E63" s="430"/>
      <c r="F63" s="39" t="s">
        <v>70</v>
      </c>
      <c r="G63" s="40" t="s">
        <v>3330</v>
      </c>
      <c r="H63" s="100"/>
      <c r="I63" s="41"/>
      <c r="J63" s="41"/>
      <c r="K63" s="42"/>
      <c r="BC63" s="14"/>
      <c r="BD63" s="15"/>
      <c r="BE63" s="21"/>
      <c r="BF63" s="43" t="s">
        <v>334</v>
      </c>
      <c r="BG63" s="12"/>
      <c r="BH63" s="12"/>
    </row>
    <row r="64" spans="1:60" s="3" customFormat="1" ht="20.399999999999999" x14ac:dyDescent="0.3">
      <c r="A64" s="25"/>
      <c r="B64" s="26" t="s">
        <v>336</v>
      </c>
      <c r="C64" s="419" t="s">
        <v>337</v>
      </c>
      <c r="D64" s="419"/>
      <c r="E64" s="419"/>
      <c r="F64" s="27" t="s">
        <v>70</v>
      </c>
      <c r="G64" s="22" t="s">
        <v>3331</v>
      </c>
      <c r="H64" s="58"/>
      <c r="I64" s="28"/>
      <c r="J64" s="28"/>
      <c r="K64" s="29"/>
      <c r="BC64" s="14"/>
      <c r="BD64" s="15"/>
      <c r="BE64" s="21"/>
      <c r="BF64" s="43"/>
      <c r="BG64" s="12" t="s">
        <v>337</v>
      </c>
      <c r="BH64" s="12"/>
    </row>
    <row r="65" spans="1:60" s="3" customFormat="1" ht="20.399999999999999" x14ac:dyDescent="0.3">
      <c r="A65" s="25"/>
      <c r="B65" s="26" t="s">
        <v>339</v>
      </c>
      <c r="C65" s="419" t="s">
        <v>340</v>
      </c>
      <c r="D65" s="419"/>
      <c r="E65" s="419"/>
      <c r="F65" s="27" t="s">
        <v>75</v>
      </c>
      <c r="G65" s="22" t="s">
        <v>3332</v>
      </c>
      <c r="H65" s="58"/>
      <c r="I65" s="28"/>
      <c r="J65" s="28"/>
      <c r="K65" s="29"/>
      <c r="BC65" s="14"/>
      <c r="BD65" s="15"/>
      <c r="BE65" s="21"/>
      <c r="BF65" s="43"/>
      <c r="BG65" s="12" t="s">
        <v>340</v>
      </c>
      <c r="BH65" s="12"/>
    </row>
    <row r="66" spans="1:60" s="3" customFormat="1" ht="20.399999999999999" x14ac:dyDescent="0.3">
      <c r="A66" s="25" t="s">
        <v>129</v>
      </c>
      <c r="B66" s="26" t="s">
        <v>344</v>
      </c>
      <c r="C66" s="419" t="s">
        <v>345</v>
      </c>
      <c r="D66" s="419"/>
      <c r="E66" s="419"/>
      <c r="F66" s="27" t="s">
        <v>70</v>
      </c>
      <c r="G66" s="22" t="s">
        <v>3329</v>
      </c>
      <c r="H66" s="58"/>
      <c r="I66" s="28"/>
      <c r="J66" s="28"/>
      <c r="K66" s="29"/>
      <c r="BC66" s="14"/>
      <c r="BD66" s="15"/>
      <c r="BE66" s="21"/>
      <c r="BF66" s="43"/>
      <c r="BG66" s="12"/>
      <c r="BH66" s="12" t="s">
        <v>345</v>
      </c>
    </row>
    <row r="67" spans="1:60" s="3" customFormat="1" ht="21.6" x14ac:dyDescent="0.3">
      <c r="A67" s="25" t="s">
        <v>129</v>
      </c>
      <c r="B67" s="26" t="s">
        <v>2288</v>
      </c>
      <c r="C67" s="419" t="s">
        <v>2289</v>
      </c>
      <c r="D67" s="419"/>
      <c r="E67" s="419"/>
      <c r="F67" s="27" t="s">
        <v>70</v>
      </c>
      <c r="G67" s="22" t="s">
        <v>3330</v>
      </c>
      <c r="H67" s="58"/>
      <c r="I67" s="28"/>
      <c r="J67" s="28"/>
      <c r="K67" s="29"/>
      <c r="BC67" s="14"/>
      <c r="BD67" s="15"/>
      <c r="BE67" s="21"/>
      <c r="BF67" s="43"/>
      <c r="BG67" s="12"/>
      <c r="BH67" s="12" t="s">
        <v>2289</v>
      </c>
    </row>
    <row r="68" spans="1:60" s="3" customFormat="1" ht="20.25" customHeight="1" x14ac:dyDescent="0.3">
      <c r="A68" s="406" t="s">
        <v>57</v>
      </c>
      <c r="B68" s="407"/>
      <c r="C68" s="407"/>
      <c r="D68" s="407"/>
      <c r="E68" s="407"/>
      <c r="F68" s="407"/>
      <c r="G68" s="407"/>
      <c r="H68" s="66"/>
      <c r="I68" s="67">
        <f>SUM(I13:I67)</f>
        <v>156775.58999999997</v>
      </c>
      <c r="J68" s="72"/>
      <c r="K68" s="67">
        <f>SUM(K13:K67)</f>
        <v>414026.72</v>
      </c>
    </row>
    <row r="69" spans="1:60" s="53" customFormat="1" ht="20.25" customHeight="1" thickBot="1" x14ac:dyDescent="0.35">
      <c r="A69" s="408" t="s">
        <v>5461</v>
      </c>
      <c r="B69" s="409"/>
      <c r="C69" s="409"/>
      <c r="D69" s="409"/>
      <c r="E69" s="409"/>
      <c r="F69" s="409"/>
      <c r="G69" s="409"/>
      <c r="H69" s="88"/>
      <c r="I69" s="410">
        <f>I68+K68</f>
        <v>570802.30999999994</v>
      </c>
      <c r="J69" s="411"/>
      <c r="K69" s="412"/>
      <c r="M69" s="153"/>
    </row>
    <row r="70" spans="1:60" ht="11.25" customHeight="1" x14ac:dyDescent="0.2">
      <c r="M70" s="54"/>
    </row>
  </sheetData>
  <mergeCells count="67">
    <mergeCell ref="C55:E55"/>
    <mergeCell ref="C57:E57"/>
    <mergeCell ref="C58:E58"/>
    <mergeCell ref="C59:E59"/>
    <mergeCell ref="C61:E61"/>
    <mergeCell ref="C45:E45"/>
    <mergeCell ref="C46:E46"/>
    <mergeCell ref="C47:E47"/>
    <mergeCell ref="C49:E49"/>
    <mergeCell ref="A48:G48"/>
    <mergeCell ref="C50:E50"/>
    <mergeCell ref="C51:E51"/>
    <mergeCell ref="C53:E53"/>
    <mergeCell ref="C54:E54"/>
    <mergeCell ref="A52:G52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5:E25"/>
    <mergeCell ref="C26:E26"/>
    <mergeCell ref="C27:E27"/>
    <mergeCell ref="C28:E28"/>
    <mergeCell ref="C29:E29"/>
    <mergeCell ref="C31:E31"/>
    <mergeCell ref="C32:E32"/>
    <mergeCell ref="C33:E33"/>
    <mergeCell ref="C34:E34"/>
    <mergeCell ref="A30:G30"/>
    <mergeCell ref="C16:E16"/>
    <mergeCell ref="C17:E17"/>
    <mergeCell ref="A19:G19"/>
    <mergeCell ref="A18:G18"/>
    <mergeCell ref="A15:G15"/>
    <mergeCell ref="C20:E20"/>
    <mergeCell ref="C21:E21"/>
    <mergeCell ref="C22:E22"/>
    <mergeCell ref="C23:E23"/>
    <mergeCell ref="A24:G24"/>
    <mergeCell ref="C13:E13"/>
    <mergeCell ref="C14:E14"/>
    <mergeCell ref="A6:K6"/>
    <mergeCell ref="C7:G7"/>
    <mergeCell ref="A12:G12"/>
    <mergeCell ref="A11:G11"/>
    <mergeCell ref="A2:K2"/>
    <mergeCell ref="A3:K3"/>
    <mergeCell ref="A5:K5"/>
    <mergeCell ref="C9:E9"/>
    <mergeCell ref="C10:E10"/>
    <mergeCell ref="A68:G68"/>
    <mergeCell ref="A69:G69"/>
    <mergeCell ref="I69:K69"/>
    <mergeCell ref="A60:G60"/>
    <mergeCell ref="A56:G56"/>
    <mergeCell ref="C65:E65"/>
    <mergeCell ref="C66:E66"/>
    <mergeCell ref="C67:E67"/>
    <mergeCell ref="C62:E62"/>
    <mergeCell ref="C63:E63"/>
    <mergeCell ref="C64:E6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BM59"/>
  <sheetViews>
    <sheetView topLeftCell="A46" workbookViewId="0">
      <selection activeCell="K8" sqref="K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44140625" style="1" customWidth="1"/>
    <col min="4" max="4" width="15.109375" style="1" customWidth="1"/>
    <col min="5" max="5" width="25.6640625" style="1" customWidth="1"/>
    <col min="6" max="7" width="10.6640625" style="1" customWidth="1"/>
    <col min="8" max="11" width="17.4414062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64" width="9.109375" style="1"/>
    <col min="65" max="65" width="10" style="1" bestFit="1" customWidth="1"/>
    <col min="66" max="16384" width="9.109375" style="1"/>
  </cols>
  <sheetData>
    <row r="1" spans="1:57" s="3" customFormat="1" ht="14.4" x14ac:dyDescent="0.3">
      <c r="A1" s="95" t="s">
        <v>5564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14.4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1301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1301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30.75" customHeight="1" x14ac:dyDescent="0.3">
      <c r="A7" s="4"/>
      <c r="B7" s="8" t="s">
        <v>5</v>
      </c>
      <c r="C7" s="402" t="s">
        <v>1302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13"/>
      <c r="H8" s="56"/>
      <c r="I8" s="56"/>
      <c r="J8" s="56"/>
      <c r="K8" s="56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7" s="3" customFormat="1" ht="15" customHeight="1" x14ac:dyDescent="0.3">
      <c r="A12" s="435" t="s">
        <v>1303</v>
      </c>
      <c r="B12" s="436"/>
      <c r="C12" s="436"/>
      <c r="D12" s="436"/>
      <c r="E12" s="436"/>
      <c r="F12" s="436"/>
      <c r="G12" s="436"/>
      <c r="H12" s="150"/>
      <c r="I12" s="150"/>
      <c r="J12" s="150"/>
      <c r="K12" s="151"/>
      <c r="BC12" s="14" t="s">
        <v>1303</v>
      </c>
    </row>
    <row r="13" spans="1:57" s="3" customFormat="1" ht="15" customHeight="1" x14ac:dyDescent="0.3">
      <c r="A13" s="437" t="s">
        <v>1304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C13" s="14"/>
      <c r="BD13" s="15" t="s">
        <v>1304</v>
      </c>
    </row>
    <row r="14" spans="1:57" s="3" customFormat="1" ht="31.8" x14ac:dyDescent="0.3">
      <c r="A14" s="16" t="s">
        <v>15</v>
      </c>
      <c r="B14" s="17" t="s">
        <v>220</v>
      </c>
      <c r="C14" s="405" t="s">
        <v>221</v>
      </c>
      <c r="D14" s="405"/>
      <c r="E14" s="405"/>
      <c r="F14" s="16" t="s">
        <v>43</v>
      </c>
      <c r="G14" s="18">
        <v>0.46700000000000003</v>
      </c>
      <c r="H14" s="57">
        <f>I14/G14</f>
        <v>8631.927194860813</v>
      </c>
      <c r="I14" s="19">
        <v>4031.11</v>
      </c>
      <c r="J14" s="19">
        <f>K14/G14</f>
        <v>0</v>
      </c>
      <c r="K14" s="19">
        <v>0</v>
      </c>
      <c r="BC14" s="14"/>
      <c r="BD14" s="15"/>
      <c r="BE14" s="21" t="s">
        <v>221</v>
      </c>
    </row>
    <row r="15" spans="1:57" s="3" customFormat="1" ht="52.2" x14ac:dyDescent="0.3">
      <c r="A15" s="16" t="s">
        <v>20</v>
      </c>
      <c r="B15" s="17" t="s">
        <v>223</v>
      </c>
      <c r="C15" s="405" t="s">
        <v>224</v>
      </c>
      <c r="D15" s="405"/>
      <c r="E15" s="405"/>
      <c r="F15" s="16" t="s">
        <v>43</v>
      </c>
      <c r="G15" s="18">
        <v>0.46700000000000003</v>
      </c>
      <c r="H15" s="57">
        <f t="shared" ref="H15:H48" si="0">I15/G15</f>
        <v>56854.475374732334</v>
      </c>
      <c r="I15" s="19">
        <v>26551.040000000001</v>
      </c>
      <c r="J15" s="19">
        <f t="shared" ref="J15:J48" si="1">K15/G15</f>
        <v>0</v>
      </c>
      <c r="K15" s="19">
        <v>0</v>
      </c>
      <c r="BC15" s="14"/>
      <c r="BD15" s="15"/>
      <c r="BE15" s="21" t="s">
        <v>224</v>
      </c>
    </row>
    <row r="16" spans="1:57" s="3" customFormat="1" ht="42" x14ac:dyDescent="0.3">
      <c r="A16" s="16" t="s">
        <v>22</v>
      </c>
      <c r="B16" s="17" t="s">
        <v>48</v>
      </c>
      <c r="C16" s="405" t="s">
        <v>49</v>
      </c>
      <c r="D16" s="405"/>
      <c r="E16" s="405"/>
      <c r="F16" s="16" t="s">
        <v>50</v>
      </c>
      <c r="G16" s="24">
        <v>560.4</v>
      </c>
      <c r="H16" s="57">
        <f t="shared" si="0"/>
        <v>598.37580299785873</v>
      </c>
      <c r="I16" s="19">
        <v>335329.8</v>
      </c>
      <c r="J16" s="19">
        <f t="shared" si="1"/>
        <v>0</v>
      </c>
      <c r="K16" s="19">
        <v>0</v>
      </c>
      <c r="BC16" s="14"/>
      <c r="BD16" s="15"/>
      <c r="BE16" s="21" t="s">
        <v>49</v>
      </c>
    </row>
    <row r="17" spans="1:57" s="3" customFormat="1" ht="15" customHeight="1" x14ac:dyDescent="0.3">
      <c r="A17" s="437" t="s">
        <v>218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24"/>
      <c r="BC17" s="14"/>
      <c r="BD17" s="15" t="s">
        <v>218</v>
      </c>
      <c r="BE17" s="21"/>
    </row>
    <row r="18" spans="1:57" s="3" customFormat="1" ht="31.8" x14ac:dyDescent="0.3">
      <c r="A18" s="16" t="s">
        <v>27</v>
      </c>
      <c r="B18" s="17" t="s">
        <v>220</v>
      </c>
      <c r="C18" s="405" t="s">
        <v>221</v>
      </c>
      <c r="D18" s="405"/>
      <c r="E18" s="405"/>
      <c r="F18" s="16" t="s">
        <v>43</v>
      </c>
      <c r="G18" s="30">
        <v>0.97709999999999997</v>
      </c>
      <c r="H18" s="57">
        <f t="shared" si="0"/>
        <v>8631.9107563197213</v>
      </c>
      <c r="I18" s="19">
        <v>8434.24</v>
      </c>
      <c r="J18" s="19">
        <f t="shared" si="1"/>
        <v>0</v>
      </c>
      <c r="K18" s="19">
        <v>0</v>
      </c>
      <c r="BC18" s="14"/>
      <c r="BD18" s="15"/>
      <c r="BE18" s="21" t="s">
        <v>221</v>
      </c>
    </row>
    <row r="19" spans="1:57" s="3" customFormat="1" ht="52.2" x14ac:dyDescent="0.3">
      <c r="A19" s="16" t="s">
        <v>35</v>
      </c>
      <c r="B19" s="17" t="s">
        <v>223</v>
      </c>
      <c r="C19" s="405" t="s">
        <v>224</v>
      </c>
      <c r="D19" s="405"/>
      <c r="E19" s="405"/>
      <c r="F19" s="16" t="s">
        <v>43</v>
      </c>
      <c r="G19" s="30">
        <v>0.97709999999999997</v>
      </c>
      <c r="H19" s="57">
        <f t="shared" si="0"/>
        <v>56854.467301197423</v>
      </c>
      <c r="I19" s="19">
        <v>55552.5</v>
      </c>
      <c r="J19" s="19">
        <f t="shared" si="1"/>
        <v>0</v>
      </c>
      <c r="K19" s="19">
        <v>0</v>
      </c>
      <c r="BC19" s="14"/>
      <c r="BD19" s="15"/>
      <c r="BE19" s="21" t="s">
        <v>224</v>
      </c>
    </row>
    <row r="20" spans="1:57" s="3" customFormat="1" ht="42" x14ac:dyDescent="0.3">
      <c r="A20" s="16" t="s">
        <v>40</v>
      </c>
      <c r="B20" s="17" t="s">
        <v>171</v>
      </c>
      <c r="C20" s="405" t="s">
        <v>172</v>
      </c>
      <c r="D20" s="405"/>
      <c r="E20" s="405"/>
      <c r="F20" s="16" t="s">
        <v>50</v>
      </c>
      <c r="G20" s="31">
        <v>1758.78</v>
      </c>
      <c r="H20" s="57">
        <f t="shared" si="0"/>
        <v>1056.2310010348083</v>
      </c>
      <c r="I20" s="19">
        <v>1857677.96</v>
      </c>
      <c r="J20" s="19">
        <f t="shared" si="1"/>
        <v>0</v>
      </c>
      <c r="K20" s="19">
        <v>0</v>
      </c>
      <c r="BC20" s="14"/>
      <c r="BD20" s="15"/>
      <c r="BE20" s="21" t="s">
        <v>172</v>
      </c>
    </row>
    <row r="21" spans="1:57" s="3" customFormat="1" ht="15" customHeight="1" x14ac:dyDescent="0.3">
      <c r="A21" s="437" t="s">
        <v>226</v>
      </c>
      <c r="B21" s="418"/>
      <c r="C21" s="418"/>
      <c r="D21" s="418"/>
      <c r="E21" s="418"/>
      <c r="F21" s="418"/>
      <c r="G21" s="418"/>
      <c r="H21" s="123"/>
      <c r="I21" s="123"/>
      <c r="J21" s="123"/>
      <c r="K21" s="124"/>
      <c r="BC21" s="14"/>
      <c r="BD21" s="15" t="s">
        <v>226</v>
      </c>
      <c r="BE21" s="21"/>
    </row>
    <row r="22" spans="1:57" s="3" customFormat="1" ht="31.8" x14ac:dyDescent="0.3">
      <c r="A22" s="16" t="s">
        <v>47</v>
      </c>
      <c r="B22" s="17" t="s">
        <v>228</v>
      </c>
      <c r="C22" s="405" t="s">
        <v>229</v>
      </c>
      <c r="D22" s="405"/>
      <c r="E22" s="405"/>
      <c r="F22" s="16" t="s">
        <v>43</v>
      </c>
      <c r="G22" s="30">
        <v>1.0279</v>
      </c>
      <c r="H22" s="57">
        <f t="shared" si="0"/>
        <v>11591.419398774198</v>
      </c>
      <c r="I22" s="19">
        <v>11914.82</v>
      </c>
      <c r="J22" s="19">
        <f t="shared" si="1"/>
        <v>0</v>
      </c>
      <c r="K22" s="19">
        <v>0</v>
      </c>
      <c r="BC22" s="14"/>
      <c r="BD22" s="15"/>
      <c r="BE22" s="21" t="s">
        <v>229</v>
      </c>
    </row>
    <row r="23" spans="1:57" s="3" customFormat="1" ht="52.2" x14ac:dyDescent="0.3">
      <c r="A23" s="16" t="s">
        <v>52</v>
      </c>
      <c r="B23" s="17" t="s">
        <v>231</v>
      </c>
      <c r="C23" s="405" t="s">
        <v>232</v>
      </c>
      <c r="D23" s="405"/>
      <c r="E23" s="405"/>
      <c r="F23" s="16" t="s">
        <v>43</v>
      </c>
      <c r="G23" s="30">
        <v>1.0279</v>
      </c>
      <c r="H23" s="57">
        <f t="shared" si="0"/>
        <v>68699.163342737607</v>
      </c>
      <c r="I23" s="19">
        <v>70615.87</v>
      </c>
      <c r="J23" s="19">
        <f t="shared" si="1"/>
        <v>0</v>
      </c>
      <c r="K23" s="19">
        <v>0</v>
      </c>
      <c r="BC23" s="14"/>
      <c r="BD23" s="15"/>
      <c r="BE23" s="21" t="s">
        <v>232</v>
      </c>
    </row>
    <row r="24" spans="1:57" s="3" customFormat="1" ht="42" x14ac:dyDescent="0.3">
      <c r="A24" s="16" t="s">
        <v>55</v>
      </c>
      <c r="B24" s="17" t="s">
        <v>48</v>
      </c>
      <c r="C24" s="405" t="s">
        <v>49</v>
      </c>
      <c r="D24" s="405"/>
      <c r="E24" s="405"/>
      <c r="F24" s="16" t="s">
        <v>50</v>
      </c>
      <c r="G24" s="31">
        <v>1850.22</v>
      </c>
      <c r="H24" s="57">
        <f t="shared" si="0"/>
        <v>598.37579855368551</v>
      </c>
      <c r="I24" s="19">
        <v>1107126.8700000001</v>
      </c>
      <c r="J24" s="19">
        <f t="shared" si="1"/>
        <v>0</v>
      </c>
      <c r="K24" s="19">
        <v>0</v>
      </c>
      <c r="BC24" s="14"/>
      <c r="BD24" s="15"/>
      <c r="BE24" s="21" t="s">
        <v>49</v>
      </c>
    </row>
    <row r="25" spans="1:57" s="3" customFormat="1" ht="15" customHeight="1" x14ac:dyDescent="0.3">
      <c r="A25" s="437" t="s">
        <v>1305</v>
      </c>
      <c r="B25" s="418"/>
      <c r="C25" s="418"/>
      <c r="D25" s="418"/>
      <c r="E25" s="418"/>
      <c r="F25" s="418"/>
      <c r="G25" s="418"/>
      <c r="H25" s="123"/>
      <c r="I25" s="123"/>
      <c r="J25" s="123"/>
      <c r="K25" s="124"/>
      <c r="BC25" s="14"/>
      <c r="BD25" s="15" t="s">
        <v>1305</v>
      </c>
      <c r="BE25" s="21"/>
    </row>
    <row r="26" spans="1:57" s="3" customFormat="1" ht="31.8" x14ac:dyDescent="0.3">
      <c r="A26" s="16" t="s">
        <v>56</v>
      </c>
      <c r="B26" s="17" t="s">
        <v>228</v>
      </c>
      <c r="C26" s="405" t="s">
        <v>229</v>
      </c>
      <c r="D26" s="405"/>
      <c r="E26" s="405"/>
      <c r="F26" s="16" t="s">
        <v>43</v>
      </c>
      <c r="G26" s="18">
        <v>7.9000000000000001E-2</v>
      </c>
      <c r="H26" s="57">
        <f t="shared" si="0"/>
        <v>11591.518987341773</v>
      </c>
      <c r="I26" s="19">
        <v>915.73</v>
      </c>
      <c r="J26" s="19">
        <f t="shared" si="1"/>
        <v>0</v>
      </c>
      <c r="K26" s="19">
        <v>0</v>
      </c>
      <c r="BC26" s="14"/>
      <c r="BD26" s="15"/>
      <c r="BE26" s="21" t="s">
        <v>229</v>
      </c>
    </row>
    <row r="27" spans="1:57" s="3" customFormat="1" ht="15" customHeight="1" x14ac:dyDescent="0.3">
      <c r="A27" s="437" t="s">
        <v>1306</v>
      </c>
      <c r="B27" s="418"/>
      <c r="C27" s="418"/>
      <c r="D27" s="418"/>
      <c r="E27" s="418"/>
      <c r="F27" s="418"/>
      <c r="G27" s="418"/>
      <c r="H27" s="123"/>
      <c r="I27" s="123"/>
      <c r="J27" s="123"/>
      <c r="K27" s="124"/>
      <c r="BC27" s="14"/>
      <c r="BD27" s="15" t="s">
        <v>1306</v>
      </c>
      <c r="BE27" s="21"/>
    </row>
    <row r="28" spans="1:57" s="3" customFormat="1" ht="31.8" x14ac:dyDescent="0.3">
      <c r="A28" s="16" t="s">
        <v>166</v>
      </c>
      <c r="B28" s="17" t="s">
        <v>1307</v>
      </c>
      <c r="C28" s="405" t="s">
        <v>1308</v>
      </c>
      <c r="D28" s="405"/>
      <c r="E28" s="405"/>
      <c r="F28" s="16" t="s">
        <v>43</v>
      </c>
      <c r="G28" s="30">
        <v>5.0582000000000003</v>
      </c>
      <c r="H28" s="57">
        <f t="shared" si="0"/>
        <v>26809.720849313984</v>
      </c>
      <c r="I28" s="19">
        <v>135608.93</v>
      </c>
      <c r="J28" s="19">
        <f t="shared" si="1"/>
        <v>0</v>
      </c>
      <c r="K28" s="19">
        <v>0</v>
      </c>
      <c r="BC28" s="14"/>
      <c r="BD28" s="15"/>
      <c r="BE28" s="21" t="s">
        <v>1308</v>
      </c>
    </row>
    <row r="29" spans="1:57" s="3" customFormat="1" ht="21.6" x14ac:dyDescent="0.3">
      <c r="A29" s="16" t="s">
        <v>169</v>
      </c>
      <c r="B29" s="17" t="s">
        <v>205</v>
      </c>
      <c r="C29" s="405" t="s">
        <v>82</v>
      </c>
      <c r="D29" s="405"/>
      <c r="E29" s="405"/>
      <c r="F29" s="16" t="s">
        <v>46</v>
      </c>
      <c r="G29" s="18">
        <v>5968.6760000000004</v>
      </c>
      <c r="H29" s="57">
        <f t="shared" si="0"/>
        <v>0</v>
      </c>
      <c r="I29" s="19">
        <v>0</v>
      </c>
      <c r="J29" s="19">
        <f t="shared" si="1"/>
        <v>530.91150030593042</v>
      </c>
      <c r="K29" s="19">
        <v>3168838.73</v>
      </c>
      <c r="BC29" s="14"/>
      <c r="BD29" s="15"/>
      <c r="BE29" s="21" t="s">
        <v>82</v>
      </c>
    </row>
    <row r="30" spans="1:57" s="3" customFormat="1" ht="15" customHeight="1" x14ac:dyDescent="0.3">
      <c r="A30" s="437" t="s">
        <v>1309</v>
      </c>
      <c r="B30" s="418"/>
      <c r="C30" s="418"/>
      <c r="D30" s="418"/>
      <c r="E30" s="418"/>
      <c r="F30" s="418"/>
      <c r="G30" s="418"/>
      <c r="H30" s="123"/>
      <c r="I30" s="123"/>
      <c r="J30" s="123"/>
      <c r="K30" s="124"/>
      <c r="BC30" s="14"/>
      <c r="BD30" s="15" t="s">
        <v>1309</v>
      </c>
      <c r="BE30" s="21"/>
    </row>
    <row r="31" spans="1:57" s="3" customFormat="1" ht="31.8" x14ac:dyDescent="0.3">
      <c r="A31" s="16" t="s">
        <v>170</v>
      </c>
      <c r="B31" s="17" t="s">
        <v>1310</v>
      </c>
      <c r="C31" s="405" t="s">
        <v>1311</v>
      </c>
      <c r="D31" s="405"/>
      <c r="E31" s="405"/>
      <c r="F31" s="16" t="s">
        <v>43</v>
      </c>
      <c r="G31" s="18">
        <v>7.9000000000000001E-2</v>
      </c>
      <c r="H31" s="57">
        <f t="shared" si="0"/>
        <v>19441.265822784808</v>
      </c>
      <c r="I31" s="19">
        <v>1535.86</v>
      </c>
      <c r="J31" s="19">
        <f t="shared" si="1"/>
        <v>0</v>
      </c>
      <c r="K31" s="19">
        <v>0</v>
      </c>
      <c r="BC31" s="14"/>
      <c r="BD31" s="15"/>
      <c r="BE31" s="21" t="s">
        <v>1311</v>
      </c>
    </row>
    <row r="32" spans="1:57" s="3" customFormat="1" ht="21.6" x14ac:dyDescent="0.3">
      <c r="A32" s="16" t="s">
        <v>173</v>
      </c>
      <c r="B32" s="17" t="s">
        <v>183</v>
      </c>
      <c r="C32" s="405" t="s">
        <v>184</v>
      </c>
      <c r="D32" s="405"/>
      <c r="E32" s="405"/>
      <c r="F32" s="16" t="s">
        <v>125</v>
      </c>
      <c r="G32" s="31">
        <v>0.79</v>
      </c>
      <c r="H32" s="57">
        <f t="shared" si="0"/>
        <v>31128.303797468354</v>
      </c>
      <c r="I32" s="19">
        <v>24591.360000000001</v>
      </c>
      <c r="J32" s="19">
        <f t="shared" si="1"/>
        <v>0</v>
      </c>
      <c r="K32" s="19">
        <v>0</v>
      </c>
      <c r="BC32" s="14"/>
      <c r="BD32" s="15"/>
      <c r="BE32" s="21" t="s">
        <v>184</v>
      </c>
    </row>
    <row r="33" spans="1:60" s="3" customFormat="1" ht="15" customHeight="1" x14ac:dyDescent="0.3">
      <c r="A33" s="437" t="s">
        <v>1312</v>
      </c>
      <c r="B33" s="418"/>
      <c r="C33" s="418"/>
      <c r="D33" s="418"/>
      <c r="E33" s="418"/>
      <c r="F33" s="418"/>
      <c r="G33" s="418"/>
      <c r="H33" s="123"/>
      <c r="I33" s="123"/>
      <c r="J33" s="123"/>
      <c r="K33" s="124"/>
      <c r="BC33" s="14"/>
      <c r="BD33" s="15" t="s">
        <v>1312</v>
      </c>
      <c r="BE33" s="21"/>
    </row>
    <row r="34" spans="1:60" s="3" customFormat="1" ht="42" x14ac:dyDescent="0.3">
      <c r="A34" s="16" t="s">
        <v>176</v>
      </c>
      <c r="B34" s="17" t="s">
        <v>1313</v>
      </c>
      <c r="C34" s="405" t="s">
        <v>1314</v>
      </c>
      <c r="D34" s="405"/>
      <c r="E34" s="405"/>
      <c r="F34" s="16" t="s">
        <v>43</v>
      </c>
      <c r="G34" s="30">
        <v>5.1372</v>
      </c>
      <c r="H34" s="57">
        <f t="shared" si="0"/>
        <v>27042.729502452697</v>
      </c>
      <c r="I34" s="19">
        <v>138923.91</v>
      </c>
      <c r="J34" s="19">
        <f t="shared" si="1"/>
        <v>0</v>
      </c>
      <c r="K34" s="19">
        <v>0</v>
      </c>
      <c r="BC34" s="14"/>
      <c r="BD34" s="15"/>
      <c r="BE34" s="21" t="s">
        <v>1314</v>
      </c>
    </row>
    <row r="35" spans="1:60" s="3" customFormat="1" ht="21.6" x14ac:dyDescent="0.3">
      <c r="A35" s="16" t="s">
        <v>177</v>
      </c>
      <c r="B35" s="17" t="s">
        <v>1315</v>
      </c>
      <c r="C35" s="405" t="s">
        <v>1316</v>
      </c>
      <c r="D35" s="405"/>
      <c r="E35" s="405"/>
      <c r="F35" s="16" t="s">
        <v>43</v>
      </c>
      <c r="G35" s="30">
        <v>5.1372</v>
      </c>
      <c r="H35" s="57">
        <f t="shared" si="0"/>
        <v>28419.456123958575</v>
      </c>
      <c r="I35" s="19">
        <v>145996.43</v>
      </c>
      <c r="J35" s="19">
        <f t="shared" si="1"/>
        <v>0</v>
      </c>
      <c r="K35" s="19">
        <v>0</v>
      </c>
      <c r="BC35" s="14"/>
      <c r="BD35" s="15"/>
      <c r="BE35" s="21" t="s">
        <v>1316</v>
      </c>
    </row>
    <row r="36" spans="1:60" s="3" customFormat="1" ht="15" customHeight="1" x14ac:dyDescent="0.3">
      <c r="A36" s="437" t="s">
        <v>1317</v>
      </c>
      <c r="B36" s="418"/>
      <c r="C36" s="418"/>
      <c r="D36" s="418"/>
      <c r="E36" s="418"/>
      <c r="F36" s="418"/>
      <c r="G36" s="418"/>
      <c r="H36" s="123"/>
      <c r="I36" s="123"/>
      <c r="J36" s="123"/>
      <c r="K36" s="124"/>
      <c r="BC36" s="14"/>
      <c r="BD36" s="15" t="s">
        <v>1317</v>
      </c>
      <c r="BE36" s="21"/>
    </row>
    <row r="37" spans="1:60" s="3" customFormat="1" ht="31.8" x14ac:dyDescent="0.3">
      <c r="A37" s="16" t="s">
        <v>180</v>
      </c>
      <c r="B37" s="17" t="s">
        <v>1183</v>
      </c>
      <c r="C37" s="405" t="s">
        <v>1184</v>
      </c>
      <c r="D37" s="405"/>
      <c r="E37" s="405"/>
      <c r="F37" s="16" t="s">
        <v>189</v>
      </c>
      <c r="G37" s="30">
        <v>0.32229999999999998</v>
      </c>
      <c r="H37" s="57">
        <f t="shared" si="0"/>
        <v>49544.213465715184</v>
      </c>
      <c r="I37" s="19">
        <v>15968.100000000002</v>
      </c>
      <c r="J37" s="19">
        <f t="shared" si="1"/>
        <v>82513.682904126603</v>
      </c>
      <c r="K37" s="19">
        <v>26594.16</v>
      </c>
      <c r="BC37" s="14"/>
      <c r="BD37" s="15"/>
      <c r="BE37" s="21" t="s">
        <v>1184</v>
      </c>
    </row>
    <row r="38" spans="1:60" s="3" customFormat="1" ht="20.399999999999999" x14ac:dyDescent="0.3">
      <c r="A38" s="25"/>
      <c r="B38" s="26" t="s">
        <v>648</v>
      </c>
      <c r="C38" s="419" t="s">
        <v>649</v>
      </c>
      <c r="D38" s="419"/>
      <c r="E38" s="419"/>
      <c r="F38" s="27" t="s">
        <v>70</v>
      </c>
      <c r="G38" s="22" t="s">
        <v>1318</v>
      </c>
      <c r="H38" s="57"/>
      <c r="I38" s="28"/>
      <c r="J38" s="19"/>
      <c r="K38" s="29"/>
      <c r="BC38" s="14"/>
      <c r="BD38" s="15"/>
      <c r="BE38" s="21"/>
      <c r="BF38" s="43"/>
      <c r="BG38" s="12" t="s">
        <v>649</v>
      </c>
    </row>
    <row r="39" spans="1:60" s="3" customFormat="1" ht="21.6" x14ac:dyDescent="0.3">
      <c r="A39" s="25" t="s">
        <v>129</v>
      </c>
      <c r="B39" s="26" t="s">
        <v>1319</v>
      </c>
      <c r="C39" s="419" t="s">
        <v>1186</v>
      </c>
      <c r="D39" s="419"/>
      <c r="E39" s="419"/>
      <c r="F39" s="27" t="s">
        <v>158</v>
      </c>
      <c r="G39" s="22" t="s">
        <v>1320</v>
      </c>
      <c r="H39" s="57"/>
      <c r="I39" s="28"/>
      <c r="J39" s="19"/>
      <c r="K39" s="29"/>
      <c r="BC39" s="14"/>
      <c r="BD39" s="15"/>
      <c r="BE39" s="21"/>
      <c r="BF39" s="43"/>
      <c r="BG39" s="12"/>
      <c r="BH39" s="12" t="s">
        <v>1186</v>
      </c>
    </row>
    <row r="40" spans="1:60" s="3" customFormat="1" ht="15" customHeight="1" x14ac:dyDescent="0.3">
      <c r="A40" s="435" t="s">
        <v>1321</v>
      </c>
      <c r="B40" s="436"/>
      <c r="C40" s="436"/>
      <c r="D40" s="436"/>
      <c r="E40" s="436"/>
      <c r="F40" s="436"/>
      <c r="G40" s="436"/>
      <c r="H40" s="150"/>
      <c r="I40" s="150"/>
      <c r="J40" s="150"/>
      <c r="K40" s="151"/>
      <c r="BC40" s="14" t="s">
        <v>1321</v>
      </c>
      <c r="BD40" s="15"/>
      <c r="BE40" s="21"/>
      <c r="BF40" s="43"/>
      <c r="BG40" s="12"/>
      <c r="BH40" s="12"/>
    </row>
    <row r="41" spans="1:60" s="3" customFormat="1" ht="15" customHeight="1" x14ac:dyDescent="0.3">
      <c r="A41" s="437" t="s">
        <v>1322</v>
      </c>
      <c r="B41" s="418"/>
      <c r="C41" s="418"/>
      <c r="D41" s="418"/>
      <c r="E41" s="418"/>
      <c r="F41" s="418"/>
      <c r="G41" s="418"/>
      <c r="H41" s="123"/>
      <c r="I41" s="123"/>
      <c r="J41" s="123"/>
      <c r="K41" s="124"/>
      <c r="BC41" s="14"/>
      <c r="BD41" s="15" t="s">
        <v>1322</v>
      </c>
      <c r="BE41" s="21"/>
      <c r="BF41" s="43"/>
      <c r="BG41" s="12"/>
      <c r="BH41" s="12"/>
    </row>
    <row r="42" spans="1:60" s="3" customFormat="1" ht="21.6" x14ac:dyDescent="0.3">
      <c r="A42" s="16" t="s">
        <v>182</v>
      </c>
      <c r="B42" s="17" t="s">
        <v>1323</v>
      </c>
      <c r="C42" s="405" t="s">
        <v>1324</v>
      </c>
      <c r="D42" s="405"/>
      <c r="E42" s="405"/>
      <c r="F42" s="16" t="s">
        <v>189</v>
      </c>
      <c r="G42" s="30">
        <v>18.194500000000001</v>
      </c>
      <c r="H42" s="57">
        <f t="shared" si="0"/>
        <v>2038.509439665833</v>
      </c>
      <c r="I42" s="19">
        <v>37089.660000000003</v>
      </c>
      <c r="J42" s="19">
        <f t="shared" si="1"/>
        <v>0</v>
      </c>
      <c r="K42" s="19">
        <v>0</v>
      </c>
      <c r="BC42" s="14"/>
      <c r="BD42" s="15"/>
      <c r="BE42" s="21" t="s">
        <v>1324</v>
      </c>
      <c r="BF42" s="43"/>
      <c r="BG42" s="12"/>
      <c r="BH42" s="12"/>
    </row>
    <row r="43" spans="1:60" s="3" customFormat="1" ht="15" customHeight="1" x14ac:dyDescent="0.3">
      <c r="A43" s="437" t="s">
        <v>1325</v>
      </c>
      <c r="B43" s="418"/>
      <c r="C43" s="418"/>
      <c r="D43" s="418"/>
      <c r="E43" s="418"/>
      <c r="F43" s="418"/>
      <c r="G43" s="418"/>
      <c r="H43" s="123"/>
      <c r="I43" s="123"/>
      <c r="J43" s="123"/>
      <c r="K43" s="124"/>
      <c r="BC43" s="14"/>
      <c r="BD43" s="15" t="s">
        <v>1325</v>
      </c>
      <c r="BE43" s="21"/>
      <c r="BF43" s="43"/>
      <c r="BG43" s="12"/>
      <c r="BH43" s="12"/>
    </row>
    <row r="44" spans="1:60" s="3" customFormat="1" ht="21.6" x14ac:dyDescent="0.3">
      <c r="A44" s="16" t="s">
        <v>186</v>
      </c>
      <c r="B44" s="17" t="s">
        <v>1323</v>
      </c>
      <c r="C44" s="405" t="s">
        <v>1324</v>
      </c>
      <c r="D44" s="405"/>
      <c r="E44" s="405"/>
      <c r="F44" s="16" t="s">
        <v>189</v>
      </c>
      <c r="G44" s="18">
        <v>1.272</v>
      </c>
      <c r="H44" s="57">
        <f t="shared" si="0"/>
        <v>2038.5062893081761</v>
      </c>
      <c r="I44" s="19">
        <v>2592.98</v>
      </c>
      <c r="J44" s="19">
        <f t="shared" si="1"/>
        <v>0</v>
      </c>
      <c r="K44" s="19">
        <v>0</v>
      </c>
      <c r="BC44" s="14"/>
      <c r="BD44" s="15"/>
      <c r="BE44" s="21" t="s">
        <v>1324</v>
      </c>
      <c r="BF44" s="43"/>
      <c r="BG44" s="12"/>
      <c r="BH44" s="12"/>
    </row>
    <row r="45" spans="1:60" s="3" customFormat="1" ht="15" customHeight="1" x14ac:dyDescent="0.3">
      <c r="A45" s="437" t="s">
        <v>1326</v>
      </c>
      <c r="B45" s="418"/>
      <c r="C45" s="418"/>
      <c r="D45" s="418"/>
      <c r="E45" s="418"/>
      <c r="F45" s="418"/>
      <c r="G45" s="418"/>
      <c r="H45" s="123"/>
      <c r="I45" s="123"/>
      <c r="J45" s="123"/>
      <c r="K45" s="124"/>
      <c r="BC45" s="14"/>
      <c r="BD45" s="15" t="s">
        <v>1326</v>
      </c>
      <c r="BE45" s="21"/>
      <c r="BF45" s="43"/>
      <c r="BG45" s="12"/>
      <c r="BH45" s="12"/>
    </row>
    <row r="46" spans="1:60" s="3" customFormat="1" ht="15" customHeight="1" x14ac:dyDescent="0.3">
      <c r="A46" s="437" t="s">
        <v>1327</v>
      </c>
      <c r="B46" s="418"/>
      <c r="C46" s="418"/>
      <c r="D46" s="418"/>
      <c r="E46" s="418"/>
      <c r="F46" s="418"/>
      <c r="G46" s="418"/>
      <c r="H46" s="123"/>
      <c r="I46" s="123"/>
      <c r="J46" s="123"/>
      <c r="K46" s="124"/>
      <c r="BC46" s="14"/>
      <c r="BD46" s="15" t="s">
        <v>1327</v>
      </c>
      <c r="BE46" s="21"/>
      <c r="BF46" s="43"/>
      <c r="BG46" s="12"/>
      <c r="BH46" s="12"/>
    </row>
    <row r="47" spans="1:60" s="3" customFormat="1" ht="15" customHeight="1" x14ac:dyDescent="0.3">
      <c r="A47" s="435" t="s">
        <v>1328</v>
      </c>
      <c r="B47" s="436"/>
      <c r="C47" s="436"/>
      <c r="D47" s="436"/>
      <c r="E47" s="436"/>
      <c r="F47" s="436"/>
      <c r="G47" s="436"/>
      <c r="H47" s="150"/>
      <c r="I47" s="150"/>
      <c r="J47" s="150"/>
      <c r="K47" s="128"/>
      <c r="BC47" s="14" t="s">
        <v>1328</v>
      </c>
      <c r="BD47" s="15"/>
      <c r="BE47" s="21"/>
      <c r="BF47" s="43"/>
      <c r="BG47" s="12"/>
      <c r="BH47" s="12"/>
    </row>
    <row r="48" spans="1:60" s="3" customFormat="1" ht="31.8" x14ac:dyDescent="0.3">
      <c r="A48" s="16" t="s">
        <v>192</v>
      </c>
      <c r="B48" s="17" t="s">
        <v>784</v>
      </c>
      <c r="C48" s="405" t="s">
        <v>785</v>
      </c>
      <c r="D48" s="405"/>
      <c r="E48" s="405"/>
      <c r="F48" s="16" t="s">
        <v>329</v>
      </c>
      <c r="G48" s="31">
        <v>8.02</v>
      </c>
      <c r="H48" s="57">
        <f t="shared" si="0"/>
        <v>6966.0972568578554</v>
      </c>
      <c r="I48" s="19">
        <v>55868.1</v>
      </c>
      <c r="J48" s="19">
        <f t="shared" si="1"/>
        <v>24585.294264339154</v>
      </c>
      <c r="K48" s="19">
        <v>197174.06</v>
      </c>
      <c r="BC48" s="14"/>
      <c r="BD48" s="15"/>
      <c r="BE48" s="21" t="s">
        <v>785</v>
      </c>
      <c r="BF48" s="43"/>
      <c r="BG48" s="12"/>
      <c r="BH48" s="12"/>
    </row>
    <row r="49" spans="1:65" s="3" customFormat="1" ht="20.399999999999999" x14ac:dyDescent="0.3">
      <c r="A49" s="37" t="s">
        <v>143</v>
      </c>
      <c r="B49" s="38" t="s">
        <v>786</v>
      </c>
      <c r="C49" s="430" t="s">
        <v>787</v>
      </c>
      <c r="D49" s="430"/>
      <c r="E49" s="430"/>
      <c r="F49" s="39" t="s">
        <v>46</v>
      </c>
      <c r="G49" s="40" t="s">
        <v>1329</v>
      </c>
      <c r="H49" s="57"/>
      <c r="I49" s="41"/>
      <c r="J49" s="19"/>
      <c r="K49" s="42"/>
      <c r="BC49" s="14"/>
      <c r="BD49" s="15"/>
      <c r="BE49" s="21"/>
      <c r="BF49" s="43" t="s">
        <v>787</v>
      </c>
      <c r="BG49" s="12"/>
      <c r="BH49" s="12"/>
    </row>
    <row r="50" spans="1:65" s="3" customFormat="1" ht="20.399999999999999" x14ac:dyDescent="0.3">
      <c r="A50" s="37" t="s">
        <v>143</v>
      </c>
      <c r="B50" s="38" t="s">
        <v>789</v>
      </c>
      <c r="C50" s="430" t="s">
        <v>790</v>
      </c>
      <c r="D50" s="430"/>
      <c r="E50" s="430"/>
      <c r="F50" s="39" t="s">
        <v>75</v>
      </c>
      <c r="G50" s="40" t="s">
        <v>1330</v>
      </c>
      <c r="H50" s="57"/>
      <c r="I50" s="41"/>
      <c r="J50" s="19"/>
      <c r="K50" s="42"/>
      <c r="BC50" s="14"/>
      <c r="BD50" s="15"/>
      <c r="BE50" s="21"/>
      <c r="BF50" s="43" t="s">
        <v>790</v>
      </c>
      <c r="BG50" s="12"/>
      <c r="BH50" s="12"/>
    </row>
    <row r="51" spans="1:65" s="3" customFormat="1" ht="21.6" x14ac:dyDescent="0.3">
      <c r="A51" s="25"/>
      <c r="B51" s="26" t="s">
        <v>792</v>
      </c>
      <c r="C51" s="419" t="s">
        <v>793</v>
      </c>
      <c r="D51" s="419"/>
      <c r="E51" s="419"/>
      <c r="F51" s="27" t="s">
        <v>70</v>
      </c>
      <c r="G51" s="22" t="s">
        <v>1331</v>
      </c>
      <c r="H51" s="57"/>
      <c r="I51" s="28"/>
      <c r="J51" s="19"/>
      <c r="K51" s="29"/>
      <c r="BC51" s="14"/>
      <c r="BD51" s="15"/>
      <c r="BE51" s="21"/>
      <c r="BF51" s="43"/>
      <c r="BG51" s="12" t="s">
        <v>793</v>
      </c>
      <c r="BH51" s="12"/>
    </row>
    <row r="52" spans="1:65" s="3" customFormat="1" ht="20.399999999999999" x14ac:dyDescent="0.3">
      <c r="A52" s="25" t="s">
        <v>129</v>
      </c>
      <c r="B52" s="26" t="s">
        <v>795</v>
      </c>
      <c r="C52" s="419" t="s">
        <v>787</v>
      </c>
      <c r="D52" s="419"/>
      <c r="E52" s="419"/>
      <c r="F52" s="27" t="s">
        <v>46</v>
      </c>
      <c r="G52" s="22" t="s">
        <v>1329</v>
      </c>
      <c r="H52" s="57"/>
      <c r="I52" s="28"/>
      <c r="J52" s="19"/>
      <c r="K52" s="29"/>
      <c r="BC52" s="14"/>
      <c r="BD52" s="15"/>
      <c r="BE52" s="21"/>
      <c r="BF52" s="43"/>
      <c r="BG52" s="12"/>
      <c r="BH52" s="12" t="s">
        <v>787</v>
      </c>
    </row>
    <row r="53" spans="1:65" s="3" customFormat="1" ht="20.399999999999999" x14ac:dyDescent="0.3">
      <c r="A53" s="25" t="s">
        <v>129</v>
      </c>
      <c r="B53" s="26" t="s">
        <v>796</v>
      </c>
      <c r="C53" s="419" t="s">
        <v>797</v>
      </c>
      <c r="D53" s="419"/>
      <c r="E53" s="419"/>
      <c r="F53" s="27" t="s">
        <v>75</v>
      </c>
      <c r="G53" s="22" t="s">
        <v>1330</v>
      </c>
      <c r="H53" s="57"/>
      <c r="I53" s="28"/>
      <c r="J53" s="19"/>
      <c r="K53" s="29"/>
      <c r="BC53" s="14"/>
      <c r="BD53" s="15"/>
      <c r="BE53" s="21"/>
      <c r="BF53" s="43"/>
      <c r="BG53" s="12"/>
      <c r="BH53" s="12" t="s">
        <v>797</v>
      </c>
    </row>
    <row r="54" spans="1:65" s="3" customFormat="1" ht="20.25" customHeight="1" x14ac:dyDescent="0.3">
      <c r="A54" s="406" t="s">
        <v>57</v>
      </c>
      <c r="B54" s="407"/>
      <c r="C54" s="407"/>
      <c r="D54" s="407"/>
      <c r="E54" s="407"/>
      <c r="F54" s="407"/>
      <c r="G54" s="407"/>
      <c r="H54" s="66"/>
      <c r="I54" s="67">
        <f>SUM(I14:I53)</f>
        <v>4036325.2700000005</v>
      </c>
      <c r="J54" s="72"/>
      <c r="K54" s="67">
        <f>SUM(K14:K53)</f>
        <v>3392606.95</v>
      </c>
    </row>
    <row r="55" spans="1:65" s="53" customFormat="1" ht="20.25" customHeight="1" thickBot="1" x14ac:dyDescent="0.35">
      <c r="A55" s="408" t="s">
        <v>5461</v>
      </c>
      <c r="B55" s="409"/>
      <c r="C55" s="409"/>
      <c r="D55" s="409"/>
      <c r="E55" s="409"/>
      <c r="F55" s="409"/>
      <c r="G55" s="409"/>
      <c r="H55" s="88"/>
      <c r="I55" s="410">
        <f>I54+K54</f>
        <v>7428932.2200000007</v>
      </c>
      <c r="J55" s="411"/>
      <c r="K55" s="412"/>
    </row>
    <row r="57" spans="1:65" ht="11.25" customHeight="1" x14ac:dyDescent="0.2">
      <c r="BM57" s="54"/>
    </row>
    <row r="58" spans="1:65" ht="11.25" customHeight="1" x14ac:dyDescent="0.2">
      <c r="BM58" s="54"/>
    </row>
    <row r="59" spans="1:65" ht="11.25" customHeight="1" x14ac:dyDescent="0.2">
      <c r="BM59" s="54"/>
    </row>
  </sheetData>
  <autoFilter ref="A11:BQ55" xr:uid="{00000000-0001-0000-0D00-000000000000}"/>
  <mergeCells count="52">
    <mergeCell ref="A36:G36"/>
    <mergeCell ref="A33:G33"/>
    <mergeCell ref="A30:G30"/>
    <mergeCell ref="A27:G27"/>
    <mergeCell ref="A25:G25"/>
    <mergeCell ref="C31:E31"/>
    <mergeCell ref="C32:E32"/>
    <mergeCell ref="C34:E34"/>
    <mergeCell ref="C35:E35"/>
    <mergeCell ref="C26:E26"/>
    <mergeCell ref="C28:E28"/>
    <mergeCell ref="C29:E29"/>
    <mergeCell ref="I55:K55"/>
    <mergeCell ref="A54:G54"/>
    <mergeCell ref="A55:G55"/>
    <mergeCell ref="C50:E50"/>
    <mergeCell ref="C51:E51"/>
    <mergeCell ref="C52:E52"/>
    <mergeCell ref="C53:E53"/>
    <mergeCell ref="C48:E48"/>
    <mergeCell ref="C49:E49"/>
    <mergeCell ref="C42:E42"/>
    <mergeCell ref="C44:E44"/>
    <mergeCell ref="C37:E37"/>
    <mergeCell ref="C38:E38"/>
    <mergeCell ref="C39:E39"/>
    <mergeCell ref="A47:G47"/>
    <mergeCell ref="A40:G40"/>
    <mergeCell ref="A46:G46"/>
    <mergeCell ref="A45:G45"/>
    <mergeCell ref="A43:G43"/>
    <mergeCell ref="A41:G41"/>
    <mergeCell ref="C22:E22"/>
    <mergeCell ref="C23:E23"/>
    <mergeCell ref="C24:E24"/>
    <mergeCell ref="C16:E16"/>
    <mergeCell ref="C18:E18"/>
    <mergeCell ref="C19:E19"/>
    <mergeCell ref="C20:E20"/>
    <mergeCell ref="A17:G17"/>
    <mergeCell ref="A21:G21"/>
    <mergeCell ref="A2:K2"/>
    <mergeCell ref="A3:K3"/>
    <mergeCell ref="A5:K5"/>
    <mergeCell ref="C14:E14"/>
    <mergeCell ref="C15:E15"/>
    <mergeCell ref="A13:G13"/>
    <mergeCell ref="A6:K6"/>
    <mergeCell ref="C7:G7"/>
    <mergeCell ref="C9:E9"/>
    <mergeCell ref="C10:E10"/>
    <mergeCell ref="A12:G12"/>
  </mergeCells>
  <printOptions horizontalCentered="1"/>
  <pageMargins left="0.39370077848434498" right="0.39370077848434498" top="0.35433071851730302" bottom="0.31496062874794001" header="0.118110239505768" footer="0.118110239505768"/>
  <pageSetup paperSize="9" scale="67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  <pageSetUpPr fitToPage="1"/>
  </sheetPr>
  <dimension ref="A1:BK182"/>
  <sheetViews>
    <sheetView workbookViewId="0">
      <selection activeCell="H1" sqref="H1:K1048576"/>
    </sheetView>
  </sheetViews>
  <sheetFormatPr defaultColWidth="9.109375" defaultRowHeight="11.25" customHeight="1" x14ac:dyDescent="0.2"/>
  <cols>
    <col min="1" max="1" width="12.33203125" style="1" customWidth="1"/>
    <col min="2" max="2" width="24" style="1" customWidth="1"/>
    <col min="3" max="3" width="16.5546875" style="1" customWidth="1"/>
    <col min="4" max="4" width="17.33203125" style="1" customWidth="1"/>
    <col min="5" max="5" width="20.88671875" style="1" customWidth="1"/>
    <col min="6" max="7" width="10.6640625" style="1" customWidth="1"/>
    <col min="8" max="11" width="16.109375" style="54" customWidth="1"/>
    <col min="12" max="12" width="10.6640625" style="1" customWidth="1"/>
    <col min="13" max="13" width="15.6640625" style="1" customWidth="1"/>
    <col min="14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7" s="3" customFormat="1" ht="14.4" x14ac:dyDescent="0.3">
      <c r="A1" s="95" t="s">
        <v>5587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7" s="3" customFormat="1" ht="30.75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1774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7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7" s="3" customFormat="1" ht="14.4" x14ac:dyDescent="0.3">
      <c r="A5" s="404" t="s">
        <v>3333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3333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7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7" s="3" customFormat="1" ht="14.4" x14ac:dyDescent="0.3">
      <c r="A7" s="4"/>
      <c r="B7" s="8" t="s">
        <v>5</v>
      </c>
      <c r="C7" s="402" t="s">
        <v>3334</v>
      </c>
      <c r="D7" s="402"/>
      <c r="E7" s="402"/>
      <c r="F7" s="402"/>
      <c r="G7" s="402"/>
      <c r="H7" s="55"/>
      <c r="I7" s="109"/>
      <c r="J7" s="109"/>
      <c r="K7" s="10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7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7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7" s="3" customFormat="1" ht="15" customHeight="1" x14ac:dyDescent="0.3">
      <c r="A11" s="435" t="s">
        <v>1594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C11" s="14" t="s">
        <v>1594</v>
      </c>
    </row>
    <row r="12" spans="1:57" s="3" customFormat="1" ht="15" customHeight="1" x14ac:dyDescent="0.3">
      <c r="A12" s="437" t="s">
        <v>3335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C12" s="14"/>
      <c r="BD12" s="15" t="s">
        <v>3335</v>
      </c>
    </row>
    <row r="13" spans="1:57" s="3" customFormat="1" ht="31.8" x14ac:dyDescent="0.3">
      <c r="A13" s="16" t="s">
        <v>15</v>
      </c>
      <c r="B13" s="17" t="s">
        <v>592</v>
      </c>
      <c r="C13" s="405" t="s">
        <v>593</v>
      </c>
      <c r="D13" s="405"/>
      <c r="E13" s="405"/>
      <c r="F13" s="16" t="s">
        <v>43</v>
      </c>
      <c r="G13" s="44">
        <v>0.41732000000000002</v>
      </c>
      <c r="H13" s="57">
        <f>I13/G13</f>
        <v>37096.281031342856</v>
      </c>
      <c r="I13" s="19">
        <f>15481.02-K13</f>
        <v>15481.02</v>
      </c>
      <c r="J13" s="19">
        <f>K13/G13</f>
        <v>0</v>
      </c>
      <c r="K13" s="19">
        <v>0</v>
      </c>
      <c r="BC13" s="14"/>
      <c r="BD13" s="15"/>
      <c r="BE13" s="21" t="s">
        <v>593</v>
      </c>
    </row>
    <row r="14" spans="1:57" s="3" customFormat="1" ht="15" customHeight="1" x14ac:dyDescent="0.3">
      <c r="A14" s="437" t="s">
        <v>1596</v>
      </c>
      <c r="B14" s="418"/>
      <c r="C14" s="418"/>
      <c r="D14" s="418"/>
      <c r="E14" s="418"/>
      <c r="F14" s="418"/>
      <c r="G14" s="418"/>
      <c r="H14" s="123"/>
      <c r="I14" s="123"/>
      <c r="J14" s="123"/>
      <c r="K14" s="124"/>
      <c r="BC14" s="14"/>
      <c r="BD14" s="15" t="s">
        <v>1596</v>
      </c>
      <c r="BE14" s="21"/>
    </row>
    <row r="15" spans="1:57" s="3" customFormat="1" ht="42" x14ac:dyDescent="0.3">
      <c r="A15" s="16" t="s">
        <v>20</v>
      </c>
      <c r="B15" s="17" t="s">
        <v>3336</v>
      </c>
      <c r="C15" s="405" t="s">
        <v>3337</v>
      </c>
      <c r="D15" s="405"/>
      <c r="E15" s="405"/>
      <c r="F15" s="16" t="s">
        <v>43</v>
      </c>
      <c r="G15" s="44">
        <v>0.30892999999999998</v>
      </c>
      <c r="H15" s="57">
        <f>I15/G15</f>
        <v>5961.8683844236557</v>
      </c>
      <c r="I15" s="19">
        <f>1841.8-K15</f>
        <v>1841.8</v>
      </c>
      <c r="J15" s="19">
        <f>K15/G15</f>
        <v>0</v>
      </c>
      <c r="K15" s="19">
        <v>0</v>
      </c>
      <c r="BC15" s="14"/>
      <c r="BD15" s="15"/>
      <c r="BE15" s="21" t="s">
        <v>3337</v>
      </c>
    </row>
    <row r="16" spans="1:57" s="3" customFormat="1" ht="15" customHeight="1" x14ac:dyDescent="0.3">
      <c r="A16" s="437" t="s">
        <v>3338</v>
      </c>
      <c r="B16" s="418"/>
      <c r="C16" s="418"/>
      <c r="D16" s="418"/>
      <c r="E16" s="418"/>
      <c r="F16" s="418"/>
      <c r="G16" s="418"/>
      <c r="H16" s="123"/>
      <c r="I16" s="123"/>
      <c r="J16" s="123"/>
      <c r="K16" s="124"/>
      <c r="BC16" s="14"/>
      <c r="BD16" s="15" t="s">
        <v>3338</v>
      </c>
      <c r="BE16" s="21"/>
    </row>
    <row r="17" spans="1:60" s="3" customFormat="1" ht="52.2" x14ac:dyDescent="0.3">
      <c r="A17" s="16" t="s">
        <v>22</v>
      </c>
      <c r="B17" s="17" t="s">
        <v>1598</v>
      </c>
      <c r="C17" s="405" t="s">
        <v>1599</v>
      </c>
      <c r="D17" s="405"/>
      <c r="E17" s="405"/>
      <c r="F17" s="16" t="s">
        <v>43</v>
      </c>
      <c r="G17" s="44">
        <v>0.10839</v>
      </c>
      <c r="H17" s="57">
        <f>I17/G17</f>
        <v>68055.724697850354</v>
      </c>
      <c r="I17" s="19">
        <f>7376.56-K17</f>
        <v>7376.56</v>
      </c>
      <c r="J17" s="19">
        <f>K17/G17</f>
        <v>0</v>
      </c>
      <c r="K17" s="19">
        <v>0</v>
      </c>
      <c r="BC17" s="14"/>
      <c r="BD17" s="15"/>
      <c r="BE17" s="21" t="s">
        <v>1599</v>
      </c>
    </row>
    <row r="18" spans="1:60" s="3" customFormat="1" ht="42" x14ac:dyDescent="0.3">
      <c r="A18" s="16" t="s">
        <v>27</v>
      </c>
      <c r="B18" s="17" t="s">
        <v>48</v>
      </c>
      <c r="C18" s="405" t="s">
        <v>49</v>
      </c>
      <c r="D18" s="405"/>
      <c r="E18" s="405"/>
      <c r="F18" s="16" t="s">
        <v>50</v>
      </c>
      <c r="G18" s="31">
        <v>216.78</v>
      </c>
      <c r="H18" s="57">
        <f>I18/G18</f>
        <v>598.37581880247262</v>
      </c>
      <c r="I18" s="265">
        <v>129715.91</v>
      </c>
      <c r="J18" s="19">
        <f>K18/G18</f>
        <v>0</v>
      </c>
      <c r="K18" s="19"/>
      <c r="BC18" s="14"/>
      <c r="BD18" s="15"/>
      <c r="BE18" s="21" t="s">
        <v>49</v>
      </c>
    </row>
    <row r="19" spans="1:60" s="3" customFormat="1" ht="15" customHeight="1" x14ac:dyDescent="0.3">
      <c r="A19" s="437" t="s">
        <v>1600</v>
      </c>
      <c r="B19" s="418"/>
      <c r="C19" s="418"/>
      <c r="D19" s="418"/>
      <c r="E19" s="418"/>
      <c r="F19" s="418"/>
      <c r="G19" s="418"/>
      <c r="H19" s="123"/>
      <c r="I19" s="123"/>
      <c r="J19" s="123"/>
      <c r="K19" s="124"/>
      <c r="BC19" s="14"/>
      <c r="BD19" s="15" t="s">
        <v>1600</v>
      </c>
      <c r="BE19" s="21"/>
    </row>
    <row r="20" spans="1:60" s="3" customFormat="1" ht="21.6" x14ac:dyDescent="0.3">
      <c r="A20" s="16" t="s">
        <v>35</v>
      </c>
      <c r="B20" s="17" t="s">
        <v>1601</v>
      </c>
      <c r="C20" s="405" t="s">
        <v>1602</v>
      </c>
      <c r="D20" s="405"/>
      <c r="E20" s="405"/>
      <c r="F20" s="16" t="s">
        <v>102</v>
      </c>
      <c r="G20" s="18">
        <v>10.839</v>
      </c>
      <c r="H20" s="57">
        <f>I20/G20</f>
        <v>11010.069194575144</v>
      </c>
      <c r="I20" s="19">
        <f>182638.19-K20</f>
        <v>119338.14</v>
      </c>
      <c r="J20" s="19">
        <f>K20/G20</f>
        <v>5840.0267552357227</v>
      </c>
      <c r="K20" s="19">
        <v>63300.05</v>
      </c>
      <c r="BC20" s="14"/>
      <c r="BD20" s="15"/>
      <c r="BE20" s="21" t="s">
        <v>1602</v>
      </c>
    </row>
    <row r="21" spans="1:60" s="3" customFormat="1" ht="20.399999999999999" x14ac:dyDescent="0.3">
      <c r="A21" s="37" t="s">
        <v>143</v>
      </c>
      <c r="B21" s="38" t="s">
        <v>767</v>
      </c>
      <c r="C21" s="430" t="s">
        <v>768</v>
      </c>
      <c r="D21" s="430"/>
      <c r="E21" s="430"/>
      <c r="F21" s="39" t="s">
        <v>46</v>
      </c>
      <c r="G21" s="40" t="s">
        <v>3339</v>
      </c>
      <c r="H21" s="100"/>
      <c r="I21" s="41"/>
      <c r="J21" s="41"/>
      <c r="K21" s="42"/>
      <c r="BC21" s="14"/>
      <c r="BD21" s="15"/>
      <c r="BE21" s="21"/>
      <c r="BF21" s="43" t="s">
        <v>768</v>
      </c>
    </row>
    <row r="22" spans="1:60" s="3" customFormat="1" ht="21.6" x14ac:dyDescent="0.3">
      <c r="A22" s="25" t="s">
        <v>129</v>
      </c>
      <c r="B22" s="26" t="s">
        <v>205</v>
      </c>
      <c r="C22" s="419" t="s">
        <v>82</v>
      </c>
      <c r="D22" s="419"/>
      <c r="E22" s="419"/>
      <c r="F22" s="27" t="s">
        <v>46</v>
      </c>
      <c r="G22" s="22" t="s">
        <v>3339</v>
      </c>
      <c r="H22" s="57"/>
      <c r="I22" s="320"/>
      <c r="J22" s="19"/>
      <c r="K22" s="29"/>
      <c r="BC22" s="14"/>
      <c r="BD22" s="15"/>
      <c r="BE22" s="21"/>
      <c r="BF22" s="43"/>
      <c r="BG22" s="12" t="s">
        <v>82</v>
      </c>
    </row>
    <row r="23" spans="1:60" s="3" customFormat="1" ht="15" customHeight="1" x14ac:dyDescent="0.3">
      <c r="A23" s="437" t="s">
        <v>3340</v>
      </c>
      <c r="B23" s="418"/>
      <c r="C23" s="418"/>
      <c r="D23" s="418"/>
      <c r="E23" s="418"/>
      <c r="F23" s="418"/>
      <c r="G23" s="418"/>
      <c r="H23" s="123"/>
      <c r="I23" s="123"/>
      <c r="J23" s="123"/>
      <c r="K23" s="124"/>
      <c r="BC23" s="14"/>
      <c r="BD23" s="15" t="s">
        <v>3340</v>
      </c>
      <c r="BE23" s="21"/>
      <c r="BF23" s="43"/>
      <c r="BG23" s="12"/>
    </row>
    <row r="24" spans="1:60" s="3" customFormat="1" ht="31.8" x14ac:dyDescent="0.3">
      <c r="A24" s="16" t="s">
        <v>40</v>
      </c>
      <c r="B24" s="17" t="s">
        <v>3341</v>
      </c>
      <c r="C24" s="405" t="s">
        <v>3342</v>
      </c>
      <c r="D24" s="405"/>
      <c r="E24" s="405"/>
      <c r="F24" s="16" t="s">
        <v>67</v>
      </c>
      <c r="G24" s="31">
        <v>16.420000000000002</v>
      </c>
      <c r="H24" s="57">
        <f>I24/G24</f>
        <v>5335.6339829476246</v>
      </c>
      <c r="I24" s="19">
        <f>87754.97-K24</f>
        <v>87611.11</v>
      </c>
      <c r="J24" s="19">
        <f>K24/G24</f>
        <v>8.7612667478684525</v>
      </c>
      <c r="K24" s="19">
        <v>143.86000000000001</v>
      </c>
      <c r="BC24" s="14"/>
      <c r="BD24" s="15"/>
      <c r="BE24" s="21" t="s">
        <v>3342</v>
      </c>
      <c r="BF24" s="43"/>
      <c r="BG24" s="12"/>
    </row>
    <row r="25" spans="1:60" s="3" customFormat="1" ht="21.6" x14ac:dyDescent="0.3">
      <c r="A25" s="25"/>
      <c r="B25" s="26" t="s">
        <v>607</v>
      </c>
      <c r="C25" s="419" t="s">
        <v>608</v>
      </c>
      <c r="D25" s="419"/>
      <c r="E25" s="419"/>
      <c r="F25" s="27" t="s">
        <v>609</v>
      </c>
      <c r="G25" s="22" t="s">
        <v>3343</v>
      </c>
      <c r="H25" s="58"/>
      <c r="I25" s="28"/>
      <c r="J25" s="28"/>
      <c r="K25" s="29"/>
      <c r="BC25" s="14"/>
      <c r="BD25" s="15"/>
      <c r="BE25" s="21"/>
      <c r="BF25" s="43"/>
      <c r="BG25" s="12"/>
      <c r="BH25" s="12" t="s">
        <v>608</v>
      </c>
    </row>
    <row r="26" spans="1:60" s="3" customFormat="1" ht="21.6" x14ac:dyDescent="0.3">
      <c r="A26" s="16" t="s">
        <v>47</v>
      </c>
      <c r="B26" s="17" t="s">
        <v>3344</v>
      </c>
      <c r="C26" s="405" t="s">
        <v>3345</v>
      </c>
      <c r="D26" s="405"/>
      <c r="E26" s="405"/>
      <c r="F26" s="16" t="s">
        <v>115</v>
      </c>
      <c r="G26" s="31">
        <v>1674.84</v>
      </c>
      <c r="H26" s="57">
        <f>I26/G26</f>
        <v>0</v>
      </c>
      <c r="I26" s="265"/>
      <c r="J26" s="19">
        <f>K26/G26</f>
        <v>221.51549998805859</v>
      </c>
      <c r="K26" s="19">
        <v>371003.02</v>
      </c>
      <c r="BC26" s="14"/>
      <c r="BD26" s="15"/>
      <c r="BE26" s="21" t="s">
        <v>3345</v>
      </c>
      <c r="BF26" s="43"/>
      <c r="BG26" s="12"/>
      <c r="BH26" s="12"/>
    </row>
    <row r="27" spans="1:60" s="3" customFormat="1" ht="15" customHeight="1" x14ac:dyDescent="0.3">
      <c r="A27" s="437" t="s">
        <v>3346</v>
      </c>
      <c r="B27" s="418"/>
      <c r="C27" s="418"/>
      <c r="D27" s="418"/>
      <c r="E27" s="418"/>
      <c r="F27" s="418"/>
      <c r="G27" s="418"/>
      <c r="H27" s="123"/>
      <c r="I27" s="123"/>
      <c r="J27" s="123"/>
      <c r="K27" s="124"/>
      <c r="BC27" s="14"/>
      <c r="BD27" s="15" t="s">
        <v>3346</v>
      </c>
      <c r="BE27" s="21"/>
      <c r="BF27" s="43"/>
      <c r="BG27" s="12"/>
      <c r="BH27" s="12"/>
    </row>
    <row r="28" spans="1:60" s="3" customFormat="1" ht="21.6" x14ac:dyDescent="0.3">
      <c r="A28" s="16" t="s">
        <v>52</v>
      </c>
      <c r="B28" s="17" t="s">
        <v>597</v>
      </c>
      <c r="C28" s="405" t="s">
        <v>598</v>
      </c>
      <c r="D28" s="405"/>
      <c r="E28" s="405"/>
      <c r="F28" s="16" t="s">
        <v>67</v>
      </c>
      <c r="G28" s="24">
        <v>7.1</v>
      </c>
      <c r="H28" s="57">
        <f>I28/G28</f>
        <v>12315.157746478873</v>
      </c>
      <c r="I28" s="19">
        <f>92022.69-K28</f>
        <v>87437.62</v>
      </c>
      <c r="J28" s="19">
        <f>K28/G28</f>
        <v>645.78450704225349</v>
      </c>
      <c r="K28" s="19">
        <v>4585.07</v>
      </c>
      <c r="BC28" s="14"/>
      <c r="BD28" s="15"/>
      <c r="BE28" s="21" t="s">
        <v>598</v>
      </c>
      <c r="BF28" s="43"/>
      <c r="BG28" s="12"/>
      <c r="BH28" s="12"/>
    </row>
    <row r="29" spans="1:60" s="3" customFormat="1" ht="20.399999999999999" x14ac:dyDescent="0.3">
      <c r="A29" s="25"/>
      <c r="B29" s="26" t="s">
        <v>599</v>
      </c>
      <c r="C29" s="419" t="s">
        <v>600</v>
      </c>
      <c r="D29" s="419"/>
      <c r="E29" s="419"/>
      <c r="F29" s="27" t="s">
        <v>406</v>
      </c>
      <c r="G29" s="22" t="s">
        <v>3347</v>
      </c>
      <c r="H29" s="58"/>
      <c r="I29" s="28"/>
      <c r="J29" s="28"/>
      <c r="K29" s="29"/>
      <c r="BC29" s="14"/>
      <c r="BD29" s="15"/>
      <c r="BE29" s="21"/>
      <c r="BF29" s="43"/>
      <c r="BG29" s="12"/>
      <c r="BH29" s="12" t="s">
        <v>600</v>
      </c>
    </row>
    <row r="30" spans="1:60" s="3" customFormat="1" ht="21.6" x14ac:dyDescent="0.3">
      <c r="A30" s="25"/>
      <c r="B30" s="26" t="s">
        <v>601</v>
      </c>
      <c r="C30" s="419" t="s">
        <v>602</v>
      </c>
      <c r="D30" s="419"/>
      <c r="E30" s="419"/>
      <c r="F30" s="27" t="s">
        <v>70</v>
      </c>
      <c r="G30" s="22" t="s">
        <v>3348</v>
      </c>
      <c r="H30" s="58"/>
      <c r="I30" s="28"/>
      <c r="J30" s="28"/>
      <c r="K30" s="29"/>
      <c r="BC30" s="14"/>
      <c r="BD30" s="15"/>
      <c r="BE30" s="21"/>
      <c r="BF30" s="43"/>
      <c r="BG30" s="12"/>
      <c r="BH30" s="12" t="s">
        <v>602</v>
      </c>
    </row>
    <row r="31" spans="1:60" s="3" customFormat="1" ht="21.6" x14ac:dyDescent="0.3">
      <c r="A31" s="25"/>
      <c r="B31" s="26" t="s">
        <v>603</v>
      </c>
      <c r="C31" s="419" t="s">
        <v>604</v>
      </c>
      <c r="D31" s="419"/>
      <c r="E31" s="419"/>
      <c r="F31" s="27" t="s">
        <v>70</v>
      </c>
      <c r="G31" s="22" t="s">
        <v>3349</v>
      </c>
      <c r="H31" s="58"/>
      <c r="I31" s="28"/>
      <c r="J31" s="28"/>
      <c r="K31" s="29"/>
      <c r="BC31" s="14"/>
      <c r="BD31" s="15"/>
      <c r="BE31" s="21"/>
      <c r="BF31" s="43"/>
      <c r="BG31" s="12"/>
      <c r="BH31" s="12" t="s">
        <v>604</v>
      </c>
    </row>
    <row r="32" spans="1:60" s="3" customFormat="1" ht="20.399999999999999" x14ac:dyDescent="0.3">
      <c r="A32" s="25"/>
      <c r="B32" s="26" t="s">
        <v>605</v>
      </c>
      <c r="C32" s="419" t="s">
        <v>606</v>
      </c>
      <c r="D32" s="419"/>
      <c r="E32" s="419"/>
      <c r="F32" s="27" t="s">
        <v>75</v>
      </c>
      <c r="G32" s="22" t="s">
        <v>3350</v>
      </c>
      <c r="H32" s="58"/>
      <c r="I32" s="28"/>
      <c r="J32" s="28"/>
      <c r="K32" s="29"/>
      <c r="BC32" s="14"/>
      <c r="BD32" s="15"/>
      <c r="BE32" s="21"/>
      <c r="BF32" s="43"/>
      <c r="BG32" s="12"/>
      <c r="BH32" s="12" t="s">
        <v>606</v>
      </c>
    </row>
    <row r="33" spans="1:60" s="3" customFormat="1" ht="20.399999999999999" x14ac:dyDescent="0.3">
      <c r="A33" s="25"/>
      <c r="B33" s="26" t="s">
        <v>89</v>
      </c>
      <c r="C33" s="419" t="s">
        <v>90</v>
      </c>
      <c r="D33" s="419"/>
      <c r="E33" s="419"/>
      <c r="F33" s="27" t="s">
        <v>70</v>
      </c>
      <c r="G33" s="22" t="s">
        <v>3351</v>
      </c>
      <c r="H33" s="58"/>
      <c r="I33" s="28"/>
      <c r="J33" s="28"/>
      <c r="K33" s="29"/>
      <c r="BC33" s="14"/>
      <c r="BD33" s="15"/>
      <c r="BE33" s="21"/>
      <c r="BF33" s="43"/>
      <c r="BG33" s="12"/>
      <c r="BH33" s="12" t="s">
        <v>90</v>
      </c>
    </row>
    <row r="34" spans="1:60" s="3" customFormat="1" ht="21.6" x14ac:dyDescent="0.3">
      <c r="A34" s="25"/>
      <c r="B34" s="26" t="s">
        <v>607</v>
      </c>
      <c r="C34" s="419" t="s">
        <v>608</v>
      </c>
      <c r="D34" s="419"/>
      <c r="E34" s="419"/>
      <c r="F34" s="27" t="s">
        <v>609</v>
      </c>
      <c r="G34" s="22" t="s">
        <v>3352</v>
      </c>
      <c r="H34" s="58"/>
      <c r="I34" s="28"/>
      <c r="J34" s="28"/>
      <c r="K34" s="29"/>
      <c r="BC34" s="14"/>
      <c r="BD34" s="15"/>
      <c r="BE34" s="21"/>
      <c r="BF34" s="43"/>
      <c r="BG34" s="12"/>
      <c r="BH34" s="12" t="s">
        <v>608</v>
      </c>
    </row>
    <row r="35" spans="1:60" s="3" customFormat="1" ht="42" x14ac:dyDescent="0.3">
      <c r="A35" s="16" t="s">
        <v>55</v>
      </c>
      <c r="B35" s="17" t="s">
        <v>3353</v>
      </c>
      <c r="C35" s="405" t="s">
        <v>3354</v>
      </c>
      <c r="D35" s="405"/>
      <c r="E35" s="405"/>
      <c r="F35" s="16" t="s">
        <v>115</v>
      </c>
      <c r="G35" s="24">
        <v>724.2</v>
      </c>
      <c r="H35" s="57">
        <v>0</v>
      </c>
      <c r="I35" s="19">
        <v>0</v>
      </c>
      <c r="J35" s="19">
        <f>K35/G35</f>
        <v>387.63000552333608</v>
      </c>
      <c r="K35" s="19">
        <v>280721.65000000002</v>
      </c>
      <c r="BC35" s="14"/>
      <c r="BD35" s="15"/>
      <c r="BE35" s="21" t="s">
        <v>3354</v>
      </c>
      <c r="BF35" s="43"/>
      <c r="BG35" s="12"/>
      <c r="BH35" s="12"/>
    </row>
    <row r="36" spans="1:60" s="3" customFormat="1" ht="15" customHeight="1" x14ac:dyDescent="0.3">
      <c r="A36" s="437" t="s">
        <v>3355</v>
      </c>
      <c r="B36" s="418"/>
      <c r="C36" s="418"/>
      <c r="D36" s="418"/>
      <c r="E36" s="418"/>
      <c r="F36" s="418"/>
      <c r="G36" s="418"/>
      <c r="H36" s="123"/>
      <c r="I36" s="123"/>
      <c r="J36" s="123"/>
      <c r="K36" s="124"/>
      <c r="BC36" s="14"/>
      <c r="BD36" s="15" t="s">
        <v>3355</v>
      </c>
      <c r="BE36" s="21"/>
      <c r="BF36" s="43"/>
      <c r="BG36" s="12"/>
      <c r="BH36" s="12"/>
    </row>
    <row r="37" spans="1:60" s="3" customFormat="1" ht="21.6" x14ac:dyDescent="0.3">
      <c r="A37" s="16" t="s">
        <v>56</v>
      </c>
      <c r="B37" s="17" t="s">
        <v>1945</v>
      </c>
      <c r="C37" s="405" t="s">
        <v>1946</v>
      </c>
      <c r="D37" s="405"/>
      <c r="E37" s="405"/>
      <c r="F37" s="16" t="s">
        <v>67</v>
      </c>
      <c r="G37" s="24">
        <v>4.5999999999999996</v>
      </c>
      <c r="H37" s="57">
        <f>I37/G37</f>
        <v>10823.360869565218</v>
      </c>
      <c r="I37" s="19">
        <f>51294.95-K37</f>
        <v>49787.46</v>
      </c>
      <c r="J37" s="19">
        <f>K37/G37</f>
        <v>327.71521739130435</v>
      </c>
      <c r="K37" s="19">
        <v>1507.49</v>
      </c>
      <c r="BC37" s="14"/>
      <c r="BD37" s="15"/>
      <c r="BE37" s="21" t="s">
        <v>1946</v>
      </c>
      <c r="BF37" s="43"/>
      <c r="BG37" s="12"/>
      <c r="BH37" s="12"/>
    </row>
    <row r="38" spans="1:60" s="3" customFormat="1" ht="20.399999999999999" x14ac:dyDescent="0.3">
      <c r="A38" s="25"/>
      <c r="B38" s="26" t="s">
        <v>599</v>
      </c>
      <c r="C38" s="419" t="s">
        <v>600</v>
      </c>
      <c r="D38" s="419"/>
      <c r="E38" s="419"/>
      <c r="F38" s="27" t="s">
        <v>406</v>
      </c>
      <c r="G38" s="22" t="s">
        <v>3356</v>
      </c>
      <c r="H38" s="58"/>
      <c r="I38" s="28"/>
      <c r="J38" s="28"/>
      <c r="K38" s="29"/>
      <c r="BC38" s="14"/>
      <c r="BD38" s="15"/>
      <c r="BE38" s="21"/>
      <c r="BF38" s="43"/>
      <c r="BG38" s="12"/>
      <c r="BH38" s="12" t="s">
        <v>600</v>
      </c>
    </row>
    <row r="39" spans="1:60" s="3" customFormat="1" ht="21.6" x14ac:dyDescent="0.3">
      <c r="A39" s="25"/>
      <c r="B39" s="26" t="s">
        <v>1766</v>
      </c>
      <c r="C39" s="419" t="s">
        <v>1767</v>
      </c>
      <c r="D39" s="419"/>
      <c r="E39" s="419"/>
      <c r="F39" s="27" t="s">
        <v>70</v>
      </c>
      <c r="G39" s="22" t="s">
        <v>3357</v>
      </c>
      <c r="H39" s="58"/>
      <c r="I39" s="28"/>
      <c r="J39" s="28"/>
      <c r="K39" s="29"/>
      <c r="BC39" s="14"/>
      <c r="BD39" s="15"/>
      <c r="BE39" s="21"/>
      <c r="BF39" s="43"/>
      <c r="BG39" s="12"/>
      <c r="BH39" s="12" t="s">
        <v>1767</v>
      </c>
    </row>
    <row r="40" spans="1:60" s="3" customFormat="1" ht="20.399999999999999" x14ac:dyDescent="0.3">
      <c r="A40" s="25"/>
      <c r="B40" s="26" t="s">
        <v>89</v>
      </c>
      <c r="C40" s="419" t="s">
        <v>90</v>
      </c>
      <c r="D40" s="419"/>
      <c r="E40" s="419"/>
      <c r="F40" s="27" t="s">
        <v>70</v>
      </c>
      <c r="G40" s="22" t="s">
        <v>3358</v>
      </c>
      <c r="H40" s="58"/>
      <c r="I40" s="28"/>
      <c r="J40" s="28"/>
      <c r="K40" s="29"/>
      <c r="BC40" s="14"/>
      <c r="BD40" s="15"/>
      <c r="BE40" s="21"/>
      <c r="BF40" s="43"/>
      <c r="BG40" s="12"/>
      <c r="BH40" s="12" t="s">
        <v>90</v>
      </c>
    </row>
    <row r="41" spans="1:60" s="3" customFormat="1" ht="21.6" x14ac:dyDescent="0.3">
      <c r="A41" s="25"/>
      <c r="B41" s="26" t="s">
        <v>607</v>
      </c>
      <c r="C41" s="419" t="s">
        <v>608</v>
      </c>
      <c r="D41" s="419"/>
      <c r="E41" s="419"/>
      <c r="F41" s="27" t="s">
        <v>609</v>
      </c>
      <c r="G41" s="22" t="s">
        <v>3359</v>
      </c>
      <c r="H41" s="58"/>
      <c r="I41" s="28"/>
      <c r="J41" s="28"/>
      <c r="K41" s="29"/>
      <c r="BC41" s="14"/>
      <c r="BD41" s="15"/>
      <c r="BE41" s="21"/>
      <c r="BF41" s="43"/>
      <c r="BG41" s="12"/>
      <c r="BH41" s="12" t="s">
        <v>608</v>
      </c>
    </row>
    <row r="42" spans="1:60" s="3" customFormat="1" ht="42" x14ac:dyDescent="0.3">
      <c r="A42" s="16" t="s">
        <v>166</v>
      </c>
      <c r="B42" s="17" t="s">
        <v>3353</v>
      </c>
      <c r="C42" s="405" t="s">
        <v>3354</v>
      </c>
      <c r="D42" s="405"/>
      <c r="E42" s="405"/>
      <c r="F42" s="16" t="s">
        <v>115</v>
      </c>
      <c r="G42" s="24">
        <v>469.2</v>
      </c>
      <c r="H42" s="57">
        <v>0</v>
      </c>
      <c r="I42" s="19">
        <v>0</v>
      </c>
      <c r="J42" s="19">
        <f>K42/G42</f>
        <v>387.63000852514921</v>
      </c>
      <c r="K42" s="19">
        <v>181876</v>
      </c>
      <c r="BC42" s="14"/>
      <c r="BD42" s="15"/>
      <c r="BE42" s="21" t="s">
        <v>3354</v>
      </c>
      <c r="BF42" s="43"/>
      <c r="BG42" s="12"/>
      <c r="BH42" s="12"/>
    </row>
    <row r="43" spans="1:60" s="3" customFormat="1" ht="15" customHeight="1" x14ac:dyDescent="0.3">
      <c r="A43" s="437" t="s">
        <v>3360</v>
      </c>
      <c r="B43" s="418"/>
      <c r="C43" s="418"/>
      <c r="D43" s="418"/>
      <c r="E43" s="418"/>
      <c r="F43" s="418"/>
      <c r="G43" s="418"/>
      <c r="H43" s="123"/>
      <c r="I43" s="123"/>
      <c r="J43" s="123"/>
      <c r="K43" s="124"/>
      <c r="BC43" s="14"/>
      <c r="BD43" s="15" t="s">
        <v>3360</v>
      </c>
      <c r="BE43" s="21"/>
      <c r="BF43" s="43"/>
      <c r="BG43" s="12"/>
      <c r="BH43" s="12"/>
    </row>
    <row r="44" spans="1:60" s="3" customFormat="1" ht="21.6" x14ac:dyDescent="0.3">
      <c r="A44" s="16" t="s">
        <v>169</v>
      </c>
      <c r="B44" s="17" t="s">
        <v>3361</v>
      </c>
      <c r="C44" s="405" t="s">
        <v>3362</v>
      </c>
      <c r="D44" s="405"/>
      <c r="E44" s="405"/>
      <c r="F44" s="16" t="s">
        <v>67</v>
      </c>
      <c r="G44" s="31">
        <v>4.18</v>
      </c>
      <c r="H44" s="57">
        <f>I44/G44</f>
        <v>15579.564593301435</v>
      </c>
      <c r="I44" s="19">
        <f>66524.98-K44</f>
        <v>65122.579999999994</v>
      </c>
      <c r="J44" s="19">
        <f>K44/G44</f>
        <v>335.50239234449765</v>
      </c>
      <c r="K44" s="19">
        <v>1402.4</v>
      </c>
      <c r="BC44" s="14"/>
      <c r="BD44" s="15"/>
      <c r="BE44" s="21" t="s">
        <v>3362</v>
      </c>
      <c r="BF44" s="43"/>
      <c r="BG44" s="12"/>
      <c r="BH44" s="12"/>
    </row>
    <row r="45" spans="1:60" s="3" customFormat="1" ht="20.399999999999999" x14ac:dyDescent="0.3">
      <c r="A45" s="25"/>
      <c r="B45" s="26" t="s">
        <v>599</v>
      </c>
      <c r="C45" s="419" t="s">
        <v>600</v>
      </c>
      <c r="D45" s="419"/>
      <c r="E45" s="419"/>
      <c r="F45" s="27" t="s">
        <v>406</v>
      </c>
      <c r="G45" s="22" t="s">
        <v>3363</v>
      </c>
      <c r="H45" s="58"/>
      <c r="I45" s="28"/>
      <c r="J45" s="28"/>
      <c r="K45" s="29"/>
      <c r="BC45" s="14"/>
      <c r="BD45" s="15"/>
      <c r="BE45" s="21"/>
      <c r="BF45" s="43"/>
      <c r="BG45" s="12"/>
      <c r="BH45" s="12" t="s">
        <v>600</v>
      </c>
    </row>
    <row r="46" spans="1:60" s="3" customFormat="1" ht="21.6" x14ac:dyDescent="0.3">
      <c r="A46" s="25"/>
      <c r="B46" s="26" t="s">
        <v>1766</v>
      </c>
      <c r="C46" s="419" t="s">
        <v>1767</v>
      </c>
      <c r="D46" s="419"/>
      <c r="E46" s="419"/>
      <c r="F46" s="27" t="s">
        <v>70</v>
      </c>
      <c r="G46" s="22" t="s">
        <v>3364</v>
      </c>
      <c r="H46" s="58"/>
      <c r="I46" s="28"/>
      <c r="J46" s="28"/>
      <c r="K46" s="29"/>
      <c r="BC46" s="14"/>
      <c r="BD46" s="15"/>
      <c r="BE46" s="21"/>
      <c r="BF46" s="43"/>
      <c r="BG46" s="12"/>
      <c r="BH46" s="12" t="s">
        <v>1767</v>
      </c>
    </row>
    <row r="47" spans="1:60" s="3" customFormat="1" ht="20.399999999999999" x14ac:dyDescent="0.3">
      <c r="A47" s="25"/>
      <c r="B47" s="26" t="s">
        <v>89</v>
      </c>
      <c r="C47" s="419" t="s">
        <v>90</v>
      </c>
      <c r="D47" s="419"/>
      <c r="E47" s="419"/>
      <c r="F47" s="27" t="s">
        <v>70</v>
      </c>
      <c r="G47" s="22" t="s">
        <v>3365</v>
      </c>
      <c r="H47" s="58"/>
      <c r="I47" s="28"/>
      <c r="J47" s="28"/>
      <c r="K47" s="29"/>
      <c r="BC47" s="14"/>
      <c r="BD47" s="15"/>
      <c r="BE47" s="21"/>
      <c r="BF47" s="43"/>
      <c r="BG47" s="12"/>
      <c r="BH47" s="12" t="s">
        <v>90</v>
      </c>
    </row>
    <row r="48" spans="1:60" s="3" customFormat="1" ht="21.6" x14ac:dyDescent="0.3">
      <c r="A48" s="25"/>
      <c r="B48" s="26" t="s">
        <v>607</v>
      </c>
      <c r="C48" s="419" t="s">
        <v>608</v>
      </c>
      <c r="D48" s="419"/>
      <c r="E48" s="419"/>
      <c r="F48" s="27" t="s">
        <v>609</v>
      </c>
      <c r="G48" s="22" t="s">
        <v>3366</v>
      </c>
      <c r="H48" s="58"/>
      <c r="I48" s="28"/>
      <c r="J48" s="28"/>
      <c r="K48" s="29"/>
      <c r="BC48" s="14"/>
      <c r="BD48" s="15"/>
      <c r="BE48" s="21"/>
      <c r="BF48" s="43"/>
      <c r="BG48" s="12"/>
      <c r="BH48" s="12" t="s">
        <v>608</v>
      </c>
    </row>
    <row r="49" spans="1:60" s="3" customFormat="1" ht="42" x14ac:dyDescent="0.3">
      <c r="A49" s="16" t="s">
        <v>170</v>
      </c>
      <c r="B49" s="17" t="s">
        <v>3367</v>
      </c>
      <c r="C49" s="405" t="s">
        <v>3368</v>
      </c>
      <c r="D49" s="405"/>
      <c r="E49" s="405"/>
      <c r="F49" s="16" t="s">
        <v>115</v>
      </c>
      <c r="G49" s="31">
        <v>426.36</v>
      </c>
      <c r="H49" s="57">
        <v>0</v>
      </c>
      <c r="I49" s="19">
        <v>0</v>
      </c>
      <c r="J49" s="19">
        <f>K49/G49</f>
        <v>984.29700253307055</v>
      </c>
      <c r="K49" s="19">
        <v>419664.87</v>
      </c>
      <c r="BC49" s="14"/>
      <c r="BD49" s="15"/>
      <c r="BE49" s="21" t="s">
        <v>3368</v>
      </c>
      <c r="BF49" s="43"/>
      <c r="BG49" s="12"/>
      <c r="BH49" s="12"/>
    </row>
    <row r="50" spans="1:60" s="3" customFormat="1" ht="15" customHeight="1" x14ac:dyDescent="0.3">
      <c r="A50" s="437" t="s">
        <v>3369</v>
      </c>
      <c r="B50" s="418"/>
      <c r="C50" s="418"/>
      <c r="D50" s="418"/>
      <c r="E50" s="418"/>
      <c r="F50" s="418"/>
      <c r="G50" s="418"/>
      <c r="H50" s="123"/>
      <c r="I50" s="123"/>
      <c r="J50" s="123"/>
      <c r="K50" s="124"/>
      <c r="BC50" s="14"/>
      <c r="BD50" s="15" t="s">
        <v>3369</v>
      </c>
      <c r="BE50" s="21"/>
      <c r="BF50" s="43"/>
      <c r="BG50" s="12"/>
      <c r="BH50" s="12"/>
    </row>
    <row r="51" spans="1:60" s="3" customFormat="1" ht="21.6" x14ac:dyDescent="0.3">
      <c r="A51" s="16" t="s">
        <v>173</v>
      </c>
      <c r="B51" s="17" t="s">
        <v>3370</v>
      </c>
      <c r="C51" s="405" t="s">
        <v>3371</v>
      </c>
      <c r="D51" s="405"/>
      <c r="E51" s="405"/>
      <c r="F51" s="16" t="s">
        <v>67</v>
      </c>
      <c r="G51" s="31">
        <v>3.17</v>
      </c>
      <c r="H51" s="57">
        <f>I51/G51</f>
        <v>19529.914826498425</v>
      </c>
      <c r="I51" s="19">
        <f>62994.14-K51</f>
        <v>61909.83</v>
      </c>
      <c r="J51" s="19">
        <f>K51/G51</f>
        <v>342.05362776025237</v>
      </c>
      <c r="K51" s="19">
        <v>1084.31</v>
      </c>
      <c r="BC51" s="14"/>
      <c r="BD51" s="15"/>
      <c r="BE51" s="21" t="s">
        <v>3371</v>
      </c>
      <c r="BF51" s="43"/>
      <c r="BG51" s="12"/>
      <c r="BH51" s="12"/>
    </row>
    <row r="52" spans="1:60" s="3" customFormat="1" ht="20.399999999999999" x14ac:dyDescent="0.3">
      <c r="A52" s="25"/>
      <c r="B52" s="26" t="s">
        <v>599</v>
      </c>
      <c r="C52" s="419" t="s">
        <v>600</v>
      </c>
      <c r="D52" s="419"/>
      <c r="E52" s="419"/>
      <c r="F52" s="27" t="s">
        <v>406</v>
      </c>
      <c r="G52" s="22" t="s">
        <v>3372</v>
      </c>
      <c r="H52" s="58"/>
      <c r="I52" s="28"/>
      <c r="J52" s="28"/>
      <c r="K52" s="29"/>
      <c r="BC52" s="14"/>
      <c r="BD52" s="15"/>
      <c r="BE52" s="21"/>
      <c r="BF52" s="43"/>
      <c r="BG52" s="12"/>
      <c r="BH52" s="12" t="s">
        <v>600</v>
      </c>
    </row>
    <row r="53" spans="1:60" s="3" customFormat="1" ht="21.6" x14ac:dyDescent="0.3">
      <c r="A53" s="25"/>
      <c r="B53" s="26" t="s">
        <v>1766</v>
      </c>
      <c r="C53" s="419" t="s">
        <v>1767</v>
      </c>
      <c r="D53" s="419"/>
      <c r="E53" s="419"/>
      <c r="F53" s="27" t="s">
        <v>70</v>
      </c>
      <c r="G53" s="22" t="s">
        <v>3373</v>
      </c>
      <c r="H53" s="58"/>
      <c r="I53" s="28"/>
      <c r="J53" s="28"/>
      <c r="K53" s="29"/>
      <c r="BC53" s="14"/>
      <c r="BD53" s="15"/>
      <c r="BE53" s="21"/>
      <c r="BF53" s="43"/>
      <c r="BG53" s="12"/>
      <c r="BH53" s="12" t="s">
        <v>1767</v>
      </c>
    </row>
    <row r="54" spans="1:60" s="3" customFormat="1" ht="20.399999999999999" x14ac:dyDescent="0.3">
      <c r="A54" s="25"/>
      <c r="B54" s="26" t="s">
        <v>89</v>
      </c>
      <c r="C54" s="419" t="s">
        <v>90</v>
      </c>
      <c r="D54" s="419"/>
      <c r="E54" s="419"/>
      <c r="F54" s="27" t="s">
        <v>70</v>
      </c>
      <c r="G54" s="22" t="s">
        <v>3374</v>
      </c>
      <c r="H54" s="58"/>
      <c r="I54" s="28"/>
      <c r="J54" s="28"/>
      <c r="K54" s="29"/>
      <c r="BC54" s="14"/>
      <c r="BD54" s="15"/>
      <c r="BE54" s="21"/>
      <c r="BF54" s="43"/>
      <c r="BG54" s="12"/>
      <c r="BH54" s="12" t="s">
        <v>90</v>
      </c>
    </row>
    <row r="55" spans="1:60" s="3" customFormat="1" ht="21.6" x14ac:dyDescent="0.3">
      <c r="A55" s="25"/>
      <c r="B55" s="26" t="s">
        <v>607</v>
      </c>
      <c r="C55" s="419" t="s">
        <v>608</v>
      </c>
      <c r="D55" s="419"/>
      <c r="E55" s="419"/>
      <c r="F55" s="27" t="s">
        <v>609</v>
      </c>
      <c r="G55" s="22" t="s">
        <v>3375</v>
      </c>
      <c r="H55" s="58"/>
      <c r="I55" s="28"/>
      <c r="J55" s="28"/>
      <c r="K55" s="29"/>
      <c r="BC55" s="14"/>
      <c r="BD55" s="15"/>
      <c r="BE55" s="21"/>
      <c r="BF55" s="43"/>
      <c r="BG55" s="12"/>
      <c r="BH55" s="12" t="s">
        <v>608</v>
      </c>
    </row>
    <row r="56" spans="1:60" s="3" customFormat="1" ht="42" x14ac:dyDescent="0.3">
      <c r="A56" s="16" t="s">
        <v>176</v>
      </c>
      <c r="B56" s="17" t="s">
        <v>3376</v>
      </c>
      <c r="C56" s="405" t="s">
        <v>3377</v>
      </c>
      <c r="D56" s="405"/>
      <c r="E56" s="405"/>
      <c r="F56" s="16" t="s">
        <v>115</v>
      </c>
      <c r="G56" s="31">
        <v>323.33999999999997</v>
      </c>
      <c r="H56" s="57">
        <v>0</v>
      </c>
      <c r="I56" s="19">
        <v>0</v>
      </c>
      <c r="J56" s="19">
        <f>K56/G56</f>
        <v>1331.1285025051031</v>
      </c>
      <c r="K56" s="19">
        <v>430407.09</v>
      </c>
      <c r="BC56" s="14"/>
      <c r="BD56" s="15"/>
      <c r="BE56" s="21" t="s">
        <v>3377</v>
      </c>
      <c r="BF56" s="43"/>
      <c r="BG56" s="12"/>
      <c r="BH56" s="12"/>
    </row>
    <row r="57" spans="1:60" s="3" customFormat="1" ht="15" customHeight="1" x14ac:dyDescent="0.3">
      <c r="A57" s="437" t="s">
        <v>3378</v>
      </c>
      <c r="B57" s="418"/>
      <c r="C57" s="418"/>
      <c r="D57" s="418"/>
      <c r="E57" s="418"/>
      <c r="F57" s="418"/>
      <c r="G57" s="418"/>
      <c r="H57" s="123"/>
      <c r="I57" s="123"/>
      <c r="J57" s="123"/>
      <c r="K57" s="124"/>
      <c r="BC57" s="14"/>
      <c r="BD57" s="15" t="s">
        <v>3378</v>
      </c>
      <c r="BE57" s="21"/>
      <c r="BF57" s="43"/>
      <c r="BG57" s="12"/>
      <c r="BH57" s="12"/>
    </row>
    <row r="58" spans="1:60" s="3" customFormat="1" ht="21.6" x14ac:dyDescent="0.3">
      <c r="A58" s="16" t="s">
        <v>177</v>
      </c>
      <c r="B58" s="17" t="s">
        <v>597</v>
      </c>
      <c r="C58" s="405" t="s">
        <v>598</v>
      </c>
      <c r="D58" s="405"/>
      <c r="E58" s="405"/>
      <c r="F58" s="16" t="s">
        <v>67</v>
      </c>
      <c r="G58" s="31">
        <v>19.05</v>
      </c>
      <c r="H58" s="57">
        <f>I58/G58</f>
        <v>12315.160104986875</v>
      </c>
      <c r="I58" s="19">
        <f>246905.99-K58</f>
        <v>234603.8</v>
      </c>
      <c r="J58" s="19">
        <f>K58/G58</f>
        <v>645.7842519685039</v>
      </c>
      <c r="K58" s="19">
        <v>12302.19</v>
      </c>
      <c r="BC58" s="14"/>
      <c r="BD58" s="15"/>
      <c r="BE58" s="21" t="s">
        <v>598</v>
      </c>
      <c r="BF58" s="43"/>
      <c r="BG58" s="12"/>
      <c r="BH58" s="12"/>
    </row>
    <row r="59" spans="1:60" s="3" customFormat="1" ht="20.399999999999999" x14ac:dyDescent="0.3">
      <c r="A59" s="25"/>
      <c r="B59" s="26" t="s">
        <v>599</v>
      </c>
      <c r="C59" s="419" t="s">
        <v>600</v>
      </c>
      <c r="D59" s="419"/>
      <c r="E59" s="419"/>
      <c r="F59" s="27" t="s">
        <v>406</v>
      </c>
      <c r="G59" s="22" t="s">
        <v>3379</v>
      </c>
      <c r="H59" s="58"/>
      <c r="I59" s="28"/>
      <c r="J59" s="28"/>
      <c r="K59" s="29"/>
      <c r="BC59" s="14"/>
      <c r="BD59" s="15"/>
      <c r="BE59" s="21"/>
      <c r="BF59" s="43"/>
      <c r="BG59" s="12"/>
      <c r="BH59" s="12" t="s">
        <v>600</v>
      </c>
    </row>
    <row r="60" spans="1:60" s="3" customFormat="1" ht="21.6" x14ac:dyDescent="0.3">
      <c r="A60" s="25"/>
      <c r="B60" s="26" t="s">
        <v>601</v>
      </c>
      <c r="C60" s="419" t="s">
        <v>602</v>
      </c>
      <c r="D60" s="419"/>
      <c r="E60" s="419"/>
      <c r="F60" s="27" t="s">
        <v>70</v>
      </c>
      <c r="G60" s="22" t="s">
        <v>3380</v>
      </c>
      <c r="H60" s="58"/>
      <c r="I60" s="28"/>
      <c r="J60" s="28"/>
      <c r="K60" s="29"/>
      <c r="BC60" s="14"/>
      <c r="BD60" s="15"/>
      <c r="BE60" s="21"/>
      <c r="BF60" s="43"/>
      <c r="BG60" s="12"/>
      <c r="BH60" s="12" t="s">
        <v>602</v>
      </c>
    </row>
    <row r="61" spans="1:60" s="3" customFormat="1" ht="21.6" x14ac:dyDescent="0.3">
      <c r="A61" s="25"/>
      <c r="B61" s="26" t="s">
        <v>603</v>
      </c>
      <c r="C61" s="419" t="s">
        <v>604</v>
      </c>
      <c r="D61" s="419"/>
      <c r="E61" s="419"/>
      <c r="F61" s="27" t="s">
        <v>70</v>
      </c>
      <c r="G61" s="22" t="s">
        <v>3381</v>
      </c>
      <c r="H61" s="58"/>
      <c r="I61" s="28"/>
      <c r="J61" s="28"/>
      <c r="K61" s="29"/>
      <c r="BC61" s="14"/>
      <c r="BD61" s="15"/>
      <c r="BE61" s="21"/>
      <c r="BF61" s="43"/>
      <c r="BG61" s="12"/>
      <c r="BH61" s="12" t="s">
        <v>604</v>
      </c>
    </row>
    <row r="62" spans="1:60" s="3" customFormat="1" ht="20.399999999999999" x14ac:dyDescent="0.3">
      <c r="A62" s="25"/>
      <c r="B62" s="26" t="s">
        <v>605</v>
      </c>
      <c r="C62" s="419" t="s">
        <v>606</v>
      </c>
      <c r="D62" s="419"/>
      <c r="E62" s="419"/>
      <c r="F62" s="27" t="s">
        <v>75</v>
      </c>
      <c r="G62" s="22" t="s">
        <v>3382</v>
      </c>
      <c r="H62" s="58"/>
      <c r="I62" s="28"/>
      <c r="J62" s="28"/>
      <c r="K62" s="29"/>
      <c r="BC62" s="14"/>
      <c r="BD62" s="15"/>
      <c r="BE62" s="21"/>
      <c r="BF62" s="43"/>
      <c r="BG62" s="12"/>
      <c r="BH62" s="12" t="s">
        <v>606</v>
      </c>
    </row>
    <row r="63" spans="1:60" s="3" customFormat="1" ht="20.399999999999999" x14ac:dyDescent="0.3">
      <c r="A63" s="25"/>
      <c r="B63" s="26" t="s">
        <v>89</v>
      </c>
      <c r="C63" s="419" t="s">
        <v>90</v>
      </c>
      <c r="D63" s="419"/>
      <c r="E63" s="419"/>
      <c r="F63" s="27" t="s">
        <v>70</v>
      </c>
      <c r="G63" s="22" t="s">
        <v>3383</v>
      </c>
      <c r="H63" s="58"/>
      <c r="I63" s="28"/>
      <c r="J63" s="28"/>
      <c r="K63" s="29"/>
      <c r="BC63" s="14"/>
      <c r="BD63" s="15"/>
      <c r="BE63" s="21"/>
      <c r="BF63" s="43"/>
      <c r="BG63" s="12"/>
      <c r="BH63" s="12" t="s">
        <v>90</v>
      </c>
    </row>
    <row r="64" spans="1:60" s="3" customFormat="1" ht="21.6" x14ac:dyDescent="0.3">
      <c r="A64" s="25"/>
      <c r="B64" s="26" t="s">
        <v>607</v>
      </c>
      <c r="C64" s="419" t="s">
        <v>608</v>
      </c>
      <c r="D64" s="419"/>
      <c r="E64" s="419"/>
      <c r="F64" s="27" t="s">
        <v>609</v>
      </c>
      <c r="G64" s="22" t="s">
        <v>3384</v>
      </c>
      <c r="H64" s="58"/>
      <c r="I64" s="28"/>
      <c r="J64" s="28"/>
      <c r="K64" s="29"/>
      <c r="BC64" s="14"/>
      <c r="BD64" s="15"/>
      <c r="BE64" s="21"/>
      <c r="BF64" s="43"/>
      <c r="BG64" s="12"/>
      <c r="BH64" s="12" t="s">
        <v>608</v>
      </c>
    </row>
    <row r="65" spans="1:60" s="3" customFormat="1" ht="21.6" x14ac:dyDescent="0.3">
      <c r="A65" s="16" t="s">
        <v>180</v>
      </c>
      <c r="B65" s="17" t="s">
        <v>3385</v>
      </c>
      <c r="C65" s="405" t="s">
        <v>3386</v>
      </c>
      <c r="D65" s="405"/>
      <c r="E65" s="405"/>
      <c r="F65" s="16" t="s">
        <v>1049</v>
      </c>
      <c r="G65" s="30">
        <v>1.9431</v>
      </c>
      <c r="H65" s="57">
        <f>I65/G65</f>
        <v>0</v>
      </c>
      <c r="I65" s="265"/>
      <c r="J65" s="19">
        <f>K65/G65</f>
        <v>81713.818125675461</v>
      </c>
      <c r="K65" s="19">
        <v>158778.12</v>
      </c>
      <c r="BC65" s="14"/>
      <c r="BD65" s="15"/>
      <c r="BE65" s="21" t="s">
        <v>3386</v>
      </c>
      <c r="BF65" s="43"/>
      <c r="BG65" s="12"/>
      <c r="BH65" s="12"/>
    </row>
    <row r="66" spans="1:60" s="3" customFormat="1" ht="15" customHeight="1" x14ac:dyDescent="0.3">
      <c r="A66" s="437" t="s">
        <v>3387</v>
      </c>
      <c r="B66" s="418"/>
      <c r="C66" s="418"/>
      <c r="D66" s="418"/>
      <c r="E66" s="418"/>
      <c r="F66" s="418"/>
      <c r="G66" s="418"/>
      <c r="H66" s="123"/>
      <c r="I66" s="123"/>
      <c r="J66" s="123"/>
      <c r="K66" s="124"/>
      <c r="BC66" s="14"/>
      <c r="BD66" s="15" t="s">
        <v>3387</v>
      </c>
      <c r="BE66" s="21"/>
      <c r="BF66" s="43"/>
      <c r="BG66" s="12"/>
      <c r="BH66" s="12"/>
    </row>
    <row r="67" spans="1:60" s="3" customFormat="1" ht="31.8" x14ac:dyDescent="0.3">
      <c r="A67" s="16" t="s">
        <v>182</v>
      </c>
      <c r="B67" s="17" t="s">
        <v>3388</v>
      </c>
      <c r="C67" s="405" t="s">
        <v>3389</v>
      </c>
      <c r="D67" s="405"/>
      <c r="E67" s="405"/>
      <c r="F67" s="16" t="s">
        <v>1261</v>
      </c>
      <c r="G67" s="24">
        <v>6.6</v>
      </c>
      <c r="H67" s="57">
        <f>I67/G67</f>
        <v>10238.646969696971</v>
      </c>
      <c r="I67" s="19">
        <f>90191.42-K67</f>
        <v>67575.070000000007</v>
      </c>
      <c r="J67" s="19">
        <f>K67/G67</f>
        <v>3426.719696969697</v>
      </c>
      <c r="K67" s="19">
        <v>22616.35</v>
      </c>
      <c r="BC67" s="14"/>
      <c r="BD67" s="15"/>
      <c r="BE67" s="21" t="s">
        <v>3389</v>
      </c>
      <c r="BF67" s="43"/>
      <c r="BG67" s="12"/>
      <c r="BH67" s="12"/>
    </row>
    <row r="68" spans="1:60" s="3" customFormat="1" ht="20.399999999999999" x14ac:dyDescent="0.3">
      <c r="A68" s="37" t="s">
        <v>143</v>
      </c>
      <c r="B68" s="38" t="s">
        <v>1824</v>
      </c>
      <c r="C68" s="430" t="s">
        <v>3390</v>
      </c>
      <c r="D68" s="430"/>
      <c r="E68" s="430"/>
      <c r="F68" s="39" t="s">
        <v>38</v>
      </c>
      <c r="G68" s="40" t="s">
        <v>3391</v>
      </c>
      <c r="H68" s="100"/>
      <c r="I68" s="41"/>
      <c r="J68" s="41"/>
      <c r="K68" s="42"/>
      <c r="BC68" s="14"/>
      <c r="BD68" s="15"/>
      <c r="BE68" s="21"/>
      <c r="BF68" s="43" t="s">
        <v>3390</v>
      </c>
      <c r="BG68" s="12"/>
      <c r="BH68" s="12"/>
    </row>
    <row r="69" spans="1:60" s="3" customFormat="1" ht="21.6" x14ac:dyDescent="0.3">
      <c r="A69" s="25" t="s">
        <v>129</v>
      </c>
      <c r="B69" s="26" t="s">
        <v>3392</v>
      </c>
      <c r="C69" s="419" t="s">
        <v>3393</v>
      </c>
      <c r="D69" s="419"/>
      <c r="E69" s="419"/>
      <c r="F69" s="27" t="s">
        <v>1261</v>
      </c>
      <c r="G69" s="22" t="s">
        <v>3391</v>
      </c>
      <c r="H69" s="57"/>
      <c r="I69" s="320"/>
      <c r="J69" s="19"/>
      <c r="K69" s="29"/>
      <c r="BC69" s="14"/>
      <c r="BD69" s="15"/>
      <c r="BE69" s="21"/>
      <c r="BF69" s="43"/>
      <c r="BG69" s="12" t="s">
        <v>3393</v>
      </c>
      <c r="BH69" s="12"/>
    </row>
    <row r="70" spans="1:60" s="3" customFormat="1" ht="15" customHeight="1" x14ac:dyDescent="0.3">
      <c r="A70" s="437" t="s">
        <v>3394</v>
      </c>
      <c r="B70" s="418"/>
      <c r="C70" s="418"/>
      <c r="D70" s="418"/>
      <c r="E70" s="418"/>
      <c r="F70" s="418"/>
      <c r="G70" s="418"/>
      <c r="H70" s="123"/>
      <c r="I70" s="123"/>
      <c r="J70" s="123"/>
      <c r="K70" s="124"/>
      <c r="BC70" s="14"/>
      <c r="BD70" s="15" t="s">
        <v>3394</v>
      </c>
      <c r="BE70" s="21"/>
      <c r="BF70" s="43"/>
      <c r="BG70" s="12"/>
      <c r="BH70" s="12"/>
    </row>
    <row r="71" spans="1:60" s="3" customFormat="1" ht="21.6" x14ac:dyDescent="0.3">
      <c r="A71" s="16" t="s">
        <v>186</v>
      </c>
      <c r="B71" s="17" t="s">
        <v>3395</v>
      </c>
      <c r="C71" s="405" t="s">
        <v>3396</v>
      </c>
      <c r="D71" s="405"/>
      <c r="E71" s="405"/>
      <c r="F71" s="16" t="s">
        <v>38</v>
      </c>
      <c r="G71" s="23">
        <v>148</v>
      </c>
      <c r="H71" s="57">
        <f>I71/G71</f>
        <v>566.54358108108102</v>
      </c>
      <c r="I71" s="19">
        <f>85079.66-K71</f>
        <v>83848.45</v>
      </c>
      <c r="J71" s="19">
        <f>K71/G71</f>
        <v>8.3189864864864873</v>
      </c>
      <c r="K71" s="19">
        <v>1231.21</v>
      </c>
      <c r="BC71" s="14"/>
      <c r="BD71" s="15"/>
      <c r="BE71" s="21" t="s">
        <v>3396</v>
      </c>
      <c r="BF71" s="43"/>
      <c r="BG71" s="12"/>
      <c r="BH71" s="12"/>
    </row>
    <row r="72" spans="1:60" s="3" customFormat="1" ht="20.399999999999999" x14ac:dyDescent="0.3">
      <c r="A72" s="25"/>
      <c r="B72" s="26" t="s">
        <v>2604</v>
      </c>
      <c r="C72" s="419" t="s">
        <v>2605</v>
      </c>
      <c r="D72" s="419"/>
      <c r="E72" s="419"/>
      <c r="F72" s="27" t="s">
        <v>75</v>
      </c>
      <c r="G72" s="22" t="s">
        <v>3397</v>
      </c>
      <c r="H72" s="58"/>
      <c r="I72" s="28"/>
      <c r="J72" s="28"/>
      <c r="K72" s="29"/>
      <c r="BC72" s="14"/>
      <c r="BD72" s="15"/>
      <c r="BE72" s="21"/>
      <c r="BF72" s="43"/>
      <c r="BG72" s="12"/>
      <c r="BH72" s="12" t="s">
        <v>2605</v>
      </c>
    </row>
    <row r="73" spans="1:60" s="3" customFormat="1" ht="20.399999999999999" x14ac:dyDescent="0.3">
      <c r="A73" s="25"/>
      <c r="B73" s="26" t="s">
        <v>3398</v>
      </c>
      <c r="C73" s="419" t="s">
        <v>3399</v>
      </c>
      <c r="D73" s="419"/>
      <c r="E73" s="419"/>
      <c r="F73" s="27" t="s">
        <v>67</v>
      </c>
      <c r="G73" s="22" t="s">
        <v>3400</v>
      </c>
      <c r="H73" s="58"/>
      <c r="I73" s="28"/>
      <c r="J73" s="28"/>
      <c r="K73" s="29"/>
      <c r="BC73" s="14"/>
      <c r="BD73" s="15"/>
      <c r="BE73" s="21"/>
      <c r="BF73" s="43"/>
      <c r="BG73" s="12"/>
      <c r="BH73" s="12" t="s">
        <v>3399</v>
      </c>
    </row>
    <row r="74" spans="1:60" s="3" customFormat="1" ht="21.6" x14ac:dyDescent="0.3">
      <c r="A74" s="25"/>
      <c r="B74" s="26" t="s">
        <v>3401</v>
      </c>
      <c r="C74" s="419" t="s">
        <v>3402</v>
      </c>
      <c r="D74" s="419"/>
      <c r="E74" s="419"/>
      <c r="F74" s="27" t="s">
        <v>67</v>
      </c>
      <c r="G74" s="22" t="s">
        <v>3403</v>
      </c>
      <c r="H74" s="58"/>
      <c r="I74" s="28"/>
      <c r="J74" s="28"/>
      <c r="K74" s="29"/>
      <c r="BC74" s="14"/>
      <c r="BD74" s="15"/>
      <c r="BE74" s="21"/>
      <c r="BF74" s="43"/>
      <c r="BG74" s="12"/>
      <c r="BH74" s="12" t="s">
        <v>3402</v>
      </c>
    </row>
    <row r="75" spans="1:60" s="3" customFormat="1" ht="21.6" x14ac:dyDescent="0.3">
      <c r="A75" s="25"/>
      <c r="B75" s="26" t="s">
        <v>607</v>
      </c>
      <c r="C75" s="419" t="s">
        <v>608</v>
      </c>
      <c r="D75" s="419"/>
      <c r="E75" s="419"/>
      <c r="F75" s="27" t="s">
        <v>609</v>
      </c>
      <c r="G75" s="22" t="s">
        <v>3404</v>
      </c>
      <c r="H75" s="58"/>
      <c r="I75" s="28"/>
      <c r="J75" s="28"/>
      <c r="K75" s="29"/>
      <c r="BC75" s="14"/>
      <c r="BD75" s="15"/>
      <c r="BE75" s="21"/>
      <c r="BF75" s="43"/>
      <c r="BG75" s="12"/>
      <c r="BH75" s="12" t="s">
        <v>608</v>
      </c>
    </row>
    <row r="76" spans="1:60" s="3" customFormat="1" ht="21.6" x14ac:dyDescent="0.3">
      <c r="A76" s="16" t="s">
        <v>192</v>
      </c>
      <c r="B76" s="17" t="s">
        <v>3405</v>
      </c>
      <c r="C76" s="405" t="s">
        <v>3406</v>
      </c>
      <c r="D76" s="405"/>
      <c r="E76" s="405"/>
      <c r="F76" s="16" t="s">
        <v>1460</v>
      </c>
      <c r="G76" s="23">
        <v>148</v>
      </c>
      <c r="H76" s="57">
        <v>0</v>
      </c>
      <c r="I76" s="19">
        <v>0</v>
      </c>
      <c r="J76" s="19">
        <f>K76/G76</f>
        <v>266.73898648648651</v>
      </c>
      <c r="K76" s="19">
        <v>39477.370000000003</v>
      </c>
      <c r="BC76" s="14"/>
      <c r="BD76" s="15"/>
      <c r="BE76" s="21" t="s">
        <v>3406</v>
      </c>
      <c r="BF76" s="43"/>
      <c r="BG76" s="12"/>
      <c r="BH76" s="12"/>
    </row>
    <row r="77" spans="1:60" s="3" customFormat="1" ht="15" customHeight="1" x14ac:dyDescent="0.3">
      <c r="A77" s="437" t="s">
        <v>1655</v>
      </c>
      <c r="B77" s="418"/>
      <c r="C77" s="418"/>
      <c r="D77" s="418"/>
      <c r="E77" s="418"/>
      <c r="F77" s="418"/>
      <c r="G77" s="418"/>
      <c r="H77" s="123"/>
      <c r="I77" s="123"/>
      <c r="J77" s="123"/>
      <c r="K77" s="124"/>
      <c r="BC77" s="14"/>
      <c r="BD77" s="15" t="s">
        <v>1655</v>
      </c>
      <c r="BE77" s="21"/>
      <c r="BF77" s="43"/>
      <c r="BG77" s="12"/>
      <c r="BH77" s="12"/>
    </row>
    <row r="78" spans="1:60" s="3" customFormat="1" ht="21.6" x14ac:dyDescent="0.3">
      <c r="A78" s="16" t="s">
        <v>196</v>
      </c>
      <c r="B78" s="17" t="s">
        <v>1656</v>
      </c>
      <c r="C78" s="405" t="s">
        <v>1657</v>
      </c>
      <c r="D78" s="405"/>
      <c r="E78" s="405"/>
      <c r="F78" s="16" t="s">
        <v>67</v>
      </c>
      <c r="G78" s="31">
        <v>7.17</v>
      </c>
      <c r="H78" s="57">
        <f>I78/G78</f>
        <v>440.11715481171547</v>
      </c>
      <c r="I78" s="19">
        <f>3160.72-K78</f>
        <v>3155.64</v>
      </c>
      <c r="J78" s="19">
        <f>K78/G78</f>
        <v>0.70850767085076716</v>
      </c>
      <c r="K78" s="19">
        <v>5.08</v>
      </c>
      <c r="BC78" s="14"/>
      <c r="BD78" s="15"/>
      <c r="BE78" s="21" t="s">
        <v>1657</v>
      </c>
      <c r="BF78" s="43"/>
      <c r="BG78" s="12"/>
      <c r="BH78" s="12"/>
    </row>
    <row r="79" spans="1:60" s="3" customFormat="1" ht="21.6" x14ac:dyDescent="0.3">
      <c r="A79" s="25"/>
      <c r="B79" s="26" t="s">
        <v>607</v>
      </c>
      <c r="C79" s="419" t="s">
        <v>608</v>
      </c>
      <c r="D79" s="419"/>
      <c r="E79" s="419"/>
      <c r="F79" s="27" t="s">
        <v>609</v>
      </c>
      <c r="G79" s="22" t="s">
        <v>3407</v>
      </c>
      <c r="H79" s="58"/>
      <c r="I79" s="28"/>
      <c r="J79" s="28"/>
      <c r="K79" s="29"/>
      <c r="BC79" s="14"/>
      <c r="BD79" s="15"/>
      <c r="BE79" s="21"/>
      <c r="BF79" s="43"/>
      <c r="BG79" s="12"/>
      <c r="BH79" s="12" t="s">
        <v>608</v>
      </c>
    </row>
    <row r="80" spans="1:60" s="3" customFormat="1" ht="21.6" x14ac:dyDescent="0.3">
      <c r="A80" s="16" t="s">
        <v>198</v>
      </c>
      <c r="B80" s="17" t="s">
        <v>1659</v>
      </c>
      <c r="C80" s="405" t="s">
        <v>1660</v>
      </c>
      <c r="D80" s="405"/>
      <c r="E80" s="405"/>
      <c r="F80" s="16" t="s">
        <v>38</v>
      </c>
      <c r="G80" s="23">
        <v>1</v>
      </c>
      <c r="H80" s="57">
        <f>I80/G80</f>
        <v>0</v>
      </c>
      <c r="I80" s="265"/>
      <c r="J80" s="19">
        <f>K80/G80</f>
        <v>622.77</v>
      </c>
      <c r="K80" s="19">
        <v>622.77</v>
      </c>
      <c r="BC80" s="14"/>
      <c r="BD80" s="15"/>
      <c r="BE80" s="21" t="s">
        <v>1660</v>
      </c>
      <c r="BF80" s="43"/>
      <c r="BG80" s="12"/>
      <c r="BH80" s="12"/>
    </row>
    <row r="81" spans="1:60" s="3" customFormat="1" ht="20.399999999999999" x14ac:dyDescent="0.3">
      <c r="A81" s="16" t="s">
        <v>201</v>
      </c>
      <c r="B81" s="17" t="s">
        <v>3408</v>
      </c>
      <c r="C81" s="405" t="s">
        <v>1662</v>
      </c>
      <c r="D81" s="405"/>
      <c r="E81" s="405"/>
      <c r="F81" s="16" t="s">
        <v>115</v>
      </c>
      <c r="G81" s="23">
        <v>201</v>
      </c>
      <c r="H81" s="57">
        <v>0</v>
      </c>
      <c r="I81" s="19">
        <v>0</v>
      </c>
      <c r="J81" s="19">
        <f>K81/G81</f>
        <v>11.062487562189055</v>
      </c>
      <c r="K81" s="19">
        <v>2223.56</v>
      </c>
      <c r="BC81" s="14"/>
      <c r="BD81" s="15"/>
      <c r="BE81" s="21" t="s">
        <v>1662</v>
      </c>
      <c r="BF81" s="43"/>
      <c r="BG81" s="12"/>
      <c r="BH81" s="12"/>
    </row>
    <row r="82" spans="1:60" s="3" customFormat="1" ht="21.6" x14ac:dyDescent="0.3">
      <c r="A82" s="16" t="s">
        <v>219</v>
      </c>
      <c r="B82" s="17" t="s">
        <v>3409</v>
      </c>
      <c r="C82" s="405" t="s">
        <v>3410</v>
      </c>
      <c r="D82" s="405"/>
      <c r="E82" s="405"/>
      <c r="F82" s="16" t="s">
        <v>38</v>
      </c>
      <c r="G82" s="23">
        <v>1</v>
      </c>
      <c r="H82" s="57">
        <f>I82/G82</f>
        <v>0</v>
      </c>
      <c r="I82" s="265"/>
      <c r="J82" s="19">
        <f>K82/G82</f>
        <v>3335.92</v>
      </c>
      <c r="K82" s="19">
        <v>3335.92</v>
      </c>
      <c r="BC82" s="14"/>
      <c r="BD82" s="15"/>
      <c r="BE82" s="21" t="s">
        <v>3410</v>
      </c>
      <c r="BF82" s="43"/>
      <c r="BG82" s="12"/>
      <c r="BH82" s="12"/>
    </row>
    <row r="83" spans="1:60" s="3" customFormat="1" ht="20.399999999999999" x14ac:dyDescent="0.3">
      <c r="A83" s="16" t="s">
        <v>222</v>
      </c>
      <c r="B83" s="17" t="s">
        <v>3411</v>
      </c>
      <c r="C83" s="405" t="s">
        <v>3412</v>
      </c>
      <c r="D83" s="405"/>
      <c r="E83" s="405"/>
      <c r="F83" s="16" t="s">
        <v>115</v>
      </c>
      <c r="G83" s="23">
        <v>235</v>
      </c>
      <c r="H83" s="57">
        <v>0</v>
      </c>
      <c r="I83" s="19">
        <v>0</v>
      </c>
      <c r="J83" s="19">
        <f t="shared" ref="J83:J84" si="0">K83/G83</f>
        <v>19.204510638297872</v>
      </c>
      <c r="K83" s="19">
        <v>4513.0600000000004</v>
      </c>
      <c r="BC83" s="14"/>
      <c r="BD83" s="15"/>
      <c r="BE83" s="21" t="s">
        <v>3412</v>
      </c>
      <c r="BF83" s="43"/>
      <c r="BG83" s="12"/>
      <c r="BH83" s="12"/>
    </row>
    <row r="84" spans="1:60" s="3" customFormat="1" ht="20.399999999999999" x14ac:dyDescent="0.3">
      <c r="A84" s="16" t="s">
        <v>225</v>
      </c>
      <c r="B84" s="17" t="s">
        <v>3413</v>
      </c>
      <c r="C84" s="405" t="s">
        <v>3414</v>
      </c>
      <c r="D84" s="405"/>
      <c r="E84" s="405"/>
      <c r="F84" s="16" t="s">
        <v>115</v>
      </c>
      <c r="G84" s="23">
        <v>45</v>
      </c>
      <c r="H84" s="57">
        <v>0</v>
      </c>
      <c r="I84" s="19">
        <v>0</v>
      </c>
      <c r="J84" s="19">
        <f t="shared" si="0"/>
        <v>25.576444444444444</v>
      </c>
      <c r="K84" s="19">
        <v>1150.94</v>
      </c>
      <c r="BC84" s="14"/>
      <c r="BD84" s="15"/>
      <c r="BE84" s="21" t="s">
        <v>3414</v>
      </c>
      <c r="BF84" s="43"/>
      <c r="BG84" s="12"/>
      <c r="BH84" s="12"/>
    </row>
    <row r="85" spans="1:60" s="3" customFormat="1" ht="21.6" x14ac:dyDescent="0.3">
      <c r="A85" s="16" t="s">
        <v>227</v>
      </c>
      <c r="B85" s="17" t="s">
        <v>3415</v>
      </c>
      <c r="C85" s="405" t="s">
        <v>3416</v>
      </c>
      <c r="D85" s="405"/>
      <c r="E85" s="405"/>
      <c r="F85" s="16" t="s">
        <v>38</v>
      </c>
      <c r="G85" s="23">
        <v>2</v>
      </c>
      <c r="H85" s="57">
        <f>I85/G85</f>
        <v>0</v>
      </c>
      <c r="I85" s="265"/>
      <c r="J85" s="19">
        <f>K85/G85</f>
        <v>10113.955</v>
      </c>
      <c r="K85" s="19">
        <v>20227.91</v>
      </c>
      <c r="BC85" s="14"/>
      <c r="BD85" s="15"/>
      <c r="BE85" s="21" t="s">
        <v>3416</v>
      </c>
      <c r="BF85" s="43"/>
      <c r="BG85" s="12"/>
      <c r="BH85" s="12"/>
    </row>
    <row r="86" spans="1:60" s="3" customFormat="1" ht="15" customHeight="1" x14ac:dyDescent="0.3">
      <c r="A86" s="435" t="s">
        <v>1663</v>
      </c>
      <c r="B86" s="436"/>
      <c r="C86" s="436"/>
      <c r="D86" s="436"/>
      <c r="E86" s="436"/>
      <c r="F86" s="436"/>
      <c r="G86" s="436"/>
      <c r="H86" s="150"/>
      <c r="I86" s="150"/>
      <c r="J86" s="150"/>
      <c r="K86" s="151"/>
      <c r="BC86" s="14" t="s">
        <v>1663</v>
      </c>
      <c r="BD86" s="15"/>
      <c r="BE86" s="21"/>
      <c r="BF86" s="43"/>
      <c r="BG86" s="12"/>
      <c r="BH86" s="12"/>
    </row>
    <row r="87" spans="1:60" s="3" customFormat="1" ht="42" x14ac:dyDescent="0.3">
      <c r="A87" s="16" t="s">
        <v>230</v>
      </c>
      <c r="B87" s="17" t="s">
        <v>1664</v>
      </c>
      <c r="C87" s="405" t="s">
        <v>1665</v>
      </c>
      <c r="D87" s="405"/>
      <c r="E87" s="405"/>
      <c r="F87" s="16" t="s">
        <v>38</v>
      </c>
      <c r="G87" s="23">
        <v>60</v>
      </c>
      <c r="H87" s="57">
        <f>I87/G87</f>
        <v>957.13783333333345</v>
      </c>
      <c r="I87" s="19">
        <f>60040.79-K87</f>
        <v>57428.270000000004</v>
      </c>
      <c r="J87" s="19">
        <f>K87/G87</f>
        <v>43.542000000000002</v>
      </c>
      <c r="K87" s="19">
        <v>2612.52</v>
      </c>
      <c r="BC87" s="14"/>
      <c r="BD87" s="15"/>
      <c r="BE87" s="21" t="s">
        <v>1665</v>
      </c>
      <c r="BF87" s="43"/>
      <c r="BG87" s="12"/>
      <c r="BH87" s="12"/>
    </row>
    <row r="88" spans="1:60" s="3" customFormat="1" ht="20.399999999999999" x14ac:dyDescent="0.3">
      <c r="A88" s="25"/>
      <c r="B88" s="26" t="s">
        <v>1666</v>
      </c>
      <c r="C88" s="419" t="s">
        <v>1667</v>
      </c>
      <c r="D88" s="419"/>
      <c r="E88" s="419"/>
      <c r="F88" s="27" t="s">
        <v>70</v>
      </c>
      <c r="G88" s="22" t="s">
        <v>3417</v>
      </c>
      <c r="H88" s="58"/>
      <c r="I88" s="28"/>
      <c r="J88" s="28"/>
      <c r="K88" s="29"/>
      <c r="BC88" s="14"/>
      <c r="BD88" s="15"/>
      <c r="BE88" s="21"/>
      <c r="BF88" s="43"/>
      <c r="BG88" s="12"/>
      <c r="BH88" s="12" t="s">
        <v>1667</v>
      </c>
    </row>
    <row r="89" spans="1:60" s="3" customFormat="1" ht="20.399999999999999" x14ac:dyDescent="0.3">
      <c r="A89" s="25"/>
      <c r="B89" s="26" t="s">
        <v>1669</v>
      </c>
      <c r="C89" s="419" t="s">
        <v>1670</v>
      </c>
      <c r="D89" s="419"/>
      <c r="E89" s="419"/>
      <c r="F89" s="27" t="s">
        <v>70</v>
      </c>
      <c r="G89" s="22" t="s">
        <v>3418</v>
      </c>
      <c r="H89" s="58"/>
      <c r="I89" s="28"/>
      <c r="J89" s="28"/>
      <c r="K89" s="29"/>
      <c r="BC89" s="14"/>
      <c r="BD89" s="15"/>
      <c r="BE89" s="21"/>
      <c r="BF89" s="43"/>
      <c r="BG89" s="12"/>
      <c r="BH89" s="12" t="s">
        <v>1670</v>
      </c>
    </row>
    <row r="90" spans="1:60" s="3" customFormat="1" ht="20.399999999999999" x14ac:dyDescent="0.3">
      <c r="A90" s="25"/>
      <c r="B90" s="26" t="s">
        <v>387</v>
      </c>
      <c r="C90" s="419" t="s">
        <v>388</v>
      </c>
      <c r="D90" s="419"/>
      <c r="E90" s="419"/>
      <c r="F90" s="27" t="s">
        <v>75</v>
      </c>
      <c r="G90" s="22" t="s">
        <v>3419</v>
      </c>
      <c r="H90" s="58"/>
      <c r="I90" s="28"/>
      <c r="J90" s="28"/>
      <c r="K90" s="29"/>
      <c r="BC90" s="14"/>
      <c r="BD90" s="15"/>
      <c r="BE90" s="21"/>
      <c r="BF90" s="43"/>
      <c r="BG90" s="12"/>
      <c r="BH90" s="12" t="s">
        <v>388</v>
      </c>
    </row>
    <row r="91" spans="1:60" s="3" customFormat="1" ht="20.399999999999999" x14ac:dyDescent="0.3">
      <c r="A91" s="25"/>
      <c r="B91" s="26" t="s">
        <v>599</v>
      </c>
      <c r="C91" s="419" t="s">
        <v>600</v>
      </c>
      <c r="D91" s="419"/>
      <c r="E91" s="419"/>
      <c r="F91" s="27" t="s">
        <v>406</v>
      </c>
      <c r="G91" s="22" t="s">
        <v>3420</v>
      </c>
      <c r="H91" s="58"/>
      <c r="I91" s="28"/>
      <c r="J91" s="28"/>
      <c r="K91" s="29"/>
      <c r="BC91" s="14"/>
      <c r="BD91" s="15"/>
      <c r="BE91" s="21"/>
      <c r="BF91" s="43"/>
      <c r="BG91" s="12"/>
      <c r="BH91" s="12" t="s">
        <v>600</v>
      </c>
    </row>
    <row r="92" spans="1:60" s="3" customFormat="1" ht="21.6" x14ac:dyDescent="0.3">
      <c r="A92" s="25"/>
      <c r="B92" s="26" t="s">
        <v>607</v>
      </c>
      <c r="C92" s="419" t="s">
        <v>608</v>
      </c>
      <c r="D92" s="419"/>
      <c r="E92" s="419"/>
      <c r="F92" s="27" t="s">
        <v>609</v>
      </c>
      <c r="G92" s="22" t="s">
        <v>3421</v>
      </c>
      <c r="H92" s="58"/>
      <c r="I92" s="28"/>
      <c r="J92" s="28"/>
      <c r="K92" s="29"/>
      <c r="BC92" s="14"/>
      <c r="BD92" s="15"/>
      <c r="BE92" s="21"/>
      <c r="BF92" s="43"/>
      <c r="BG92" s="12"/>
      <c r="BH92" s="12" t="s">
        <v>608</v>
      </c>
    </row>
    <row r="93" spans="1:60" s="3" customFormat="1" ht="21.6" x14ac:dyDescent="0.3">
      <c r="A93" s="16" t="s">
        <v>233</v>
      </c>
      <c r="B93" s="17" t="s">
        <v>3422</v>
      </c>
      <c r="C93" s="405" t="s">
        <v>3423</v>
      </c>
      <c r="D93" s="405"/>
      <c r="E93" s="405"/>
      <c r="F93" s="16" t="s">
        <v>1460</v>
      </c>
      <c r="G93" s="23">
        <v>4</v>
      </c>
      <c r="H93" s="57">
        <v>0</v>
      </c>
      <c r="I93" s="19">
        <v>0</v>
      </c>
      <c r="J93" s="19">
        <f t="shared" ref="J93:J95" si="1">K93/G93</f>
        <v>3088.03</v>
      </c>
      <c r="K93" s="19">
        <v>12352.12</v>
      </c>
      <c r="BC93" s="14"/>
      <c r="BD93" s="15"/>
      <c r="BE93" s="21" t="s">
        <v>3423</v>
      </c>
      <c r="BF93" s="43"/>
      <c r="BG93" s="12"/>
      <c r="BH93" s="12"/>
    </row>
    <row r="94" spans="1:60" s="3" customFormat="1" ht="21.6" x14ac:dyDescent="0.3">
      <c r="A94" s="16" t="s">
        <v>235</v>
      </c>
      <c r="B94" s="17" t="s">
        <v>3424</v>
      </c>
      <c r="C94" s="405" t="s">
        <v>3425</v>
      </c>
      <c r="D94" s="405"/>
      <c r="E94" s="405"/>
      <c r="F94" s="16" t="s">
        <v>1460</v>
      </c>
      <c r="G94" s="23">
        <v>8</v>
      </c>
      <c r="H94" s="57">
        <v>0</v>
      </c>
      <c r="I94" s="19">
        <v>0</v>
      </c>
      <c r="J94" s="19">
        <f t="shared" si="1"/>
        <v>2076.5637499999998</v>
      </c>
      <c r="K94" s="19">
        <v>16612.509999999998</v>
      </c>
      <c r="BC94" s="14"/>
      <c r="BD94" s="15"/>
      <c r="BE94" s="21" t="s">
        <v>3425</v>
      </c>
      <c r="BF94" s="43"/>
      <c r="BG94" s="12"/>
      <c r="BH94" s="12"/>
    </row>
    <row r="95" spans="1:60" s="3" customFormat="1" ht="21.6" x14ac:dyDescent="0.3">
      <c r="A95" s="16" t="s">
        <v>237</v>
      </c>
      <c r="B95" s="17" t="s">
        <v>3426</v>
      </c>
      <c r="C95" s="405" t="s">
        <v>3427</v>
      </c>
      <c r="D95" s="405"/>
      <c r="E95" s="405"/>
      <c r="F95" s="16" t="s">
        <v>1460</v>
      </c>
      <c r="G95" s="23">
        <v>48</v>
      </c>
      <c r="H95" s="57">
        <v>0</v>
      </c>
      <c r="I95" s="19">
        <v>0</v>
      </c>
      <c r="J95" s="19">
        <f t="shared" si="1"/>
        <v>633.39458333333334</v>
      </c>
      <c r="K95" s="19">
        <v>30402.94</v>
      </c>
      <c r="BC95" s="14"/>
      <c r="BD95" s="15"/>
      <c r="BE95" s="21" t="s">
        <v>3427</v>
      </c>
      <c r="BF95" s="43"/>
      <c r="BG95" s="12"/>
      <c r="BH95" s="12"/>
    </row>
    <row r="96" spans="1:60" s="3" customFormat="1" ht="15" customHeight="1" x14ac:dyDescent="0.3">
      <c r="A96" s="435" t="s">
        <v>3428</v>
      </c>
      <c r="B96" s="436"/>
      <c r="C96" s="436"/>
      <c r="D96" s="436"/>
      <c r="E96" s="436"/>
      <c r="F96" s="436"/>
      <c r="G96" s="436"/>
      <c r="H96" s="150"/>
      <c r="I96" s="150"/>
      <c r="J96" s="150"/>
      <c r="K96" s="151"/>
      <c r="BC96" s="14" t="s">
        <v>3428</v>
      </c>
      <c r="BD96" s="15"/>
      <c r="BE96" s="21"/>
      <c r="BF96" s="43"/>
      <c r="BG96" s="12"/>
      <c r="BH96" s="12"/>
    </row>
    <row r="97" spans="1:60" s="3" customFormat="1" ht="15" customHeight="1" x14ac:dyDescent="0.3">
      <c r="A97" s="437" t="s">
        <v>3429</v>
      </c>
      <c r="B97" s="418"/>
      <c r="C97" s="418"/>
      <c r="D97" s="418"/>
      <c r="E97" s="418"/>
      <c r="F97" s="418"/>
      <c r="G97" s="418"/>
      <c r="H97" s="154"/>
      <c r="I97" s="154"/>
      <c r="J97" s="154"/>
      <c r="K97" s="155"/>
      <c r="BC97" s="14"/>
      <c r="BD97" s="15" t="s">
        <v>3429</v>
      </c>
      <c r="BE97" s="21"/>
      <c r="BF97" s="43"/>
      <c r="BG97" s="12"/>
      <c r="BH97" s="12"/>
    </row>
    <row r="98" spans="1:60" s="3" customFormat="1" ht="31.8" x14ac:dyDescent="0.3">
      <c r="A98" s="16" t="s">
        <v>243</v>
      </c>
      <c r="B98" s="17" t="s">
        <v>1732</v>
      </c>
      <c r="C98" s="405" t="s">
        <v>1733</v>
      </c>
      <c r="D98" s="405"/>
      <c r="E98" s="405"/>
      <c r="F98" s="16" t="s">
        <v>125</v>
      </c>
      <c r="G98" s="18">
        <v>7.0000000000000001E-3</v>
      </c>
      <c r="H98" s="57">
        <f>I98/G98</f>
        <v>117458.57142857143</v>
      </c>
      <c r="I98" s="19">
        <f>822.21-K98</f>
        <v>822.21</v>
      </c>
      <c r="J98" s="19">
        <f>K98/G98</f>
        <v>0</v>
      </c>
      <c r="K98" s="19">
        <v>0</v>
      </c>
      <c r="BC98" s="14"/>
      <c r="BD98" s="15"/>
      <c r="BE98" s="21" t="s">
        <v>1733</v>
      </c>
      <c r="BF98" s="43"/>
      <c r="BG98" s="12"/>
      <c r="BH98" s="12"/>
    </row>
    <row r="99" spans="1:60" s="3" customFormat="1" ht="15" customHeight="1" x14ac:dyDescent="0.3">
      <c r="A99" s="437" t="s">
        <v>3430</v>
      </c>
      <c r="B99" s="418"/>
      <c r="C99" s="418"/>
      <c r="D99" s="418"/>
      <c r="E99" s="418"/>
      <c r="F99" s="418"/>
      <c r="G99" s="418"/>
      <c r="H99" s="154"/>
      <c r="I99" s="154"/>
      <c r="J99" s="154"/>
      <c r="K99" s="155"/>
      <c r="BC99" s="14"/>
      <c r="BD99" s="15" t="s">
        <v>3430</v>
      </c>
      <c r="BE99" s="21"/>
      <c r="BF99" s="43"/>
      <c r="BG99" s="12"/>
      <c r="BH99" s="12"/>
    </row>
    <row r="100" spans="1:60" s="3" customFormat="1" ht="21.6" x14ac:dyDescent="0.3">
      <c r="A100" s="16" t="s">
        <v>244</v>
      </c>
      <c r="B100" s="17" t="s">
        <v>123</v>
      </c>
      <c r="C100" s="405" t="s">
        <v>124</v>
      </c>
      <c r="D100" s="405"/>
      <c r="E100" s="405"/>
      <c r="F100" s="16" t="s">
        <v>125</v>
      </c>
      <c r="G100" s="18">
        <v>6.0000000000000001E-3</v>
      </c>
      <c r="H100" s="57">
        <f>I100/G100</f>
        <v>64901.666666666672</v>
      </c>
      <c r="I100" s="19">
        <f>389.41-K100</f>
        <v>389.41</v>
      </c>
      <c r="J100" s="19">
        <f>K100/G100</f>
        <v>0</v>
      </c>
      <c r="K100" s="19">
        <v>0</v>
      </c>
      <c r="BC100" s="14"/>
      <c r="BD100" s="15"/>
      <c r="BE100" s="21" t="s">
        <v>124</v>
      </c>
      <c r="BF100" s="43"/>
      <c r="BG100" s="12"/>
      <c r="BH100" s="12"/>
    </row>
    <row r="101" spans="1:60" s="3" customFormat="1" ht="15" customHeight="1" x14ac:dyDescent="0.3">
      <c r="A101" s="437" t="s">
        <v>1597</v>
      </c>
      <c r="B101" s="418"/>
      <c r="C101" s="418"/>
      <c r="D101" s="418"/>
      <c r="E101" s="418"/>
      <c r="F101" s="418"/>
      <c r="G101" s="418"/>
      <c r="H101" s="154"/>
      <c r="I101" s="154"/>
      <c r="J101" s="154"/>
      <c r="K101" s="155"/>
      <c r="BC101" s="14"/>
      <c r="BD101" s="15" t="s">
        <v>1597</v>
      </c>
      <c r="BE101" s="21"/>
      <c r="BF101" s="43"/>
      <c r="BG101" s="12"/>
      <c r="BH101" s="12"/>
    </row>
    <row r="102" spans="1:60" s="3" customFormat="1" ht="52.2" x14ac:dyDescent="0.3">
      <c r="A102" s="16" t="s">
        <v>246</v>
      </c>
      <c r="B102" s="17" t="s">
        <v>3431</v>
      </c>
      <c r="C102" s="405" t="s">
        <v>3432</v>
      </c>
      <c r="D102" s="405"/>
      <c r="E102" s="405"/>
      <c r="F102" s="16" t="s">
        <v>43</v>
      </c>
      <c r="G102" s="30">
        <v>1E-4</v>
      </c>
      <c r="H102" s="57">
        <f>I102/G102</f>
        <v>55099.999999999993</v>
      </c>
      <c r="I102" s="19">
        <f>5.51-K102</f>
        <v>5.51</v>
      </c>
      <c r="J102" s="19">
        <f>K102/G102</f>
        <v>0</v>
      </c>
      <c r="K102" s="19">
        <v>0</v>
      </c>
      <c r="BC102" s="14"/>
      <c r="BD102" s="15"/>
      <c r="BE102" s="21" t="s">
        <v>3432</v>
      </c>
      <c r="BF102" s="43"/>
      <c r="BG102" s="12"/>
      <c r="BH102" s="12"/>
    </row>
    <row r="103" spans="1:60" s="3" customFormat="1" ht="42" x14ac:dyDescent="0.3">
      <c r="A103" s="16" t="s">
        <v>247</v>
      </c>
      <c r="B103" s="17" t="s">
        <v>48</v>
      </c>
      <c r="C103" s="405" t="s">
        <v>49</v>
      </c>
      <c r="D103" s="405"/>
      <c r="E103" s="405"/>
      <c r="F103" s="16" t="s">
        <v>50</v>
      </c>
      <c r="G103" s="24">
        <v>0.2</v>
      </c>
      <c r="H103" s="57">
        <f>I103/G103</f>
        <v>598.4</v>
      </c>
      <c r="I103" s="265">
        <v>119.68</v>
      </c>
      <c r="J103" s="19">
        <f>K103/G103</f>
        <v>0</v>
      </c>
      <c r="K103" s="19"/>
      <c r="BC103" s="14"/>
      <c r="BD103" s="15"/>
      <c r="BE103" s="21" t="s">
        <v>49</v>
      </c>
      <c r="BF103" s="43"/>
      <c r="BG103" s="12"/>
      <c r="BH103" s="12"/>
    </row>
    <row r="104" spans="1:60" s="3" customFormat="1" ht="15" customHeight="1" x14ac:dyDescent="0.3">
      <c r="A104" s="437" t="s">
        <v>3433</v>
      </c>
      <c r="B104" s="418"/>
      <c r="C104" s="418"/>
      <c r="D104" s="418"/>
      <c r="E104" s="418"/>
      <c r="F104" s="418"/>
      <c r="G104" s="418"/>
      <c r="H104" s="154"/>
      <c r="I104" s="154"/>
      <c r="J104" s="154"/>
      <c r="K104" s="155"/>
      <c r="BC104" s="14"/>
      <c r="BD104" s="15" t="s">
        <v>3433</v>
      </c>
      <c r="BE104" s="21"/>
      <c r="BF104" s="43"/>
      <c r="BG104" s="12"/>
      <c r="BH104" s="12"/>
    </row>
    <row r="105" spans="1:60" s="3" customFormat="1" ht="31.8" x14ac:dyDescent="0.3">
      <c r="A105" s="16" t="s">
        <v>531</v>
      </c>
      <c r="B105" s="17" t="s">
        <v>3434</v>
      </c>
      <c r="C105" s="405" t="s">
        <v>3435</v>
      </c>
      <c r="D105" s="405"/>
      <c r="E105" s="405"/>
      <c r="F105" s="16" t="s">
        <v>142</v>
      </c>
      <c r="G105" s="31">
        <v>0.05</v>
      </c>
      <c r="H105" s="57">
        <f>I105/G105</f>
        <v>126882.99999999999</v>
      </c>
      <c r="I105" s="19">
        <f>6344.15-K105</f>
        <v>6344.15</v>
      </c>
      <c r="J105" s="19">
        <f>K105/G105</f>
        <v>0</v>
      </c>
      <c r="K105" s="19">
        <v>0</v>
      </c>
      <c r="BC105" s="14"/>
      <c r="BD105" s="15"/>
      <c r="BE105" s="21" t="s">
        <v>3435</v>
      </c>
      <c r="BF105" s="43"/>
      <c r="BG105" s="12"/>
      <c r="BH105" s="12"/>
    </row>
    <row r="106" spans="1:60" s="3" customFormat="1" ht="20.399999999999999" x14ac:dyDescent="0.3">
      <c r="A106" s="37" t="s">
        <v>143</v>
      </c>
      <c r="B106" s="38" t="s">
        <v>767</v>
      </c>
      <c r="C106" s="430" t="s">
        <v>768</v>
      </c>
      <c r="D106" s="430"/>
      <c r="E106" s="430"/>
      <c r="F106" s="39" t="s">
        <v>46</v>
      </c>
      <c r="G106" s="40" t="s">
        <v>3436</v>
      </c>
      <c r="H106" s="100"/>
      <c r="I106" s="41"/>
      <c r="J106" s="41"/>
      <c r="K106" s="42"/>
      <c r="BC106" s="14"/>
      <c r="BD106" s="15"/>
      <c r="BE106" s="21"/>
      <c r="BF106" s="43" t="s">
        <v>768</v>
      </c>
      <c r="BG106" s="12"/>
      <c r="BH106" s="12"/>
    </row>
    <row r="107" spans="1:60" s="3" customFormat="1" ht="20.399999999999999" x14ac:dyDescent="0.3">
      <c r="A107" s="37" t="s">
        <v>143</v>
      </c>
      <c r="B107" s="38" t="s">
        <v>3437</v>
      </c>
      <c r="C107" s="430" t="s">
        <v>86</v>
      </c>
      <c r="D107" s="430"/>
      <c r="E107" s="430"/>
      <c r="F107" s="39" t="s">
        <v>38</v>
      </c>
      <c r="G107" s="40" t="s">
        <v>3438</v>
      </c>
      <c r="H107" s="100"/>
      <c r="I107" s="41"/>
      <c r="J107" s="41"/>
      <c r="K107" s="42"/>
      <c r="BC107" s="14"/>
      <c r="BD107" s="15"/>
      <c r="BE107" s="21"/>
      <c r="BF107" s="43" t="s">
        <v>86</v>
      </c>
      <c r="BG107" s="12"/>
      <c r="BH107" s="12"/>
    </row>
    <row r="108" spans="1:60" s="3" customFormat="1" ht="15" customHeight="1" x14ac:dyDescent="0.3">
      <c r="A108" s="437" t="s">
        <v>3439</v>
      </c>
      <c r="B108" s="418"/>
      <c r="C108" s="418"/>
      <c r="D108" s="418"/>
      <c r="E108" s="418"/>
      <c r="F108" s="418"/>
      <c r="G108" s="418"/>
      <c r="H108" s="154"/>
      <c r="I108" s="154"/>
      <c r="J108" s="154"/>
      <c r="K108" s="155"/>
      <c r="BC108" s="14"/>
      <c r="BD108" s="15" t="s">
        <v>3439</v>
      </c>
      <c r="BE108" s="21"/>
      <c r="BF108" s="43"/>
      <c r="BG108" s="12"/>
      <c r="BH108" s="12"/>
    </row>
    <row r="109" spans="1:60" s="3" customFormat="1" ht="21.6" x14ac:dyDescent="0.3">
      <c r="A109" s="16" t="s">
        <v>533</v>
      </c>
      <c r="B109" s="17" t="s">
        <v>3440</v>
      </c>
      <c r="C109" s="405" t="s">
        <v>3441</v>
      </c>
      <c r="D109" s="405"/>
      <c r="E109" s="405"/>
      <c r="F109" s="16" t="s">
        <v>25</v>
      </c>
      <c r="G109" s="23">
        <v>5</v>
      </c>
      <c r="H109" s="57">
        <f>I109/G109</f>
        <v>4602.0439999999999</v>
      </c>
      <c r="I109" s="19">
        <f>23479.71-K109</f>
        <v>23010.219999999998</v>
      </c>
      <c r="J109" s="19">
        <f>K109/G109</f>
        <v>93.897999999999996</v>
      </c>
      <c r="K109" s="19">
        <v>469.49</v>
      </c>
      <c r="BC109" s="14"/>
      <c r="BD109" s="15"/>
      <c r="BE109" s="21" t="s">
        <v>3441</v>
      </c>
      <c r="BF109" s="43"/>
      <c r="BG109" s="12"/>
      <c r="BH109" s="12"/>
    </row>
    <row r="110" spans="1:60" s="3" customFormat="1" ht="21.6" x14ac:dyDescent="0.3">
      <c r="A110" s="25"/>
      <c r="B110" s="26" t="s">
        <v>3442</v>
      </c>
      <c r="C110" s="419" t="s">
        <v>3443</v>
      </c>
      <c r="D110" s="419"/>
      <c r="E110" s="419"/>
      <c r="F110" s="27" t="s">
        <v>75</v>
      </c>
      <c r="G110" s="22" t="s">
        <v>3444</v>
      </c>
      <c r="H110" s="58"/>
      <c r="I110" s="28"/>
      <c r="J110" s="28"/>
      <c r="K110" s="29"/>
      <c r="BC110" s="14"/>
      <c r="BD110" s="15"/>
      <c r="BE110" s="21"/>
      <c r="BF110" s="43"/>
      <c r="BG110" s="12"/>
      <c r="BH110" s="12" t="s">
        <v>3443</v>
      </c>
    </row>
    <row r="111" spans="1:60" s="3" customFormat="1" ht="21.6" x14ac:dyDescent="0.3">
      <c r="A111" s="25"/>
      <c r="B111" s="26" t="s">
        <v>607</v>
      </c>
      <c r="C111" s="419" t="s">
        <v>608</v>
      </c>
      <c r="D111" s="419"/>
      <c r="E111" s="419"/>
      <c r="F111" s="27" t="s">
        <v>609</v>
      </c>
      <c r="G111" s="22" t="s">
        <v>3445</v>
      </c>
      <c r="H111" s="58"/>
      <c r="I111" s="28"/>
      <c r="J111" s="28"/>
      <c r="K111" s="29"/>
      <c r="BC111" s="14"/>
      <c r="BD111" s="15"/>
      <c r="BE111" s="21"/>
      <c r="BF111" s="43"/>
      <c r="BG111" s="12"/>
      <c r="BH111" s="12" t="s">
        <v>608</v>
      </c>
    </row>
    <row r="112" spans="1:60" s="3" customFormat="1" ht="15" customHeight="1" x14ac:dyDescent="0.3">
      <c r="A112" s="437" t="s">
        <v>3446</v>
      </c>
      <c r="B112" s="418"/>
      <c r="C112" s="418"/>
      <c r="D112" s="418"/>
      <c r="E112" s="418"/>
      <c r="F112" s="418"/>
      <c r="G112" s="418"/>
      <c r="H112" s="154"/>
      <c r="I112" s="154"/>
      <c r="J112" s="154"/>
      <c r="K112" s="155"/>
      <c r="BC112" s="14"/>
      <c r="BD112" s="15" t="s">
        <v>3446</v>
      </c>
      <c r="BE112" s="21"/>
      <c r="BF112" s="43"/>
      <c r="BG112" s="12"/>
      <c r="BH112" s="12"/>
    </row>
    <row r="113" spans="1:60" s="3" customFormat="1" ht="42" x14ac:dyDescent="0.3">
      <c r="A113" s="16" t="s">
        <v>539</v>
      </c>
      <c r="B113" s="17" t="s">
        <v>3447</v>
      </c>
      <c r="C113" s="405" t="s">
        <v>3448</v>
      </c>
      <c r="D113" s="405"/>
      <c r="E113" s="405"/>
      <c r="F113" s="16" t="s">
        <v>38</v>
      </c>
      <c r="G113" s="23">
        <v>5</v>
      </c>
      <c r="H113" s="57">
        <f>I113/G113</f>
        <v>4416.88</v>
      </c>
      <c r="I113" s="19">
        <f>35012.04-K113</f>
        <v>22084.400000000001</v>
      </c>
      <c r="J113" s="19">
        <f>K113/G113</f>
        <v>2585.5279999999998</v>
      </c>
      <c r="K113" s="19">
        <v>12927.64</v>
      </c>
      <c r="BC113" s="14"/>
      <c r="BD113" s="15"/>
      <c r="BE113" s="21" t="s">
        <v>3448</v>
      </c>
      <c r="BF113" s="43"/>
      <c r="BG113" s="12"/>
      <c r="BH113" s="12"/>
    </row>
    <row r="114" spans="1:60" s="3" customFormat="1" ht="20.399999999999999" x14ac:dyDescent="0.3">
      <c r="A114" s="25"/>
      <c r="B114" s="26" t="s">
        <v>1693</v>
      </c>
      <c r="C114" s="419" t="s">
        <v>1694</v>
      </c>
      <c r="D114" s="419"/>
      <c r="E114" s="419"/>
      <c r="F114" s="27" t="s">
        <v>75</v>
      </c>
      <c r="G114" s="22" t="s">
        <v>3449</v>
      </c>
      <c r="H114" s="58"/>
      <c r="I114" s="28"/>
      <c r="J114" s="28"/>
      <c r="K114" s="29"/>
      <c r="BC114" s="14"/>
      <c r="BD114" s="15"/>
      <c r="BE114" s="21"/>
      <c r="BF114" s="43"/>
      <c r="BG114" s="12"/>
      <c r="BH114" s="12" t="s">
        <v>1694</v>
      </c>
    </row>
    <row r="115" spans="1:60" s="3" customFormat="1" ht="20.399999999999999" x14ac:dyDescent="0.3">
      <c r="A115" s="25"/>
      <c r="B115" s="26" t="s">
        <v>391</v>
      </c>
      <c r="C115" s="419" t="s">
        <v>392</v>
      </c>
      <c r="D115" s="419"/>
      <c r="E115" s="419"/>
      <c r="F115" s="27" t="s">
        <v>75</v>
      </c>
      <c r="G115" s="22" t="s">
        <v>3450</v>
      </c>
      <c r="H115" s="58"/>
      <c r="I115" s="28"/>
      <c r="J115" s="28"/>
      <c r="K115" s="29"/>
      <c r="BC115" s="14"/>
      <c r="BD115" s="15"/>
      <c r="BE115" s="21"/>
      <c r="BF115" s="43"/>
      <c r="BG115" s="12"/>
      <c r="BH115" s="12" t="s">
        <v>392</v>
      </c>
    </row>
    <row r="116" spans="1:60" s="3" customFormat="1" ht="21.6" x14ac:dyDescent="0.3">
      <c r="A116" s="25"/>
      <c r="B116" s="26" t="s">
        <v>1931</v>
      </c>
      <c r="C116" s="419" t="s">
        <v>1932</v>
      </c>
      <c r="D116" s="419"/>
      <c r="E116" s="419"/>
      <c r="F116" s="27" t="s">
        <v>70</v>
      </c>
      <c r="G116" s="22" t="s">
        <v>3451</v>
      </c>
      <c r="H116" s="58"/>
      <c r="I116" s="28"/>
      <c r="J116" s="28"/>
      <c r="K116" s="29"/>
      <c r="BC116" s="14"/>
      <c r="BD116" s="15"/>
      <c r="BE116" s="21"/>
      <c r="BF116" s="43"/>
      <c r="BG116" s="12"/>
      <c r="BH116" s="12" t="s">
        <v>1932</v>
      </c>
    </row>
    <row r="117" spans="1:60" s="3" customFormat="1" ht="20.399999999999999" x14ac:dyDescent="0.3">
      <c r="A117" s="25"/>
      <c r="B117" s="26" t="s">
        <v>605</v>
      </c>
      <c r="C117" s="419" t="s">
        <v>606</v>
      </c>
      <c r="D117" s="419"/>
      <c r="E117" s="419"/>
      <c r="F117" s="27" t="s">
        <v>75</v>
      </c>
      <c r="G117" s="22" t="s">
        <v>3452</v>
      </c>
      <c r="H117" s="58"/>
      <c r="I117" s="28"/>
      <c r="J117" s="28"/>
      <c r="K117" s="29"/>
      <c r="BC117" s="14"/>
      <c r="BD117" s="15"/>
      <c r="BE117" s="21"/>
      <c r="BF117" s="43"/>
      <c r="BG117" s="12"/>
      <c r="BH117" s="12" t="s">
        <v>606</v>
      </c>
    </row>
    <row r="118" spans="1:60" s="3" customFormat="1" ht="21.6" x14ac:dyDescent="0.3">
      <c r="A118" s="25"/>
      <c r="B118" s="26" t="s">
        <v>607</v>
      </c>
      <c r="C118" s="419" t="s">
        <v>608</v>
      </c>
      <c r="D118" s="419"/>
      <c r="E118" s="419"/>
      <c r="F118" s="27" t="s">
        <v>609</v>
      </c>
      <c r="G118" s="22" t="s">
        <v>3453</v>
      </c>
      <c r="H118" s="58"/>
      <c r="I118" s="28"/>
      <c r="J118" s="28"/>
      <c r="K118" s="29"/>
      <c r="BC118" s="14"/>
      <c r="BD118" s="15"/>
      <c r="BE118" s="21"/>
      <c r="BF118" s="43"/>
      <c r="BG118" s="12"/>
      <c r="BH118" s="12" t="s">
        <v>608</v>
      </c>
    </row>
    <row r="119" spans="1:60" s="3" customFormat="1" ht="52.2" x14ac:dyDescent="0.3">
      <c r="A119" s="16" t="s">
        <v>542</v>
      </c>
      <c r="B119" s="17" t="s">
        <v>3454</v>
      </c>
      <c r="C119" s="405" t="s">
        <v>3455</v>
      </c>
      <c r="D119" s="405"/>
      <c r="E119" s="405"/>
      <c r="F119" s="16" t="s">
        <v>1460</v>
      </c>
      <c r="G119" s="23">
        <v>5</v>
      </c>
      <c r="H119" s="57">
        <v>0</v>
      </c>
      <c r="I119" s="19">
        <v>0</v>
      </c>
      <c r="J119" s="19">
        <f t="shared" ref="J119:J120" si="2">K119/G119</f>
        <v>831904.15999999992</v>
      </c>
      <c r="K119" s="19">
        <v>4159520.8</v>
      </c>
      <c r="BC119" s="14"/>
      <c r="BD119" s="15"/>
      <c r="BE119" s="21" t="s">
        <v>3455</v>
      </c>
      <c r="BF119" s="43"/>
      <c r="BG119" s="12"/>
      <c r="BH119" s="12"/>
    </row>
    <row r="120" spans="1:60" s="3" customFormat="1" ht="21.6" x14ac:dyDescent="0.3">
      <c r="A120" s="16" t="s">
        <v>547</v>
      </c>
      <c r="B120" s="17" t="s">
        <v>3456</v>
      </c>
      <c r="C120" s="405" t="s">
        <v>3457</v>
      </c>
      <c r="D120" s="405"/>
      <c r="E120" s="405"/>
      <c r="F120" s="16" t="s">
        <v>1460</v>
      </c>
      <c r="G120" s="23">
        <v>5</v>
      </c>
      <c r="H120" s="57">
        <v>0</v>
      </c>
      <c r="I120" s="19">
        <v>0</v>
      </c>
      <c r="J120" s="19">
        <f t="shared" si="2"/>
        <v>57556.771999999997</v>
      </c>
      <c r="K120" s="19">
        <v>287783.86</v>
      </c>
      <c r="BC120" s="14"/>
      <c r="BD120" s="15"/>
      <c r="BE120" s="21" t="s">
        <v>3457</v>
      </c>
      <c r="BF120" s="43"/>
      <c r="BG120" s="12"/>
      <c r="BH120" s="12"/>
    </row>
    <row r="121" spans="1:60" s="3" customFormat="1" ht="15" customHeight="1" x14ac:dyDescent="0.3">
      <c r="A121" s="435" t="s">
        <v>3458</v>
      </c>
      <c r="B121" s="436"/>
      <c r="C121" s="436"/>
      <c r="D121" s="436"/>
      <c r="E121" s="436"/>
      <c r="F121" s="436"/>
      <c r="G121" s="436"/>
      <c r="H121" s="150"/>
      <c r="I121" s="150"/>
      <c r="J121" s="150"/>
      <c r="K121" s="151"/>
      <c r="BC121" s="14" t="s">
        <v>3458</v>
      </c>
      <c r="BD121" s="15"/>
      <c r="BE121" s="21"/>
      <c r="BF121" s="43"/>
      <c r="BG121" s="12"/>
      <c r="BH121" s="12"/>
    </row>
    <row r="122" spans="1:60" s="3" customFormat="1" ht="15" customHeight="1" x14ac:dyDescent="0.3">
      <c r="A122" s="437" t="s">
        <v>1731</v>
      </c>
      <c r="B122" s="418"/>
      <c r="C122" s="418"/>
      <c r="D122" s="418"/>
      <c r="E122" s="418"/>
      <c r="F122" s="418"/>
      <c r="G122" s="418"/>
      <c r="H122" s="154"/>
      <c r="I122" s="154"/>
      <c r="J122" s="154"/>
      <c r="K122" s="155"/>
      <c r="BC122" s="14"/>
      <c r="BD122" s="15" t="s">
        <v>1731</v>
      </c>
      <c r="BE122" s="21"/>
      <c r="BF122" s="43"/>
      <c r="BG122" s="12"/>
      <c r="BH122" s="12"/>
    </row>
    <row r="123" spans="1:60" s="3" customFormat="1" ht="31.8" x14ac:dyDescent="0.3">
      <c r="A123" s="16" t="s">
        <v>549</v>
      </c>
      <c r="B123" s="17" t="s">
        <v>1732</v>
      </c>
      <c r="C123" s="405" t="s">
        <v>1733</v>
      </c>
      <c r="D123" s="405"/>
      <c r="E123" s="405"/>
      <c r="F123" s="16" t="s">
        <v>125</v>
      </c>
      <c r="G123" s="18">
        <v>0.182</v>
      </c>
      <c r="H123" s="57">
        <f t="shared" ref="H123:H124" si="3">I123/G123</f>
        <v>117456.97802197802</v>
      </c>
      <c r="I123" s="19">
        <f>21377.17-K123</f>
        <v>21377.17</v>
      </c>
      <c r="J123" s="19">
        <f t="shared" ref="J123:J124" si="4">K123/G123</f>
        <v>0</v>
      </c>
      <c r="K123" s="19">
        <v>0</v>
      </c>
      <c r="BC123" s="14"/>
      <c r="BD123" s="15"/>
      <c r="BE123" s="21" t="s">
        <v>1733</v>
      </c>
      <c r="BF123" s="43"/>
      <c r="BG123" s="12"/>
      <c r="BH123" s="12"/>
    </row>
    <row r="124" spans="1:60" s="3" customFormat="1" ht="21.6" x14ac:dyDescent="0.3">
      <c r="A124" s="16" t="s">
        <v>570</v>
      </c>
      <c r="B124" s="17" t="s">
        <v>123</v>
      </c>
      <c r="C124" s="405" t="s">
        <v>124</v>
      </c>
      <c r="D124" s="405"/>
      <c r="E124" s="405"/>
      <c r="F124" s="16" t="s">
        <v>125</v>
      </c>
      <c r="G124" s="18">
        <v>0.182</v>
      </c>
      <c r="H124" s="57">
        <f t="shared" si="3"/>
        <v>64903.516483516491</v>
      </c>
      <c r="I124" s="19">
        <f>11812.44-K124</f>
        <v>11812.44</v>
      </c>
      <c r="J124" s="19">
        <f t="shared" si="4"/>
        <v>0</v>
      </c>
      <c r="K124" s="19">
        <v>0</v>
      </c>
      <c r="BC124" s="14"/>
      <c r="BD124" s="15"/>
      <c r="BE124" s="21" t="s">
        <v>124</v>
      </c>
      <c r="BF124" s="43"/>
      <c r="BG124" s="12"/>
      <c r="BH124" s="12"/>
    </row>
    <row r="125" spans="1:60" s="3" customFormat="1" ht="15" customHeight="1" x14ac:dyDescent="0.3">
      <c r="A125" s="437" t="s">
        <v>1744</v>
      </c>
      <c r="B125" s="418"/>
      <c r="C125" s="418"/>
      <c r="D125" s="418"/>
      <c r="E125" s="418"/>
      <c r="F125" s="418"/>
      <c r="G125" s="418"/>
      <c r="H125" s="154"/>
      <c r="I125" s="154"/>
      <c r="J125" s="154"/>
      <c r="K125" s="155"/>
      <c r="BC125" s="14"/>
      <c r="BD125" s="15" t="s">
        <v>1744</v>
      </c>
      <c r="BE125" s="21"/>
      <c r="BF125" s="43"/>
      <c r="BG125" s="12"/>
      <c r="BH125" s="12"/>
    </row>
    <row r="126" spans="1:60" s="3" customFormat="1" ht="21.6" x14ac:dyDescent="0.3">
      <c r="A126" s="16" t="s">
        <v>584</v>
      </c>
      <c r="B126" s="17" t="s">
        <v>1745</v>
      </c>
      <c r="C126" s="405" t="s">
        <v>1746</v>
      </c>
      <c r="D126" s="405"/>
      <c r="E126" s="405"/>
      <c r="F126" s="16" t="s">
        <v>1261</v>
      </c>
      <c r="G126" s="24">
        <v>1.5</v>
      </c>
      <c r="H126" s="57">
        <f>I126/G126</f>
        <v>10084.846666666666</v>
      </c>
      <c r="I126" s="19">
        <f>21573.21-K126</f>
        <v>15127.27</v>
      </c>
      <c r="J126" s="19">
        <f>K126/G126</f>
        <v>4297.2933333333331</v>
      </c>
      <c r="K126" s="19">
        <v>6445.94</v>
      </c>
      <c r="BC126" s="14"/>
      <c r="BD126" s="15"/>
      <c r="BE126" s="21" t="s">
        <v>1746</v>
      </c>
      <c r="BF126" s="43"/>
      <c r="BG126" s="12"/>
      <c r="BH126" s="12"/>
    </row>
    <row r="127" spans="1:60" s="3" customFormat="1" ht="20.399999999999999" x14ac:dyDescent="0.3">
      <c r="A127" s="25"/>
      <c r="B127" s="26" t="s">
        <v>1693</v>
      </c>
      <c r="C127" s="419" t="s">
        <v>1694</v>
      </c>
      <c r="D127" s="419"/>
      <c r="E127" s="419"/>
      <c r="F127" s="27" t="s">
        <v>75</v>
      </c>
      <c r="G127" s="22" t="s">
        <v>3459</v>
      </c>
      <c r="H127" s="58"/>
      <c r="I127" s="28"/>
      <c r="J127" s="28"/>
      <c r="K127" s="29"/>
      <c r="BC127" s="14"/>
      <c r="BD127" s="15"/>
      <c r="BE127" s="21"/>
      <c r="BF127" s="43"/>
      <c r="BG127" s="12"/>
      <c r="BH127" s="12" t="s">
        <v>1694</v>
      </c>
    </row>
    <row r="128" spans="1:60" s="3" customFormat="1" ht="20.399999999999999" x14ac:dyDescent="0.3">
      <c r="A128" s="25"/>
      <c r="B128" s="26" t="s">
        <v>1738</v>
      </c>
      <c r="C128" s="419" t="s">
        <v>1739</v>
      </c>
      <c r="D128" s="419"/>
      <c r="E128" s="419"/>
      <c r="F128" s="27" t="s">
        <v>75</v>
      </c>
      <c r="G128" s="22" t="s">
        <v>3460</v>
      </c>
      <c r="H128" s="58"/>
      <c r="I128" s="28"/>
      <c r="J128" s="28"/>
      <c r="K128" s="29"/>
      <c r="BC128" s="14"/>
      <c r="BD128" s="15"/>
      <c r="BE128" s="21"/>
      <c r="BF128" s="43"/>
      <c r="BG128" s="12"/>
      <c r="BH128" s="12" t="s">
        <v>1739</v>
      </c>
    </row>
    <row r="129" spans="1:60" s="3" customFormat="1" ht="21.6" x14ac:dyDescent="0.3">
      <c r="A129" s="25"/>
      <c r="B129" s="26" t="s">
        <v>607</v>
      </c>
      <c r="C129" s="419" t="s">
        <v>608</v>
      </c>
      <c r="D129" s="419"/>
      <c r="E129" s="419"/>
      <c r="F129" s="27" t="s">
        <v>609</v>
      </c>
      <c r="G129" s="22" t="s">
        <v>3461</v>
      </c>
      <c r="H129" s="58"/>
      <c r="I129" s="28"/>
      <c r="J129" s="28"/>
      <c r="K129" s="29"/>
      <c r="BC129" s="14"/>
      <c r="BD129" s="15"/>
      <c r="BE129" s="21"/>
      <c r="BF129" s="43"/>
      <c r="BG129" s="12"/>
      <c r="BH129" s="12" t="s">
        <v>608</v>
      </c>
    </row>
    <row r="130" spans="1:60" s="3" customFormat="1" ht="21.6" x14ac:dyDescent="0.3">
      <c r="A130" s="16" t="s">
        <v>585</v>
      </c>
      <c r="B130" s="17" t="s">
        <v>1750</v>
      </c>
      <c r="C130" s="405" t="s">
        <v>1751</v>
      </c>
      <c r="D130" s="405"/>
      <c r="E130" s="405"/>
      <c r="F130" s="16" t="s">
        <v>75</v>
      </c>
      <c r="G130" s="31">
        <v>45.75</v>
      </c>
      <c r="H130" s="57">
        <f>I130/G130</f>
        <v>0</v>
      </c>
      <c r="I130" s="265"/>
      <c r="J130" s="19">
        <f>K130/G130</f>
        <v>48.055519125683062</v>
      </c>
      <c r="K130" s="19">
        <v>2198.54</v>
      </c>
      <c r="BC130" s="14"/>
      <c r="BD130" s="15"/>
      <c r="BE130" s="21" t="s">
        <v>1751</v>
      </c>
      <c r="BF130" s="43"/>
      <c r="BG130" s="12"/>
      <c r="BH130" s="12"/>
    </row>
    <row r="131" spans="1:60" s="3" customFormat="1" ht="15" customHeight="1" x14ac:dyDescent="0.3">
      <c r="A131" s="437" t="s">
        <v>1734</v>
      </c>
      <c r="B131" s="418"/>
      <c r="C131" s="418"/>
      <c r="D131" s="418"/>
      <c r="E131" s="418"/>
      <c r="F131" s="418"/>
      <c r="G131" s="418"/>
      <c r="H131" s="154"/>
      <c r="I131" s="154"/>
      <c r="J131" s="154"/>
      <c r="K131" s="155"/>
      <c r="BC131" s="14"/>
      <c r="BD131" s="15" t="s">
        <v>1734</v>
      </c>
      <c r="BE131" s="21"/>
      <c r="BF131" s="43"/>
      <c r="BG131" s="12"/>
      <c r="BH131" s="12"/>
    </row>
    <row r="132" spans="1:60" s="3" customFormat="1" ht="21.6" x14ac:dyDescent="0.3">
      <c r="A132" s="16" t="s">
        <v>2137</v>
      </c>
      <c r="B132" s="17" t="s">
        <v>1735</v>
      </c>
      <c r="C132" s="405" t="s">
        <v>1736</v>
      </c>
      <c r="D132" s="405"/>
      <c r="E132" s="405"/>
      <c r="F132" s="16" t="s">
        <v>67</v>
      </c>
      <c r="G132" s="31">
        <v>0.65</v>
      </c>
      <c r="H132" s="57">
        <f>I132/G132</f>
        <v>15444.261538461538</v>
      </c>
      <c r="I132" s="19">
        <f>15184.96-K132</f>
        <v>10038.77</v>
      </c>
      <c r="J132" s="19">
        <f>K132/G132</f>
        <v>7917.2153846153833</v>
      </c>
      <c r="K132" s="19">
        <v>5146.1899999999996</v>
      </c>
      <c r="BC132" s="14"/>
      <c r="BD132" s="15"/>
      <c r="BE132" s="21" t="s">
        <v>1736</v>
      </c>
      <c r="BF132" s="43"/>
      <c r="BG132" s="12"/>
      <c r="BH132" s="12"/>
    </row>
    <row r="133" spans="1:60" s="3" customFormat="1" ht="20.399999999999999" x14ac:dyDescent="0.3">
      <c r="A133" s="25"/>
      <c r="B133" s="26" t="s">
        <v>1693</v>
      </c>
      <c r="C133" s="419" t="s">
        <v>1694</v>
      </c>
      <c r="D133" s="419"/>
      <c r="E133" s="419"/>
      <c r="F133" s="27" t="s">
        <v>75</v>
      </c>
      <c r="G133" s="22" t="s">
        <v>3462</v>
      </c>
      <c r="H133" s="58"/>
      <c r="I133" s="28"/>
      <c r="J133" s="28"/>
      <c r="K133" s="29"/>
      <c r="BC133" s="14"/>
      <c r="BD133" s="15"/>
      <c r="BE133" s="21"/>
      <c r="BF133" s="43"/>
      <c r="BG133" s="12"/>
      <c r="BH133" s="12" t="s">
        <v>1694</v>
      </c>
    </row>
    <row r="134" spans="1:60" s="3" customFormat="1" ht="20.399999999999999" x14ac:dyDescent="0.3">
      <c r="A134" s="25"/>
      <c r="B134" s="26" t="s">
        <v>1738</v>
      </c>
      <c r="C134" s="419" t="s">
        <v>1739</v>
      </c>
      <c r="D134" s="419"/>
      <c r="E134" s="419"/>
      <c r="F134" s="27" t="s">
        <v>75</v>
      </c>
      <c r="G134" s="22" t="s">
        <v>3463</v>
      </c>
      <c r="H134" s="58"/>
      <c r="I134" s="28"/>
      <c r="J134" s="28"/>
      <c r="K134" s="29"/>
      <c r="BC134" s="14"/>
      <c r="BD134" s="15"/>
      <c r="BE134" s="21"/>
      <c r="BF134" s="43"/>
      <c r="BG134" s="12"/>
      <c r="BH134" s="12" t="s">
        <v>1739</v>
      </c>
    </row>
    <row r="135" spans="1:60" s="3" customFormat="1" ht="21.6" x14ac:dyDescent="0.3">
      <c r="A135" s="25"/>
      <c r="B135" s="26" t="s">
        <v>607</v>
      </c>
      <c r="C135" s="419" t="s">
        <v>608</v>
      </c>
      <c r="D135" s="419"/>
      <c r="E135" s="419"/>
      <c r="F135" s="27" t="s">
        <v>609</v>
      </c>
      <c r="G135" s="22" t="s">
        <v>3464</v>
      </c>
      <c r="H135" s="58"/>
      <c r="I135" s="28"/>
      <c r="J135" s="28"/>
      <c r="K135" s="29"/>
      <c r="BC135" s="14"/>
      <c r="BD135" s="15"/>
      <c r="BE135" s="21"/>
      <c r="BF135" s="43"/>
      <c r="BG135" s="12"/>
      <c r="BH135" s="12" t="s">
        <v>608</v>
      </c>
    </row>
    <row r="136" spans="1:60" s="3" customFormat="1" ht="14.4" x14ac:dyDescent="0.3">
      <c r="A136" s="16" t="s">
        <v>2138</v>
      </c>
      <c r="B136" s="17" t="s">
        <v>1742</v>
      </c>
      <c r="C136" s="405" t="s">
        <v>1743</v>
      </c>
      <c r="D136" s="405"/>
      <c r="E136" s="405"/>
      <c r="F136" s="16" t="s">
        <v>70</v>
      </c>
      <c r="G136" s="44">
        <v>0.10205</v>
      </c>
      <c r="H136" s="57">
        <f>I136/G136</f>
        <v>0</v>
      </c>
      <c r="I136" s="265"/>
      <c r="J136" s="19">
        <f>K136/G136</f>
        <v>54509.064184223418</v>
      </c>
      <c r="K136" s="19">
        <v>5562.65</v>
      </c>
      <c r="BC136" s="14"/>
      <c r="BD136" s="15"/>
      <c r="BE136" s="21" t="s">
        <v>1743</v>
      </c>
      <c r="BF136" s="43"/>
      <c r="BG136" s="12"/>
      <c r="BH136" s="12"/>
    </row>
    <row r="137" spans="1:60" s="3" customFormat="1" ht="15" customHeight="1" x14ac:dyDescent="0.3">
      <c r="A137" s="437" t="s">
        <v>3465</v>
      </c>
      <c r="B137" s="418"/>
      <c r="C137" s="418"/>
      <c r="D137" s="418"/>
      <c r="E137" s="418"/>
      <c r="F137" s="418"/>
      <c r="G137" s="418"/>
      <c r="H137" s="154"/>
      <c r="I137" s="154"/>
      <c r="J137" s="154"/>
      <c r="K137" s="155"/>
      <c r="BC137" s="14"/>
      <c r="BD137" s="15" t="s">
        <v>3465</v>
      </c>
      <c r="BE137" s="21"/>
      <c r="BF137" s="43"/>
      <c r="BG137" s="12"/>
      <c r="BH137" s="12"/>
    </row>
    <row r="138" spans="1:60" s="3" customFormat="1" ht="15" customHeight="1" x14ac:dyDescent="0.3">
      <c r="A138" s="435" t="s">
        <v>3466</v>
      </c>
      <c r="B138" s="436"/>
      <c r="C138" s="436"/>
      <c r="D138" s="436"/>
      <c r="E138" s="436"/>
      <c r="F138" s="436"/>
      <c r="G138" s="436"/>
      <c r="H138" s="150"/>
      <c r="I138" s="150"/>
      <c r="J138" s="150"/>
      <c r="K138" s="151"/>
      <c r="BC138" s="14" t="s">
        <v>3466</v>
      </c>
      <c r="BD138" s="15"/>
      <c r="BE138" s="21"/>
      <c r="BF138" s="43"/>
      <c r="BG138" s="12"/>
      <c r="BH138" s="12"/>
    </row>
    <row r="139" spans="1:60" s="3" customFormat="1" ht="15" customHeight="1" x14ac:dyDescent="0.3">
      <c r="A139" s="437" t="s">
        <v>3467</v>
      </c>
      <c r="B139" s="418"/>
      <c r="C139" s="418"/>
      <c r="D139" s="418"/>
      <c r="E139" s="418"/>
      <c r="F139" s="418"/>
      <c r="G139" s="418"/>
      <c r="H139" s="154"/>
      <c r="I139" s="154"/>
      <c r="J139" s="154"/>
      <c r="K139" s="155"/>
      <c r="BC139" s="14"/>
      <c r="BD139" s="15" t="s">
        <v>3467</v>
      </c>
      <c r="BE139" s="21"/>
      <c r="BF139" s="43"/>
      <c r="BG139" s="12"/>
      <c r="BH139" s="12"/>
    </row>
    <row r="140" spans="1:60" s="3" customFormat="1" ht="31.8" x14ac:dyDescent="0.3">
      <c r="A140" s="16" t="s">
        <v>2139</v>
      </c>
      <c r="B140" s="17" t="s">
        <v>1732</v>
      </c>
      <c r="C140" s="405" t="s">
        <v>1733</v>
      </c>
      <c r="D140" s="405"/>
      <c r="E140" s="405"/>
      <c r="F140" s="16" t="s">
        <v>125</v>
      </c>
      <c r="G140" s="18">
        <v>4.8000000000000001E-2</v>
      </c>
      <c r="H140" s="57">
        <f>I140/G140</f>
        <v>117456.875</v>
      </c>
      <c r="I140" s="19">
        <f>5637.93-K140</f>
        <v>5637.93</v>
      </c>
      <c r="J140" s="19">
        <f>K140/G140</f>
        <v>0</v>
      </c>
      <c r="K140" s="19">
        <v>0</v>
      </c>
      <c r="BC140" s="14"/>
      <c r="BD140" s="15"/>
      <c r="BE140" s="21" t="s">
        <v>1733</v>
      </c>
      <c r="BF140" s="43"/>
      <c r="BG140" s="12"/>
      <c r="BH140" s="12"/>
    </row>
    <row r="141" spans="1:60" s="3" customFormat="1" ht="15" customHeight="1" x14ac:dyDescent="0.3">
      <c r="A141" s="437" t="s">
        <v>3430</v>
      </c>
      <c r="B141" s="418"/>
      <c r="C141" s="418"/>
      <c r="D141" s="418"/>
      <c r="E141" s="418"/>
      <c r="F141" s="418"/>
      <c r="G141" s="418"/>
      <c r="H141" s="154"/>
      <c r="I141" s="154"/>
      <c r="J141" s="154"/>
      <c r="K141" s="155"/>
      <c r="BC141" s="14"/>
      <c r="BD141" s="15" t="s">
        <v>3430</v>
      </c>
      <c r="BE141" s="21"/>
      <c r="BF141" s="43"/>
      <c r="BG141" s="12"/>
      <c r="BH141" s="12"/>
    </row>
    <row r="142" spans="1:60" s="3" customFormat="1" ht="21.6" x14ac:dyDescent="0.3">
      <c r="A142" s="16" t="s">
        <v>2144</v>
      </c>
      <c r="B142" s="17" t="s">
        <v>123</v>
      </c>
      <c r="C142" s="405" t="s">
        <v>124</v>
      </c>
      <c r="D142" s="405"/>
      <c r="E142" s="405"/>
      <c r="F142" s="16" t="s">
        <v>125</v>
      </c>
      <c r="G142" s="18">
        <v>4.2000000000000003E-2</v>
      </c>
      <c r="H142" s="57">
        <f>I142/G142</f>
        <v>64903.57142857142</v>
      </c>
      <c r="I142" s="19">
        <f>2725.95-K142</f>
        <v>2725.95</v>
      </c>
      <c r="J142" s="19">
        <f>K142/G142</f>
        <v>0</v>
      </c>
      <c r="K142" s="19">
        <v>0</v>
      </c>
      <c r="BC142" s="14"/>
      <c r="BD142" s="15"/>
      <c r="BE142" s="21" t="s">
        <v>124</v>
      </c>
      <c r="BF142" s="43"/>
      <c r="BG142" s="12"/>
      <c r="BH142" s="12"/>
    </row>
    <row r="143" spans="1:60" s="3" customFormat="1" ht="15" customHeight="1" x14ac:dyDescent="0.3">
      <c r="A143" s="437" t="s">
        <v>1597</v>
      </c>
      <c r="B143" s="418"/>
      <c r="C143" s="418"/>
      <c r="D143" s="418"/>
      <c r="E143" s="418"/>
      <c r="F143" s="418"/>
      <c r="G143" s="418"/>
      <c r="H143" s="154"/>
      <c r="I143" s="154"/>
      <c r="J143" s="154"/>
      <c r="K143" s="155"/>
      <c r="BC143" s="14"/>
      <c r="BD143" s="15" t="s">
        <v>1597</v>
      </c>
      <c r="BE143" s="21"/>
      <c r="BF143" s="43"/>
      <c r="BG143" s="12"/>
      <c r="BH143" s="12"/>
    </row>
    <row r="144" spans="1:60" s="3" customFormat="1" ht="52.2" x14ac:dyDescent="0.3">
      <c r="A144" s="16" t="s">
        <v>2169</v>
      </c>
      <c r="B144" s="17" t="s">
        <v>1598</v>
      </c>
      <c r="C144" s="405" t="s">
        <v>1599</v>
      </c>
      <c r="D144" s="405"/>
      <c r="E144" s="405"/>
      <c r="F144" s="16" t="s">
        <v>43</v>
      </c>
      <c r="G144" s="30">
        <v>5.9999999999999995E-4</v>
      </c>
      <c r="H144" s="57">
        <f>I144/G144</f>
        <v>68050</v>
      </c>
      <c r="I144" s="19">
        <f>40.83-K144</f>
        <v>40.83</v>
      </c>
      <c r="J144" s="19">
        <f>K144/G144</f>
        <v>0</v>
      </c>
      <c r="K144" s="19">
        <v>0</v>
      </c>
      <c r="BC144" s="14"/>
      <c r="BD144" s="15"/>
      <c r="BE144" s="21" t="s">
        <v>1599</v>
      </c>
      <c r="BF144" s="43"/>
      <c r="BG144" s="12"/>
      <c r="BH144" s="12"/>
    </row>
    <row r="145" spans="1:60" s="3" customFormat="1" ht="42" x14ac:dyDescent="0.3">
      <c r="A145" s="16" t="s">
        <v>2179</v>
      </c>
      <c r="B145" s="17" t="s">
        <v>48</v>
      </c>
      <c r="C145" s="405" t="s">
        <v>49</v>
      </c>
      <c r="D145" s="405"/>
      <c r="E145" s="405"/>
      <c r="F145" s="16" t="s">
        <v>50</v>
      </c>
      <c r="G145" s="24">
        <v>1.2</v>
      </c>
      <c r="H145" s="57">
        <f>I145/G145</f>
        <v>598.375</v>
      </c>
      <c r="I145" s="265">
        <v>718.05</v>
      </c>
      <c r="J145" s="19">
        <f>K145/G145</f>
        <v>0</v>
      </c>
      <c r="K145" s="19"/>
      <c r="BC145" s="14"/>
      <c r="BD145" s="15"/>
      <c r="BE145" s="21" t="s">
        <v>49</v>
      </c>
      <c r="BF145" s="43"/>
      <c r="BG145" s="12"/>
      <c r="BH145" s="12"/>
    </row>
    <row r="146" spans="1:60" s="3" customFormat="1" ht="15" customHeight="1" x14ac:dyDescent="0.3">
      <c r="A146" s="437" t="s">
        <v>3433</v>
      </c>
      <c r="B146" s="418"/>
      <c r="C146" s="418"/>
      <c r="D146" s="418"/>
      <c r="E146" s="418"/>
      <c r="F146" s="418"/>
      <c r="G146" s="418"/>
      <c r="H146" s="154"/>
      <c r="I146" s="154"/>
      <c r="J146" s="154"/>
      <c r="K146" s="155"/>
      <c r="BC146" s="14"/>
      <c r="BD146" s="15" t="s">
        <v>3433</v>
      </c>
      <c r="BE146" s="21"/>
      <c r="BF146" s="43"/>
      <c r="BG146" s="12"/>
      <c r="BH146" s="12"/>
    </row>
    <row r="147" spans="1:60" s="3" customFormat="1" ht="31.8" x14ac:dyDescent="0.3">
      <c r="A147" s="16" t="s">
        <v>2180</v>
      </c>
      <c r="B147" s="17" t="s">
        <v>3434</v>
      </c>
      <c r="C147" s="405" t="s">
        <v>3435</v>
      </c>
      <c r="D147" s="405"/>
      <c r="E147" s="405"/>
      <c r="F147" s="16" t="s">
        <v>142</v>
      </c>
      <c r="G147" s="24">
        <v>0.3</v>
      </c>
      <c r="H147" s="57">
        <f>I147/G147</f>
        <v>126883.13333333335</v>
      </c>
      <c r="I147" s="19">
        <f>38064.94-K147</f>
        <v>38064.94</v>
      </c>
      <c r="J147" s="19">
        <f>K147/G147</f>
        <v>0</v>
      </c>
      <c r="K147" s="19">
        <v>0</v>
      </c>
      <c r="BC147" s="14"/>
      <c r="BD147" s="15"/>
      <c r="BE147" s="21" t="s">
        <v>3435</v>
      </c>
      <c r="BF147" s="43"/>
      <c r="BG147" s="12"/>
      <c r="BH147" s="12"/>
    </row>
    <row r="148" spans="1:60" s="3" customFormat="1" ht="20.399999999999999" x14ac:dyDescent="0.3">
      <c r="A148" s="37" t="s">
        <v>143</v>
      </c>
      <c r="B148" s="38" t="s">
        <v>767</v>
      </c>
      <c r="C148" s="430" t="s">
        <v>768</v>
      </c>
      <c r="D148" s="430"/>
      <c r="E148" s="430"/>
      <c r="F148" s="39" t="s">
        <v>46</v>
      </c>
      <c r="G148" s="40" t="s">
        <v>3468</v>
      </c>
      <c r="H148" s="100"/>
      <c r="I148" s="41"/>
      <c r="J148" s="41"/>
      <c r="K148" s="42"/>
      <c r="BC148" s="14"/>
      <c r="BD148" s="15"/>
      <c r="BE148" s="21"/>
      <c r="BF148" s="43" t="s">
        <v>768</v>
      </c>
      <c r="BG148" s="12"/>
      <c r="BH148" s="12"/>
    </row>
    <row r="149" spans="1:60" s="3" customFormat="1" ht="20.399999999999999" x14ac:dyDescent="0.3">
      <c r="A149" s="37" t="s">
        <v>143</v>
      </c>
      <c r="B149" s="38" t="s">
        <v>3437</v>
      </c>
      <c r="C149" s="430" t="s">
        <v>86</v>
      </c>
      <c r="D149" s="430"/>
      <c r="E149" s="430"/>
      <c r="F149" s="39" t="s">
        <v>38</v>
      </c>
      <c r="G149" s="40" t="s">
        <v>3469</v>
      </c>
      <c r="H149" s="100"/>
      <c r="I149" s="41"/>
      <c r="J149" s="41"/>
      <c r="K149" s="42"/>
      <c r="BC149" s="14"/>
      <c r="BD149" s="15"/>
      <c r="BE149" s="21"/>
      <c r="BF149" s="43" t="s">
        <v>86</v>
      </c>
      <c r="BG149" s="12"/>
      <c r="BH149" s="12"/>
    </row>
    <row r="150" spans="1:60" s="3" customFormat="1" ht="27.75" customHeight="1" x14ac:dyDescent="0.3">
      <c r="A150" s="437" t="s">
        <v>3470</v>
      </c>
      <c r="B150" s="418"/>
      <c r="C150" s="418"/>
      <c r="D150" s="418"/>
      <c r="E150" s="418"/>
      <c r="F150" s="418"/>
      <c r="G150" s="418"/>
      <c r="H150" s="154"/>
      <c r="I150" s="154"/>
      <c r="J150" s="154"/>
      <c r="K150" s="155"/>
      <c r="BC150" s="14"/>
      <c r="BD150" s="15" t="s">
        <v>3470</v>
      </c>
      <c r="BE150" s="21"/>
      <c r="BF150" s="43"/>
      <c r="BG150" s="12"/>
      <c r="BH150" s="12"/>
    </row>
    <row r="151" spans="1:60" s="3" customFormat="1" ht="31.8" x14ac:dyDescent="0.3">
      <c r="A151" s="16" t="s">
        <v>2183</v>
      </c>
      <c r="B151" s="17" t="s">
        <v>1907</v>
      </c>
      <c r="C151" s="405" t="s">
        <v>1908</v>
      </c>
      <c r="D151" s="405"/>
      <c r="E151" s="405"/>
      <c r="F151" s="16" t="s">
        <v>38</v>
      </c>
      <c r="G151" s="23">
        <v>30</v>
      </c>
      <c r="H151" s="57">
        <f>I151/G151</f>
        <v>519.98333333333335</v>
      </c>
      <c r="I151" s="19">
        <f>15888.9-K151</f>
        <v>15599.5</v>
      </c>
      <c r="J151" s="19">
        <f>K151/G151</f>
        <v>9.6466666666666665</v>
      </c>
      <c r="K151" s="19">
        <v>289.39999999999998</v>
      </c>
      <c r="BC151" s="14"/>
      <c r="BD151" s="15"/>
      <c r="BE151" s="21" t="s">
        <v>1908</v>
      </c>
      <c r="BF151" s="43"/>
      <c r="BG151" s="12"/>
      <c r="BH151" s="12"/>
    </row>
    <row r="152" spans="1:60" s="3" customFormat="1" ht="21.6" x14ac:dyDescent="0.3">
      <c r="A152" s="25"/>
      <c r="B152" s="26" t="s">
        <v>1392</v>
      </c>
      <c r="C152" s="419" t="s">
        <v>1393</v>
      </c>
      <c r="D152" s="419"/>
      <c r="E152" s="419"/>
      <c r="F152" s="27" t="s">
        <v>75</v>
      </c>
      <c r="G152" s="22" t="s">
        <v>3471</v>
      </c>
      <c r="H152" s="58"/>
      <c r="I152" s="28"/>
      <c r="J152" s="28"/>
      <c r="K152" s="29"/>
      <c r="BC152" s="14"/>
      <c r="BD152" s="15"/>
      <c r="BE152" s="21"/>
      <c r="BF152" s="43"/>
      <c r="BG152" s="12"/>
      <c r="BH152" s="12" t="s">
        <v>1393</v>
      </c>
    </row>
    <row r="153" spans="1:60" s="3" customFormat="1" ht="21.6" x14ac:dyDescent="0.3">
      <c r="A153" s="25"/>
      <c r="B153" s="26" t="s">
        <v>607</v>
      </c>
      <c r="C153" s="419" t="s">
        <v>608</v>
      </c>
      <c r="D153" s="419"/>
      <c r="E153" s="419"/>
      <c r="F153" s="27" t="s">
        <v>609</v>
      </c>
      <c r="G153" s="22" t="s">
        <v>3472</v>
      </c>
      <c r="H153" s="58"/>
      <c r="I153" s="28"/>
      <c r="J153" s="28"/>
      <c r="K153" s="29"/>
      <c r="BC153" s="14"/>
      <c r="BD153" s="15"/>
      <c r="BE153" s="21"/>
      <c r="BF153" s="43"/>
      <c r="BG153" s="12"/>
      <c r="BH153" s="12" t="s">
        <v>608</v>
      </c>
    </row>
    <row r="154" spans="1:60" s="3" customFormat="1" ht="15" customHeight="1" x14ac:dyDescent="0.3">
      <c r="A154" s="437" t="s">
        <v>3473</v>
      </c>
      <c r="B154" s="418"/>
      <c r="C154" s="418"/>
      <c r="D154" s="418"/>
      <c r="E154" s="418"/>
      <c r="F154" s="418"/>
      <c r="G154" s="418"/>
      <c r="H154" s="154"/>
      <c r="I154" s="154"/>
      <c r="J154" s="154"/>
      <c r="K154" s="155"/>
      <c r="BC154" s="14"/>
      <c r="BD154" s="15" t="s">
        <v>3473</v>
      </c>
      <c r="BE154" s="21"/>
      <c r="BF154" s="43"/>
      <c r="BG154" s="12"/>
      <c r="BH154" s="12"/>
    </row>
    <row r="155" spans="1:60" s="3" customFormat="1" ht="42" x14ac:dyDescent="0.3">
      <c r="A155" s="16" t="s">
        <v>2210</v>
      </c>
      <c r="B155" s="17" t="s">
        <v>3447</v>
      </c>
      <c r="C155" s="405" t="s">
        <v>3448</v>
      </c>
      <c r="D155" s="405"/>
      <c r="E155" s="405"/>
      <c r="F155" s="16" t="s">
        <v>38</v>
      </c>
      <c r="G155" s="23">
        <v>30</v>
      </c>
      <c r="H155" s="57">
        <f>I155/G155</f>
        <v>4416.8780000000006</v>
      </c>
      <c r="I155" s="19">
        <f>210072.17-K155</f>
        <v>132506.34000000003</v>
      </c>
      <c r="J155" s="19">
        <f>K155/G155</f>
        <v>2585.5276666666668</v>
      </c>
      <c r="K155" s="19">
        <v>77565.83</v>
      </c>
      <c r="BC155" s="14"/>
      <c r="BD155" s="15"/>
      <c r="BE155" s="21" t="s">
        <v>3448</v>
      </c>
      <c r="BF155" s="43"/>
      <c r="BG155" s="12"/>
      <c r="BH155" s="12"/>
    </row>
    <row r="156" spans="1:60" s="3" customFormat="1" ht="20.399999999999999" x14ac:dyDescent="0.3">
      <c r="A156" s="25"/>
      <c r="B156" s="26" t="s">
        <v>1693</v>
      </c>
      <c r="C156" s="419" t="s">
        <v>1694</v>
      </c>
      <c r="D156" s="419"/>
      <c r="E156" s="419"/>
      <c r="F156" s="27" t="s">
        <v>75</v>
      </c>
      <c r="G156" s="22" t="s">
        <v>3474</v>
      </c>
      <c r="H156" s="58"/>
      <c r="I156" s="28"/>
      <c r="J156" s="28"/>
      <c r="K156" s="29"/>
      <c r="BC156" s="14"/>
      <c r="BD156" s="15"/>
      <c r="BE156" s="21"/>
      <c r="BF156" s="43"/>
      <c r="BG156" s="12"/>
      <c r="BH156" s="12" t="s">
        <v>1694</v>
      </c>
    </row>
    <row r="157" spans="1:60" s="3" customFormat="1" ht="20.399999999999999" x14ac:dyDescent="0.3">
      <c r="A157" s="25"/>
      <c r="B157" s="26" t="s">
        <v>391</v>
      </c>
      <c r="C157" s="419" t="s">
        <v>392</v>
      </c>
      <c r="D157" s="419"/>
      <c r="E157" s="419"/>
      <c r="F157" s="27" t="s">
        <v>75</v>
      </c>
      <c r="G157" s="22" t="s">
        <v>3475</v>
      </c>
      <c r="H157" s="58"/>
      <c r="I157" s="28"/>
      <c r="J157" s="28"/>
      <c r="K157" s="29"/>
      <c r="BC157" s="14"/>
      <c r="BD157" s="15"/>
      <c r="BE157" s="21"/>
      <c r="BF157" s="43"/>
      <c r="BG157" s="12"/>
      <c r="BH157" s="12" t="s">
        <v>392</v>
      </c>
    </row>
    <row r="158" spans="1:60" s="3" customFormat="1" ht="21.6" x14ac:dyDescent="0.3">
      <c r="A158" s="25"/>
      <c r="B158" s="26" t="s">
        <v>1931</v>
      </c>
      <c r="C158" s="419" t="s">
        <v>1932</v>
      </c>
      <c r="D158" s="419"/>
      <c r="E158" s="419"/>
      <c r="F158" s="27" t="s">
        <v>70</v>
      </c>
      <c r="G158" s="22" t="s">
        <v>3476</v>
      </c>
      <c r="H158" s="58"/>
      <c r="I158" s="28"/>
      <c r="J158" s="28"/>
      <c r="K158" s="29"/>
      <c r="BC158" s="14"/>
      <c r="BD158" s="15"/>
      <c r="BE158" s="21"/>
      <c r="BF158" s="43"/>
      <c r="BG158" s="12"/>
      <c r="BH158" s="12" t="s">
        <v>1932</v>
      </c>
    </row>
    <row r="159" spans="1:60" s="3" customFormat="1" ht="20.399999999999999" x14ac:dyDescent="0.3">
      <c r="A159" s="25"/>
      <c r="B159" s="26" t="s">
        <v>605</v>
      </c>
      <c r="C159" s="419" t="s">
        <v>606</v>
      </c>
      <c r="D159" s="419"/>
      <c r="E159" s="419"/>
      <c r="F159" s="27" t="s">
        <v>75</v>
      </c>
      <c r="G159" s="22" t="s">
        <v>3477</v>
      </c>
      <c r="H159" s="58"/>
      <c r="I159" s="28"/>
      <c r="J159" s="28"/>
      <c r="K159" s="29"/>
      <c r="BC159" s="14"/>
      <c r="BD159" s="15"/>
      <c r="BE159" s="21"/>
      <c r="BF159" s="43"/>
      <c r="BG159" s="12"/>
      <c r="BH159" s="12" t="s">
        <v>606</v>
      </c>
    </row>
    <row r="160" spans="1:60" s="3" customFormat="1" ht="21.6" x14ac:dyDescent="0.3">
      <c r="A160" s="25"/>
      <c r="B160" s="26" t="s">
        <v>607</v>
      </c>
      <c r="C160" s="419" t="s">
        <v>608</v>
      </c>
      <c r="D160" s="419"/>
      <c r="E160" s="419"/>
      <c r="F160" s="27" t="s">
        <v>609</v>
      </c>
      <c r="G160" s="22" t="s">
        <v>3478</v>
      </c>
      <c r="H160" s="58"/>
      <c r="I160" s="28"/>
      <c r="J160" s="28"/>
      <c r="K160" s="29"/>
      <c r="BC160" s="14"/>
      <c r="BD160" s="15"/>
      <c r="BE160" s="21"/>
      <c r="BF160" s="43"/>
      <c r="BG160" s="12"/>
      <c r="BH160" s="12" t="s">
        <v>608</v>
      </c>
    </row>
    <row r="161" spans="1:60" s="3" customFormat="1" ht="31.8" x14ac:dyDescent="0.3">
      <c r="A161" s="16" t="s">
        <v>2214</v>
      </c>
      <c r="B161" s="17" t="s">
        <v>3479</v>
      </c>
      <c r="C161" s="405" t="s">
        <v>3480</v>
      </c>
      <c r="D161" s="405"/>
      <c r="E161" s="405"/>
      <c r="F161" s="16" t="s">
        <v>1460</v>
      </c>
      <c r="G161" s="23">
        <v>30</v>
      </c>
      <c r="H161" s="57">
        <v>0</v>
      </c>
      <c r="I161" s="19">
        <v>0</v>
      </c>
      <c r="J161" s="19">
        <f t="shared" ref="J161:J162" si="5">K161/G161</f>
        <v>2276666.3056666669</v>
      </c>
      <c r="K161" s="19">
        <v>68299989.170000002</v>
      </c>
      <c r="BC161" s="14"/>
      <c r="BD161" s="15"/>
      <c r="BE161" s="21" t="s">
        <v>3480</v>
      </c>
      <c r="BF161" s="43"/>
      <c r="BG161" s="12"/>
      <c r="BH161" s="12"/>
    </row>
    <row r="162" spans="1:60" s="3" customFormat="1" ht="21.6" x14ac:dyDescent="0.3">
      <c r="A162" s="16" t="s">
        <v>2222</v>
      </c>
      <c r="B162" s="17" t="s">
        <v>3481</v>
      </c>
      <c r="C162" s="405" t="s">
        <v>3482</v>
      </c>
      <c r="D162" s="405"/>
      <c r="E162" s="405"/>
      <c r="F162" s="16" t="s">
        <v>1460</v>
      </c>
      <c r="G162" s="23">
        <v>30</v>
      </c>
      <c r="H162" s="57">
        <v>0</v>
      </c>
      <c r="I162" s="19">
        <v>0</v>
      </c>
      <c r="J162" s="19">
        <f t="shared" si="5"/>
        <v>57556.77166666666</v>
      </c>
      <c r="K162" s="19">
        <v>1726703.15</v>
      </c>
      <c r="BC162" s="14"/>
      <c r="BD162" s="15"/>
      <c r="BE162" s="21" t="s">
        <v>3482</v>
      </c>
      <c r="BF162" s="43"/>
      <c r="BG162" s="12"/>
      <c r="BH162" s="12"/>
    </row>
    <row r="163" spans="1:60" s="3" customFormat="1" ht="15" customHeight="1" x14ac:dyDescent="0.3">
      <c r="A163" s="435" t="s">
        <v>3483</v>
      </c>
      <c r="B163" s="436"/>
      <c r="C163" s="436"/>
      <c r="D163" s="436"/>
      <c r="E163" s="436"/>
      <c r="F163" s="436"/>
      <c r="G163" s="436"/>
      <c r="H163" s="103"/>
      <c r="I163" s="103"/>
      <c r="J163" s="103"/>
      <c r="K163" s="104"/>
      <c r="BC163" s="14" t="s">
        <v>3483</v>
      </c>
      <c r="BD163" s="15"/>
      <c r="BE163" s="21"/>
      <c r="BF163" s="43"/>
      <c r="BG163" s="12"/>
      <c r="BH163" s="12"/>
    </row>
    <row r="164" spans="1:60" s="3" customFormat="1" ht="15" customHeight="1" x14ac:dyDescent="0.3">
      <c r="A164" s="437" t="s">
        <v>1731</v>
      </c>
      <c r="B164" s="418"/>
      <c r="C164" s="418"/>
      <c r="D164" s="418"/>
      <c r="E164" s="418"/>
      <c r="F164" s="418"/>
      <c r="G164" s="418"/>
      <c r="H164" s="154"/>
      <c r="I164" s="154"/>
      <c r="J164" s="154"/>
      <c r="K164" s="155"/>
      <c r="BC164" s="14"/>
      <c r="BD164" s="15" t="s">
        <v>1731</v>
      </c>
      <c r="BE164" s="21"/>
      <c r="BF164" s="43"/>
      <c r="BG164" s="12"/>
      <c r="BH164" s="12"/>
    </row>
    <row r="165" spans="1:60" s="3" customFormat="1" ht="31.8" x14ac:dyDescent="0.3">
      <c r="A165" s="16" t="s">
        <v>2226</v>
      </c>
      <c r="B165" s="17" t="s">
        <v>1732</v>
      </c>
      <c r="C165" s="405" t="s">
        <v>1733</v>
      </c>
      <c r="D165" s="405"/>
      <c r="E165" s="405"/>
      <c r="F165" s="16" t="s">
        <v>125</v>
      </c>
      <c r="G165" s="18">
        <v>1.0920000000000001</v>
      </c>
      <c r="H165" s="57">
        <f t="shared" ref="H165:H166" si="6">I165/G165</f>
        <v>117456.93223443223</v>
      </c>
      <c r="I165" s="19">
        <f>128262.97-K165</f>
        <v>128262.97</v>
      </c>
      <c r="J165" s="19">
        <f t="shared" ref="J165:J166" si="7">K165/G165</f>
        <v>0</v>
      </c>
      <c r="K165" s="19">
        <v>0</v>
      </c>
      <c r="BC165" s="14"/>
      <c r="BD165" s="15"/>
      <c r="BE165" s="21" t="s">
        <v>1733</v>
      </c>
      <c r="BF165" s="43"/>
      <c r="BG165" s="12"/>
      <c r="BH165" s="12"/>
    </row>
    <row r="166" spans="1:60" s="3" customFormat="1" ht="21.6" x14ac:dyDescent="0.3">
      <c r="A166" s="16" t="s">
        <v>2229</v>
      </c>
      <c r="B166" s="17" t="s">
        <v>123</v>
      </c>
      <c r="C166" s="405" t="s">
        <v>124</v>
      </c>
      <c r="D166" s="405"/>
      <c r="E166" s="405"/>
      <c r="F166" s="16" t="s">
        <v>125</v>
      </c>
      <c r="G166" s="18">
        <v>1.0920000000000001</v>
      </c>
      <c r="H166" s="57">
        <f t="shared" si="6"/>
        <v>64903.461538461532</v>
      </c>
      <c r="I166" s="19">
        <f>70874.58-K166</f>
        <v>70874.58</v>
      </c>
      <c r="J166" s="19">
        <f t="shared" si="7"/>
        <v>0</v>
      </c>
      <c r="K166" s="19">
        <v>0</v>
      </c>
      <c r="BC166" s="14"/>
      <c r="BD166" s="15"/>
      <c r="BE166" s="21" t="s">
        <v>124</v>
      </c>
      <c r="BF166" s="43"/>
      <c r="BG166" s="12"/>
      <c r="BH166" s="12"/>
    </row>
    <row r="167" spans="1:60" s="3" customFormat="1" ht="15" customHeight="1" x14ac:dyDescent="0.3">
      <c r="A167" s="437" t="s">
        <v>1744</v>
      </c>
      <c r="B167" s="418"/>
      <c r="C167" s="418"/>
      <c r="D167" s="418"/>
      <c r="E167" s="418"/>
      <c r="F167" s="418"/>
      <c r="G167" s="418"/>
      <c r="H167" s="154"/>
      <c r="I167" s="154"/>
      <c r="J167" s="154"/>
      <c r="K167" s="155"/>
      <c r="BC167" s="14"/>
      <c r="BD167" s="15" t="s">
        <v>1744</v>
      </c>
      <c r="BE167" s="21"/>
      <c r="BF167" s="43"/>
      <c r="BG167" s="12"/>
      <c r="BH167" s="12"/>
    </row>
    <row r="168" spans="1:60" s="3" customFormat="1" ht="21.6" x14ac:dyDescent="0.3">
      <c r="A168" s="16" t="s">
        <v>2230</v>
      </c>
      <c r="B168" s="17" t="s">
        <v>1745</v>
      </c>
      <c r="C168" s="405" t="s">
        <v>1746</v>
      </c>
      <c r="D168" s="405"/>
      <c r="E168" s="405"/>
      <c r="F168" s="16" t="s">
        <v>1261</v>
      </c>
      <c r="G168" s="23">
        <v>9</v>
      </c>
      <c r="H168" s="57">
        <f>I168/G168</f>
        <v>10084.846666666666</v>
      </c>
      <c r="I168" s="19">
        <f>129439.27-K168</f>
        <v>90763.62</v>
      </c>
      <c r="J168" s="19">
        <f>K168/G168</f>
        <v>4297.2944444444447</v>
      </c>
      <c r="K168" s="19">
        <v>38675.65</v>
      </c>
      <c r="BC168" s="14"/>
      <c r="BD168" s="15"/>
      <c r="BE168" s="21" t="s">
        <v>1746</v>
      </c>
      <c r="BF168" s="43"/>
      <c r="BG168" s="12"/>
      <c r="BH168" s="12"/>
    </row>
    <row r="169" spans="1:60" s="3" customFormat="1" ht="20.399999999999999" x14ac:dyDescent="0.3">
      <c r="A169" s="25"/>
      <c r="B169" s="26" t="s">
        <v>1693</v>
      </c>
      <c r="C169" s="419" t="s">
        <v>1694</v>
      </c>
      <c r="D169" s="419"/>
      <c r="E169" s="419"/>
      <c r="F169" s="27" t="s">
        <v>75</v>
      </c>
      <c r="G169" s="22" t="s">
        <v>3484</v>
      </c>
      <c r="H169" s="58"/>
      <c r="I169" s="28"/>
      <c r="J169" s="28"/>
      <c r="K169" s="29"/>
      <c r="BC169" s="14"/>
      <c r="BD169" s="15"/>
      <c r="BE169" s="21"/>
      <c r="BF169" s="43"/>
      <c r="BG169" s="12"/>
      <c r="BH169" s="12" t="s">
        <v>1694</v>
      </c>
    </row>
    <row r="170" spans="1:60" s="3" customFormat="1" ht="20.399999999999999" x14ac:dyDescent="0.3">
      <c r="A170" s="25"/>
      <c r="B170" s="26" t="s">
        <v>1738</v>
      </c>
      <c r="C170" s="419" t="s">
        <v>1739</v>
      </c>
      <c r="D170" s="419"/>
      <c r="E170" s="419"/>
      <c r="F170" s="27" t="s">
        <v>75</v>
      </c>
      <c r="G170" s="22" t="s">
        <v>3485</v>
      </c>
      <c r="H170" s="58"/>
      <c r="I170" s="28"/>
      <c r="J170" s="28"/>
      <c r="K170" s="29"/>
      <c r="BC170" s="14"/>
      <c r="BD170" s="15"/>
      <c r="BE170" s="21"/>
      <c r="BF170" s="43"/>
      <c r="BG170" s="12"/>
      <c r="BH170" s="12" t="s">
        <v>1739</v>
      </c>
    </row>
    <row r="171" spans="1:60" s="3" customFormat="1" ht="21.6" x14ac:dyDescent="0.3">
      <c r="A171" s="25"/>
      <c r="B171" s="26" t="s">
        <v>607</v>
      </c>
      <c r="C171" s="419" t="s">
        <v>608</v>
      </c>
      <c r="D171" s="419"/>
      <c r="E171" s="419"/>
      <c r="F171" s="27" t="s">
        <v>609</v>
      </c>
      <c r="G171" s="22" t="s">
        <v>3486</v>
      </c>
      <c r="H171" s="58"/>
      <c r="I171" s="28"/>
      <c r="J171" s="28"/>
      <c r="K171" s="29"/>
      <c r="BC171" s="14"/>
      <c r="BD171" s="15"/>
      <c r="BE171" s="21"/>
      <c r="BF171" s="43"/>
      <c r="BG171" s="12"/>
      <c r="BH171" s="12" t="s">
        <v>608</v>
      </c>
    </row>
    <row r="172" spans="1:60" s="3" customFormat="1" ht="21.6" x14ac:dyDescent="0.3">
      <c r="A172" s="16" t="s">
        <v>2232</v>
      </c>
      <c r="B172" s="17" t="s">
        <v>1750</v>
      </c>
      <c r="C172" s="405" t="s">
        <v>1751</v>
      </c>
      <c r="D172" s="405"/>
      <c r="E172" s="405"/>
      <c r="F172" s="16" t="s">
        <v>75</v>
      </c>
      <c r="G172" s="24">
        <v>274.5</v>
      </c>
      <c r="H172" s="57">
        <f>I172/G172</f>
        <v>0</v>
      </c>
      <c r="I172" s="265"/>
      <c r="J172" s="19">
        <f>K172/G172</f>
        <v>48.055482695810561</v>
      </c>
      <c r="K172" s="19">
        <v>13191.23</v>
      </c>
      <c r="BC172" s="14"/>
      <c r="BD172" s="15"/>
      <c r="BE172" s="21" t="s">
        <v>1751</v>
      </c>
      <c r="BF172" s="43"/>
      <c r="BG172" s="12"/>
      <c r="BH172" s="12"/>
    </row>
    <row r="173" spans="1:60" s="3" customFormat="1" ht="15" customHeight="1" x14ac:dyDescent="0.3">
      <c r="A173" s="437" t="s">
        <v>1734</v>
      </c>
      <c r="B173" s="418"/>
      <c r="C173" s="418"/>
      <c r="D173" s="418"/>
      <c r="E173" s="418"/>
      <c r="F173" s="418"/>
      <c r="G173" s="418"/>
      <c r="H173" s="154"/>
      <c r="I173" s="154"/>
      <c r="J173" s="154"/>
      <c r="K173" s="155"/>
      <c r="BC173" s="14"/>
      <c r="BD173" s="15" t="s">
        <v>1734</v>
      </c>
      <c r="BE173" s="21"/>
      <c r="BF173" s="43"/>
      <c r="BG173" s="12"/>
      <c r="BH173" s="12"/>
    </row>
    <row r="174" spans="1:60" s="3" customFormat="1" ht="21.6" x14ac:dyDescent="0.3">
      <c r="A174" s="16" t="s">
        <v>2872</v>
      </c>
      <c r="B174" s="17" t="s">
        <v>1735</v>
      </c>
      <c r="C174" s="405" t="s">
        <v>1736</v>
      </c>
      <c r="D174" s="405"/>
      <c r="E174" s="405"/>
      <c r="F174" s="16" t="s">
        <v>67</v>
      </c>
      <c r="G174" s="24">
        <v>3.9</v>
      </c>
      <c r="H174" s="57">
        <f>I174/G174</f>
        <v>15444.25384615385</v>
      </c>
      <c r="I174" s="19">
        <f>91109.71-K174</f>
        <v>60232.590000000011</v>
      </c>
      <c r="J174" s="19">
        <f>K174/G174</f>
        <v>7917.2102564102561</v>
      </c>
      <c r="K174" s="19">
        <v>30877.119999999999</v>
      </c>
      <c r="BC174" s="14"/>
      <c r="BD174" s="15"/>
      <c r="BE174" s="21" t="s">
        <v>1736</v>
      </c>
      <c r="BF174" s="43"/>
      <c r="BG174" s="12"/>
      <c r="BH174" s="12"/>
    </row>
    <row r="175" spans="1:60" s="3" customFormat="1" ht="20.399999999999999" x14ac:dyDescent="0.3">
      <c r="A175" s="25"/>
      <c r="B175" s="26" t="s">
        <v>1693</v>
      </c>
      <c r="C175" s="419" t="s">
        <v>1694</v>
      </c>
      <c r="D175" s="419"/>
      <c r="E175" s="419"/>
      <c r="F175" s="27" t="s">
        <v>75</v>
      </c>
      <c r="G175" s="22" t="s">
        <v>3487</v>
      </c>
      <c r="H175" s="58"/>
      <c r="I175" s="28"/>
      <c r="J175" s="28"/>
      <c r="K175" s="29"/>
      <c r="BC175" s="14"/>
      <c r="BD175" s="15"/>
      <c r="BE175" s="21"/>
      <c r="BF175" s="43"/>
      <c r="BG175" s="12"/>
      <c r="BH175" s="12" t="s">
        <v>1694</v>
      </c>
    </row>
    <row r="176" spans="1:60" s="3" customFormat="1" ht="20.399999999999999" x14ac:dyDescent="0.3">
      <c r="A176" s="25"/>
      <c r="B176" s="26" t="s">
        <v>1738</v>
      </c>
      <c r="C176" s="419" t="s">
        <v>1739</v>
      </c>
      <c r="D176" s="419"/>
      <c r="E176" s="419"/>
      <c r="F176" s="27" t="s">
        <v>75</v>
      </c>
      <c r="G176" s="22" t="s">
        <v>3488</v>
      </c>
      <c r="H176" s="58"/>
      <c r="I176" s="28"/>
      <c r="J176" s="28"/>
      <c r="K176" s="29"/>
      <c r="BC176" s="14"/>
      <c r="BD176" s="15"/>
      <c r="BE176" s="21"/>
      <c r="BF176" s="43"/>
      <c r="BG176" s="12"/>
      <c r="BH176" s="12" t="s">
        <v>1739</v>
      </c>
    </row>
    <row r="177" spans="1:60" s="3" customFormat="1" ht="21.6" x14ac:dyDescent="0.3">
      <c r="A177" s="25"/>
      <c r="B177" s="26" t="s">
        <v>607</v>
      </c>
      <c r="C177" s="419" t="s">
        <v>608</v>
      </c>
      <c r="D177" s="419"/>
      <c r="E177" s="419"/>
      <c r="F177" s="27" t="s">
        <v>609</v>
      </c>
      <c r="G177" s="22" t="s">
        <v>3489</v>
      </c>
      <c r="H177" s="58"/>
      <c r="I177" s="28"/>
      <c r="J177" s="28"/>
      <c r="K177" s="29"/>
      <c r="BC177" s="14"/>
      <c r="BD177" s="15"/>
      <c r="BE177" s="21"/>
      <c r="BF177" s="43"/>
      <c r="BG177" s="12"/>
      <c r="BH177" s="12" t="s">
        <v>608</v>
      </c>
    </row>
    <row r="178" spans="1:60" s="3" customFormat="1" ht="14.4" x14ac:dyDescent="0.3">
      <c r="A178" s="16" t="s">
        <v>2880</v>
      </c>
      <c r="B178" s="17" t="s">
        <v>1742</v>
      </c>
      <c r="C178" s="405" t="s">
        <v>1743</v>
      </c>
      <c r="D178" s="405"/>
      <c r="E178" s="405"/>
      <c r="F178" s="16" t="s">
        <v>70</v>
      </c>
      <c r="G178" s="30">
        <v>0.61229999999999996</v>
      </c>
      <c r="H178" s="57">
        <f>I178/G178</f>
        <v>0</v>
      </c>
      <c r="I178" s="19"/>
      <c r="J178" s="19">
        <f>K178/G178</f>
        <v>54509.09684795035</v>
      </c>
      <c r="K178" s="19">
        <v>33375.919999999998</v>
      </c>
      <c r="BC178" s="14"/>
      <c r="BD178" s="15"/>
      <c r="BE178" s="21" t="s">
        <v>1743</v>
      </c>
      <c r="BF178" s="43"/>
      <c r="BG178" s="12"/>
      <c r="BH178" s="12"/>
    </row>
    <row r="179" spans="1:60" s="3" customFormat="1" ht="15" customHeight="1" x14ac:dyDescent="0.3">
      <c r="A179" s="437" t="s">
        <v>3465</v>
      </c>
      <c r="B179" s="418"/>
      <c r="C179" s="418"/>
      <c r="D179" s="418"/>
      <c r="E179" s="418"/>
      <c r="F179" s="418"/>
      <c r="G179" s="418"/>
      <c r="H179" s="154"/>
      <c r="I179" s="154"/>
      <c r="J179" s="154"/>
      <c r="K179" s="155"/>
      <c r="BC179" s="14"/>
      <c r="BD179" s="15" t="s">
        <v>3465</v>
      </c>
      <c r="BE179" s="21"/>
      <c r="BF179" s="43"/>
      <c r="BG179" s="12"/>
      <c r="BH179" s="12"/>
    </row>
    <row r="180" spans="1:60" s="3" customFormat="1" ht="20.25" customHeight="1" x14ac:dyDescent="0.3">
      <c r="A180" s="406" t="s">
        <v>57</v>
      </c>
      <c r="B180" s="407"/>
      <c r="C180" s="407"/>
      <c r="D180" s="407"/>
      <c r="E180" s="407"/>
      <c r="F180" s="407"/>
      <c r="G180" s="407"/>
      <c r="H180" s="66"/>
      <c r="I180" s="67">
        <f>SUM(I13:I178)</f>
        <v>1728791.7899999993</v>
      </c>
      <c r="J180" s="72"/>
      <c r="K180" s="67">
        <f>SUM(K13:K178)</f>
        <v>76784882.960000023</v>
      </c>
    </row>
    <row r="181" spans="1:60" s="53" customFormat="1" ht="20.25" customHeight="1" thickBot="1" x14ac:dyDescent="0.35">
      <c r="A181" s="408" t="s">
        <v>5461</v>
      </c>
      <c r="B181" s="409"/>
      <c r="C181" s="409"/>
      <c r="D181" s="409"/>
      <c r="E181" s="409"/>
      <c r="F181" s="409"/>
      <c r="G181" s="409"/>
      <c r="H181" s="88"/>
      <c r="I181" s="410">
        <f>I180+K180</f>
        <v>78513674.75000003</v>
      </c>
      <c r="J181" s="411"/>
      <c r="K181" s="412"/>
      <c r="M181" s="153"/>
    </row>
    <row r="182" spans="1:60" ht="11.25" customHeight="1" x14ac:dyDescent="0.2">
      <c r="A182" s="319"/>
      <c r="M182" s="54"/>
    </row>
  </sheetData>
  <mergeCells count="179">
    <mergeCell ref="C175:E175"/>
    <mergeCell ref="C176:E176"/>
    <mergeCell ref="C177:E177"/>
    <mergeCell ref="C178:E178"/>
    <mergeCell ref="C170:E170"/>
    <mergeCell ref="C171:E171"/>
    <mergeCell ref="C172:E172"/>
    <mergeCell ref="C174:E174"/>
    <mergeCell ref="A150:G150"/>
    <mergeCell ref="C165:E165"/>
    <mergeCell ref="C166:E166"/>
    <mergeCell ref="C168:E168"/>
    <mergeCell ref="C169:E169"/>
    <mergeCell ref="C160:E160"/>
    <mergeCell ref="C161:E161"/>
    <mergeCell ref="C162:E162"/>
    <mergeCell ref="A167:G167"/>
    <mergeCell ref="A164:G164"/>
    <mergeCell ref="A163:G163"/>
    <mergeCell ref="C155:E155"/>
    <mergeCell ref="C156:E156"/>
    <mergeCell ref="C157:E157"/>
    <mergeCell ref="C158:E158"/>
    <mergeCell ref="C159:E159"/>
    <mergeCell ref="C151:E151"/>
    <mergeCell ref="C152:E152"/>
    <mergeCell ref="C153:E153"/>
    <mergeCell ref="A154:G154"/>
    <mergeCell ref="A139:G139"/>
    <mergeCell ref="A138:G138"/>
    <mergeCell ref="C145:E145"/>
    <mergeCell ref="C147:E147"/>
    <mergeCell ref="C148:E148"/>
    <mergeCell ref="C149:E149"/>
    <mergeCell ref="C140:E140"/>
    <mergeCell ref="C142:E142"/>
    <mergeCell ref="C144:E144"/>
    <mergeCell ref="A146:G146"/>
    <mergeCell ref="A143:G143"/>
    <mergeCell ref="A141:G141"/>
    <mergeCell ref="C128:E128"/>
    <mergeCell ref="C129:E129"/>
    <mergeCell ref="C120:E120"/>
    <mergeCell ref="C123:E123"/>
    <mergeCell ref="C124:E124"/>
    <mergeCell ref="C135:E135"/>
    <mergeCell ref="C136:E136"/>
    <mergeCell ref="C130:E130"/>
    <mergeCell ref="C132:E132"/>
    <mergeCell ref="C133:E133"/>
    <mergeCell ref="C134:E134"/>
    <mergeCell ref="C117:E117"/>
    <mergeCell ref="C118:E118"/>
    <mergeCell ref="C119:E119"/>
    <mergeCell ref="C110:E110"/>
    <mergeCell ref="C111:E111"/>
    <mergeCell ref="C113:E113"/>
    <mergeCell ref="C114:E114"/>
    <mergeCell ref="C126:E126"/>
    <mergeCell ref="C127:E127"/>
    <mergeCell ref="C105:E105"/>
    <mergeCell ref="C106:E106"/>
    <mergeCell ref="C107:E107"/>
    <mergeCell ref="C109:E109"/>
    <mergeCell ref="C100:E100"/>
    <mergeCell ref="C102:E102"/>
    <mergeCell ref="C103:E103"/>
    <mergeCell ref="C115:E115"/>
    <mergeCell ref="C116:E116"/>
    <mergeCell ref="C89:E89"/>
    <mergeCell ref="C80:E80"/>
    <mergeCell ref="C81:E81"/>
    <mergeCell ref="C82:E82"/>
    <mergeCell ref="C83:E83"/>
    <mergeCell ref="C84:E84"/>
    <mergeCell ref="C95:E95"/>
    <mergeCell ref="C98:E98"/>
    <mergeCell ref="C90:E90"/>
    <mergeCell ref="C91:E91"/>
    <mergeCell ref="C92:E92"/>
    <mergeCell ref="C93:E93"/>
    <mergeCell ref="C94:E94"/>
    <mergeCell ref="C78:E78"/>
    <mergeCell ref="C79:E79"/>
    <mergeCell ref="C71:E71"/>
    <mergeCell ref="C72:E72"/>
    <mergeCell ref="C73:E73"/>
    <mergeCell ref="C74:E74"/>
    <mergeCell ref="C85:E85"/>
    <mergeCell ref="C87:E87"/>
    <mergeCell ref="C88:E88"/>
    <mergeCell ref="C68:E68"/>
    <mergeCell ref="C69:E69"/>
    <mergeCell ref="C60:E60"/>
    <mergeCell ref="C61:E61"/>
    <mergeCell ref="C62:E62"/>
    <mergeCell ref="C63:E63"/>
    <mergeCell ref="C64:E64"/>
    <mergeCell ref="C75:E75"/>
    <mergeCell ref="C76:E76"/>
    <mergeCell ref="C56:E56"/>
    <mergeCell ref="C58:E58"/>
    <mergeCell ref="C59:E59"/>
    <mergeCell ref="C51:E51"/>
    <mergeCell ref="C52:E52"/>
    <mergeCell ref="C53:E53"/>
    <mergeCell ref="C54:E54"/>
    <mergeCell ref="C65:E65"/>
    <mergeCell ref="C67:E67"/>
    <mergeCell ref="C46:E46"/>
    <mergeCell ref="C47:E47"/>
    <mergeCell ref="C48:E48"/>
    <mergeCell ref="C49:E49"/>
    <mergeCell ref="C40:E40"/>
    <mergeCell ref="C41:E41"/>
    <mergeCell ref="C42:E42"/>
    <mergeCell ref="C44:E44"/>
    <mergeCell ref="C55:E55"/>
    <mergeCell ref="C15:E15"/>
    <mergeCell ref="C17:E17"/>
    <mergeCell ref="C18:E18"/>
    <mergeCell ref="C35:E35"/>
    <mergeCell ref="C37:E37"/>
    <mergeCell ref="C38:E38"/>
    <mergeCell ref="C39:E39"/>
    <mergeCell ref="C30:E30"/>
    <mergeCell ref="C31:E31"/>
    <mergeCell ref="C32:E32"/>
    <mergeCell ref="C33:E33"/>
    <mergeCell ref="C34:E34"/>
    <mergeCell ref="A36:G36"/>
    <mergeCell ref="A2:K2"/>
    <mergeCell ref="A3:K3"/>
    <mergeCell ref="A5:K5"/>
    <mergeCell ref="C9:E9"/>
    <mergeCell ref="C10:E10"/>
    <mergeCell ref="C13:E13"/>
    <mergeCell ref="A6:K6"/>
    <mergeCell ref="C7:G7"/>
    <mergeCell ref="A180:G180"/>
    <mergeCell ref="A19:G19"/>
    <mergeCell ref="A16:G16"/>
    <mergeCell ref="A14:G14"/>
    <mergeCell ref="A12:G12"/>
    <mergeCell ref="A11:G11"/>
    <mergeCell ref="C25:E25"/>
    <mergeCell ref="C26:E26"/>
    <mergeCell ref="C28:E28"/>
    <mergeCell ref="C29:E29"/>
    <mergeCell ref="C20:E20"/>
    <mergeCell ref="C21:E21"/>
    <mergeCell ref="C22:E22"/>
    <mergeCell ref="C24:E24"/>
    <mergeCell ref="A27:G27"/>
    <mergeCell ref="A23:G23"/>
    <mergeCell ref="A181:G181"/>
    <mergeCell ref="I181:K181"/>
    <mergeCell ref="A77:G77"/>
    <mergeCell ref="A70:G70"/>
    <mergeCell ref="A66:G66"/>
    <mergeCell ref="A57:G57"/>
    <mergeCell ref="A50:G50"/>
    <mergeCell ref="A43:G43"/>
    <mergeCell ref="A96:G96"/>
    <mergeCell ref="A86:G86"/>
    <mergeCell ref="A97:G97"/>
    <mergeCell ref="A137:G137"/>
    <mergeCell ref="A131:G131"/>
    <mergeCell ref="A125:G125"/>
    <mergeCell ref="A122:G122"/>
    <mergeCell ref="A121:G121"/>
    <mergeCell ref="A112:G112"/>
    <mergeCell ref="A108:G108"/>
    <mergeCell ref="A104:G104"/>
    <mergeCell ref="A101:G101"/>
    <mergeCell ref="A99:G99"/>
    <mergeCell ref="A179:G179"/>
    <mergeCell ref="A173:G173"/>
    <mergeCell ref="C45:E4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  <pageSetUpPr fitToPage="1"/>
  </sheetPr>
  <dimension ref="A1:BJ88"/>
  <sheetViews>
    <sheetView topLeftCell="A10" workbookViewId="0">
      <selection activeCell="C20" sqref="C20:E20"/>
    </sheetView>
  </sheetViews>
  <sheetFormatPr defaultColWidth="9.109375" defaultRowHeight="11.25" customHeight="1" x14ac:dyDescent="0.2"/>
  <cols>
    <col min="1" max="1" width="9" style="1" customWidth="1"/>
    <col min="2" max="2" width="26.5546875" style="1" customWidth="1"/>
    <col min="3" max="3" width="15.44140625" style="1" customWidth="1"/>
    <col min="4" max="4" width="14.44140625" style="1" customWidth="1"/>
    <col min="5" max="5" width="17.6640625" style="1" customWidth="1"/>
    <col min="6" max="7" width="10.6640625" style="1" customWidth="1"/>
    <col min="8" max="11" width="15.6640625" style="1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9" width="34.109375" style="2" hidden="1" customWidth="1"/>
    <col min="60" max="62" width="127.5546875" style="2" hidden="1" customWidth="1"/>
    <col min="63" max="16384" width="9.109375" style="1"/>
  </cols>
  <sheetData>
    <row r="1" spans="1:58" s="3" customFormat="1" ht="14.4" x14ac:dyDescent="0.3">
      <c r="A1" s="95" t="s">
        <v>5580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8" s="3" customFormat="1" ht="29.25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1774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3.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8" s="3" customFormat="1" ht="14.4" x14ac:dyDescent="0.3">
      <c r="A5" s="404" t="s">
        <v>4653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4653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8" s="3" customFormat="1" ht="14.4" x14ac:dyDescent="0.3">
      <c r="A7" s="4"/>
      <c r="B7" s="8" t="s">
        <v>5</v>
      </c>
      <c r="C7" s="402" t="s">
        <v>4654</v>
      </c>
      <c r="D7" s="402"/>
      <c r="E7" s="402"/>
      <c r="F7" s="402"/>
      <c r="G7" s="402"/>
      <c r="H7" s="11"/>
      <c r="I7" s="9"/>
      <c r="J7" s="9"/>
      <c r="K7" s="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9"/>
      <c r="J8" s="9"/>
      <c r="K8" s="9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5" customHeight="1" x14ac:dyDescent="0.3">
      <c r="A11" s="435" t="s">
        <v>4655</v>
      </c>
      <c r="B11" s="436"/>
      <c r="C11" s="436"/>
      <c r="D11" s="436"/>
      <c r="E11" s="436"/>
      <c r="F11" s="436"/>
      <c r="G11" s="436"/>
      <c r="H11" s="96"/>
      <c r="I11" s="96"/>
      <c r="J11" s="96"/>
      <c r="K11" s="97"/>
      <c r="BB11" s="14" t="s">
        <v>4655</v>
      </c>
    </row>
    <row r="12" spans="1:58" s="3" customFormat="1" ht="15" customHeight="1" x14ac:dyDescent="0.3">
      <c r="A12" s="437" t="s">
        <v>4656</v>
      </c>
      <c r="B12" s="418"/>
      <c r="C12" s="418"/>
      <c r="D12" s="418"/>
      <c r="E12" s="418"/>
      <c r="F12" s="418"/>
      <c r="G12" s="418"/>
      <c r="H12" s="61"/>
      <c r="I12" s="61"/>
      <c r="J12" s="61"/>
      <c r="K12" s="62"/>
      <c r="BB12" s="14"/>
      <c r="BC12" s="15" t="s">
        <v>4656</v>
      </c>
    </row>
    <row r="13" spans="1:58" s="3" customFormat="1" ht="15" customHeight="1" x14ac:dyDescent="0.3">
      <c r="A13" s="437" t="s">
        <v>4657</v>
      </c>
      <c r="B13" s="418"/>
      <c r="C13" s="418"/>
      <c r="D13" s="418"/>
      <c r="E13" s="418"/>
      <c r="F13" s="418"/>
      <c r="G13" s="418"/>
      <c r="H13" s="61"/>
      <c r="I13" s="61"/>
      <c r="J13" s="61"/>
      <c r="K13" s="62"/>
      <c r="BB13" s="14"/>
      <c r="BC13" s="15" t="s">
        <v>4657</v>
      </c>
    </row>
    <row r="14" spans="1:58" s="3" customFormat="1" ht="31.8" x14ac:dyDescent="0.3">
      <c r="A14" s="16" t="s">
        <v>15</v>
      </c>
      <c r="B14" s="17" t="s">
        <v>4658</v>
      </c>
      <c r="C14" s="405" t="s">
        <v>4659</v>
      </c>
      <c r="D14" s="405"/>
      <c r="E14" s="405"/>
      <c r="F14" s="16" t="s">
        <v>46</v>
      </c>
      <c r="G14" s="31">
        <v>3.28</v>
      </c>
      <c r="H14" s="31">
        <f>I14/G14</f>
        <v>14357.893292682931</v>
      </c>
      <c r="I14" s="19">
        <f>312349.43-K14</f>
        <v>47093.890000000014</v>
      </c>
      <c r="J14" s="19">
        <f>K14/G14</f>
        <v>80870.591463414632</v>
      </c>
      <c r="K14" s="19">
        <v>265255.53999999998</v>
      </c>
      <c r="BB14" s="14"/>
      <c r="BC14" s="15"/>
      <c r="BD14" s="21" t="s">
        <v>4659</v>
      </c>
    </row>
    <row r="15" spans="1:58" s="3" customFormat="1" ht="20.399999999999999" x14ac:dyDescent="0.3">
      <c r="A15" s="25"/>
      <c r="B15" s="26" t="s">
        <v>391</v>
      </c>
      <c r="C15" s="419" t="s">
        <v>392</v>
      </c>
      <c r="D15" s="419"/>
      <c r="E15" s="419"/>
      <c r="F15" s="27" t="s">
        <v>75</v>
      </c>
      <c r="G15" s="22" t="s">
        <v>4660</v>
      </c>
      <c r="H15" s="22"/>
      <c r="I15" s="28"/>
      <c r="J15" s="28"/>
      <c r="K15" s="29"/>
      <c r="BB15" s="14"/>
      <c r="BC15" s="15"/>
      <c r="BD15" s="21"/>
      <c r="BE15" s="12" t="s">
        <v>392</v>
      </c>
    </row>
    <row r="16" spans="1:58" s="3" customFormat="1" ht="20.399999999999999" x14ac:dyDescent="0.3">
      <c r="A16" s="37" t="s">
        <v>143</v>
      </c>
      <c r="B16" s="38" t="s">
        <v>830</v>
      </c>
      <c r="C16" s="430" t="s">
        <v>4661</v>
      </c>
      <c r="D16" s="430"/>
      <c r="E16" s="430"/>
      <c r="F16" s="39" t="s">
        <v>46</v>
      </c>
      <c r="G16" s="40" t="s">
        <v>4662</v>
      </c>
      <c r="H16" s="40"/>
      <c r="I16" s="41"/>
      <c r="J16" s="41"/>
      <c r="K16" s="42"/>
      <c r="BB16" s="14"/>
      <c r="BC16" s="15"/>
      <c r="BD16" s="21"/>
      <c r="BE16" s="12"/>
      <c r="BF16" s="43" t="s">
        <v>4661</v>
      </c>
    </row>
    <row r="17" spans="1:59" s="3" customFormat="1" ht="62.4" x14ac:dyDescent="0.3">
      <c r="A17" s="25"/>
      <c r="B17" s="26" t="s">
        <v>833</v>
      </c>
      <c r="C17" s="419" t="s">
        <v>834</v>
      </c>
      <c r="D17" s="419"/>
      <c r="E17" s="419"/>
      <c r="F17" s="27" t="s">
        <v>70</v>
      </c>
      <c r="G17" s="22" t="s">
        <v>4663</v>
      </c>
      <c r="H17" s="22"/>
      <c r="I17" s="28"/>
      <c r="J17" s="28"/>
      <c r="K17" s="29"/>
      <c r="BB17" s="14"/>
      <c r="BC17" s="15"/>
      <c r="BD17" s="21"/>
      <c r="BE17" s="12" t="s">
        <v>834</v>
      </c>
      <c r="BF17" s="43"/>
    </row>
    <row r="18" spans="1:59" s="3" customFormat="1" ht="20.399999999999999" x14ac:dyDescent="0.3">
      <c r="A18" s="25"/>
      <c r="B18" s="26" t="s">
        <v>836</v>
      </c>
      <c r="C18" s="419" t="s">
        <v>837</v>
      </c>
      <c r="D18" s="419"/>
      <c r="E18" s="419"/>
      <c r="F18" s="27" t="s">
        <v>46</v>
      </c>
      <c r="G18" s="22" t="s">
        <v>4664</v>
      </c>
      <c r="H18" s="22"/>
      <c r="I18" s="28"/>
      <c r="J18" s="28"/>
      <c r="K18" s="29"/>
      <c r="BB18" s="14"/>
      <c r="BC18" s="15"/>
      <c r="BD18" s="21"/>
      <c r="BE18" s="12" t="s">
        <v>837</v>
      </c>
      <c r="BF18" s="43"/>
    </row>
    <row r="19" spans="1:59" s="3" customFormat="1" ht="21.6" x14ac:dyDescent="0.3">
      <c r="A19" s="25"/>
      <c r="B19" s="26" t="s">
        <v>839</v>
      </c>
      <c r="C19" s="419" t="s">
        <v>840</v>
      </c>
      <c r="D19" s="419"/>
      <c r="E19" s="419"/>
      <c r="F19" s="27" t="s">
        <v>75</v>
      </c>
      <c r="G19" s="22" t="s">
        <v>4665</v>
      </c>
      <c r="H19" s="22"/>
      <c r="I19" s="28"/>
      <c r="J19" s="28"/>
      <c r="K19" s="29"/>
      <c r="BB19" s="14"/>
      <c r="BC19" s="15"/>
      <c r="BD19" s="21"/>
      <c r="BE19" s="12" t="s">
        <v>840</v>
      </c>
      <c r="BF19" s="43"/>
    </row>
    <row r="20" spans="1:59" s="3" customFormat="1" ht="52.2" x14ac:dyDescent="0.3">
      <c r="A20" s="25" t="s">
        <v>129</v>
      </c>
      <c r="B20" s="26" t="s">
        <v>4666</v>
      </c>
      <c r="C20" s="419" t="s">
        <v>4667</v>
      </c>
      <c r="D20" s="419"/>
      <c r="E20" s="419"/>
      <c r="F20" s="27" t="s">
        <v>38</v>
      </c>
      <c r="G20" s="22" t="s">
        <v>4668</v>
      </c>
      <c r="H20" s="22"/>
      <c r="I20" s="28"/>
      <c r="J20" s="28"/>
      <c r="K20" s="29"/>
      <c r="BB20" s="14"/>
      <c r="BC20" s="15"/>
      <c r="BD20" s="21"/>
      <c r="BE20" s="12"/>
      <c r="BF20" s="43"/>
      <c r="BG20" s="12" t="s">
        <v>4667</v>
      </c>
    </row>
    <row r="21" spans="1:59" s="3" customFormat="1" ht="15" customHeight="1" x14ac:dyDescent="0.3">
      <c r="A21" s="437" t="s">
        <v>4669</v>
      </c>
      <c r="B21" s="418"/>
      <c r="C21" s="418"/>
      <c r="D21" s="418"/>
      <c r="E21" s="418"/>
      <c r="F21" s="418"/>
      <c r="G21" s="418"/>
      <c r="H21" s="61"/>
      <c r="I21" s="61"/>
      <c r="J21" s="61"/>
      <c r="K21" s="62"/>
      <c r="BB21" s="14"/>
      <c r="BC21" s="15" t="s">
        <v>4669</v>
      </c>
      <c r="BD21" s="21"/>
      <c r="BE21" s="12"/>
      <c r="BF21" s="43"/>
      <c r="BG21" s="12"/>
    </row>
    <row r="22" spans="1:59" s="3" customFormat="1" ht="31.8" x14ac:dyDescent="0.3">
      <c r="A22" s="16" t="s">
        <v>20</v>
      </c>
      <c r="B22" s="17" t="s">
        <v>4670</v>
      </c>
      <c r="C22" s="405" t="s">
        <v>4671</v>
      </c>
      <c r="D22" s="405"/>
      <c r="E22" s="405"/>
      <c r="F22" s="16" t="s">
        <v>125</v>
      </c>
      <c r="G22" s="31">
        <v>0.03</v>
      </c>
      <c r="H22" s="31">
        <f>I22/G22</f>
        <v>2095289.3333333337</v>
      </c>
      <c r="I22" s="19">
        <f>156354.42-K22</f>
        <v>62858.680000000008</v>
      </c>
      <c r="J22" s="19">
        <f>K22/G22</f>
        <v>3116524.666666667</v>
      </c>
      <c r="K22" s="19">
        <v>93495.74</v>
      </c>
      <c r="BB22" s="14"/>
      <c r="BC22" s="15"/>
      <c r="BD22" s="21" t="s">
        <v>4671</v>
      </c>
      <c r="BE22" s="12"/>
      <c r="BF22" s="43"/>
      <c r="BG22" s="12"/>
    </row>
    <row r="23" spans="1:59" s="3" customFormat="1" ht="20.399999999999999" x14ac:dyDescent="0.3">
      <c r="A23" s="25"/>
      <c r="B23" s="26" t="s">
        <v>277</v>
      </c>
      <c r="C23" s="419" t="s">
        <v>278</v>
      </c>
      <c r="D23" s="419"/>
      <c r="E23" s="419"/>
      <c r="F23" s="27" t="s">
        <v>70</v>
      </c>
      <c r="G23" s="22" t="s">
        <v>4672</v>
      </c>
      <c r="H23" s="22"/>
      <c r="I23" s="28"/>
      <c r="J23" s="28"/>
      <c r="K23" s="29"/>
      <c r="BB23" s="14"/>
      <c r="BC23" s="15"/>
      <c r="BD23" s="21"/>
      <c r="BE23" s="12" t="s">
        <v>278</v>
      </c>
      <c r="BF23" s="43"/>
      <c r="BG23" s="12"/>
    </row>
    <row r="24" spans="1:59" s="3" customFormat="1" ht="21.6" x14ac:dyDescent="0.3">
      <c r="A24" s="25"/>
      <c r="B24" s="26" t="s">
        <v>4673</v>
      </c>
      <c r="C24" s="419" t="s">
        <v>4674</v>
      </c>
      <c r="D24" s="419"/>
      <c r="E24" s="419"/>
      <c r="F24" s="27" t="s">
        <v>46</v>
      </c>
      <c r="G24" s="22" t="s">
        <v>4675</v>
      </c>
      <c r="H24" s="22"/>
      <c r="I24" s="28"/>
      <c r="J24" s="28"/>
      <c r="K24" s="29"/>
      <c r="BB24" s="14"/>
      <c r="BC24" s="15"/>
      <c r="BD24" s="21"/>
      <c r="BE24" s="12" t="s">
        <v>4674</v>
      </c>
      <c r="BF24" s="43"/>
      <c r="BG24" s="12"/>
    </row>
    <row r="25" spans="1:59" s="3" customFormat="1" ht="21.6" x14ac:dyDescent="0.3">
      <c r="A25" s="25"/>
      <c r="B25" s="26" t="s">
        <v>2175</v>
      </c>
      <c r="C25" s="419" t="s">
        <v>2176</v>
      </c>
      <c r="D25" s="419"/>
      <c r="E25" s="419"/>
      <c r="F25" s="27" t="s">
        <v>70</v>
      </c>
      <c r="G25" s="22" t="s">
        <v>4676</v>
      </c>
      <c r="H25" s="22"/>
      <c r="I25" s="28"/>
      <c r="J25" s="28"/>
      <c r="K25" s="29"/>
      <c r="BB25" s="14"/>
      <c r="BC25" s="15"/>
      <c r="BD25" s="21"/>
      <c r="BE25" s="12" t="s">
        <v>2176</v>
      </c>
      <c r="BF25" s="43"/>
      <c r="BG25" s="12"/>
    </row>
    <row r="26" spans="1:59" s="3" customFormat="1" ht="15" customHeight="1" x14ac:dyDescent="0.3">
      <c r="A26" s="437" t="s">
        <v>4677</v>
      </c>
      <c r="B26" s="418"/>
      <c r="C26" s="418"/>
      <c r="D26" s="418"/>
      <c r="E26" s="418"/>
      <c r="F26" s="418"/>
      <c r="G26" s="418"/>
      <c r="H26" s="61"/>
      <c r="I26" s="61"/>
      <c r="J26" s="61"/>
      <c r="K26" s="62"/>
      <c r="BB26" s="14"/>
      <c r="BC26" s="15" t="s">
        <v>4677</v>
      </c>
      <c r="BD26" s="21"/>
      <c r="BE26" s="12"/>
      <c r="BF26" s="43"/>
      <c r="BG26" s="12"/>
    </row>
    <row r="27" spans="1:59" s="3" customFormat="1" ht="14.4" x14ac:dyDescent="0.3">
      <c r="A27" s="16" t="s">
        <v>22</v>
      </c>
      <c r="B27" s="17" t="s">
        <v>152</v>
      </c>
      <c r="C27" s="405" t="s">
        <v>153</v>
      </c>
      <c r="D27" s="405"/>
      <c r="E27" s="405"/>
      <c r="F27" s="16" t="s">
        <v>125</v>
      </c>
      <c r="G27" s="18">
        <v>2E-3</v>
      </c>
      <c r="H27" s="31">
        <f>I27/G27</f>
        <v>154980.00000000003</v>
      </c>
      <c r="I27" s="19">
        <f>1848.71-K27</f>
        <v>309.96000000000004</v>
      </c>
      <c r="J27" s="19">
        <f>K27/G27</f>
        <v>769375</v>
      </c>
      <c r="K27" s="19">
        <v>1538.75</v>
      </c>
      <c r="BB27" s="14"/>
      <c r="BC27" s="15"/>
      <c r="BD27" s="21" t="s">
        <v>153</v>
      </c>
      <c r="BE27" s="12"/>
      <c r="BF27" s="43"/>
      <c r="BG27" s="12"/>
    </row>
    <row r="28" spans="1:59" s="3" customFormat="1" ht="20.399999999999999" x14ac:dyDescent="0.3">
      <c r="A28" s="25"/>
      <c r="B28" s="26" t="s">
        <v>154</v>
      </c>
      <c r="C28" s="419" t="s">
        <v>155</v>
      </c>
      <c r="D28" s="419"/>
      <c r="E28" s="419"/>
      <c r="F28" s="27" t="s">
        <v>46</v>
      </c>
      <c r="G28" s="22" t="s">
        <v>4678</v>
      </c>
      <c r="H28" s="22"/>
      <c r="I28" s="28"/>
      <c r="J28" s="28"/>
      <c r="K28" s="29"/>
      <c r="BB28" s="14"/>
      <c r="BC28" s="15"/>
      <c r="BD28" s="21"/>
      <c r="BE28" s="12" t="s">
        <v>155</v>
      </c>
      <c r="BF28" s="43"/>
      <c r="BG28" s="12"/>
    </row>
    <row r="29" spans="1:59" s="3" customFormat="1" ht="20.399999999999999" x14ac:dyDescent="0.3">
      <c r="A29" s="25"/>
      <c r="B29" s="26" t="s">
        <v>156</v>
      </c>
      <c r="C29" s="419" t="s">
        <v>157</v>
      </c>
      <c r="D29" s="419"/>
      <c r="E29" s="419"/>
      <c r="F29" s="27" t="s">
        <v>158</v>
      </c>
      <c r="G29" s="22" t="s">
        <v>4679</v>
      </c>
      <c r="H29" s="22"/>
      <c r="I29" s="28"/>
      <c r="J29" s="28"/>
      <c r="K29" s="29"/>
      <c r="BB29" s="14"/>
      <c r="BC29" s="15"/>
      <c r="BD29" s="21"/>
      <c r="BE29" s="12" t="s">
        <v>157</v>
      </c>
      <c r="BF29" s="43"/>
      <c r="BG29" s="12"/>
    </row>
    <row r="30" spans="1:59" s="3" customFormat="1" ht="20.399999999999999" x14ac:dyDescent="0.3">
      <c r="A30" s="37" t="s">
        <v>143</v>
      </c>
      <c r="B30" s="38" t="s">
        <v>159</v>
      </c>
      <c r="C30" s="430" t="s">
        <v>160</v>
      </c>
      <c r="D30" s="430"/>
      <c r="E30" s="430"/>
      <c r="F30" s="39" t="s">
        <v>46</v>
      </c>
      <c r="G30" s="40" t="s">
        <v>4680</v>
      </c>
      <c r="H30" s="40"/>
      <c r="I30" s="41"/>
      <c r="J30" s="41"/>
      <c r="K30" s="42"/>
      <c r="BB30" s="14"/>
      <c r="BC30" s="15"/>
      <c r="BD30" s="21"/>
      <c r="BE30" s="12"/>
      <c r="BF30" s="43" t="s">
        <v>160</v>
      </c>
      <c r="BG30" s="12"/>
    </row>
    <row r="31" spans="1:59" s="3" customFormat="1" ht="20.399999999999999" x14ac:dyDescent="0.3">
      <c r="A31" s="25" t="s">
        <v>129</v>
      </c>
      <c r="B31" s="26" t="s">
        <v>4681</v>
      </c>
      <c r="C31" s="419" t="s">
        <v>4682</v>
      </c>
      <c r="D31" s="419"/>
      <c r="E31" s="419"/>
      <c r="F31" s="27" t="s">
        <v>46</v>
      </c>
      <c r="G31" s="22" t="s">
        <v>4680</v>
      </c>
      <c r="H31" s="22"/>
      <c r="I31" s="28"/>
      <c r="J31" s="28"/>
      <c r="K31" s="29"/>
      <c r="BB31" s="14"/>
      <c r="BC31" s="15"/>
      <c r="BD31" s="21"/>
      <c r="BE31" s="12"/>
      <c r="BF31" s="43"/>
      <c r="BG31" s="12" t="s">
        <v>4682</v>
      </c>
    </row>
    <row r="32" spans="1:59" s="3" customFormat="1" ht="15" customHeight="1" x14ac:dyDescent="0.3">
      <c r="A32" s="437" t="s">
        <v>4683</v>
      </c>
      <c r="B32" s="418"/>
      <c r="C32" s="418"/>
      <c r="D32" s="418"/>
      <c r="E32" s="418"/>
      <c r="F32" s="418"/>
      <c r="G32" s="418"/>
      <c r="H32" s="61"/>
      <c r="I32" s="61"/>
      <c r="J32" s="61"/>
      <c r="K32" s="62"/>
      <c r="BB32" s="14"/>
      <c r="BC32" s="15" t="s">
        <v>4683</v>
      </c>
      <c r="BD32" s="21"/>
      <c r="BE32" s="12"/>
      <c r="BF32" s="43"/>
      <c r="BG32" s="12"/>
    </row>
    <row r="33" spans="1:59" s="3" customFormat="1" ht="15" customHeight="1" x14ac:dyDescent="0.3">
      <c r="A33" s="437" t="s">
        <v>4684</v>
      </c>
      <c r="B33" s="418"/>
      <c r="C33" s="418"/>
      <c r="D33" s="418"/>
      <c r="E33" s="418"/>
      <c r="F33" s="418"/>
      <c r="G33" s="418"/>
      <c r="H33" s="61"/>
      <c r="I33" s="61"/>
      <c r="J33" s="61"/>
      <c r="K33" s="62"/>
      <c r="BB33" s="14"/>
      <c r="BC33" s="15" t="s">
        <v>4684</v>
      </c>
      <c r="BD33" s="21"/>
      <c r="BE33" s="12"/>
      <c r="BF33" s="43"/>
      <c r="BG33" s="12"/>
    </row>
    <row r="34" spans="1:59" s="3" customFormat="1" ht="21.6" x14ac:dyDescent="0.3">
      <c r="A34" s="16" t="s">
        <v>27</v>
      </c>
      <c r="B34" s="17" t="s">
        <v>4685</v>
      </c>
      <c r="C34" s="405" t="s">
        <v>4686</v>
      </c>
      <c r="D34" s="405"/>
      <c r="E34" s="405"/>
      <c r="F34" s="16" t="s">
        <v>70</v>
      </c>
      <c r="G34" s="18">
        <v>2.464</v>
      </c>
      <c r="H34" s="31">
        <f>I34/G34</f>
        <v>58077.775974025957</v>
      </c>
      <c r="I34" s="19">
        <f>661448.09-K34</f>
        <v>143103.63999999996</v>
      </c>
      <c r="J34" s="19">
        <f>K34/G34</f>
        <v>210367.06574675324</v>
      </c>
      <c r="K34" s="19">
        <v>518344.45</v>
      </c>
      <c r="BB34" s="14"/>
      <c r="BC34" s="15"/>
      <c r="BD34" s="21" t="s">
        <v>4686</v>
      </c>
      <c r="BE34" s="12"/>
      <c r="BF34" s="43"/>
      <c r="BG34" s="12"/>
    </row>
    <row r="35" spans="1:59" s="3" customFormat="1" ht="20.399999999999999" x14ac:dyDescent="0.3">
      <c r="A35" s="25"/>
      <c r="B35" s="26" t="s">
        <v>277</v>
      </c>
      <c r="C35" s="419" t="s">
        <v>278</v>
      </c>
      <c r="D35" s="419"/>
      <c r="E35" s="419"/>
      <c r="F35" s="27" t="s">
        <v>70</v>
      </c>
      <c r="G35" s="22" t="s">
        <v>4687</v>
      </c>
      <c r="H35" s="22"/>
      <c r="I35" s="28"/>
      <c r="J35" s="28"/>
      <c r="K35" s="29"/>
      <c r="BB35" s="14"/>
      <c r="BC35" s="15"/>
      <c r="BD35" s="21"/>
      <c r="BE35" s="12" t="s">
        <v>278</v>
      </c>
      <c r="BF35" s="43"/>
      <c r="BG35" s="12"/>
    </row>
    <row r="36" spans="1:59" s="3" customFormat="1" ht="20.399999999999999" x14ac:dyDescent="0.3">
      <c r="A36" s="37" t="s">
        <v>78</v>
      </c>
      <c r="B36" s="38" t="s">
        <v>391</v>
      </c>
      <c r="C36" s="430" t="s">
        <v>392</v>
      </c>
      <c r="D36" s="430"/>
      <c r="E36" s="430"/>
      <c r="F36" s="39" t="s">
        <v>75</v>
      </c>
      <c r="G36" s="40" t="s">
        <v>33</v>
      </c>
      <c r="H36" s="40"/>
      <c r="I36" s="41"/>
      <c r="J36" s="41"/>
      <c r="K36" s="42"/>
      <c r="BB36" s="14"/>
      <c r="BC36" s="15"/>
      <c r="BD36" s="21"/>
      <c r="BE36" s="12"/>
      <c r="BF36" s="43" t="s">
        <v>392</v>
      </c>
      <c r="BG36" s="12"/>
    </row>
    <row r="37" spans="1:59" s="3" customFormat="1" ht="20.399999999999999" x14ac:dyDescent="0.3">
      <c r="A37" s="37" t="s">
        <v>143</v>
      </c>
      <c r="B37" s="38" t="s">
        <v>1682</v>
      </c>
      <c r="C37" s="430" t="s">
        <v>4688</v>
      </c>
      <c r="D37" s="430"/>
      <c r="E37" s="430"/>
      <c r="F37" s="39" t="s">
        <v>70</v>
      </c>
      <c r="G37" s="40" t="s">
        <v>4689</v>
      </c>
      <c r="H37" s="40"/>
      <c r="I37" s="41"/>
      <c r="J37" s="41"/>
      <c r="K37" s="42"/>
      <c r="BB37" s="14"/>
      <c r="BC37" s="15"/>
      <c r="BD37" s="21"/>
      <c r="BE37" s="12"/>
      <c r="BF37" s="43" t="s">
        <v>4688</v>
      </c>
      <c r="BG37" s="12"/>
    </row>
    <row r="38" spans="1:59" s="3" customFormat="1" ht="21.6" x14ac:dyDescent="0.3">
      <c r="A38" s="25" t="s">
        <v>129</v>
      </c>
      <c r="B38" s="26" t="s">
        <v>4690</v>
      </c>
      <c r="C38" s="419" t="s">
        <v>4691</v>
      </c>
      <c r="D38" s="419"/>
      <c r="E38" s="419"/>
      <c r="F38" s="27" t="s">
        <v>70</v>
      </c>
      <c r="G38" s="22" t="s">
        <v>4689</v>
      </c>
      <c r="H38" s="22"/>
      <c r="I38" s="28"/>
      <c r="J38" s="28"/>
      <c r="K38" s="29"/>
      <c r="BB38" s="14"/>
      <c r="BC38" s="15"/>
      <c r="BD38" s="21"/>
      <c r="BE38" s="12"/>
      <c r="BF38" s="43"/>
      <c r="BG38" s="12" t="s">
        <v>4691</v>
      </c>
    </row>
    <row r="39" spans="1:59" s="3" customFormat="1" ht="21.6" x14ac:dyDescent="0.3">
      <c r="A39" s="16" t="s">
        <v>35</v>
      </c>
      <c r="B39" s="17" t="s">
        <v>4692</v>
      </c>
      <c r="C39" s="405" t="s">
        <v>4693</v>
      </c>
      <c r="D39" s="405"/>
      <c r="E39" s="405"/>
      <c r="F39" s="16" t="s">
        <v>70</v>
      </c>
      <c r="G39" s="45">
        <v>11.3622081</v>
      </c>
      <c r="H39" s="31">
        <f>I39/G39</f>
        <v>42492.280175716893</v>
      </c>
      <c r="I39" s="19">
        <f>2807208.81-K39</f>
        <v>482806.12999999989</v>
      </c>
      <c r="J39" s="19">
        <f>K39/G39</f>
        <v>204573.14806617564</v>
      </c>
      <c r="K39" s="19">
        <v>2324402.6800000002</v>
      </c>
      <c r="BB39" s="14"/>
      <c r="BC39" s="15"/>
      <c r="BD39" s="21" t="s">
        <v>4693</v>
      </c>
      <c r="BE39" s="12"/>
      <c r="BF39" s="43"/>
      <c r="BG39" s="12"/>
    </row>
    <row r="40" spans="1:59" s="3" customFormat="1" ht="20.399999999999999" x14ac:dyDescent="0.3">
      <c r="A40" s="25"/>
      <c r="B40" s="26" t="s">
        <v>277</v>
      </c>
      <c r="C40" s="419" t="s">
        <v>278</v>
      </c>
      <c r="D40" s="419"/>
      <c r="E40" s="419"/>
      <c r="F40" s="27" t="s">
        <v>70</v>
      </c>
      <c r="G40" s="22" t="s">
        <v>4694</v>
      </c>
      <c r="H40" s="22"/>
      <c r="I40" s="28"/>
      <c r="J40" s="28"/>
      <c r="K40" s="29"/>
      <c r="BB40" s="14"/>
      <c r="BC40" s="15"/>
      <c r="BD40" s="21"/>
      <c r="BE40" s="12" t="s">
        <v>278</v>
      </c>
      <c r="BF40" s="43"/>
      <c r="BG40" s="12"/>
    </row>
    <row r="41" spans="1:59" s="3" customFormat="1" ht="20.399999999999999" x14ac:dyDescent="0.3">
      <c r="A41" s="37" t="s">
        <v>78</v>
      </c>
      <c r="B41" s="38" t="s">
        <v>391</v>
      </c>
      <c r="C41" s="430" t="s">
        <v>392</v>
      </c>
      <c r="D41" s="430"/>
      <c r="E41" s="430"/>
      <c r="F41" s="39" t="s">
        <v>75</v>
      </c>
      <c r="G41" s="40" t="s">
        <v>33</v>
      </c>
      <c r="H41" s="40"/>
      <c r="I41" s="41"/>
      <c r="J41" s="41"/>
      <c r="K41" s="42"/>
      <c r="BB41" s="14"/>
      <c r="BC41" s="15"/>
      <c r="BD41" s="21"/>
      <c r="BE41" s="12"/>
      <c r="BF41" s="43" t="s">
        <v>392</v>
      </c>
      <c r="BG41" s="12"/>
    </row>
    <row r="42" spans="1:59" s="3" customFormat="1" ht="20.399999999999999" x14ac:dyDescent="0.3">
      <c r="A42" s="37" t="s">
        <v>143</v>
      </c>
      <c r="B42" s="38" t="s">
        <v>1682</v>
      </c>
      <c r="C42" s="430" t="s">
        <v>4688</v>
      </c>
      <c r="D42" s="430"/>
      <c r="E42" s="430"/>
      <c r="F42" s="39" t="s">
        <v>70</v>
      </c>
      <c r="G42" s="40" t="s">
        <v>4695</v>
      </c>
      <c r="H42" s="40"/>
      <c r="I42" s="41"/>
      <c r="J42" s="41"/>
      <c r="K42" s="42"/>
      <c r="BB42" s="14"/>
      <c r="BC42" s="15"/>
      <c r="BD42" s="21"/>
      <c r="BE42" s="12"/>
      <c r="BF42" s="43" t="s">
        <v>4688</v>
      </c>
      <c r="BG42" s="12"/>
    </row>
    <row r="43" spans="1:59" s="3" customFormat="1" ht="21.6" x14ac:dyDescent="0.3">
      <c r="A43" s="25" t="s">
        <v>129</v>
      </c>
      <c r="B43" s="26" t="s">
        <v>4690</v>
      </c>
      <c r="C43" s="419" t="s">
        <v>4691</v>
      </c>
      <c r="D43" s="419"/>
      <c r="E43" s="419"/>
      <c r="F43" s="27" t="s">
        <v>70</v>
      </c>
      <c r="G43" s="22" t="s">
        <v>4696</v>
      </c>
      <c r="H43" s="22"/>
      <c r="I43" s="28"/>
      <c r="J43" s="28"/>
      <c r="K43" s="29"/>
      <c r="BB43" s="14"/>
      <c r="BC43" s="15"/>
      <c r="BD43" s="21"/>
      <c r="BE43" s="12"/>
      <c r="BF43" s="43"/>
      <c r="BG43" s="12" t="s">
        <v>4691</v>
      </c>
    </row>
    <row r="44" spans="1:59" s="3" customFormat="1" ht="21.6" x14ac:dyDescent="0.3">
      <c r="A44" s="25" t="s">
        <v>129</v>
      </c>
      <c r="B44" s="26" t="s">
        <v>4697</v>
      </c>
      <c r="C44" s="419" t="s">
        <v>4698</v>
      </c>
      <c r="D44" s="419"/>
      <c r="E44" s="419"/>
      <c r="F44" s="27" t="s">
        <v>70</v>
      </c>
      <c r="G44" s="22" t="s">
        <v>4699</v>
      </c>
      <c r="H44" s="22"/>
      <c r="I44" s="28"/>
      <c r="J44" s="28"/>
      <c r="K44" s="29"/>
      <c r="BB44" s="14"/>
      <c r="BC44" s="15"/>
      <c r="BD44" s="21"/>
      <c r="BE44" s="12"/>
      <c r="BF44" s="43"/>
      <c r="BG44" s="12" t="s">
        <v>4698</v>
      </c>
    </row>
    <row r="45" spans="1:59" s="3" customFormat="1" ht="31.8" x14ac:dyDescent="0.3">
      <c r="A45" s="25" t="s">
        <v>129</v>
      </c>
      <c r="B45" s="26" t="s">
        <v>4700</v>
      </c>
      <c r="C45" s="419" t="s">
        <v>4701</v>
      </c>
      <c r="D45" s="419"/>
      <c r="E45" s="419"/>
      <c r="F45" s="27" t="s">
        <v>70</v>
      </c>
      <c r="G45" s="22" t="s">
        <v>4702</v>
      </c>
      <c r="H45" s="22"/>
      <c r="I45" s="28"/>
      <c r="J45" s="28"/>
      <c r="K45" s="29"/>
      <c r="BB45" s="14"/>
      <c r="BC45" s="15"/>
      <c r="BD45" s="21"/>
      <c r="BE45" s="12"/>
      <c r="BF45" s="43"/>
      <c r="BG45" s="12" t="s">
        <v>4701</v>
      </c>
    </row>
    <row r="46" spans="1:59" s="3" customFormat="1" ht="21.6" x14ac:dyDescent="0.3">
      <c r="A46" s="25" t="s">
        <v>129</v>
      </c>
      <c r="B46" s="26" t="s">
        <v>4703</v>
      </c>
      <c r="C46" s="419" t="s">
        <v>4704</v>
      </c>
      <c r="D46" s="419"/>
      <c r="E46" s="419"/>
      <c r="F46" s="27" t="s">
        <v>75</v>
      </c>
      <c r="G46" s="22" t="s">
        <v>4705</v>
      </c>
      <c r="H46" s="22"/>
      <c r="I46" s="28"/>
      <c r="J46" s="28"/>
      <c r="K46" s="29"/>
      <c r="BB46" s="14"/>
      <c r="BC46" s="15"/>
      <c r="BD46" s="21"/>
      <c r="BE46" s="12"/>
      <c r="BF46" s="43"/>
      <c r="BG46" s="12" t="s">
        <v>4704</v>
      </c>
    </row>
    <row r="47" spans="1:59" s="3" customFormat="1" ht="21.6" x14ac:dyDescent="0.3">
      <c r="A47" s="25" t="s">
        <v>129</v>
      </c>
      <c r="B47" s="26" t="s">
        <v>4706</v>
      </c>
      <c r="C47" s="419" t="s">
        <v>4707</v>
      </c>
      <c r="D47" s="419"/>
      <c r="E47" s="419"/>
      <c r="F47" s="27" t="s">
        <v>70</v>
      </c>
      <c r="G47" s="22" t="s">
        <v>4708</v>
      </c>
      <c r="H47" s="22"/>
      <c r="I47" s="28"/>
      <c r="J47" s="28"/>
      <c r="K47" s="29"/>
      <c r="BB47" s="14"/>
      <c r="BC47" s="15"/>
      <c r="BD47" s="21"/>
      <c r="BE47" s="12"/>
      <c r="BF47" s="43"/>
      <c r="BG47" s="12" t="s">
        <v>4707</v>
      </c>
    </row>
    <row r="48" spans="1:59" s="3" customFormat="1" ht="20.399999999999999" x14ac:dyDescent="0.3">
      <c r="A48" s="25" t="s">
        <v>129</v>
      </c>
      <c r="B48" s="26" t="s">
        <v>4709</v>
      </c>
      <c r="C48" s="419" t="s">
        <v>4710</v>
      </c>
      <c r="D48" s="419"/>
      <c r="E48" s="419"/>
      <c r="F48" s="27" t="s">
        <v>75</v>
      </c>
      <c r="G48" s="22" t="s">
        <v>4711</v>
      </c>
      <c r="H48" s="22"/>
      <c r="I48" s="28"/>
      <c r="J48" s="28"/>
      <c r="K48" s="29"/>
      <c r="BB48" s="14"/>
      <c r="BC48" s="15"/>
      <c r="BD48" s="21"/>
      <c r="BE48" s="12"/>
      <c r="BF48" s="43"/>
      <c r="BG48" s="12" t="s">
        <v>4710</v>
      </c>
    </row>
    <row r="49" spans="1:59" s="3" customFormat="1" ht="15" customHeight="1" x14ac:dyDescent="0.3">
      <c r="A49" s="435" t="s">
        <v>4712</v>
      </c>
      <c r="B49" s="436"/>
      <c r="C49" s="436"/>
      <c r="D49" s="436"/>
      <c r="E49" s="436"/>
      <c r="F49" s="436"/>
      <c r="G49" s="436"/>
      <c r="H49" s="96"/>
      <c r="I49" s="96"/>
      <c r="J49" s="96"/>
      <c r="K49" s="97"/>
      <c r="BB49" s="14" t="s">
        <v>4712</v>
      </c>
      <c r="BC49" s="15"/>
      <c r="BD49" s="21"/>
      <c r="BE49" s="12"/>
      <c r="BF49" s="43"/>
      <c r="BG49" s="12"/>
    </row>
    <row r="50" spans="1:59" s="3" customFormat="1" ht="15" customHeight="1" x14ac:dyDescent="0.3">
      <c r="A50" s="437" t="s">
        <v>4656</v>
      </c>
      <c r="B50" s="418"/>
      <c r="C50" s="418"/>
      <c r="D50" s="418"/>
      <c r="E50" s="418"/>
      <c r="F50" s="418"/>
      <c r="G50" s="418"/>
      <c r="H50" s="61"/>
      <c r="I50" s="61"/>
      <c r="J50" s="61"/>
      <c r="K50" s="62"/>
      <c r="BB50" s="14"/>
      <c r="BC50" s="15" t="s">
        <v>4656</v>
      </c>
      <c r="BD50" s="21"/>
      <c r="BE50" s="12"/>
      <c r="BF50" s="43"/>
      <c r="BG50" s="12"/>
    </row>
    <row r="51" spans="1:59" s="3" customFormat="1" ht="15" customHeight="1" x14ac:dyDescent="0.3">
      <c r="A51" s="437" t="s">
        <v>4657</v>
      </c>
      <c r="B51" s="418"/>
      <c r="C51" s="418"/>
      <c r="D51" s="418"/>
      <c r="E51" s="418"/>
      <c r="F51" s="418"/>
      <c r="G51" s="418"/>
      <c r="H51" s="61"/>
      <c r="I51" s="61"/>
      <c r="J51" s="61"/>
      <c r="K51" s="62"/>
      <c r="BB51" s="14"/>
      <c r="BC51" s="15" t="s">
        <v>4657</v>
      </c>
      <c r="BD51" s="21"/>
      <c r="BE51" s="12"/>
      <c r="BF51" s="43"/>
      <c r="BG51" s="12"/>
    </row>
    <row r="52" spans="1:59" s="3" customFormat="1" ht="31.8" x14ac:dyDescent="0.3">
      <c r="A52" s="16" t="s">
        <v>40</v>
      </c>
      <c r="B52" s="17" t="s">
        <v>4658</v>
      </c>
      <c r="C52" s="405" t="s">
        <v>4659</v>
      </c>
      <c r="D52" s="405"/>
      <c r="E52" s="405"/>
      <c r="F52" s="16" t="s">
        <v>46</v>
      </c>
      <c r="G52" s="31">
        <v>3.28</v>
      </c>
      <c r="H52" s="31">
        <f>I52/G52</f>
        <v>14357.893292682931</v>
      </c>
      <c r="I52" s="19">
        <f>312349.43-K52</f>
        <v>47093.890000000014</v>
      </c>
      <c r="J52" s="19">
        <f>K52/G52</f>
        <v>80870.591463414632</v>
      </c>
      <c r="K52" s="19">
        <v>265255.53999999998</v>
      </c>
      <c r="BB52" s="14"/>
      <c r="BC52" s="15"/>
      <c r="BD52" s="21" t="s">
        <v>4659</v>
      </c>
      <c r="BE52" s="12"/>
      <c r="BF52" s="43"/>
      <c r="BG52" s="12"/>
    </row>
    <row r="53" spans="1:59" s="3" customFormat="1" ht="20.399999999999999" x14ac:dyDescent="0.3">
      <c r="A53" s="25"/>
      <c r="B53" s="26" t="s">
        <v>391</v>
      </c>
      <c r="C53" s="419" t="s">
        <v>392</v>
      </c>
      <c r="D53" s="419"/>
      <c r="E53" s="419"/>
      <c r="F53" s="27" t="s">
        <v>75</v>
      </c>
      <c r="G53" s="22" t="s">
        <v>4660</v>
      </c>
      <c r="H53" s="22"/>
      <c r="I53" s="28"/>
      <c r="J53" s="28"/>
      <c r="K53" s="29"/>
      <c r="BB53" s="14"/>
      <c r="BC53" s="15"/>
      <c r="BD53" s="21"/>
      <c r="BE53" s="12" t="s">
        <v>392</v>
      </c>
      <c r="BF53" s="43"/>
      <c r="BG53" s="12"/>
    </row>
    <row r="54" spans="1:59" s="3" customFormat="1" ht="20.399999999999999" x14ac:dyDescent="0.3">
      <c r="A54" s="37" t="s">
        <v>143</v>
      </c>
      <c r="B54" s="38" t="s">
        <v>830</v>
      </c>
      <c r="C54" s="430" t="s">
        <v>4661</v>
      </c>
      <c r="D54" s="430"/>
      <c r="E54" s="430"/>
      <c r="F54" s="39" t="s">
        <v>46</v>
      </c>
      <c r="G54" s="40" t="s">
        <v>4662</v>
      </c>
      <c r="H54" s="40"/>
      <c r="I54" s="41"/>
      <c r="J54" s="41"/>
      <c r="K54" s="42"/>
      <c r="BB54" s="14"/>
      <c r="BC54" s="15"/>
      <c r="BD54" s="21"/>
      <c r="BE54" s="12"/>
      <c r="BF54" s="43" t="s">
        <v>4661</v>
      </c>
      <c r="BG54" s="12"/>
    </row>
    <row r="55" spans="1:59" s="3" customFormat="1" ht="62.4" x14ac:dyDescent="0.3">
      <c r="A55" s="25"/>
      <c r="B55" s="26" t="s">
        <v>833</v>
      </c>
      <c r="C55" s="419" t="s">
        <v>834</v>
      </c>
      <c r="D55" s="419"/>
      <c r="E55" s="419"/>
      <c r="F55" s="27" t="s">
        <v>70</v>
      </c>
      <c r="G55" s="22" t="s">
        <v>4663</v>
      </c>
      <c r="H55" s="22"/>
      <c r="I55" s="28"/>
      <c r="J55" s="28"/>
      <c r="K55" s="29"/>
      <c r="BB55" s="14"/>
      <c r="BC55" s="15"/>
      <c r="BD55" s="21"/>
      <c r="BE55" s="12" t="s">
        <v>834</v>
      </c>
      <c r="BF55" s="43"/>
      <c r="BG55" s="12"/>
    </row>
    <row r="56" spans="1:59" s="3" customFormat="1" ht="20.399999999999999" x14ac:dyDescent="0.3">
      <c r="A56" s="25"/>
      <c r="B56" s="26" t="s">
        <v>836</v>
      </c>
      <c r="C56" s="419" t="s">
        <v>837</v>
      </c>
      <c r="D56" s="419"/>
      <c r="E56" s="419"/>
      <c r="F56" s="27" t="s">
        <v>46</v>
      </c>
      <c r="G56" s="22" t="s">
        <v>4664</v>
      </c>
      <c r="H56" s="22"/>
      <c r="I56" s="28"/>
      <c r="J56" s="28"/>
      <c r="K56" s="29"/>
      <c r="BB56" s="14"/>
      <c r="BC56" s="15"/>
      <c r="BD56" s="21"/>
      <c r="BE56" s="12" t="s">
        <v>837</v>
      </c>
      <c r="BF56" s="43"/>
      <c r="BG56" s="12"/>
    </row>
    <row r="57" spans="1:59" s="3" customFormat="1" ht="21.6" x14ac:dyDescent="0.3">
      <c r="A57" s="25"/>
      <c r="B57" s="26" t="s">
        <v>839</v>
      </c>
      <c r="C57" s="419" t="s">
        <v>840</v>
      </c>
      <c r="D57" s="419"/>
      <c r="E57" s="419"/>
      <c r="F57" s="27" t="s">
        <v>75</v>
      </c>
      <c r="G57" s="22" t="s">
        <v>4665</v>
      </c>
      <c r="H57" s="22"/>
      <c r="I57" s="28"/>
      <c r="J57" s="28"/>
      <c r="K57" s="29"/>
      <c r="BB57" s="14"/>
      <c r="BC57" s="15"/>
      <c r="BD57" s="21"/>
      <c r="BE57" s="12" t="s">
        <v>840</v>
      </c>
      <c r="BF57" s="43"/>
      <c r="BG57" s="12"/>
    </row>
    <row r="58" spans="1:59" s="3" customFormat="1" ht="52.2" x14ac:dyDescent="0.3">
      <c r="A58" s="25" t="s">
        <v>129</v>
      </c>
      <c r="B58" s="26" t="s">
        <v>4666</v>
      </c>
      <c r="C58" s="419" t="s">
        <v>4667</v>
      </c>
      <c r="D58" s="419"/>
      <c r="E58" s="419"/>
      <c r="F58" s="27" t="s">
        <v>38</v>
      </c>
      <c r="G58" s="22" t="s">
        <v>4668</v>
      </c>
      <c r="H58" s="22"/>
      <c r="I58" s="28"/>
      <c r="J58" s="28"/>
      <c r="K58" s="29"/>
      <c r="BB58" s="14"/>
      <c r="BC58" s="15"/>
      <c r="BD58" s="21"/>
      <c r="BE58" s="12"/>
      <c r="BF58" s="43"/>
      <c r="BG58" s="12" t="s">
        <v>4667</v>
      </c>
    </row>
    <row r="59" spans="1:59" s="3" customFormat="1" ht="15" customHeight="1" x14ac:dyDescent="0.3">
      <c r="A59" s="437" t="s">
        <v>4669</v>
      </c>
      <c r="B59" s="418"/>
      <c r="C59" s="418"/>
      <c r="D59" s="418"/>
      <c r="E59" s="418"/>
      <c r="F59" s="418"/>
      <c r="G59" s="418"/>
      <c r="H59" s="61"/>
      <c r="I59" s="61"/>
      <c r="J59" s="61"/>
      <c r="K59" s="62"/>
      <c r="BB59" s="14"/>
      <c r="BC59" s="15" t="s">
        <v>4669</v>
      </c>
      <c r="BD59" s="21"/>
      <c r="BE59" s="12"/>
      <c r="BF59" s="43"/>
      <c r="BG59" s="12"/>
    </row>
    <row r="60" spans="1:59" s="3" customFormat="1" ht="31.8" x14ac:dyDescent="0.3">
      <c r="A60" s="16" t="s">
        <v>47</v>
      </c>
      <c r="B60" s="17" t="s">
        <v>4670</v>
      </c>
      <c r="C60" s="405" t="s">
        <v>4671</v>
      </c>
      <c r="D60" s="405"/>
      <c r="E60" s="405"/>
      <c r="F60" s="16" t="s">
        <v>125</v>
      </c>
      <c r="G60" s="31">
        <v>0.03</v>
      </c>
      <c r="H60" s="31">
        <f>I60/G60</f>
        <v>2095289.3333333337</v>
      </c>
      <c r="I60" s="19">
        <f>156354.42-K60</f>
        <v>62858.680000000008</v>
      </c>
      <c r="J60" s="19">
        <f>K60/G60</f>
        <v>3116524.666666667</v>
      </c>
      <c r="K60" s="19">
        <v>93495.74</v>
      </c>
      <c r="BB60" s="14"/>
      <c r="BC60" s="15"/>
      <c r="BD60" s="21" t="s">
        <v>4671</v>
      </c>
      <c r="BE60" s="12"/>
      <c r="BF60" s="43"/>
      <c r="BG60" s="12"/>
    </row>
    <row r="61" spans="1:59" s="3" customFormat="1" ht="20.399999999999999" x14ac:dyDescent="0.3">
      <c r="A61" s="25"/>
      <c r="B61" s="26" t="s">
        <v>277</v>
      </c>
      <c r="C61" s="419" t="s">
        <v>278</v>
      </c>
      <c r="D61" s="419"/>
      <c r="E61" s="419"/>
      <c r="F61" s="27" t="s">
        <v>70</v>
      </c>
      <c r="G61" s="22" t="s">
        <v>4672</v>
      </c>
      <c r="H61" s="22"/>
      <c r="I61" s="28"/>
      <c r="J61" s="28"/>
      <c r="K61" s="29"/>
      <c r="BB61" s="14"/>
      <c r="BC61" s="15"/>
      <c r="BD61" s="21"/>
      <c r="BE61" s="12" t="s">
        <v>278</v>
      </c>
      <c r="BF61" s="43"/>
      <c r="BG61" s="12"/>
    </row>
    <row r="62" spans="1:59" s="3" customFormat="1" ht="21.6" x14ac:dyDescent="0.3">
      <c r="A62" s="25"/>
      <c r="B62" s="26" t="s">
        <v>4673</v>
      </c>
      <c r="C62" s="419" t="s">
        <v>4674</v>
      </c>
      <c r="D62" s="419"/>
      <c r="E62" s="419"/>
      <c r="F62" s="27" t="s">
        <v>46</v>
      </c>
      <c r="G62" s="22" t="s">
        <v>4675</v>
      </c>
      <c r="H62" s="22"/>
      <c r="I62" s="28"/>
      <c r="J62" s="28"/>
      <c r="K62" s="29"/>
      <c r="BB62" s="14"/>
      <c r="BC62" s="15"/>
      <c r="BD62" s="21"/>
      <c r="BE62" s="12" t="s">
        <v>4674</v>
      </c>
      <c r="BF62" s="43"/>
      <c r="BG62" s="12"/>
    </row>
    <row r="63" spans="1:59" s="3" customFormat="1" ht="21.6" x14ac:dyDescent="0.3">
      <c r="A63" s="25"/>
      <c r="B63" s="26" t="s">
        <v>2175</v>
      </c>
      <c r="C63" s="419" t="s">
        <v>2176</v>
      </c>
      <c r="D63" s="419"/>
      <c r="E63" s="419"/>
      <c r="F63" s="27" t="s">
        <v>70</v>
      </c>
      <c r="G63" s="22" t="s">
        <v>4676</v>
      </c>
      <c r="H63" s="22"/>
      <c r="I63" s="28"/>
      <c r="J63" s="28"/>
      <c r="K63" s="29"/>
      <c r="BB63" s="14"/>
      <c r="BC63" s="15"/>
      <c r="BD63" s="21"/>
      <c r="BE63" s="12" t="s">
        <v>2176</v>
      </c>
      <c r="BF63" s="43"/>
      <c r="BG63" s="12"/>
    </row>
    <row r="64" spans="1:59" s="3" customFormat="1" ht="15" customHeight="1" x14ac:dyDescent="0.3">
      <c r="A64" s="437" t="s">
        <v>4677</v>
      </c>
      <c r="B64" s="418"/>
      <c r="C64" s="418"/>
      <c r="D64" s="418"/>
      <c r="E64" s="418"/>
      <c r="F64" s="418"/>
      <c r="G64" s="418"/>
      <c r="H64" s="61"/>
      <c r="I64" s="61"/>
      <c r="J64" s="61"/>
      <c r="K64" s="62"/>
      <c r="BB64" s="14"/>
      <c r="BC64" s="15" t="s">
        <v>4677</v>
      </c>
      <c r="BD64" s="21"/>
      <c r="BE64" s="12"/>
      <c r="BF64" s="43"/>
      <c r="BG64" s="12"/>
    </row>
    <row r="65" spans="1:59" s="3" customFormat="1" ht="14.4" x14ac:dyDescent="0.3">
      <c r="A65" s="16" t="s">
        <v>52</v>
      </c>
      <c r="B65" s="17" t="s">
        <v>152</v>
      </c>
      <c r="C65" s="405" t="s">
        <v>153</v>
      </c>
      <c r="D65" s="405"/>
      <c r="E65" s="405"/>
      <c r="F65" s="16" t="s">
        <v>125</v>
      </c>
      <c r="G65" s="18">
        <v>2E-3</v>
      </c>
      <c r="H65" s="31">
        <f>I65/G65</f>
        <v>154980.00000000003</v>
      </c>
      <c r="I65" s="19">
        <f>1848.71-K65</f>
        <v>309.96000000000004</v>
      </c>
      <c r="J65" s="19">
        <f>K65/G65</f>
        <v>769375</v>
      </c>
      <c r="K65" s="19">
        <v>1538.75</v>
      </c>
      <c r="BB65" s="14"/>
      <c r="BC65" s="15"/>
      <c r="BD65" s="21" t="s">
        <v>153</v>
      </c>
      <c r="BE65" s="12"/>
      <c r="BF65" s="43"/>
      <c r="BG65" s="12"/>
    </row>
    <row r="66" spans="1:59" s="3" customFormat="1" ht="20.399999999999999" x14ac:dyDescent="0.3">
      <c r="A66" s="25"/>
      <c r="B66" s="26" t="s">
        <v>154</v>
      </c>
      <c r="C66" s="419" t="s">
        <v>155</v>
      </c>
      <c r="D66" s="419"/>
      <c r="E66" s="419"/>
      <c r="F66" s="27" t="s">
        <v>46</v>
      </c>
      <c r="G66" s="22" t="s">
        <v>4678</v>
      </c>
      <c r="H66" s="22"/>
      <c r="I66" s="28"/>
      <c r="J66" s="28"/>
      <c r="K66" s="29"/>
      <c r="BB66" s="14"/>
      <c r="BC66" s="15"/>
      <c r="BD66" s="21"/>
      <c r="BE66" s="12" t="s">
        <v>155</v>
      </c>
      <c r="BF66" s="43"/>
      <c r="BG66" s="12"/>
    </row>
    <row r="67" spans="1:59" s="3" customFormat="1" ht="20.399999999999999" x14ac:dyDescent="0.3">
      <c r="A67" s="25"/>
      <c r="B67" s="26" t="s">
        <v>156</v>
      </c>
      <c r="C67" s="419" t="s">
        <v>157</v>
      </c>
      <c r="D67" s="419"/>
      <c r="E67" s="419"/>
      <c r="F67" s="27" t="s">
        <v>158</v>
      </c>
      <c r="G67" s="22" t="s">
        <v>4679</v>
      </c>
      <c r="H67" s="22"/>
      <c r="I67" s="28"/>
      <c r="J67" s="28"/>
      <c r="K67" s="29"/>
      <c r="BB67" s="14"/>
      <c r="BC67" s="15"/>
      <c r="BD67" s="21"/>
      <c r="BE67" s="12" t="s">
        <v>157</v>
      </c>
      <c r="BF67" s="43"/>
      <c r="BG67" s="12"/>
    </row>
    <row r="68" spans="1:59" s="3" customFormat="1" ht="20.399999999999999" x14ac:dyDescent="0.3">
      <c r="A68" s="37" t="s">
        <v>143</v>
      </c>
      <c r="B68" s="38" t="s">
        <v>159</v>
      </c>
      <c r="C68" s="430" t="s">
        <v>160</v>
      </c>
      <c r="D68" s="430"/>
      <c r="E68" s="430"/>
      <c r="F68" s="39" t="s">
        <v>46</v>
      </c>
      <c r="G68" s="40" t="s">
        <v>4680</v>
      </c>
      <c r="H68" s="40"/>
      <c r="I68" s="41"/>
      <c r="J68" s="41"/>
      <c r="K68" s="42"/>
      <c r="BB68" s="14"/>
      <c r="BC68" s="15"/>
      <c r="BD68" s="21"/>
      <c r="BE68" s="12"/>
      <c r="BF68" s="43" t="s">
        <v>160</v>
      </c>
      <c r="BG68" s="12"/>
    </row>
    <row r="69" spans="1:59" s="3" customFormat="1" ht="20.399999999999999" x14ac:dyDescent="0.3">
      <c r="A69" s="25" t="s">
        <v>129</v>
      </c>
      <c r="B69" s="26" t="s">
        <v>4681</v>
      </c>
      <c r="C69" s="419" t="s">
        <v>4682</v>
      </c>
      <c r="D69" s="419"/>
      <c r="E69" s="419"/>
      <c r="F69" s="27" t="s">
        <v>46</v>
      </c>
      <c r="G69" s="22" t="s">
        <v>4680</v>
      </c>
      <c r="H69" s="22"/>
      <c r="I69" s="28"/>
      <c r="J69" s="28"/>
      <c r="K69" s="29"/>
      <c r="BB69" s="14"/>
      <c r="BC69" s="15"/>
      <c r="BD69" s="21"/>
      <c r="BE69" s="12"/>
      <c r="BF69" s="43"/>
      <c r="BG69" s="12" t="s">
        <v>4682</v>
      </c>
    </row>
    <row r="70" spans="1:59" s="3" customFormat="1" ht="15" customHeight="1" x14ac:dyDescent="0.3">
      <c r="A70" s="437" t="s">
        <v>4683</v>
      </c>
      <c r="B70" s="418"/>
      <c r="C70" s="418"/>
      <c r="D70" s="418"/>
      <c r="E70" s="418"/>
      <c r="F70" s="418"/>
      <c r="G70" s="418"/>
      <c r="H70" s="61"/>
      <c r="I70" s="61"/>
      <c r="J70" s="61"/>
      <c r="K70" s="62"/>
      <c r="BB70" s="14"/>
      <c r="BC70" s="15" t="s">
        <v>4683</v>
      </c>
      <c r="BD70" s="21"/>
      <c r="BE70" s="12"/>
      <c r="BF70" s="43"/>
      <c r="BG70" s="12"/>
    </row>
    <row r="71" spans="1:59" s="3" customFormat="1" ht="15" customHeight="1" x14ac:dyDescent="0.3">
      <c r="A71" s="437" t="s">
        <v>4713</v>
      </c>
      <c r="B71" s="418"/>
      <c r="C71" s="418"/>
      <c r="D71" s="418"/>
      <c r="E71" s="418"/>
      <c r="F71" s="418"/>
      <c r="G71" s="418"/>
      <c r="H71" s="61"/>
      <c r="I71" s="61"/>
      <c r="J71" s="61"/>
      <c r="K71" s="62"/>
      <c r="BB71" s="14"/>
      <c r="BC71" s="15" t="s">
        <v>4713</v>
      </c>
      <c r="BD71" s="21"/>
      <c r="BE71" s="12"/>
      <c r="BF71" s="43"/>
      <c r="BG71" s="12"/>
    </row>
    <row r="72" spans="1:59" s="3" customFormat="1" ht="21.6" x14ac:dyDescent="0.3">
      <c r="A72" s="16" t="s">
        <v>55</v>
      </c>
      <c r="B72" s="17" t="s">
        <v>4685</v>
      </c>
      <c r="C72" s="405" t="s">
        <v>4686</v>
      </c>
      <c r="D72" s="405"/>
      <c r="E72" s="405"/>
      <c r="F72" s="16" t="s">
        <v>70</v>
      </c>
      <c r="G72" s="31">
        <v>1.91</v>
      </c>
      <c r="H72" s="31">
        <f>I72/G72</f>
        <v>58077.769633507873</v>
      </c>
      <c r="I72" s="19">
        <f>512729.64-K72</f>
        <v>110928.54000000004</v>
      </c>
      <c r="J72" s="19">
        <f>K72/G72</f>
        <v>210367.06806282722</v>
      </c>
      <c r="K72" s="19">
        <v>401801.1</v>
      </c>
      <c r="BB72" s="14"/>
      <c r="BC72" s="15"/>
      <c r="BD72" s="21" t="s">
        <v>4686</v>
      </c>
      <c r="BE72" s="12"/>
      <c r="BF72" s="43"/>
      <c r="BG72" s="12"/>
    </row>
    <row r="73" spans="1:59" s="3" customFormat="1" ht="20.399999999999999" x14ac:dyDescent="0.3">
      <c r="A73" s="25"/>
      <c r="B73" s="26" t="s">
        <v>277</v>
      </c>
      <c r="C73" s="419" t="s">
        <v>278</v>
      </c>
      <c r="D73" s="419"/>
      <c r="E73" s="419"/>
      <c r="F73" s="27" t="s">
        <v>70</v>
      </c>
      <c r="G73" s="22" t="s">
        <v>4714</v>
      </c>
      <c r="H73" s="22"/>
      <c r="I73" s="28"/>
      <c r="J73" s="28"/>
      <c r="K73" s="29"/>
      <c r="BB73" s="14"/>
      <c r="BC73" s="15"/>
      <c r="BD73" s="21"/>
      <c r="BE73" s="12" t="s">
        <v>278</v>
      </c>
      <c r="BF73" s="43"/>
      <c r="BG73" s="12"/>
    </row>
    <row r="74" spans="1:59" s="3" customFormat="1" ht="20.399999999999999" x14ac:dyDescent="0.3">
      <c r="A74" s="37" t="s">
        <v>78</v>
      </c>
      <c r="B74" s="38" t="s">
        <v>391</v>
      </c>
      <c r="C74" s="430" t="s">
        <v>392</v>
      </c>
      <c r="D74" s="430"/>
      <c r="E74" s="430"/>
      <c r="F74" s="39" t="s">
        <v>75</v>
      </c>
      <c r="G74" s="40" t="s">
        <v>33</v>
      </c>
      <c r="H74" s="40"/>
      <c r="I74" s="41"/>
      <c r="J74" s="41"/>
      <c r="K74" s="42"/>
      <c r="BB74" s="14"/>
      <c r="BC74" s="15"/>
      <c r="BD74" s="21"/>
      <c r="BE74" s="12"/>
      <c r="BF74" s="43" t="s">
        <v>392</v>
      </c>
      <c r="BG74" s="12"/>
    </row>
    <row r="75" spans="1:59" s="3" customFormat="1" ht="20.399999999999999" x14ac:dyDescent="0.3">
      <c r="A75" s="37" t="s">
        <v>143</v>
      </c>
      <c r="B75" s="38" t="s">
        <v>1682</v>
      </c>
      <c r="C75" s="430" t="s">
        <v>4688</v>
      </c>
      <c r="D75" s="430"/>
      <c r="E75" s="430"/>
      <c r="F75" s="39" t="s">
        <v>70</v>
      </c>
      <c r="G75" s="40" t="s">
        <v>4715</v>
      </c>
      <c r="H75" s="40"/>
      <c r="I75" s="41"/>
      <c r="J75" s="41"/>
      <c r="K75" s="42"/>
      <c r="BB75" s="14"/>
      <c r="BC75" s="15"/>
      <c r="BD75" s="21"/>
      <c r="BE75" s="12"/>
      <c r="BF75" s="43" t="s">
        <v>4688</v>
      </c>
      <c r="BG75" s="12"/>
    </row>
    <row r="76" spans="1:59" s="3" customFormat="1" ht="21.6" x14ac:dyDescent="0.3">
      <c r="A76" s="25" t="s">
        <v>129</v>
      </c>
      <c r="B76" s="26" t="s">
        <v>4690</v>
      </c>
      <c r="C76" s="419" t="s">
        <v>4691</v>
      </c>
      <c r="D76" s="419"/>
      <c r="E76" s="419"/>
      <c r="F76" s="27" t="s">
        <v>70</v>
      </c>
      <c r="G76" s="22" t="s">
        <v>4715</v>
      </c>
      <c r="H76" s="22"/>
      <c r="I76" s="28"/>
      <c r="J76" s="28"/>
      <c r="K76" s="29"/>
      <c r="BB76" s="14"/>
      <c r="BC76" s="15"/>
      <c r="BD76" s="21"/>
      <c r="BE76" s="12"/>
      <c r="BF76" s="43"/>
      <c r="BG76" s="12" t="s">
        <v>4691</v>
      </c>
    </row>
    <row r="77" spans="1:59" s="3" customFormat="1" ht="21.6" x14ac:dyDescent="0.3">
      <c r="A77" s="16" t="s">
        <v>56</v>
      </c>
      <c r="B77" s="17" t="s">
        <v>4692</v>
      </c>
      <c r="C77" s="405" t="s">
        <v>4693</v>
      </c>
      <c r="D77" s="405"/>
      <c r="E77" s="405"/>
      <c r="F77" s="16" t="s">
        <v>70</v>
      </c>
      <c r="G77" s="45">
        <v>11.023224799999999</v>
      </c>
      <c r="H77" s="31">
        <f>I77/G77</f>
        <v>42492.280480390822</v>
      </c>
      <c r="I77" s="19">
        <f>2723796.28-K77</f>
        <v>468401.95999999996</v>
      </c>
      <c r="J77" s="19">
        <f>K77/G77</f>
        <v>204603.85784747853</v>
      </c>
      <c r="K77" s="19">
        <v>2255394.3199999998</v>
      </c>
      <c r="BB77" s="14"/>
      <c r="BC77" s="15"/>
      <c r="BD77" s="21" t="s">
        <v>4693</v>
      </c>
      <c r="BE77" s="12"/>
      <c r="BF77" s="43"/>
      <c r="BG77" s="12"/>
    </row>
    <row r="78" spans="1:59" s="3" customFormat="1" ht="20.399999999999999" x14ac:dyDescent="0.3">
      <c r="A78" s="25"/>
      <c r="B78" s="26" t="s">
        <v>277</v>
      </c>
      <c r="C78" s="419" t="s">
        <v>278</v>
      </c>
      <c r="D78" s="419"/>
      <c r="E78" s="419"/>
      <c r="F78" s="27" t="s">
        <v>70</v>
      </c>
      <c r="G78" s="22" t="s">
        <v>4716</v>
      </c>
      <c r="H78" s="22"/>
      <c r="I78" s="28"/>
      <c r="J78" s="28"/>
      <c r="K78" s="29"/>
      <c r="BB78" s="14"/>
      <c r="BC78" s="15"/>
      <c r="BD78" s="21"/>
      <c r="BE78" s="12" t="s">
        <v>278</v>
      </c>
      <c r="BF78" s="43"/>
      <c r="BG78" s="12"/>
    </row>
    <row r="79" spans="1:59" s="3" customFormat="1" ht="20.399999999999999" x14ac:dyDescent="0.3">
      <c r="A79" s="37" t="s">
        <v>78</v>
      </c>
      <c r="B79" s="38" t="s">
        <v>391</v>
      </c>
      <c r="C79" s="430" t="s">
        <v>392</v>
      </c>
      <c r="D79" s="430"/>
      <c r="E79" s="430"/>
      <c r="F79" s="39" t="s">
        <v>75</v>
      </c>
      <c r="G79" s="40" t="s">
        <v>33</v>
      </c>
      <c r="H79" s="40"/>
      <c r="I79" s="41"/>
      <c r="J79" s="41"/>
      <c r="K79" s="42"/>
      <c r="BB79" s="14"/>
      <c r="BC79" s="15"/>
      <c r="BD79" s="21"/>
      <c r="BE79" s="12"/>
      <c r="BF79" s="43" t="s">
        <v>392</v>
      </c>
      <c r="BG79" s="12"/>
    </row>
    <row r="80" spans="1:59" s="3" customFormat="1" ht="20.399999999999999" x14ac:dyDescent="0.3">
      <c r="A80" s="37" t="s">
        <v>143</v>
      </c>
      <c r="B80" s="38" t="s">
        <v>1682</v>
      </c>
      <c r="C80" s="430" t="s">
        <v>4688</v>
      </c>
      <c r="D80" s="430"/>
      <c r="E80" s="430"/>
      <c r="F80" s="39" t="s">
        <v>70</v>
      </c>
      <c r="G80" s="40" t="s">
        <v>4717</v>
      </c>
      <c r="H80" s="40"/>
      <c r="I80" s="41"/>
      <c r="J80" s="41"/>
      <c r="K80" s="42"/>
      <c r="BB80" s="14"/>
      <c r="BC80" s="15"/>
      <c r="BD80" s="21"/>
      <c r="BE80" s="12"/>
      <c r="BF80" s="43" t="s">
        <v>4688</v>
      </c>
      <c r="BG80" s="12"/>
    </row>
    <row r="81" spans="1:59" s="3" customFormat="1" ht="21.6" x14ac:dyDescent="0.3">
      <c r="A81" s="25" t="s">
        <v>129</v>
      </c>
      <c r="B81" s="26" t="s">
        <v>4690</v>
      </c>
      <c r="C81" s="419" t="s">
        <v>4691</v>
      </c>
      <c r="D81" s="419"/>
      <c r="E81" s="419"/>
      <c r="F81" s="27" t="s">
        <v>70</v>
      </c>
      <c r="G81" s="22" t="s">
        <v>4718</v>
      </c>
      <c r="H81" s="22"/>
      <c r="I81" s="28"/>
      <c r="J81" s="28"/>
      <c r="K81" s="29"/>
      <c r="BB81" s="14"/>
      <c r="BC81" s="15"/>
      <c r="BD81" s="21"/>
      <c r="BE81" s="12"/>
      <c r="BF81" s="43"/>
      <c r="BG81" s="12" t="s">
        <v>4691</v>
      </c>
    </row>
    <row r="82" spans="1:59" s="3" customFormat="1" ht="21.6" x14ac:dyDescent="0.3">
      <c r="A82" s="25" t="s">
        <v>129</v>
      </c>
      <c r="B82" s="26" t="s">
        <v>4697</v>
      </c>
      <c r="C82" s="419" t="s">
        <v>4698</v>
      </c>
      <c r="D82" s="419"/>
      <c r="E82" s="419"/>
      <c r="F82" s="27" t="s">
        <v>70</v>
      </c>
      <c r="G82" s="22" t="s">
        <v>4719</v>
      </c>
      <c r="H82" s="22"/>
      <c r="I82" s="28"/>
      <c r="J82" s="28"/>
      <c r="K82" s="29"/>
      <c r="BB82" s="14"/>
      <c r="BC82" s="15"/>
      <c r="BD82" s="21"/>
      <c r="BE82" s="12"/>
      <c r="BF82" s="43"/>
      <c r="BG82" s="12" t="s">
        <v>4698</v>
      </c>
    </row>
    <row r="83" spans="1:59" s="3" customFormat="1" ht="31.8" x14ac:dyDescent="0.3">
      <c r="A83" s="25" t="s">
        <v>129</v>
      </c>
      <c r="B83" s="26" t="s">
        <v>4700</v>
      </c>
      <c r="C83" s="419" t="s">
        <v>4701</v>
      </c>
      <c r="D83" s="419"/>
      <c r="E83" s="419"/>
      <c r="F83" s="27" t="s">
        <v>70</v>
      </c>
      <c r="G83" s="22" t="s">
        <v>4720</v>
      </c>
      <c r="H83" s="22"/>
      <c r="I83" s="28"/>
      <c r="J83" s="28"/>
      <c r="K83" s="29"/>
      <c r="BB83" s="14"/>
      <c r="BC83" s="15"/>
      <c r="BD83" s="21"/>
      <c r="BE83" s="12"/>
      <c r="BF83" s="43"/>
      <c r="BG83" s="12" t="s">
        <v>4701</v>
      </c>
    </row>
    <row r="84" spans="1:59" s="3" customFormat="1" ht="21.6" x14ac:dyDescent="0.3">
      <c r="A84" s="25" t="s">
        <v>129</v>
      </c>
      <c r="B84" s="26" t="s">
        <v>4703</v>
      </c>
      <c r="C84" s="419" t="s">
        <v>4704</v>
      </c>
      <c r="D84" s="419"/>
      <c r="E84" s="419"/>
      <c r="F84" s="27" t="s">
        <v>75</v>
      </c>
      <c r="G84" s="22" t="s">
        <v>4721</v>
      </c>
      <c r="H84" s="22"/>
      <c r="I84" s="28"/>
      <c r="J84" s="28"/>
      <c r="K84" s="29"/>
      <c r="BB84" s="14"/>
      <c r="BC84" s="15"/>
      <c r="BD84" s="21"/>
      <c r="BE84" s="12"/>
      <c r="BF84" s="43"/>
      <c r="BG84" s="12" t="s">
        <v>4704</v>
      </c>
    </row>
    <row r="85" spans="1:59" s="3" customFormat="1" ht="21.6" x14ac:dyDescent="0.3">
      <c r="A85" s="25" t="s">
        <v>129</v>
      </c>
      <c r="B85" s="26" t="s">
        <v>4706</v>
      </c>
      <c r="C85" s="419" t="s">
        <v>4707</v>
      </c>
      <c r="D85" s="419"/>
      <c r="E85" s="419"/>
      <c r="F85" s="27" t="s">
        <v>70</v>
      </c>
      <c r="G85" s="22" t="s">
        <v>4722</v>
      </c>
      <c r="H85" s="22"/>
      <c r="I85" s="28"/>
      <c r="J85" s="28"/>
      <c r="K85" s="29"/>
      <c r="BB85" s="14"/>
      <c r="BC85" s="15"/>
      <c r="BD85" s="21"/>
      <c r="BE85" s="12"/>
      <c r="BF85" s="43"/>
      <c r="BG85" s="12" t="s">
        <v>4707</v>
      </c>
    </row>
    <row r="86" spans="1:59" s="3" customFormat="1" ht="20.399999999999999" x14ac:dyDescent="0.3">
      <c r="A86" s="25" t="s">
        <v>129</v>
      </c>
      <c r="B86" s="26" t="s">
        <v>4709</v>
      </c>
      <c r="C86" s="419" t="s">
        <v>4710</v>
      </c>
      <c r="D86" s="419"/>
      <c r="E86" s="419"/>
      <c r="F86" s="27" t="s">
        <v>75</v>
      </c>
      <c r="G86" s="22" t="s">
        <v>4723</v>
      </c>
      <c r="H86" s="22"/>
      <c r="I86" s="28"/>
      <c r="J86" s="28"/>
      <c r="K86" s="29"/>
      <c r="BB86" s="14"/>
      <c r="BC86" s="15"/>
      <c r="BD86" s="21"/>
      <c r="BE86" s="12"/>
      <c r="BF86" s="43"/>
      <c r="BG86" s="12" t="s">
        <v>4710</v>
      </c>
    </row>
    <row r="87" spans="1:59" s="3" customFormat="1" ht="20.25" customHeight="1" x14ac:dyDescent="0.3">
      <c r="A87" s="406" t="s">
        <v>57</v>
      </c>
      <c r="B87" s="407"/>
      <c r="C87" s="407"/>
      <c r="D87" s="407"/>
      <c r="E87" s="407"/>
      <c r="F87" s="407"/>
      <c r="G87" s="407"/>
      <c r="H87" s="66"/>
      <c r="I87" s="67">
        <f>SUM(I13:I86)</f>
        <v>1425765.3299999998</v>
      </c>
      <c r="J87" s="72"/>
      <c r="K87" s="67">
        <f>SUM(K13:K86)</f>
        <v>6220522.6100000003</v>
      </c>
    </row>
    <row r="88" spans="1:59" s="53" customFormat="1" ht="20.25" customHeight="1" thickBot="1" x14ac:dyDescent="0.35">
      <c r="A88" s="408" t="s">
        <v>5461</v>
      </c>
      <c r="B88" s="409"/>
      <c r="C88" s="409"/>
      <c r="D88" s="409"/>
      <c r="E88" s="409"/>
      <c r="F88" s="409"/>
      <c r="G88" s="409"/>
      <c r="H88" s="88"/>
      <c r="I88" s="410">
        <f>I87+K87</f>
        <v>7646287.9400000004</v>
      </c>
      <c r="J88" s="411"/>
      <c r="K88" s="412"/>
    </row>
  </sheetData>
  <mergeCells count="86">
    <mergeCell ref="C81:E81"/>
    <mergeCell ref="C82:E82"/>
    <mergeCell ref="C83:E83"/>
    <mergeCell ref="C84:E84"/>
    <mergeCell ref="C65:E65"/>
    <mergeCell ref="C66:E66"/>
    <mergeCell ref="C67:E67"/>
    <mergeCell ref="C68:E68"/>
    <mergeCell ref="C69:E69"/>
    <mergeCell ref="C55:E55"/>
    <mergeCell ref="C56:E56"/>
    <mergeCell ref="C57:E57"/>
    <mergeCell ref="C58:E58"/>
    <mergeCell ref="A59:G59"/>
    <mergeCell ref="C60:E60"/>
    <mergeCell ref="C61:E61"/>
    <mergeCell ref="C62:E62"/>
    <mergeCell ref="C63:E63"/>
    <mergeCell ref="A64:G64"/>
    <mergeCell ref="C45:E45"/>
    <mergeCell ref="C46:E46"/>
    <mergeCell ref="C47:E47"/>
    <mergeCell ref="C48:E48"/>
    <mergeCell ref="A49:G49"/>
    <mergeCell ref="C52:E52"/>
    <mergeCell ref="C53:E53"/>
    <mergeCell ref="C54:E54"/>
    <mergeCell ref="A51:G51"/>
    <mergeCell ref="A50:G50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5:E25"/>
    <mergeCell ref="C27:E27"/>
    <mergeCell ref="C28:E28"/>
    <mergeCell ref="C29:E29"/>
    <mergeCell ref="A26:G26"/>
    <mergeCell ref="C30:E30"/>
    <mergeCell ref="C31:E31"/>
    <mergeCell ref="C34:E34"/>
    <mergeCell ref="A33:G33"/>
    <mergeCell ref="A32:G32"/>
    <mergeCell ref="C15:E15"/>
    <mergeCell ref="C16:E16"/>
    <mergeCell ref="C17:E17"/>
    <mergeCell ref="C18:E18"/>
    <mergeCell ref="C19:E19"/>
    <mergeCell ref="C20:E20"/>
    <mergeCell ref="C22:E22"/>
    <mergeCell ref="C23:E23"/>
    <mergeCell ref="C24:E24"/>
    <mergeCell ref="A21:G21"/>
    <mergeCell ref="C14:E14"/>
    <mergeCell ref="A6:K6"/>
    <mergeCell ref="C7:G7"/>
    <mergeCell ref="A13:G13"/>
    <mergeCell ref="A12:G12"/>
    <mergeCell ref="A11:G11"/>
    <mergeCell ref="A2:K2"/>
    <mergeCell ref="A3:K3"/>
    <mergeCell ref="A5:K5"/>
    <mergeCell ref="C9:E9"/>
    <mergeCell ref="C10:E10"/>
    <mergeCell ref="A87:G87"/>
    <mergeCell ref="A88:G88"/>
    <mergeCell ref="I88:K88"/>
    <mergeCell ref="A71:G71"/>
    <mergeCell ref="A70:G70"/>
    <mergeCell ref="C72:E72"/>
    <mergeCell ref="C73:E73"/>
    <mergeCell ref="C74:E74"/>
    <mergeCell ref="C85:E85"/>
    <mergeCell ref="C86:E86"/>
    <mergeCell ref="C75:E75"/>
    <mergeCell ref="C76:E76"/>
    <mergeCell ref="C77:E77"/>
    <mergeCell ref="C78:E78"/>
    <mergeCell ref="C79:E79"/>
    <mergeCell ref="C80:E8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47D8-09D2-4FD6-88D5-B0956CE51CE8}">
  <sheetPr>
    <tabColor rgb="FF00B050"/>
    <pageSetUpPr fitToPage="1"/>
  </sheetPr>
  <dimension ref="A1:BJ93"/>
  <sheetViews>
    <sheetView workbookViewId="0">
      <selection activeCell="H1" sqref="H1:K1048576"/>
    </sheetView>
  </sheetViews>
  <sheetFormatPr defaultColWidth="9.109375" defaultRowHeight="11.25" customHeight="1" x14ac:dyDescent="0.2"/>
  <cols>
    <col min="1" max="1" width="9" style="295" customWidth="1"/>
    <col min="2" max="2" width="20.109375" style="295" customWidth="1"/>
    <col min="3" max="3" width="18.6640625" style="295" customWidth="1"/>
    <col min="4" max="4" width="15.88671875" style="295" customWidth="1"/>
    <col min="5" max="5" width="22.44140625" style="295" customWidth="1"/>
    <col min="6" max="7" width="10.6640625" style="295" customWidth="1"/>
    <col min="8" max="11" width="16.109375" style="295" customWidth="1"/>
    <col min="12" max="13" width="10.6640625" style="295" customWidth="1"/>
    <col min="14" max="43" width="172.5546875" style="294" hidden="1" customWidth="1"/>
    <col min="44" max="53" width="109.33203125" style="294" hidden="1" customWidth="1"/>
    <col min="54" max="55" width="172.5546875" style="294" hidden="1" customWidth="1"/>
    <col min="56" max="59" width="34.109375" style="294" hidden="1" customWidth="1"/>
    <col min="60" max="62" width="127.5546875" style="294" hidden="1" customWidth="1"/>
    <col min="63" max="16384" width="9.109375" style="295"/>
  </cols>
  <sheetData>
    <row r="1" spans="1:56" s="3" customFormat="1" ht="14.4" x14ac:dyDescent="0.3">
      <c r="A1" s="95" t="s">
        <v>5591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6" s="3" customFormat="1" ht="29.25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1774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</row>
    <row r="5" spans="1:56" s="3" customFormat="1" ht="14.4" x14ac:dyDescent="0.3">
      <c r="A5" s="404" t="s">
        <v>2236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2236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14.4" x14ac:dyDescent="0.3">
      <c r="A7" s="4"/>
      <c r="B7" s="8" t="s">
        <v>5</v>
      </c>
      <c r="C7" s="402" t="s">
        <v>2237</v>
      </c>
      <c r="D7" s="402"/>
      <c r="E7" s="402"/>
      <c r="F7" s="402"/>
      <c r="G7" s="402"/>
      <c r="H7" s="48"/>
      <c r="I7" s="9"/>
      <c r="J7" s="9"/>
      <c r="K7" s="9"/>
    </row>
    <row r="8" spans="1:56" s="3" customFormat="1" ht="15" thickBot="1" x14ac:dyDescent="0.35">
      <c r="A8" s="4"/>
      <c r="B8" s="8"/>
      <c r="C8" s="254"/>
      <c r="D8" s="254"/>
      <c r="E8" s="254"/>
      <c r="F8" s="48"/>
      <c r="G8" s="254"/>
      <c r="H8" s="48"/>
      <c r="I8" s="9"/>
      <c r="J8" s="9"/>
      <c r="K8" s="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257">
        <v>2</v>
      </c>
      <c r="C10" s="424">
        <v>3</v>
      </c>
      <c r="D10" s="425"/>
      <c r="E10" s="426"/>
      <c r="F10" s="92">
        <v>4</v>
      </c>
      <c r="G10" s="257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4.4" x14ac:dyDescent="0.3">
      <c r="A11" s="136"/>
      <c r="B11" s="136"/>
      <c r="C11" s="136"/>
      <c r="D11" s="136"/>
      <c r="E11" s="136"/>
      <c r="F11" s="137"/>
      <c r="G11" s="136"/>
      <c r="H11" s="144"/>
      <c r="I11" s="139"/>
      <c r="J11" s="139"/>
      <c r="K11" s="140"/>
    </row>
    <row r="12" spans="1:56" s="267" customFormat="1" ht="15" customHeight="1" x14ac:dyDescent="0.3">
      <c r="A12" s="472" t="s">
        <v>1303</v>
      </c>
      <c r="B12" s="473"/>
      <c r="C12" s="473"/>
      <c r="D12" s="473"/>
      <c r="E12" s="473"/>
      <c r="F12" s="473"/>
      <c r="G12" s="473"/>
      <c r="H12" s="324"/>
      <c r="I12" s="324"/>
      <c r="J12" s="324"/>
      <c r="K12" s="325"/>
      <c r="BB12" s="269" t="s">
        <v>1303</v>
      </c>
    </row>
    <row r="13" spans="1:56" s="267" customFormat="1" ht="23.25" customHeight="1" x14ac:dyDescent="0.3">
      <c r="A13" s="470" t="s">
        <v>2238</v>
      </c>
      <c r="B13" s="471"/>
      <c r="C13" s="471"/>
      <c r="D13" s="471"/>
      <c r="E13" s="471"/>
      <c r="F13" s="471"/>
      <c r="G13" s="471"/>
      <c r="H13" s="322"/>
      <c r="I13" s="322"/>
      <c r="J13" s="322"/>
      <c r="K13" s="323"/>
      <c r="BB13" s="269"/>
      <c r="BC13" s="270" t="s">
        <v>2238</v>
      </c>
    </row>
    <row r="14" spans="1:56" s="267" customFormat="1" ht="42" x14ac:dyDescent="0.3">
      <c r="A14" s="271" t="s">
        <v>15</v>
      </c>
      <c r="B14" s="272" t="s">
        <v>617</v>
      </c>
      <c r="C14" s="469" t="s">
        <v>618</v>
      </c>
      <c r="D14" s="469"/>
      <c r="E14" s="469"/>
      <c r="F14" s="271" t="s">
        <v>43</v>
      </c>
      <c r="G14" s="273">
        <v>0.34832000000000002</v>
      </c>
      <c r="H14" s="273">
        <f>I14/G14</f>
        <v>46988.631143775834</v>
      </c>
      <c r="I14" s="274">
        <f>16367.08-K14</f>
        <v>16367.08</v>
      </c>
      <c r="J14" s="274">
        <f>K14/G14</f>
        <v>0</v>
      </c>
      <c r="K14" s="274">
        <v>0</v>
      </c>
      <c r="BB14" s="269"/>
      <c r="BC14" s="270"/>
      <c r="BD14" s="275" t="s">
        <v>618</v>
      </c>
    </row>
    <row r="15" spans="1:56" s="267" customFormat="1" ht="42" x14ac:dyDescent="0.3">
      <c r="A15" s="271" t="s">
        <v>20</v>
      </c>
      <c r="B15" s="272" t="s">
        <v>48</v>
      </c>
      <c r="C15" s="469" t="s">
        <v>49</v>
      </c>
      <c r="D15" s="469"/>
      <c r="E15" s="469"/>
      <c r="F15" s="271" t="s">
        <v>50</v>
      </c>
      <c r="G15" s="277">
        <v>696.64</v>
      </c>
      <c r="H15" s="277">
        <f>I15/G15</f>
        <v>598.37580385852095</v>
      </c>
      <c r="I15" s="274">
        <v>416852.52</v>
      </c>
      <c r="J15" s="274"/>
      <c r="K15" s="274"/>
      <c r="BB15" s="269"/>
      <c r="BC15" s="270"/>
      <c r="BD15" s="275" t="s">
        <v>49</v>
      </c>
    </row>
    <row r="16" spans="1:56" s="267" customFormat="1" ht="15" customHeight="1" x14ac:dyDescent="0.3">
      <c r="A16" s="470" t="s">
        <v>1978</v>
      </c>
      <c r="B16" s="471"/>
      <c r="C16" s="471"/>
      <c r="D16" s="471"/>
      <c r="E16" s="471"/>
      <c r="F16" s="471"/>
      <c r="G16" s="471"/>
      <c r="H16" s="322"/>
      <c r="I16" s="322"/>
      <c r="J16" s="322"/>
      <c r="K16" s="323"/>
      <c r="BB16" s="269"/>
      <c r="BC16" s="270" t="s">
        <v>1978</v>
      </c>
      <c r="BD16" s="275"/>
    </row>
    <row r="17" spans="1:58" s="267" customFormat="1" ht="31.8" x14ac:dyDescent="0.3">
      <c r="A17" s="271" t="s">
        <v>22</v>
      </c>
      <c r="B17" s="272" t="s">
        <v>1979</v>
      </c>
      <c r="C17" s="469" t="s">
        <v>1980</v>
      </c>
      <c r="D17" s="469"/>
      <c r="E17" s="469"/>
      <c r="F17" s="271" t="s">
        <v>125</v>
      </c>
      <c r="G17" s="278">
        <v>0.16850000000000001</v>
      </c>
      <c r="H17" s="273">
        <f>I17/G17</f>
        <v>185844.8071216617</v>
      </c>
      <c r="I17" s="274">
        <v>31314.85</v>
      </c>
      <c r="J17" s="274">
        <f>K17/G17</f>
        <v>0</v>
      </c>
      <c r="K17" s="274">
        <v>0</v>
      </c>
      <c r="BB17" s="269"/>
      <c r="BC17" s="270"/>
      <c r="BD17" s="275" t="s">
        <v>1980</v>
      </c>
    </row>
    <row r="18" spans="1:58" s="267" customFormat="1" ht="31.8" x14ac:dyDescent="0.3">
      <c r="A18" s="271" t="s">
        <v>27</v>
      </c>
      <c r="B18" s="272" t="s">
        <v>96</v>
      </c>
      <c r="C18" s="469" t="s">
        <v>97</v>
      </c>
      <c r="D18" s="469"/>
      <c r="E18" s="469"/>
      <c r="F18" s="271" t="s">
        <v>50</v>
      </c>
      <c r="G18" s="279">
        <v>33.700000000000003</v>
      </c>
      <c r="H18" s="277">
        <f t="shared" ref="H18:H19" si="0">I18/G18</f>
        <v>44.772106824925814</v>
      </c>
      <c r="I18" s="274">
        <v>1508.82</v>
      </c>
      <c r="J18" s="274">
        <v>0</v>
      </c>
      <c r="K18" s="274">
        <v>0</v>
      </c>
      <c r="BB18" s="269"/>
      <c r="BC18" s="270"/>
      <c r="BD18" s="275" t="s">
        <v>97</v>
      </c>
    </row>
    <row r="19" spans="1:58" s="267" customFormat="1" ht="42" x14ac:dyDescent="0.3">
      <c r="A19" s="271" t="s">
        <v>35</v>
      </c>
      <c r="B19" s="272" t="s">
        <v>48</v>
      </c>
      <c r="C19" s="469" t="s">
        <v>49</v>
      </c>
      <c r="D19" s="469"/>
      <c r="E19" s="469"/>
      <c r="F19" s="271" t="s">
        <v>50</v>
      </c>
      <c r="G19" s="279">
        <v>33.700000000000003</v>
      </c>
      <c r="H19" s="277">
        <f t="shared" si="0"/>
        <v>598.37566765578629</v>
      </c>
      <c r="I19" s="274">
        <v>20165.259999999998</v>
      </c>
      <c r="J19" s="274">
        <v>0</v>
      </c>
      <c r="K19" s="274">
        <v>0</v>
      </c>
      <c r="BB19" s="269"/>
      <c r="BC19" s="270"/>
      <c r="BD19" s="275" t="s">
        <v>49</v>
      </c>
    </row>
    <row r="20" spans="1:58" s="267" customFormat="1" ht="15" customHeight="1" x14ac:dyDescent="0.3">
      <c r="A20" s="470" t="s">
        <v>1984</v>
      </c>
      <c r="B20" s="471"/>
      <c r="C20" s="471"/>
      <c r="D20" s="471"/>
      <c r="E20" s="471"/>
      <c r="F20" s="471"/>
      <c r="G20" s="471"/>
      <c r="H20" s="322"/>
      <c r="I20" s="322"/>
      <c r="J20" s="322"/>
      <c r="K20" s="323"/>
      <c r="BB20" s="269"/>
      <c r="BC20" s="270" t="s">
        <v>1984</v>
      </c>
      <c r="BD20" s="275"/>
    </row>
    <row r="21" spans="1:58" s="267" customFormat="1" ht="15" customHeight="1" x14ac:dyDescent="0.3">
      <c r="A21" s="470" t="s">
        <v>2239</v>
      </c>
      <c r="B21" s="471"/>
      <c r="C21" s="471"/>
      <c r="D21" s="471"/>
      <c r="E21" s="471"/>
      <c r="F21" s="471"/>
      <c r="G21" s="471"/>
      <c r="H21" s="322"/>
      <c r="I21" s="322"/>
      <c r="J21" s="322"/>
      <c r="K21" s="323"/>
      <c r="BB21" s="269"/>
      <c r="BC21" s="270" t="s">
        <v>2239</v>
      </c>
      <c r="BD21" s="275"/>
    </row>
    <row r="22" spans="1:58" s="267" customFormat="1" ht="31.8" x14ac:dyDescent="0.3">
      <c r="A22" s="271" t="s">
        <v>40</v>
      </c>
      <c r="B22" s="272" t="s">
        <v>2240</v>
      </c>
      <c r="C22" s="469" t="s">
        <v>2241</v>
      </c>
      <c r="D22" s="469"/>
      <c r="E22" s="469"/>
      <c r="F22" s="271" t="s">
        <v>70</v>
      </c>
      <c r="G22" s="279">
        <v>8.8000000000000007</v>
      </c>
      <c r="H22" s="273">
        <f>I22/G22</f>
        <v>14940.059090909088</v>
      </c>
      <c r="I22" s="274">
        <f>133231.05-K22</f>
        <v>131472.51999999999</v>
      </c>
      <c r="J22" s="274">
        <f>K22/G22</f>
        <v>199.83295454545453</v>
      </c>
      <c r="K22" s="274">
        <v>1758.53</v>
      </c>
      <c r="BB22" s="269"/>
      <c r="BC22" s="270"/>
      <c r="BD22" s="275" t="s">
        <v>2241</v>
      </c>
    </row>
    <row r="23" spans="1:58" s="267" customFormat="1" ht="20.399999999999999" x14ac:dyDescent="0.3">
      <c r="A23" s="280"/>
      <c r="B23" s="281" t="s">
        <v>858</v>
      </c>
      <c r="C23" s="468" t="s">
        <v>859</v>
      </c>
      <c r="D23" s="468"/>
      <c r="E23" s="468"/>
      <c r="F23" s="282" t="s">
        <v>46</v>
      </c>
      <c r="G23" s="276" t="s">
        <v>2242</v>
      </c>
      <c r="H23" s="276"/>
      <c r="I23" s="283"/>
      <c r="J23" s="283"/>
      <c r="K23" s="284"/>
      <c r="BB23" s="269"/>
      <c r="BC23" s="270"/>
      <c r="BD23" s="275"/>
      <c r="BE23" s="268" t="s">
        <v>859</v>
      </c>
    </row>
    <row r="24" spans="1:58" s="267" customFormat="1" ht="20.399999999999999" x14ac:dyDescent="0.3">
      <c r="A24" s="280"/>
      <c r="B24" s="281" t="s">
        <v>384</v>
      </c>
      <c r="C24" s="468" t="s">
        <v>385</v>
      </c>
      <c r="D24" s="468"/>
      <c r="E24" s="468"/>
      <c r="F24" s="282" t="s">
        <v>46</v>
      </c>
      <c r="G24" s="276" t="s">
        <v>2243</v>
      </c>
      <c r="H24" s="276"/>
      <c r="I24" s="283"/>
      <c r="J24" s="283"/>
      <c r="K24" s="284"/>
      <c r="BB24" s="269"/>
      <c r="BC24" s="270"/>
      <c r="BD24" s="275"/>
      <c r="BE24" s="268" t="s">
        <v>385</v>
      </c>
    </row>
    <row r="25" spans="1:58" s="267" customFormat="1" ht="20.399999999999999" x14ac:dyDescent="0.3">
      <c r="A25" s="280"/>
      <c r="B25" s="281" t="s">
        <v>1449</v>
      </c>
      <c r="C25" s="468" t="s">
        <v>1450</v>
      </c>
      <c r="D25" s="468"/>
      <c r="E25" s="468"/>
      <c r="F25" s="282" t="s">
        <v>70</v>
      </c>
      <c r="G25" s="276" t="s">
        <v>2244</v>
      </c>
      <c r="H25" s="276"/>
      <c r="I25" s="283"/>
      <c r="J25" s="283"/>
      <c r="K25" s="284"/>
      <c r="BB25" s="269"/>
      <c r="BC25" s="270"/>
      <c r="BD25" s="275"/>
      <c r="BE25" s="268" t="s">
        <v>1450</v>
      </c>
    </row>
    <row r="26" spans="1:58" s="267" customFormat="1" ht="20.399999999999999" x14ac:dyDescent="0.3">
      <c r="A26" s="280"/>
      <c r="B26" s="281" t="s">
        <v>648</v>
      </c>
      <c r="C26" s="468" t="s">
        <v>649</v>
      </c>
      <c r="D26" s="468"/>
      <c r="E26" s="468"/>
      <c r="F26" s="282" t="s">
        <v>70</v>
      </c>
      <c r="G26" s="276" t="s">
        <v>2245</v>
      </c>
      <c r="H26" s="276"/>
      <c r="I26" s="283"/>
      <c r="J26" s="283"/>
      <c r="K26" s="284"/>
      <c r="BB26" s="269"/>
      <c r="BC26" s="270"/>
      <c r="BD26" s="275"/>
      <c r="BE26" s="268" t="s">
        <v>649</v>
      </c>
    </row>
    <row r="27" spans="1:58" s="267" customFormat="1" ht="21.6" x14ac:dyDescent="0.3">
      <c r="A27" s="285" t="s">
        <v>143</v>
      </c>
      <c r="B27" s="286" t="s">
        <v>2246</v>
      </c>
      <c r="C27" s="467" t="s">
        <v>2247</v>
      </c>
      <c r="D27" s="467"/>
      <c r="E27" s="467"/>
      <c r="F27" s="287" t="s">
        <v>70</v>
      </c>
      <c r="G27" s="288" t="s">
        <v>2248</v>
      </c>
      <c r="H27" s="288"/>
      <c r="I27" s="289"/>
      <c r="J27" s="289"/>
      <c r="K27" s="290"/>
      <c r="BB27" s="269"/>
      <c r="BC27" s="270"/>
      <c r="BD27" s="275"/>
      <c r="BE27" s="268"/>
      <c r="BF27" s="291" t="s">
        <v>2247</v>
      </c>
    </row>
    <row r="28" spans="1:58" s="267" customFormat="1" ht="20.399999999999999" x14ac:dyDescent="0.3">
      <c r="A28" s="280"/>
      <c r="B28" s="281" t="s">
        <v>2249</v>
      </c>
      <c r="C28" s="468" t="s">
        <v>2250</v>
      </c>
      <c r="D28" s="468"/>
      <c r="E28" s="468"/>
      <c r="F28" s="282" t="s">
        <v>70</v>
      </c>
      <c r="G28" s="276" t="s">
        <v>2251</v>
      </c>
      <c r="H28" s="276"/>
      <c r="I28" s="283"/>
      <c r="J28" s="283"/>
      <c r="K28" s="284"/>
      <c r="BB28" s="269"/>
      <c r="BC28" s="270"/>
      <c r="BD28" s="275"/>
      <c r="BE28" s="268" t="s">
        <v>2250</v>
      </c>
      <c r="BF28" s="291"/>
    </row>
    <row r="29" spans="1:58" s="267" customFormat="1" ht="31.8" x14ac:dyDescent="0.3">
      <c r="A29" s="280"/>
      <c r="B29" s="281" t="s">
        <v>2252</v>
      </c>
      <c r="C29" s="468" t="s">
        <v>2253</v>
      </c>
      <c r="D29" s="468"/>
      <c r="E29" s="468"/>
      <c r="F29" s="282" t="s">
        <v>46</v>
      </c>
      <c r="G29" s="276" t="s">
        <v>2254</v>
      </c>
      <c r="H29" s="276"/>
      <c r="I29" s="283"/>
      <c r="J29" s="283"/>
      <c r="K29" s="284"/>
      <c r="BB29" s="269"/>
      <c r="BC29" s="270"/>
      <c r="BD29" s="275"/>
      <c r="BE29" s="268" t="s">
        <v>2253</v>
      </c>
      <c r="BF29" s="291"/>
    </row>
    <row r="30" spans="1:58" s="267" customFormat="1" ht="21.6" x14ac:dyDescent="0.3">
      <c r="A30" s="280"/>
      <c r="B30" s="281" t="s">
        <v>839</v>
      </c>
      <c r="C30" s="468" t="s">
        <v>840</v>
      </c>
      <c r="D30" s="468"/>
      <c r="E30" s="468"/>
      <c r="F30" s="282" t="s">
        <v>75</v>
      </c>
      <c r="G30" s="276" t="s">
        <v>2255</v>
      </c>
      <c r="H30" s="276"/>
      <c r="I30" s="283"/>
      <c r="J30" s="283"/>
      <c r="K30" s="284"/>
      <c r="BB30" s="269"/>
      <c r="BC30" s="270"/>
      <c r="BD30" s="275"/>
      <c r="BE30" s="268" t="s">
        <v>840</v>
      </c>
      <c r="BF30" s="291"/>
    </row>
    <row r="31" spans="1:58" s="267" customFormat="1" ht="42" x14ac:dyDescent="0.3">
      <c r="A31" s="271" t="s">
        <v>47</v>
      </c>
      <c r="B31" s="272" t="s">
        <v>2256</v>
      </c>
      <c r="C31" s="469" t="s">
        <v>2257</v>
      </c>
      <c r="D31" s="469"/>
      <c r="E31" s="469"/>
      <c r="F31" s="271" t="s">
        <v>1460</v>
      </c>
      <c r="G31" s="292">
        <v>4</v>
      </c>
      <c r="H31" s="292">
        <v>0</v>
      </c>
      <c r="I31" s="274">
        <v>0</v>
      </c>
      <c r="J31" s="274">
        <f>K31/G31</f>
        <v>864586.125</v>
      </c>
      <c r="K31" s="274">
        <v>3458344.5</v>
      </c>
      <c r="BB31" s="269"/>
      <c r="BC31" s="270"/>
      <c r="BD31" s="275" t="s">
        <v>2257</v>
      </c>
      <c r="BE31" s="268"/>
      <c r="BF31" s="291"/>
    </row>
    <row r="32" spans="1:58" s="267" customFormat="1" ht="15" customHeight="1" x14ac:dyDescent="0.3">
      <c r="A32" s="470" t="s">
        <v>1983</v>
      </c>
      <c r="B32" s="471"/>
      <c r="C32" s="471"/>
      <c r="D32" s="471"/>
      <c r="E32" s="471"/>
      <c r="F32" s="471"/>
      <c r="G32" s="471"/>
      <c r="H32" s="322"/>
      <c r="I32" s="322"/>
      <c r="J32" s="322"/>
      <c r="K32" s="323"/>
      <c r="BB32" s="269"/>
      <c r="BC32" s="270" t="s">
        <v>1983</v>
      </c>
      <c r="BD32" s="275"/>
      <c r="BE32" s="268"/>
      <c r="BF32" s="291"/>
    </row>
    <row r="33" spans="1:59" s="267" customFormat="1" ht="42" x14ac:dyDescent="0.3">
      <c r="A33" s="271" t="s">
        <v>52</v>
      </c>
      <c r="B33" s="272" t="s">
        <v>257</v>
      </c>
      <c r="C33" s="469" t="s">
        <v>258</v>
      </c>
      <c r="D33" s="469"/>
      <c r="E33" s="469"/>
      <c r="F33" s="271" t="s">
        <v>43</v>
      </c>
      <c r="G33" s="273">
        <v>0.29172999999999999</v>
      </c>
      <c r="H33" s="273">
        <f>I33/G33</f>
        <v>11166.078223014432</v>
      </c>
      <c r="I33" s="274">
        <v>3257.48</v>
      </c>
      <c r="J33" s="274">
        <f>K33/G33</f>
        <v>0</v>
      </c>
      <c r="K33" s="274">
        <v>0</v>
      </c>
      <c r="BB33" s="269"/>
      <c r="BC33" s="270"/>
      <c r="BD33" s="275" t="s">
        <v>258</v>
      </c>
      <c r="BE33" s="268"/>
      <c r="BF33" s="291"/>
    </row>
    <row r="34" spans="1:59" s="267" customFormat="1" ht="21.6" x14ac:dyDescent="0.3">
      <c r="A34" s="271" t="s">
        <v>55</v>
      </c>
      <c r="B34" s="272" t="s">
        <v>205</v>
      </c>
      <c r="C34" s="469" t="s">
        <v>82</v>
      </c>
      <c r="D34" s="469"/>
      <c r="E34" s="469"/>
      <c r="F34" s="271" t="s">
        <v>46</v>
      </c>
      <c r="G34" s="293">
        <v>320.90300000000002</v>
      </c>
      <c r="H34" s="293">
        <v>0</v>
      </c>
      <c r="I34" s="274">
        <v>0</v>
      </c>
      <c r="J34" s="274">
        <f>K34/G34</f>
        <v>530.91149038806111</v>
      </c>
      <c r="K34" s="274">
        <v>170371.09</v>
      </c>
      <c r="BB34" s="269"/>
      <c r="BC34" s="270"/>
      <c r="BD34" s="275" t="s">
        <v>82</v>
      </c>
      <c r="BE34" s="268"/>
      <c r="BF34" s="291"/>
    </row>
    <row r="35" spans="1:59" s="267" customFormat="1" ht="15" customHeight="1" x14ac:dyDescent="0.3">
      <c r="A35" s="472" t="s">
        <v>2258</v>
      </c>
      <c r="B35" s="473"/>
      <c r="C35" s="473"/>
      <c r="D35" s="473"/>
      <c r="E35" s="473"/>
      <c r="F35" s="473"/>
      <c r="G35" s="473"/>
      <c r="H35" s="324"/>
      <c r="I35" s="324"/>
      <c r="J35" s="324"/>
      <c r="K35" s="325"/>
      <c r="BB35" s="269" t="s">
        <v>2258</v>
      </c>
      <c r="BC35" s="270"/>
      <c r="BD35" s="275"/>
      <c r="BE35" s="268"/>
      <c r="BF35" s="291"/>
    </row>
    <row r="36" spans="1:59" s="267" customFormat="1" ht="15" customHeight="1" x14ac:dyDescent="0.3">
      <c r="A36" s="470" t="s">
        <v>1986</v>
      </c>
      <c r="B36" s="471"/>
      <c r="C36" s="471"/>
      <c r="D36" s="471"/>
      <c r="E36" s="471"/>
      <c r="F36" s="471"/>
      <c r="G36" s="471"/>
      <c r="H36" s="322"/>
      <c r="I36" s="322"/>
      <c r="J36" s="322"/>
      <c r="K36" s="323"/>
      <c r="BB36" s="269"/>
      <c r="BC36" s="270" t="s">
        <v>1986</v>
      </c>
      <c r="BD36" s="275"/>
      <c r="BE36" s="268"/>
      <c r="BF36" s="291"/>
    </row>
    <row r="37" spans="1:59" s="267" customFormat="1" ht="31.8" x14ac:dyDescent="0.3">
      <c r="A37" s="271" t="s">
        <v>56</v>
      </c>
      <c r="B37" s="272" t="s">
        <v>1183</v>
      </c>
      <c r="C37" s="469" t="s">
        <v>1184</v>
      </c>
      <c r="D37" s="469"/>
      <c r="E37" s="469"/>
      <c r="F37" s="271" t="s">
        <v>189</v>
      </c>
      <c r="G37" s="278">
        <v>0.1212</v>
      </c>
      <c r="H37" s="273">
        <f>I37/G37</f>
        <v>49544.059405940592</v>
      </c>
      <c r="I37" s="274">
        <f>10135.16-K37</f>
        <v>6004.74</v>
      </c>
      <c r="J37" s="274">
        <f>K37/G37</f>
        <v>34079.372937293731</v>
      </c>
      <c r="K37" s="274">
        <v>4130.42</v>
      </c>
      <c r="BB37" s="269"/>
      <c r="BC37" s="270"/>
      <c r="BD37" s="275" t="s">
        <v>1184</v>
      </c>
      <c r="BE37" s="268"/>
      <c r="BF37" s="291"/>
    </row>
    <row r="38" spans="1:59" s="267" customFormat="1" ht="21.6" x14ac:dyDescent="0.3">
      <c r="A38" s="285" t="s">
        <v>78</v>
      </c>
      <c r="B38" s="286" t="s">
        <v>1185</v>
      </c>
      <c r="C38" s="467" t="s">
        <v>1186</v>
      </c>
      <c r="D38" s="467"/>
      <c r="E38" s="467"/>
      <c r="F38" s="287" t="s">
        <v>158</v>
      </c>
      <c r="G38" s="288" t="s">
        <v>33</v>
      </c>
      <c r="H38" s="288"/>
      <c r="I38" s="289"/>
      <c r="J38" s="289"/>
      <c r="K38" s="290"/>
      <c r="BB38" s="269"/>
      <c r="BC38" s="270"/>
      <c r="BD38" s="275"/>
      <c r="BE38" s="268"/>
      <c r="BF38" s="291" t="s">
        <v>1186</v>
      </c>
    </row>
    <row r="39" spans="1:59" s="267" customFormat="1" ht="20.399999999999999" x14ac:dyDescent="0.3">
      <c r="A39" s="280"/>
      <c r="B39" s="281" t="s">
        <v>648</v>
      </c>
      <c r="C39" s="468" t="s">
        <v>649</v>
      </c>
      <c r="D39" s="468"/>
      <c r="E39" s="468"/>
      <c r="F39" s="282" t="s">
        <v>70</v>
      </c>
      <c r="G39" s="276" t="s">
        <v>2259</v>
      </c>
      <c r="H39" s="276"/>
      <c r="I39" s="283"/>
      <c r="J39" s="283"/>
      <c r="K39" s="284"/>
      <c r="BB39" s="269"/>
      <c r="BC39" s="270"/>
      <c r="BD39" s="275"/>
      <c r="BE39" s="268" t="s">
        <v>649</v>
      </c>
      <c r="BF39" s="291"/>
    </row>
    <row r="40" spans="1:59" s="267" customFormat="1" ht="21.6" x14ac:dyDescent="0.3">
      <c r="A40" s="280" t="s">
        <v>129</v>
      </c>
      <c r="B40" s="281" t="s">
        <v>1988</v>
      </c>
      <c r="C40" s="468" t="s">
        <v>1989</v>
      </c>
      <c r="D40" s="468"/>
      <c r="E40" s="468"/>
      <c r="F40" s="282" t="s">
        <v>158</v>
      </c>
      <c r="G40" s="276" t="s">
        <v>2260</v>
      </c>
      <c r="H40" s="276"/>
      <c r="I40" s="283"/>
      <c r="J40" s="283"/>
      <c r="K40" s="284"/>
      <c r="BB40" s="269"/>
      <c r="BC40" s="270"/>
      <c r="BD40" s="275"/>
      <c r="BE40" s="268"/>
      <c r="BF40" s="291"/>
      <c r="BG40" s="268" t="s">
        <v>1989</v>
      </c>
    </row>
    <row r="41" spans="1:59" s="267" customFormat="1" ht="15" customHeight="1" x14ac:dyDescent="0.3">
      <c r="A41" s="470" t="s">
        <v>1991</v>
      </c>
      <c r="B41" s="471"/>
      <c r="C41" s="471"/>
      <c r="D41" s="471"/>
      <c r="E41" s="471"/>
      <c r="F41" s="471"/>
      <c r="G41" s="471"/>
      <c r="H41" s="322"/>
      <c r="I41" s="322"/>
      <c r="J41" s="322"/>
      <c r="K41" s="323"/>
      <c r="BB41" s="269"/>
      <c r="BC41" s="270" t="s">
        <v>1991</v>
      </c>
      <c r="BD41" s="275"/>
      <c r="BE41" s="268"/>
      <c r="BF41" s="291"/>
      <c r="BG41" s="268"/>
    </row>
    <row r="42" spans="1:59" s="267" customFormat="1" ht="14.4" x14ac:dyDescent="0.3">
      <c r="A42" s="271" t="s">
        <v>166</v>
      </c>
      <c r="B42" s="272" t="s">
        <v>152</v>
      </c>
      <c r="C42" s="469" t="s">
        <v>153</v>
      </c>
      <c r="D42" s="469"/>
      <c r="E42" s="469"/>
      <c r="F42" s="271" t="s">
        <v>125</v>
      </c>
      <c r="G42" s="293">
        <v>6.8000000000000005E-2</v>
      </c>
      <c r="H42" s="273">
        <f>I42/G42</f>
        <v>154977.5</v>
      </c>
      <c r="I42" s="274">
        <f>45460.48-K42</f>
        <v>10538.470000000001</v>
      </c>
      <c r="J42" s="274">
        <f>K42/G42</f>
        <v>513558.9705882353</v>
      </c>
      <c r="K42" s="274">
        <v>34922.01</v>
      </c>
      <c r="BB42" s="269"/>
      <c r="BC42" s="270"/>
      <c r="BD42" s="275" t="s">
        <v>153</v>
      </c>
      <c r="BE42" s="268"/>
      <c r="BF42" s="291"/>
      <c r="BG42" s="268"/>
    </row>
    <row r="43" spans="1:59" s="267" customFormat="1" ht="20.399999999999999" x14ac:dyDescent="0.3">
      <c r="A43" s="280"/>
      <c r="B43" s="281" t="s">
        <v>154</v>
      </c>
      <c r="C43" s="468" t="s">
        <v>155</v>
      </c>
      <c r="D43" s="468"/>
      <c r="E43" s="468"/>
      <c r="F43" s="282" t="s">
        <v>46</v>
      </c>
      <c r="G43" s="276" t="s">
        <v>2261</v>
      </c>
      <c r="H43" s="276"/>
      <c r="I43" s="283"/>
      <c r="J43" s="283"/>
      <c r="K43" s="284"/>
      <c r="BB43" s="269"/>
      <c r="BC43" s="270"/>
      <c r="BD43" s="275"/>
      <c r="BE43" s="268" t="s">
        <v>155</v>
      </c>
      <c r="BF43" s="291"/>
      <c r="BG43" s="268"/>
    </row>
    <row r="44" spans="1:59" s="267" customFormat="1" ht="20.399999999999999" x14ac:dyDescent="0.3">
      <c r="A44" s="280"/>
      <c r="B44" s="281" t="s">
        <v>156</v>
      </c>
      <c r="C44" s="468" t="s">
        <v>157</v>
      </c>
      <c r="D44" s="468"/>
      <c r="E44" s="468"/>
      <c r="F44" s="282" t="s">
        <v>158</v>
      </c>
      <c r="G44" s="276" t="s">
        <v>2262</v>
      </c>
      <c r="H44" s="276"/>
      <c r="I44" s="283"/>
      <c r="J44" s="283"/>
      <c r="K44" s="284"/>
      <c r="BB44" s="269"/>
      <c r="BC44" s="270"/>
      <c r="BD44" s="275"/>
      <c r="BE44" s="268" t="s">
        <v>157</v>
      </c>
      <c r="BF44" s="291"/>
      <c r="BG44" s="268"/>
    </row>
    <row r="45" spans="1:59" s="267" customFormat="1" ht="20.399999999999999" x14ac:dyDescent="0.3">
      <c r="A45" s="285" t="s">
        <v>143</v>
      </c>
      <c r="B45" s="286" t="s">
        <v>159</v>
      </c>
      <c r="C45" s="467" t="s">
        <v>160</v>
      </c>
      <c r="D45" s="467"/>
      <c r="E45" s="467"/>
      <c r="F45" s="287" t="s">
        <v>46</v>
      </c>
      <c r="G45" s="288" t="s">
        <v>2263</v>
      </c>
      <c r="H45" s="288"/>
      <c r="I45" s="289"/>
      <c r="J45" s="289"/>
      <c r="K45" s="290"/>
      <c r="BB45" s="269"/>
      <c r="BC45" s="270"/>
      <c r="BD45" s="275"/>
      <c r="BE45" s="268"/>
      <c r="BF45" s="291" t="s">
        <v>160</v>
      </c>
      <c r="BG45" s="268"/>
    </row>
    <row r="46" spans="1:59" s="267" customFormat="1" ht="21.6" x14ac:dyDescent="0.3">
      <c r="A46" s="280" t="s">
        <v>129</v>
      </c>
      <c r="B46" s="281" t="s">
        <v>1995</v>
      </c>
      <c r="C46" s="468" t="s">
        <v>1996</v>
      </c>
      <c r="D46" s="468"/>
      <c r="E46" s="468"/>
      <c r="F46" s="282" t="s">
        <v>46</v>
      </c>
      <c r="G46" s="276" t="s">
        <v>2263</v>
      </c>
      <c r="H46" s="276"/>
      <c r="I46" s="283"/>
      <c r="J46" s="283"/>
      <c r="K46" s="284"/>
      <c r="BB46" s="269"/>
      <c r="BC46" s="270"/>
      <c r="BD46" s="275"/>
      <c r="BE46" s="268"/>
      <c r="BF46" s="291"/>
      <c r="BG46" s="268" t="s">
        <v>1996</v>
      </c>
    </row>
    <row r="47" spans="1:59" s="267" customFormat="1" ht="15" customHeight="1" x14ac:dyDescent="0.3">
      <c r="A47" s="470" t="s">
        <v>2016</v>
      </c>
      <c r="B47" s="471"/>
      <c r="C47" s="471"/>
      <c r="D47" s="471"/>
      <c r="E47" s="471"/>
      <c r="F47" s="471"/>
      <c r="G47" s="471"/>
      <c r="H47" s="322"/>
      <c r="I47" s="322"/>
      <c r="J47" s="322"/>
      <c r="K47" s="323"/>
      <c r="BB47" s="269"/>
      <c r="BC47" s="270" t="s">
        <v>2016</v>
      </c>
      <c r="BD47" s="275"/>
      <c r="BE47" s="268"/>
      <c r="BF47" s="291"/>
      <c r="BG47" s="268"/>
    </row>
    <row r="48" spans="1:59" s="267" customFormat="1" ht="21.6" x14ac:dyDescent="0.3">
      <c r="A48" s="271" t="s">
        <v>169</v>
      </c>
      <c r="B48" s="272" t="s">
        <v>273</v>
      </c>
      <c r="C48" s="469" t="s">
        <v>274</v>
      </c>
      <c r="D48" s="469"/>
      <c r="E48" s="469"/>
      <c r="F48" s="271" t="s">
        <v>125</v>
      </c>
      <c r="G48" s="277">
        <v>0.68</v>
      </c>
      <c r="H48" s="273">
        <f>I48/G48</f>
        <v>229999.54411764714</v>
      </c>
      <c r="I48" s="274">
        <f>832044.28-K48</f>
        <v>156399.69000000006</v>
      </c>
      <c r="J48" s="274">
        <f>K48/G48</f>
        <v>993594.98529411748</v>
      </c>
      <c r="K48" s="274">
        <v>675644.59</v>
      </c>
      <c r="BB48" s="269"/>
      <c r="BC48" s="270"/>
      <c r="BD48" s="275" t="s">
        <v>274</v>
      </c>
      <c r="BE48" s="268"/>
      <c r="BF48" s="291"/>
      <c r="BG48" s="268"/>
    </row>
    <row r="49" spans="1:59" s="267" customFormat="1" ht="20.399999999999999" x14ac:dyDescent="0.3">
      <c r="A49" s="280"/>
      <c r="B49" s="281" t="s">
        <v>154</v>
      </c>
      <c r="C49" s="468" t="s">
        <v>155</v>
      </c>
      <c r="D49" s="468"/>
      <c r="E49" s="468"/>
      <c r="F49" s="282" t="s">
        <v>46</v>
      </c>
      <c r="G49" s="276" t="s">
        <v>2264</v>
      </c>
      <c r="H49" s="276"/>
      <c r="I49" s="283"/>
      <c r="J49" s="283"/>
      <c r="K49" s="284"/>
      <c r="BB49" s="269"/>
      <c r="BC49" s="270"/>
      <c r="BD49" s="275"/>
      <c r="BE49" s="268" t="s">
        <v>155</v>
      </c>
      <c r="BF49" s="291"/>
      <c r="BG49" s="268"/>
    </row>
    <row r="50" spans="1:59" s="267" customFormat="1" ht="20.399999999999999" x14ac:dyDescent="0.3">
      <c r="A50" s="280"/>
      <c r="B50" s="281" t="s">
        <v>156</v>
      </c>
      <c r="C50" s="468" t="s">
        <v>157</v>
      </c>
      <c r="D50" s="468"/>
      <c r="E50" s="468"/>
      <c r="F50" s="282" t="s">
        <v>158</v>
      </c>
      <c r="G50" s="276" t="s">
        <v>2265</v>
      </c>
      <c r="H50" s="276"/>
      <c r="I50" s="283"/>
      <c r="J50" s="283"/>
      <c r="K50" s="284"/>
      <c r="BB50" s="269"/>
      <c r="BC50" s="270"/>
      <c r="BD50" s="275"/>
      <c r="BE50" s="268" t="s">
        <v>157</v>
      </c>
      <c r="BF50" s="291"/>
      <c r="BG50" s="268"/>
    </row>
    <row r="51" spans="1:59" s="267" customFormat="1" ht="20.399999999999999" x14ac:dyDescent="0.3">
      <c r="A51" s="280"/>
      <c r="B51" s="281" t="s">
        <v>277</v>
      </c>
      <c r="C51" s="468" t="s">
        <v>278</v>
      </c>
      <c r="D51" s="468"/>
      <c r="E51" s="468"/>
      <c r="F51" s="282" t="s">
        <v>70</v>
      </c>
      <c r="G51" s="276" t="s">
        <v>2266</v>
      </c>
      <c r="H51" s="276"/>
      <c r="I51" s="283"/>
      <c r="J51" s="283"/>
      <c r="K51" s="284"/>
      <c r="BB51" s="269"/>
      <c r="BC51" s="270"/>
      <c r="BD51" s="275"/>
      <c r="BE51" s="268" t="s">
        <v>278</v>
      </c>
      <c r="BF51" s="291"/>
      <c r="BG51" s="268"/>
    </row>
    <row r="52" spans="1:59" s="267" customFormat="1" ht="20.399999999999999" x14ac:dyDescent="0.3">
      <c r="A52" s="280"/>
      <c r="B52" s="281" t="s">
        <v>76</v>
      </c>
      <c r="C52" s="468" t="s">
        <v>77</v>
      </c>
      <c r="D52" s="468"/>
      <c r="E52" s="468"/>
      <c r="F52" s="282" t="s">
        <v>70</v>
      </c>
      <c r="G52" s="276" t="s">
        <v>2267</v>
      </c>
      <c r="H52" s="276"/>
      <c r="I52" s="283"/>
      <c r="J52" s="283"/>
      <c r="K52" s="284"/>
      <c r="BB52" s="269"/>
      <c r="BC52" s="270"/>
      <c r="BD52" s="275"/>
      <c r="BE52" s="268" t="s">
        <v>77</v>
      </c>
      <c r="BF52" s="291"/>
      <c r="BG52" s="268"/>
    </row>
    <row r="53" spans="1:59" s="267" customFormat="1" ht="21.6" x14ac:dyDescent="0.3">
      <c r="A53" s="280"/>
      <c r="B53" s="281" t="s">
        <v>281</v>
      </c>
      <c r="C53" s="468" t="s">
        <v>282</v>
      </c>
      <c r="D53" s="468"/>
      <c r="E53" s="468"/>
      <c r="F53" s="282" t="s">
        <v>70</v>
      </c>
      <c r="G53" s="276" t="s">
        <v>2268</v>
      </c>
      <c r="H53" s="276"/>
      <c r="I53" s="283"/>
      <c r="J53" s="283"/>
      <c r="K53" s="284"/>
      <c r="BB53" s="269"/>
      <c r="BC53" s="270"/>
      <c r="BD53" s="275"/>
      <c r="BE53" s="268" t="s">
        <v>282</v>
      </c>
      <c r="BF53" s="291"/>
      <c r="BG53" s="268"/>
    </row>
    <row r="54" spans="1:59" s="267" customFormat="1" ht="20.399999999999999" x14ac:dyDescent="0.3">
      <c r="A54" s="285" t="s">
        <v>143</v>
      </c>
      <c r="B54" s="286" t="s">
        <v>159</v>
      </c>
      <c r="C54" s="467" t="s">
        <v>160</v>
      </c>
      <c r="D54" s="467"/>
      <c r="E54" s="467"/>
      <c r="F54" s="287" t="s">
        <v>46</v>
      </c>
      <c r="G54" s="288" t="s">
        <v>2269</v>
      </c>
      <c r="H54" s="288"/>
      <c r="I54" s="289"/>
      <c r="J54" s="289"/>
      <c r="K54" s="290"/>
      <c r="BB54" s="269"/>
      <c r="BC54" s="270"/>
      <c r="BD54" s="275"/>
      <c r="BE54" s="268"/>
      <c r="BF54" s="291" t="s">
        <v>160</v>
      </c>
      <c r="BG54" s="268"/>
    </row>
    <row r="55" spans="1:59" s="267" customFormat="1" ht="21.6" x14ac:dyDescent="0.3">
      <c r="A55" s="280"/>
      <c r="B55" s="281" t="s">
        <v>285</v>
      </c>
      <c r="C55" s="468" t="s">
        <v>286</v>
      </c>
      <c r="D55" s="468"/>
      <c r="E55" s="468"/>
      <c r="F55" s="282" t="s">
        <v>70</v>
      </c>
      <c r="G55" s="276" t="s">
        <v>2270</v>
      </c>
      <c r="H55" s="276"/>
      <c r="I55" s="283"/>
      <c r="J55" s="283"/>
      <c r="K55" s="284"/>
      <c r="BB55" s="269"/>
      <c r="BC55" s="270"/>
      <c r="BD55" s="275"/>
      <c r="BE55" s="268" t="s">
        <v>286</v>
      </c>
      <c r="BF55" s="291"/>
      <c r="BG55" s="268"/>
    </row>
    <row r="56" spans="1:59" s="267" customFormat="1" ht="20.399999999999999" x14ac:dyDescent="0.3">
      <c r="A56" s="285" t="s">
        <v>143</v>
      </c>
      <c r="B56" s="286" t="s">
        <v>288</v>
      </c>
      <c r="C56" s="467" t="s">
        <v>289</v>
      </c>
      <c r="D56" s="467"/>
      <c r="E56" s="467"/>
      <c r="F56" s="287" t="s">
        <v>70</v>
      </c>
      <c r="G56" s="288" t="s">
        <v>2271</v>
      </c>
      <c r="H56" s="288"/>
      <c r="I56" s="289"/>
      <c r="J56" s="289"/>
      <c r="K56" s="290"/>
      <c r="BB56" s="269"/>
      <c r="BC56" s="270"/>
      <c r="BD56" s="275"/>
      <c r="BE56" s="268"/>
      <c r="BF56" s="291" t="s">
        <v>289</v>
      </c>
      <c r="BG56" s="268"/>
    </row>
    <row r="57" spans="1:59" s="267" customFormat="1" ht="31.8" x14ac:dyDescent="0.3">
      <c r="A57" s="280"/>
      <c r="B57" s="281" t="s">
        <v>291</v>
      </c>
      <c r="C57" s="468" t="s">
        <v>292</v>
      </c>
      <c r="D57" s="468"/>
      <c r="E57" s="468"/>
      <c r="F57" s="282" t="s">
        <v>46</v>
      </c>
      <c r="G57" s="276" t="s">
        <v>2272</v>
      </c>
      <c r="H57" s="276"/>
      <c r="I57" s="283"/>
      <c r="J57" s="283"/>
      <c r="K57" s="284"/>
      <c r="BB57" s="269"/>
      <c r="BC57" s="270"/>
      <c r="BD57" s="275"/>
      <c r="BE57" s="268" t="s">
        <v>292</v>
      </c>
      <c r="BF57" s="291"/>
      <c r="BG57" s="268"/>
    </row>
    <row r="58" spans="1:59" s="267" customFormat="1" ht="20.399999999999999" x14ac:dyDescent="0.3">
      <c r="A58" s="280"/>
      <c r="B58" s="281" t="s">
        <v>294</v>
      </c>
      <c r="C58" s="468" t="s">
        <v>295</v>
      </c>
      <c r="D58" s="468"/>
      <c r="E58" s="468"/>
      <c r="F58" s="282" t="s">
        <v>158</v>
      </c>
      <c r="G58" s="276" t="s">
        <v>2273</v>
      </c>
      <c r="H58" s="276"/>
      <c r="I58" s="283"/>
      <c r="J58" s="283"/>
      <c r="K58" s="284"/>
      <c r="BB58" s="269"/>
      <c r="BC58" s="270"/>
      <c r="BD58" s="275"/>
      <c r="BE58" s="268" t="s">
        <v>295</v>
      </c>
      <c r="BF58" s="291"/>
      <c r="BG58" s="268"/>
    </row>
    <row r="59" spans="1:59" s="267" customFormat="1" ht="21.6" x14ac:dyDescent="0.3">
      <c r="A59" s="280" t="s">
        <v>129</v>
      </c>
      <c r="B59" s="281" t="s">
        <v>2031</v>
      </c>
      <c r="C59" s="468" t="s">
        <v>2032</v>
      </c>
      <c r="D59" s="468"/>
      <c r="E59" s="468"/>
      <c r="F59" s="282" t="s">
        <v>46</v>
      </c>
      <c r="G59" s="276" t="s">
        <v>2269</v>
      </c>
      <c r="H59" s="276"/>
      <c r="I59" s="283"/>
      <c r="J59" s="283"/>
      <c r="K59" s="284"/>
      <c r="BB59" s="269"/>
      <c r="BC59" s="270"/>
      <c r="BD59" s="275"/>
      <c r="BE59" s="268"/>
      <c r="BF59" s="291"/>
      <c r="BG59" s="268" t="s">
        <v>2032</v>
      </c>
    </row>
    <row r="60" spans="1:59" s="267" customFormat="1" ht="21.6" x14ac:dyDescent="0.3">
      <c r="A60" s="280" t="s">
        <v>129</v>
      </c>
      <c r="B60" s="281" t="s">
        <v>2274</v>
      </c>
      <c r="C60" s="468" t="s">
        <v>2275</v>
      </c>
      <c r="D60" s="468"/>
      <c r="E60" s="468"/>
      <c r="F60" s="282" t="s">
        <v>70</v>
      </c>
      <c r="G60" s="276" t="s">
        <v>5734</v>
      </c>
      <c r="H60" s="276"/>
      <c r="I60" s="283"/>
      <c r="J60" s="283"/>
      <c r="K60" s="284"/>
      <c r="BB60" s="269"/>
      <c r="BC60" s="270"/>
      <c r="BD60" s="275"/>
      <c r="BE60" s="268"/>
      <c r="BF60" s="291"/>
      <c r="BG60" s="268" t="s">
        <v>2275</v>
      </c>
    </row>
    <row r="61" spans="1:59" s="267" customFormat="1" ht="21.6" x14ac:dyDescent="0.3">
      <c r="A61" s="280" t="s">
        <v>129</v>
      </c>
      <c r="B61" s="281" t="s">
        <v>2033</v>
      </c>
      <c r="C61" s="468" t="s">
        <v>2034</v>
      </c>
      <c r="D61" s="468"/>
      <c r="E61" s="468"/>
      <c r="F61" s="282" t="s">
        <v>70</v>
      </c>
      <c r="G61" s="276" t="s">
        <v>5735</v>
      </c>
      <c r="H61" s="276"/>
      <c r="I61" s="283"/>
      <c r="J61" s="283"/>
      <c r="K61" s="284"/>
      <c r="BB61" s="269"/>
      <c r="BC61" s="270"/>
      <c r="BD61" s="275"/>
      <c r="BE61" s="268"/>
      <c r="BF61" s="291"/>
      <c r="BG61" s="268" t="s">
        <v>2034</v>
      </c>
    </row>
    <row r="62" spans="1:59" s="267" customFormat="1" ht="21.6" x14ac:dyDescent="0.3">
      <c r="A62" s="280" t="s">
        <v>129</v>
      </c>
      <c r="B62" s="281" t="s">
        <v>2035</v>
      </c>
      <c r="C62" s="468" t="s">
        <v>2036</v>
      </c>
      <c r="D62" s="468"/>
      <c r="E62" s="468"/>
      <c r="F62" s="282" t="s">
        <v>70</v>
      </c>
      <c r="G62" s="276" t="s">
        <v>5736</v>
      </c>
      <c r="H62" s="276"/>
      <c r="I62" s="283"/>
      <c r="J62" s="283"/>
      <c r="K62" s="284"/>
      <c r="BB62" s="269"/>
      <c r="BC62" s="270"/>
      <c r="BD62" s="275"/>
      <c r="BE62" s="268"/>
      <c r="BF62" s="291"/>
      <c r="BG62" s="268" t="s">
        <v>2036</v>
      </c>
    </row>
    <row r="63" spans="1:59" s="267" customFormat="1" ht="21.6" x14ac:dyDescent="0.3">
      <c r="A63" s="280" t="s">
        <v>129</v>
      </c>
      <c r="B63" s="281" t="s">
        <v>2039</v>
      </c>
      <c r="C63" s="468" t="s">
        <v>2040</v>
      </c>
      <c r="D63" s="468"/>
      <c r="E63" s="468"/>
      <c r="F63" s="282" t="s">
        <v>70</v>
      </c>
      <c r="G63" s="276" t="s">
        <v>5737</v>
      </c>
      <c r="H63" s="276"/>
      <c r="I63" s="283"/>
      <c r="J63" s="283"/>
      <c r="K63" s="284"/>
      <c r="BB63" s="269"/>
      <c r="BC63" s="270"/>
      <c r="BD63" s="275"/>
      <c r="BE63" s="268"/>
      <c r="BF63" s="291"/>
      <c r="BG63" s="268" t="s">
        <v>2040</v>
      </c>
    </row>
    <row r="64" spans="1:59" s="267" customFormat="1" ht="21.6" x14ac:dyDescent="0.3">
      <c r="A64" s="280" t="s">
        <v>129</v>
      </c>
      <c r="B64" s="281" t="s">
        <v>2043</v>
      </c>
      <c r="C64" s="468" t="s">
        <v>2044</v>
      </c>
      <c r="D64" s="468"/>
      <c r="E64" s="468"/>
      <c r="F64" s="282" t="s">
        <v>70</v>
      </c>
      <c r="G64" s="276" t="s">
        <v>5738</v>
      </c>
      <c r="H64" s="276"/>
      <c r="I64" s="283"/>
      <c r="J64" s="283"/>
      <c r="K64" s="284"/>
      <c r="BB64" s="269"/>
      <c r="BC64" s="270"/>
      <c r="BD64" s="275"/>
      <c r="BE64" s="268"/>
      <c r="BF64" s="291"/>
      <c r="BG64" s="268" t="s">
        <v>2044</v>
      </c>
    </row>
    <row r="65" spans="1:59" s="267" customFormat="1" ht="31.8" x14ac:dyDescent="0.3">
      <c r="A65" s="271" t="s">
        <v>170</v>
      </c>
      <c r="B65" s="272" t="s">
        <v>2027</v>
      </c>
      <c r="C65" s="469" t="s">
        <v>2028</v>
      </c>
      <c r="D65" s="469"/>
      <c r="E65" s="469"/>
      <c r="F65" s="271" t="s">
        <v>311</v>
      </c>
      <c r="G65" s="292">
        <v>68</v>
      </c>
      <c r="H65" s="292"/>
      <c r="I65" s="274"/>
      <c r="J65" s="274">
        <f>K65/G65</f>
        <v>64.251029411764705</v>
      </c>
      <c r="K65" s="274">
        <v>4369.07</v>
      </c>
      <c r="BB65" s="269"/>
      <c r="BC65" s="270"/>
      <c r="BD65" s="275" t="s">
        <v>2028</v>
      </c>
      <c r="BE65" s="268"/>
      <c r="BF65" s="291"/>
      <c r="BG65" s="268"/>
    </row>
    <row r="66" spans="1:59" s="267" customFormat="1" ht="31.8" x14ac:dyDescent="0.3">
      <c r="A66" s="271" t="s">
        <v>173</v>
      </c>
      <c r="B66" s="272" t="s">
        <v>2029</v>
      </c>
      <c r="C66" s="469" t="s">
        <v>2030</v>
      </c>
      <c r="D66" s="469"/>
      <c r="E66" s="469"/>
      <c r="F66" s="271" t="s">
        <v>311</v>
      </c>
      <c r="G66" s="292">
        <v>68</v>
      </c>
      <c r="H66" s="292"/>
      <c r="I66" s="274"/>
      <c r="J66" s="274">
        <f>K66/G66</f>
        <v>192.66455882352943</v>
      </c>
      <c r="K66" s="274">
        <v>13101.19</v>
      </c>
      <c r="BB66" s="269"/>
      <c r="BC66" s="270"/>
      <c r="BD66" s="275" t="s">
        <v>2030</v>
      </c>
      <c r="BE66" s="268"/>
      <c r="BF66" s="291"/>
      <c r="BG66" s="268"/>
    </row>
    <row r="67" spans="1:59" s="267" customFormat="1" ht="15" customHeight="1" x14ac:dyDescent="0.3">
      <c r="A67" s="470" t="s">
        <v>2276</v>
      </c>
      <c r="B67" s="471"/>
      <c r="C67" s="471"/>
      <c r="D67" s="471"/>
      <c r="E67" s="471"/>
      <c r="F67" s="471"/>
      <c r="G67" s="471"/>
      <c r="H67" s="322"/>
      <c r="I67" s="322"/>
      <c r="J67" s="322"/>
      <c r="K67" s="323"/>
      <c r="BB67" s="269"/>
      <c r="BC67" s="270" t="s">
        <v>2276</v>
      </c>
      <c r="BD67" s="275"/>
      <c r="BE67" s="268"/>
      <c r="BF67" s="291"/>
      <c r="BG67" s="268"/>
    </row>
    <row r="68" spans="1:59" s="267" customFormat="1" ht="21.6" x14ac:dyDescent="0.3">
      <c r="A68" s="271" t="s">
        <v>176</v>
      </c>
      <c r="B68" s="272" t="s">
        <v>2067</v>
      </c>
      <c r="C68" s="469" t="s">
        <v>2068</v>
      </c>
      <c r="D68" s="469"/>
      <c r="E68" s="469"/>
      <c r="F68" s="271" t="s">
        <v>2069</v>
      </c>
      <c r="G68" s="277">
        <v>0.06</v>
      </c>
      <c r="H68" s="273">
        <f>I68/G68</f>
        <v>122995.66666666664</v>
      </c>
      <c r="I68" s="274">
        <f>40868.86-K68</f>
        <v>7379.739999999998</v>
      </c>
      <c r="J68" s="274">
        <f>K68/G68</f>
        <v>558152.00000000012</v>
      </c>
      <c r="K68" s="274">
        <v>33489.120000000003</v>
      </c>
      <c r="BB68" s="269"/>
      <c r="BC68" s="270"/>
      <c r="BD68" s="275" t="s">
        <v>2068</v>
      </c>
      <c r="BE68" s="268"/>
      <c r="BF68" s="291"/>
      <c r="BG68" s="268"/>
    </row>
    <row r="69" spans="1:59" s="267" customFormat="1" ht="20.399999999999999" x14ac:dyDescent="0.3">
      <c r="A69" s="280"/>
      <c r="B69" s="281" t="s">
        <v>2070</v>
      </c>
      <c r="C69" s="468" t="s">
        <v>2071</v>
      </c>
      <c r="D69" s="468"/>
      <c r="E69" s="468"/>
      <c r="F69" s="282" t="s">
        <v>70</v>
      </c>
      <c r="G69" s="276" t="s">
        <v>2277</v>
      </c>
      <c r="H69" s="276"/>
      <c r="I69" s="283"/>
      <c r="J69" s="283"/>
      <c r="K69" s="284"/>
      <c r="BB69" s="269"/>
      <c r="BC69" s="270"/>
      <c r="BD69" s="275"/>
      <c r="BE69" s="268" t="s">
        <v>2071</v>
      </c>
      <c r="BF69" s="291"/>
      <c r="BG69" s="268"/>
    </row>
    <row r="70" spans="1:59" s="267" customFormat="1" ht="31.8" x14ac:dyDescent="0.3">
      <c r="A70" s="280"/>
      <c r="B70" s="281" t="s">
        <v>2073</v>
      </c>
      <c r="C70" s="468" t="s">
        <v>2074</v>
      </c>
      <c r="D70" s="468"/>
      <c r="E70" s="468"/>
      <c r="F70" s="282" t="s">
        <v>46</v>
      </c>
      <c r="G70" s="276" t="s">
        <v>2278</v>
      </c>
      <c r="H70" s="276"/>
      <c r="I70" s="283"/>
      <c r="J70" s="283"/>
      <c r="K70" s="284"/>
      <c r="BB70" s="269"/>
      <c r="BC70" s="270"/>
      <c r="BD70" s="275"/>
      <c r="BE70" s="268" t="s">
        <v>2074</v>
      </c>
      <c r="BF70" s="291"/>
      <c r="BG70" s="268"/>
    </row>
    <row r="71" spans="1:59" s="267" customFormat="1" ht="21.6" x14ac:dyDescent="0.3">
      <c r="A71" s="280"/>
      <c r="B71" s="281" t="s">
        <v>2076</v>
      </c>
      <c r="C71" s="468" t="s">
        <v>2077</v>
      </c>
      <c r="D71" s="468"/>
      <c r="E71" s="468"/>
      <c r="F71" s="282" t="s">
        <v>115</v>
      </c>
      <c r="G71" s="276" t="s">
        <v>2279</v>
      </c>
      <c r="H71" s="276"/>
      <c r="I71" s="283"/>
      <c r="J71" s="283"/>
      <c r="K71" s="284"/>
      <c r="BB71" s="269"/>
      <c r="BC71" s="270"/>
      <c r="BD71" s="275"/>
      <c r="BE71" s="268" t="s">
        <v>2077</v>
      </c>
      <c r="BF71" s="291"/>
      <c r="BG71" s="268"/>
    </row>
    <row r="72" spans="1:59" s="267" customFormat="1" ht="15" customHeight="1" x14ac:dyDescent="0.3">
      <c r="A72" s="470" t="s">
        <v>2280</v>
      </c>
      <c r="B72" s="471"/>
      <c r="C72" s="471"/>
      <c r="D72" s="471"/>
      <c r="E72" s="471"/>
      <c r="F72" s="471"/>
      <c r="G72" s="471"/>
      <c r="H72" s="322"/>
      <c r="I72" s="322"/>
      <c r="J72" s="322"/>
      <c r="K72" s="323"/>
      <c r="BB72" s="269"/>
      <c r="BC72" s="270" t="s">
        <v>2280</v>
      </c>
      <c r="BD72" s="275"/>
      <c r="BE72" s="268"/>
      <c r="BF72" s="291"/>
      <c r="BG72" s="268"/>
    </row>
    <row r="73" spans="1:59" s="267" customFormat="1" ht="15" customHeight="1" x14ac:dyDescent="0.3">
      <c r="A73" s="470" t="s">
        <v>2178</v>
      </c>
      <c r="B73" s="471"/>
      <c r="C73" s="471"/>
      <c r="D73" s="471"/>
      <c r="E73" s="471"/>
      <c r="F73" s="471"/>
      <c r="G73" s="471"/>
      <c r="H73" s="322"/>
      <c r="I73" s="322"/>
      <c r="J73" s="322"/>
      <c r="K73" s="323"/>
      <c r="BB73" s="269"/>
      <c r="BC73" s="270" t="s">
        <v>2178</v>
      </c>
      <c r="BD73" s="275"/>
      <c r="BE73" s="268"/>
      <c r="BF73" s="291"/>
      <c r="BG73" s="268"/>
    </row>
    <row r="74" spans="1:59" s="267" customFormat="1" ht="31.8" x14ac:dyDescent="0.3">
      <c r="A74" s="271" t="s">
        <v>177</v>
      </c>
      <c r="B74" s="272" t="s">
        <v>422</v>
      </c>
      <c r="C74" s="469" t="s">
        <v>423</v>
      </c>
      <c r="D74" s="469"/>
      <c r="E74" s="469"/>
      <c r="F74" s="271" t="s">
        <v>46</v>
      </c>
      <c r="G74" s="279">
        <v>1.2</v>
      </c>
      <c r="H74" s="273">
        <f t="shared" ref="H74:H75" si="1">I74/G74</f>
        <v>6054.6500000000005</v>
      </c>
      <c r="I74" s="274">
        <f>7265.58-K74</f>
        <v>7265.58</v>
      </c>
      <c r="J74" s="274">
        <f t="shared" ref="J74:J75" si="2">K74/G74</f>
        <v>0</v>
      </c>
      <c r="K74" s="274">
        <v>0</v>
      </c>
      <c r="BB74" s="269"/>
      <c r="BC74" s="270"/>
      <c r="BD74" s="275" t="s">
        <v>423</v>
      </c>
      <c r="BE74" s="268"/>
      <c r="BF74" s="291"/>
      <c r="BG74" s="268"/>
    </row>
    <row r="75" spans="1:59" s="267" customFormat="1" ht="62.4" x14ac:dyDescent="0.3">
      <c r="A75" s="271" t="s">
        <v>180</v>
      </c>
      <c r="B75" s="272" t="s">
        <v>424</v>
      </c>
      <c r="C75" s="469" t="s">
        <v>425</v>
      </c>
      <c r="D75" s="469"/>
      <c r="E75" s="469"/>
      <c r="F75" s="271" t="s">
        <v>329</v>
      </c>
      <c r="G75" s="279">
        <v>0.6</v>
      </c>
      <c r="H75" s="273">
        <f t="shared" si="1"/>
        <v>41860.766666666656</v>
      </c>
      <c r="I75" s="274">
        <f>160162.5-K75</f>
        <v>25116.459999999992</v>
      </c>
      <c r="J75" s="274">
        <f t="shared" si="2"/>
        <v>225076.73333333337</v>
      </c>
      <c r="K75" s="274">
        <v>135046.04</v>
      </c>
      <c r="BB75" s="269"/>
      <c r="BC75" s="270"/>
      <c r="BD75" s="275" t="s">
        <v>425</v>
      </c>
      <c r="BE75" s="268"/>
      <c r="BF75" s="291"/>
      <c r="BG75" s="268"/>
    </row>
    <row r="76" spans="1:59" s="267" customFormat="1" ht="20.399999999999999" x14ac:dyDescent="0.3">
      <c r="A76" s="285" t="s">
        <v>78</v>
      </c>
      <c r="B76" s="286" t="s">
        <v>154</v>
      </c>
      <c r="C76" s="467" t="s">
        <v>155</v>
      </c>
      <c r="D76" s="467"/>
      <c r="E76" s="467"/>
      <c r="F76" s="287" t="s">
        <v>46</v>
      </c>
      <c r="G76" s="288" t="s">
        <v>33</v>
      </c>
      <c r="H76" s="288"/>
      <c r="I76" s="289"/>
      <c r="J76" s="289"/>
      <c r="K76" s="290"/>
      <c r="BB76" s="269"/>
      <c r="BC76" s="270"/>
      <c r="BD76" s="275"/>
      <c r="BE76" s="268"/>
      <c r="BF76" s="291" t="s">
        <v>155</v>
      </c>
      <c r="BG76" s="268"/>
    </row>
    <row r="77" spans="1:59" s="267" customFormat="1" ht="20.399999999999999" x14ac:dyDescent="0.3">
      <c r="A77" s="285" t="s">
        <v>78</v>
      </c>
      <c r="B77" s="286" t="s">
        <v>426</v>
      </c>
      <c r="C77" s="467" t="s">
        <v>427</v>
      </c>
      <c r="D77" s="467"/>
      <c r="E77" s="467"/>
      <c r="F77" s="287" t="s">
        <v>75</v>
      </c>
      <c r="G77" s="288" t="s">
        <v>33</v>
      </c>
      <c r="H77" s="288"/>
      <c r="I77" s="289"/>
      <c r="J77" s="289"/>
      <c r="K77" s="290"/>
      <c r="BB77" s="269"/>
      <c r="BC77" s="270"/>
      <c r="BD77" s="275"/>
      <c r="BE77" s="268"/>
      <c r="BF77" s="291" t="s">
        <v>427</v>
      </c>
      <c r="BG77" s="268"/>
    </row>
    <row r="78" spans="1:59" s="267" customFormat="1" ht="31.8" x14ac:dyDescent="0.3">
      <c r="A78" s="285" t="s">
        <v>78</v>
      </c>
      <c r="B78" s="286" t="s">
        <v>428</v>
      </c>
      <c r="C78" s="467" t="s">
        <v>429</v>
      </c>
      <c r="D78" s="467"/>
      <c r="E78" s="467"/>
      <c r="F78" s="287" t="s">
        <v>430</v>
      </c>
      <c r="G78" s="288" t="s">
        <v>33</v>
      </c>
      <c r="H78" s="288"/>
      <c r="I78" s="289"/>
      <c r="J78" s="289"/>
      <c r="K78" s="290"/>
      <c r="BB78" s="269"/>
      <c r="BC78" s="270"/>
      <c r="BD78" s="275"/>
      <c r="BE78" s="268"/>
      <c r="BF78" s="291" t="s">
        <v>429</v>
      </c>
      <c r="BG78" s="268"/>
    </row>
    <row r="79" spans="1:59" s="267" customFormat="1" ht="31.8" x14ac:dyDescent="0.3">
      <c r="A79" s="280" t="s">
        <v>129</v>
      </c>
      <c r="B79" s="281" t="s">
        <v>431</v>
      </c>
      <c r="C79" s="468" t="s">
        <v>432</v>
      </c>
      <c r="D79" s="468"/>
      <c r="E79" s="468"/>
      <c r="F79" s="282" t="s">
        <v>75</v>
      </c>
      <c r="G79" s="276" t="s">
        <v>2281</v>
      </c>
      <c r="H79" s="276"/>
      <c r="I79" s="283"/>
      <c r="J79" s="283"/>
      <c r="K79" s="284"/>
      <c r="BB79" s="269"/>
      <c r="BC79" s="270"/>
      <c r="BD79" s="275"/>
      <c r="BE79" s="268"/>
      <c r="BF79" s="291"/>
      <c r="BG79" s="268" t="s">
        <v>432</v>
      </c>
    </row>
    <row r="80" spans="1:59" s="267" customFormat="1" ht="20.399999999999999" x14ac:dyDescent="0.3">
      <c r="A80" s="280" t="s">
        <v>129</v>
      </c>
      <c r="B80" s="281" t="s">
        <v>434</v>
      </c>
      <c r="C80" s="468" t="s">
        <v>155</v>
      </c>
      <c r="D80" s="468"/>
      <c r="E80" s="468"/>
      <c r="F80" s="282" t="s">
        <v>46</v>
      </c>
      <c r="G80" s="276" t="s">
        <v>2282</v>
      </c>
      <c r="H80" s="276"/>
      <c r="I80" s="283"/>
      <c r="J80" s="283"/>
      <c r="K80" s="284"/>
      <c r="BB80" s="269"/>
      <c r="BC80" s="270"/>
      <c r="BD80" s="275"/>
      <c r="BE80" s="268"/>
      <c r="BF80" s="291"/>
      <c r="BG80" s="268" t="s">
        <v>155</v>
      </c>
    </row>
    <row r="81" spans="1:61" s="267" customFormat="1" ht="15" customHeight="1" x14ac:dyDescent="0.3">
      <c r="A81" s="470" t="s">
        <v>2283</v>
      </c>
      <c r="B81" s="471"/>
      <c r="C81" s="471"/>
      <c r="D81" s="471"/>
      <c r="E81" s="471"/>
      <c r="F81" s="471"/>
      <c r="G81" s="471"/>
      <c r="H81" s="322"/>
      <c r="I81" s="322"/>
      <c r="J81" s="322"/>
      <c r="K81" s="323"/>
      <c r="BB81" s="269"/>
      <c r="BC81" s="270" t="s">
        <v>2283</v>
      </c>
      <c r="BD81" s="275"/>
      <c r="BE81" s="268"/>
      <c r="BF81" s="291"/>
      <c r="BG81" s="268"/>
    </row>
    <row r="82" spans="1:61" s="267" customFormat="1" ht="42" x14ac:dyDescent="0.3">
      <c r="A82" s="271" t="s">
        <v>182</v>
      </c>
      <c r="B82" s="272" t="s">
        <v>327</v>
      </c>
      <c r="C82" s="469" t="s">
        <v>328</v>
      </c>
      <c r="D82" s="469"/>
      <c r="E82" s="469"/>
      <c r="F82" s="271" t="s">
        <v>329</v>
      </c>
      <c r="G82" s="293">
        <v>1.5840000000000001</v>
      </c>
      <c r="H82" s="273">
        <f>I82/G82</f>
        <v>25173.623737373739</v>
      </c>
      <c r="I82" s="274">
        <f>81178.97-K82</f>
        <v>39875.020000000004</v>
      </c>
      <c r="J82" s="274">
        <f>K82/G82</f>
        <v>26075.726010101007</v>
      </c>
      <c r="K82" s="274">
        <v>41303.949999999997</v>
      </c>
      <c r="BB82" s="269"/>
      <c r="BC82" s="270"/>
      <c r="BD82" s="275" t="s">
        <v>328</v>
      </c>
      <c r="BE82" s="268"/>
      <c r="BF82" s="291"/>
      <c r="BG82" s="268"/>
    </row>
    <row r="83" spans="1:61" s="267" customFormat="1" ht="20.399999999999999" x14ac:dyDescent="0.3">
      <c r="A83" s="285" t="s">
        <v>143</v>
      </c>
      <c r="B83" s="286" t="s">
        <v>330</v>
      </c>
      <c r="C83" s="467" t="s">
        <v>331</v>
      </c>
      <c r="D83" s="467"/>
      <c r="E83" s="467"/>
      <c r="F83" s="287" t="s">
        <v>70</v>
      </c>
      <c r="G83" s="288" t="s">
        <v>2284</v>
      </c>
      <c r="H83" s="288"/>
      <c r="I83" s="289"/>
      <c r="J83" s="289"/>
      <c r="K83" s="290"/>
      <c r="BB83" s="269"/>
      <c r="BC83" s="270"/>
      <c r="BD83" s="275"/>
      <c r="BE83" s="268"/>
      <c r="BF83" s="291" t="s">
        <v>331</v>
      </c>
      <c r="BG83" s="268"/>
    </row>
    <row r="84" spans="1:61" s="267" customFormat="1" ht="20.399999999999999" x14ac:dyDescent="0.3">
      <c r="A84" s="285" t="s">
        <v>143</v>
      </c>
      <c r="B84" s="286" t="s">
        <v>333</v>
      </c>
      <c r="C84" s="467" t="s">
        <v>334</v>
      </c>
      <c r="D84" s="467"/>
      <c r="E84" s="467"/>
      <c r="F84" s="287" t="s">
        <v>70</v>
      </c>
      <c r="G84" s="288" t="s">
        <v>2285</v>
      </c>
      <c r="H84" s="288"/>
      <c r="I84" s="289"/>
      <c r="J84" s="289"/>
      <c r="K84" s="290"/>
      <c r="BB84" s="269"/>
      <c r="BC84" s="270"/>
      <c r="BD84" s="275"/>
      <c r="BE84" s="268"/>
      <c r="BF84" s="291" t="s">
        <v>334</v>
      </c>
      <c r="BG84" s="268"/>
    </row>
    <row r="85" spans="1:61" s="267" customFormat="1" ht="20.399999999999999" x14ac:dyDescent="0.3">
      <c r="A85" s="280"/>
      <c r="B85" s="281" t="s">
        <v>336</v>
      </c>
      <c r="C85" s="468" t="s">
        <v>337</v>
      </c>
      <c r="D85" s="468"/>
      <c r="E85" s="468"/>
      <c r="F85" s="282" t="s">
        <v>70</v>
      </c>
      <c r="G85" s="276" t="s">
        <v>2286</v>
      </c>
      <c r="H85" s="276"/>
      <c r="I85" s="283"/>
      <c r="J85" s="283"/>
      <c r="K85" s="284"/>
      <c r="BB85" s="269"/>
      <c r="BC85" s="270"/>
      <c r="BD85" s="275"/>
      <c r="BE85" s="268" t="s">
        <v>337</v>
      </c>
      <c r="BF85" s="291"/>
      <c r="BG85" s="268"/>
    </row>
    <row r="86" spans="1:61" s="267" customFormat="1" ht="20.399999999999999" x14ac:dyDescent="0.3">
      <c r="A86" s="280"/>
      <c r="B86" s="281" t="s">
        <v>339</v>
      </c>
      <c r="C86" s="468" t="s">
        <v>340</v>
      </c>
      <c r="D86" s="468"/>
      <c r="E86" s="468"/>
      <c r="F86" s="282" t="s">
        <v>75</v>
      </c>
      <c r="G86" s="276" t="s">
        <v>2287</v>
      </c>
      <c r="H86" s="276"/>
      <c r="I86" s="283"/>
      <c r="J86" s="283"/>
      <c r="K86" s="284"/>
      <c r="BB86" s="269"/>
      <c r="BC86" s="270"/>
      <c r="BD86" s="275"/>
      <c r="BE86" s="268" t="s">
        <v>340</v>
      </c>
      <c r="BF86" s="291"/>
      <c r="BG86" s="268"/>
    </row>
    <row r="87" spans="1:61" s="267" customFormat="1" ht="20.399999999999999" x14ac:dyDescent="0.3">
      <c r="A87" s="280" t="s">
        <v>129</v>
      </c>
      <c r="B87" s="281" t="s">
        <v>344</v>
      </c>
      <c r="C87" s="468" t="s">
        <v>345</v>
      </c>
      <c r="D87" s="468"/>
      <c r="E87" s="468"/>
      <c r="F87" s="282" t="s">
        <v>70</v>
      </c>
      <c r="G87" s="276" t="s">
        <v>2284</v>
      </c>
      <c r="H87" s="276"/>
      <c r="I87" s="283"/>
      <c r="J87" s="283"/>
      <c r="K87" s="284"/>
      <c r="BB87" s="269"/>
      <c r="BC87" s="270"/>
      <c r="BD87" s="275"/>
      <c r="BE87" s="268"/>
      <c r="BF87" s="291"/>
      <c r="BG87" s="268" t="s">
        <v>345</v>
      </c>
    </row>
    <row r="88" spans="1:61" s="267" customFormat="1" ht="21.6" x14ac:dyDescent="0.3">
      <c r="A88" s="280" t="s">
        <v>129</v>
      </c>
      <c r="B88" s="281" t="s">
        <v>2288</v>
      </c>
      <c r="C88" s="468" t="s">
        <v>2289</v>
      </c>
      <c r="D88" s="468"/>
      <c r="E88" s="468"/>
      <c r="F88" s="282" t="s">
        <v>70</v>
      </c>
      <c r="G88" s="276" t="s">
        <v>2285</v>
      </c>
      <c r="H88" s="276"/>
      <c r="I88" s="283"/>
      <c r="J88" s="283"/>
      <c r="K88" s="284"/>
      <c r="BB88" s="269"/>
      <c r="BC88" s="270"/>
      <c r="BD88" s="275"/>
      <c r="BE88" s="268"/>
      <c r="BF88" s="291"/>
      <c r="BG88" s="268" t="s">
        <v>2289</v>
      </c>
    </row>
    <row r="89" spans="1:61" s="3" customFormat="1" ht="14.4" x14ac:dyDescent="0.3">
      <c r="A89" s="463" t="s">
        <v>2290</v>
      </c>
      <c r="B89" s="464"/>
      <c r="C89" s="464"/>
      <c r="D89" s="464"/>
      <c r="E89" s="464"/>
      <c r="F89" s="464"/>
      <c r="G89" s="464"/>
      <c r="H89" s="260"/>
      <c r="I89" s="19"/>
      <c r="J89" s="19"/>
      <c r="K89" s="19"/>
      <c r="BH89" s="21" t="s">
        <v>2290</v>
      </c>
    </row>
    <row r="90" spans="1:61" s="3" customFormat="1" ht="40.799999999999997" x14ac:dyDescent="0.3">
      <c r="A90" s="465" t="s">
        <v>2291</v>
      </c>
      <c r="B90" s="466"/>
      <c r="C90" s="466"/>
      <c r="D90" s="466"/>
      <c r="E90" s="466"/>
      <c r="F90" s="466"/>
      <c r="G90" s="466"/>
      <c r="H90" s="261"/>
      <c r="I90" s="32" t="s">
        <v>2292</v>
      </c>
      <c r="J90" s="32"/>
      <c r="K90" s="32"/>
      <c r="BH90" s="21"/>
      <c r="BI90" s="2" t="s">
        <v>2291</v>
      </c>
    </row>
    <row r="91" spans="1:61" s="3" customFormat="1" ht="20.25" customHeight="1" x14ac:dyDescent="0.3">
      <c r="A91" s="406" t="s">
        <v>57</v>
      </c>
      <c r="B91" s="407"/>
      <c r="C91" s="407"/>
      <c r="D91" s="407"/>
      <c r="E91" s="407"/>
      <c r="F91" s="407"/>
      <c r="G91" s="407"/>
      <c r="H91" s="66"/>
      <c r="I91" s="67">
        <f>SUM(I14:I89)</f>
        <v>873518.23</v>
      </c>
      <c r="J91" s="72"/>
      <c r="K91" s="67">
        <f>SUM(K14:K89)</f>
        <v>4572480.5100000007</v>
      </c>
    </row>
    <row r="92" spans="1:61" s="53" customFormat="1" ht="20.25" customHeight="1" thickBot="1" x14ac:dyDescent="0.35">
      <c r="A92" s="408" t="s">
        <v>5461</v>
      </c>
      <c r="B92" s="409"/>
      <c r="C92" s="409"/>
      <c r="D92" s="409"/>
      <c r="E92" s="409"/>
      <c r="F92" s="409"/>
      <c r="G92" s="409"/>
      <c r="H92" s="88"/>
      <c r="I92" s="410">
        <f>I91+K91</f>
        <v>5445998.7400000002</v>
      </c>
      <c r="J92" s="411"/>
      <c r="K92" s="412"/>
    </row>
    <row r="93" spans="1:61" s="267" customFormat="1" ht="53.25" customHeight="1" x14ac:dyDescent="0.3">
      <c r="A93" s="266"/>
      <c r="B93" s="266"/>
      <c r="C93" s="266"/>
      <c r="D93" s="266"/>
      <c r="E93" s="266"/>
      <c r="F93" s="266"/>
      <c r="G93" s="266"/>
      <c r="H93" s="266"/>
      <c r="I93" s="266"/>
      <c r="J93" s="266"/>
      <c r="K93" s="266"/>
    </row>
  </sheetData>
  <autoFilter ref="A11:BJ92" xr:uid="{911A47D8-09D2-4FD6-88D5-B0956CE51CE8}"/>
  <mergeCells count="89">
    <mergeCell ref="C14:E14"/>
    <mergeCell ref="C15:E15"/>
    <mergeCell ref="A16:G16"/>
    <mergeCell ref="A13:G13"/>
    <mergeCell ref="A12:G12"/>
    <mergeCell ref="C28:E28"/>
    <mergeCell ref="C17:E17"/>
    <mergeCell ref="C18:E18"/>
    <mergeCell ref="C19:E19"/>
    <mergeCell ref="C22:E22"/>
    <mergeCell ref="A21:G21"/>
    <mergeCell ref="A20:G20"/>
    <mergeCell ref="C23:E23"/>
    <mergeCell ref="C24:E24"/>
    <mergeCell ref="C25:E25"/>
    <mergeCell ref="C26:E26"/>
    <mergeCell ref="C27:E27"/>
    <mergeCell ref="A36:G36"/>
    <mergeCell ref="A35:G35"/>
    <mergeCell ref="C29:E29"/>
    <mergeCell ref="C30:E30"/>
    <mergeCell ref="C31:E31"/>
    <mergeCell ref="C33:E33"/>
    <mergeCell ref="C34:E34"/>
    <mergeCell ref="A32:G32"/>
    <mergeCell ref="A41:G41"/>
    <mergeCell ref="C37:E37"/>
    <mergeCell ref="C38:E38"/>
    <mergeCell ref="C39:E39"/>
    <mergeCell ref="C40:E40"/>
    <mergeCell ref="A47:G47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64:E64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5:E65"/>
    <mergeCell ref="C66:E66"/>
    <mergeCell ref="C68:E68"/>
    <mergeCell ref="C69:E69"/>
    <mergeCell ref="C70:E70"/>
    <mergeCell ref="A67:G67"/>
    <mergeCell ref="C80:E80"/>
    <mergeCell ref="C82:E82"/>
    <mergeCell ref="A81:G81"/>
    <mergeCell ref="C71:E71"/>
    <mergeCell ref="C74:E74"/>
    <mergeCell ref="C75:E75"/>
    <mergeCell ref="C76:E76"/>
    <mergeCell ref="A73:G73"/>
    <mergeCell ref="A72:G72"/>
    <mergeCell ref="C9:E9"/>
    <mergeCell ref="C10:E10"/>
    <mergeCell ref="A91:G91"/>
    <mergeCell ref="A92:G92"/>
    <mergeCell ref="I92:K92"/>
    <mergeCell ref="A89:G89"/>
    <mergeCell ref="A90:G90"/>
    <mergeCell ref="C83:E83"/>
    <mergeCell ref="C84:E84"/>
    <mergeCell ref="C85:E85"/>
    <mergeCell ref="C86:E86"/>
    <mergeCell ref="C87:E87"/>
    <mergeCell ref="C88:E88"/>
    <mergeCell ref="C77:E77"/>
    <mergeCell ref="C78:E78"/>
    <mergeCell ref="C79:E79"/>
    <mergeCell ref="A2:K2"/>
    <mergeCell ref="A3:K3"/>
    <mergeCell ref="A5:K5"/>
    <mergeCell ref="A6:K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  <pageSetUpPr fitToPage="1"/>
  </sheetPr>
  <dimension ref="A1:BJ144"/>
  <sheetViews>
    <sheetView workbookViewId="0">
      <selection activeCell="F14" sqref="F1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.109375" style="1" customWidth="1"/>
    <col min="5" max="5" width="18.44140625" style="1" customWidth="1"/>
    <col min="6" max="7" width="10.6640625" style="1" customWidth="1"/>
    <col min="8" max="8" width="11.44140625" style="54" customWidth="1"/>
    <col min="9" max="9" width="13.44140625" style="54" customWidth="1"/>
    <col min="10" max="10" width="16.33203125" style="54" customWidth="1"/>
    <col min="11" max="11" width="13.88671875" style="54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9" width="34.109375" style="2" hidden="1" customWidth="1"/>
    <col min="60" max="62" width="127.5546875" style="2" hidden="1" customWidth="1"/>
    <col min="63" max="16384" width="9.109375" style="1"/>
  </cols>
  <sheetData>
    <row r="1" spans="1:56" s="3" customFormat="1" ht="14.4" x14ac:dyDescent="0.3">
      <c r="A1" s="95" t="s">
        <v>5582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6" s="3" customFormat="1" ht="33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1774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14.4" x14ac:dyDescent="0.3">
      <c r="A5" s="404" t="s">
        <v>4340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4340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14.4" x14ac:dyDescent="0.3">
      <c r="A7" s="4"/>
      <c r="B7" s="8" t="s">
        <v>5</v>
      </c>
      <c r="C7" s="402" t="s">
        <v>4341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4.4" x14ac:dyDescent="0.3">
      <c r="A11" s="136"/>
      <c r="B11" s="136"/>
      <c r="C11" s="136"/>
      <c r="D11" s="136"/>
      <c r="E11" s="136"/>
      <c r="F11" s="137"/>
      <c r="G11" s="136"/>
      <c r="H11" s="138"/>
      <c r="I11" s="139"/>
      <c r="J11" s="139"/>
      <c r="K11" s="140"/>
    </row>
    <row r="12" spans="1:56" s="3" customFormat="1" ht="15" customHeight="1" x14ac:dyDescent="0.3">
      <c r="A12" s="435" t="s">
        <v>1303</v>
      </c>
      <c r="B12" s="436"/>
      <c r="C12" s="436"/>
      <c r="D12" s="436"/>
      <c r="E12" s="436"/>
      <c r="F12" s="436"/>
      <c r="G12" s="436"/>
      <c r="H12" s="103"/>
      <c r="I12" s="103"/>
      <c r="J12" s="103"/>
      <c r="K12" s="104"/>
      <c r="BB12" s="14" t="s">
        <v>1303</v>
      </c>
    </row>
    <row r="13" spans="1:56" s="3" customFormat="1" ht="15" customHeight="1" x14ac:dyDescent="0.3">
      <c r="A13" s="437" t="s">
        <v>4342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24"/>
      <c r="BB13" s="14"/>
      <c r="BC13" s="15" t="s">
        <v>4342</v>
      </c>
    </row>
    <row r="14" spans="1:56" s="3" customFormat="1" ht="31.8" x14ac:dyDescent="0.3">
      <c r="A14" s="16" t="s">
        <v>15</v>
      </c>
      <c r="B14" s="17" t="s">
        <v>592</v>
      </c>
      <c r="C14" s="405" t="s">
        <v>593</v>
      </c>
      <c r="D14" s="405"/>
      <c r="E14" s="405"/>
      <c r="F14" s="16" t="s">
        <v>43</v>
      </c>
      <c r="G14" s="44">
        <v>7.1510000000000004E-2</v>
      </c>
      <c r="H14" s="57">
        <f>I14/G14</f>
        <v>37096.210320234932</v>
      </c>
      <c r="I14" s="19">
        <v>2652.75</v>
      </c>
      <c r="J14" s="19">
        <f>K14/G14</f>
        <v>0</v>
      </c>
      <c r="K14" s="19">
        <v>0</v>
      </c>
      <c r="BB14" s="14"/>
      <c r="BC14" s="15"/>
      <c r="BD14" s="21" t="s">
        <v>593</v>
      </c>
    </row>
    <row r="15" spans="1:56" s="3" customFormat="1" ht="15" customHeight="1" x14ac:dyDescent="0.3">
      <c r="A15" s="437" t="s">
        <v>2238</v>
      </c>
      <c r="B15" s="418"/>
      <c r="C15" s="418"/>
      <c r="D15" s="418"/>
      <c r="E15" s="418"/>
      <c r="F15" s="418"/>
      <c r="G15" s="418"/>
      <c r="H15" s="123"/>
      <c r="I15" s="123"/>
      <c r="J15" s="123"/>
      <c r="K15" s="124"/>
      <c r="BB15" s="14"/>
      <c r="BC15" s="15" t="s">
        <v>2238</v>
      </c>
      <c r="BD15" s="21"/>
    </row>
    <row r="16" spans="1:56" s="3" customFormat="1" ht="42" x14ac:dyDescent="0.3">
      <c r="A16" s="16" t="s">
        <v>20</v>
      </c>
      <c r="B16" s="17" t="s">
        <v>617</v>
      </c>
      <c r="C16" s="405" t="s">
        <v>618</v>
      </c>
      <c r="D16" s="405"/>
      <c r="E16" s="405"/>
      <c r="F16" s="16" t="s">
        <v>43</v>
      </c>
      <c r="G16" s="44">
        <v>8.9099999999999995E-3</v>
      </c>
      <c r="H16" s="57">
        <f>I16/G16</f>
        <v>46988.776655443326</v>
      </c>
      <c r="I16" s="19">
        <v>418.67</v>
      </c>
      <c r="J16" s="19">
        <f>K16/G16</f>
        <v>0</v>
      </c>
      <c r="K16" s="19">
        <v>0</v>
      </c>
      <c r="BB16" s="14"/>
      <c r="BC16" s="15"/>
      <c r="BD16" s="21" t="s">
        <v>618</v>
      </c>
    </row>
    <row r="17" spans="1:58" s="3" customFormat="1" ht="42" x14ac:dyDescent="0.3">
      <c r="A17" s="16" t="s">
        <v>22</v>
      </c>
      <c r="B17" s="17" t="s">
        <v>48</v>
      </c>
      <c r="C17" s="405" t="s">
        <v>49</v>
      </c>
      <c r="D17" s="405"/>
      <c r="E17" s="405"/>
      <c r="F17" s="16" t="s">
        <v>50</v>
      </c>
      <c r="G17" s="31">
        <v>17.82</v>
      </c>
      <c r="H17" s="57">
        <f>I17/G17</f>
        <v>598.37598204264862</v>
      </c>
      <c r="I17" s="19">
        <v>10663.06</v>
      </c>
      <c r="J17" s="19">
        <v>0</v>
      </c>
      <c r="K17" s="19">
        <v>0</v>
      </c>
      <c r="BB17" s="14"/>
      <c r="BC17" s="15"/>
      <c r="BD17" s="21" t="s">
        <v>49</v>
      </c>
    </row>
    <row r="18" spans="1:58" s="3" customFormat="1" ht="15" customHeight="1" x14ac:dyDescent="0.3">
      <c r="A18" s="437" t="s">
        <v>1978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24"/>
      <c r="BB18" s="14"/>
      <c r="BC18" s="15" t="s">
        <v>1978</v>
      </c>
      <c r="BD18" s="21"/>
    </row>
    <row r="19" spans="1:58" s="3" customFormat="1" ht="31.8" x14ac:dyDescent="0.3">
      <c r="A19" s="16" t="s">
        <v>27</v>
      </c>
      <c r="B19" s="17" t="s">
        <v>1979</v>
      </c>
      <c r="C19" s="405" t="s">
        <v>1980</v>
      </c>
      <c r="D19" s="405"/>
      <c r="E19" s="405"/>
      <c r="F19" s="16" t="s">
        <v>125</v>
      </c>
      <c r="G19" s="30">
        <v>4.2299999999999997E-2</v>
      </c>
      <c r="H19" s="57">
        <f>I19/G19</f>
        <v>185844.68085106384</v>
      </c>
      <c r="I19" s="19">
        <v>7861.23</v>
      </c>
      <c r="J19" s="19">
        <f>K19/G19</f>
        <v>0</v>
      </c>
      <c r="K19" s="19">
        <v>0</v>
      </c>
      <c r="BB19" s="14"/>
      <c r="BC19" s="15"/>
      <c r="BD19" s="21" t="s">
        <v>1980</v>
      </c>
    </row>
    <row r="20" spans="1:58" s="3" customFormat="1" ht="15" customHeight="1" x14ac:dyDescent="0.3">
      <c r="A20" s="437" t="s">
        <v>4343</v>
      </c>
      <c r="B20" s="418"/>
      <c r="C20" s="418"/>
      <c r="D20" s="418"/>
      <c r="E20" s="418"/>
      <c r="F20" s="418"/>
      <c r="G20" s="418"/>
      <c r="H20" s="123"/>
      <c r="I20" s="123"/>
      <c r="J20" s="123"/>
      <c r="K20" s="124"/>
      <c r="BB20" s="14"/>
      <c r="BC20" s="15" t="s">
        <v>4343</v>
      </c>
      <c r="BD20" s="21"/>
    </row>
    <row r="21" spans="1:58" s="3" customFormat="1" ht="15" customHeight="1" x14ac:dyDescent="0.3">
      <c r="A21" s="437" t="s">
        <v>2239</v>
      </c>
      <c r="B21" s="418"/>
      <c r="C21" s="418"/>
      <c r="D21" s="418"/>
      <c r="E21" s="418"/>
      <c r="F21" s="418"/>
      <c r="G21" s="418"/>
      <c r="H21" s="123"/>
      <c r="I21" s="123"/>
      <c r="J21" s="123"/>
      <c r="K21" s="124"/>
      <c r="BB21" s="14"/>
      <c r="BC21" s="15" t="s">
        <v>2239</v>
      </c>
      <c r="BD21" s="21"/>
    </row>
    <row r="22" spans="1:58" s="3" customFormat="1" ht="31.8" x14ac:dyDescent="0.3">
      <c r="A22" s="16" t="s">
        <v>35</v>
      </c>
      <c r="B22" s="17" t="s">
        <v>2240</v>
      </c>
      <c r="C22" s="405" t="s">
        <v>2241</v>
      </c>
      <c r="D22" s="405"/>
      <c r="E22" s="405"/>
      <c r="F22" s="16" t="s">
        <v>70</v>
      </c>
      <c r="G22" s="24">
        <v>26.4</v>
      </c>
      <c r="H22" s="57">
        <f>I22/G22</f>
        <v>14940.057954545455</v>
      </c>
      <c r="I22" s="19">
        <f>399693.12-K22</f>
        <v>394417.52999999997</v>
      </c>
      <c r="J22" s="19">
        <f>K22/G22</f>
        <v>199.83295454545456</v>
      </c>
      <c r="K22" s="19">
        <v>5275.59</v>
      </c>
      <c r="BB22" s="14"/>
      <c r="BC22" s="15"/>
      <c r="BD22" s="21" t="s">
        <v>2241</v>
      </c>
    </row>
    <row r="23" spans="1:58" s="3" customFormat="1" ht="20.399999999999999" x14ac:dyDescent="0.3">
      <c r="A23" s="25"/>
      <c r="B23" s="26" t="s">
        <v>858</v>
      </c>
      <c r="C23" s="419" t="s">
        <v>859</v>
      </c>
      <c r="D23" s="419"/>
      <c r="E23" s="419"/>
      <c r="F23" s="27" t="s">
        <v>46</v>
      </c>
      <c r="G23" s="22" t="s">
        <v>4344</v>
      </c>
      <c r="H23" s="58"/>
      <c r="I23" s="28"/>
      <c r="J23" s="28"/>
      <c r="K23" s="29"/>
      <c r="BB23" s="14"/>
      <c r="BC23" s="15"/>
      <c r="BD23" s="21"/>
      <c r="BE23" s="12" t="s">
        <v>859</v>
      </c>
    </row>
    <row r="24" spans="1:58" s="3" customFormat="1" ht="20.399999999999999" x14ac:dyDescent="0.3">
      <c r="A24" s="25"/>
      <c r="B24" s="26" t="s">
        <v>384</v>
      </c>
      <c r="C24" s="419" t="s">
        <v>385</v>
      </c>
      <c r="D24" s="419"/>
      <c r="E24" s="419"/>
      <c r="F24" s="27" t="s">
        <v>46</v>
      </c>
      <c r="G24" s="22" t="s">
        <v>4345</v>
      </c>
      <c r="H24" s="58"/>
      <c r="I24" s="28"/>
      <c r="J24" s="28"/>
      <c r="K24" s="29"/>
      <c r="BB24" s="14"/>
      <c r="BC24" s="15"/>
      <c r="BD24" s="21"/>
      <c r="BE24" s="12" t="s">
        <v>385</v>
      </c>
    </row>
    <row r="25" spans="1:58" s="3" customFormat="1" ht="20.399999999999999" x14ac:dyDescent="0.3">
      <c r="A25" s="25"/>
      <c r="B25" s="26" t="s">
        <v>1449</v>
      </c>
      <c r="C25" s="419" t="s">
        <v>1450</v>
      </c>
      <c r="D25" s="419"/>
      <c r="E25" s="419"/>
      <c r="F25" s="27" t="s">
        <v>70</v>
      </c>
      <c r="G25" s="22" t="s">
        <v>4346</v>
      </c>
      <c r="H25" s="58"/>
      <c r="I25" s="28"/>
      <c r="J25" s="28"/>
      <c r="K25" s="29"/>
      <c r="BB25" s="14"/>
      <c r="BC25" s="15"/>
      <c r="BD25" s="21"/>
      <c r="BE25" s="12" t="s">
        <v>1450</v>
      </c>
    </row>
    <row r="26" spans="1:58" s="3" customFormat="1" ht="20.399999999999999" x14ac:dyDescent="0.3">
      <c r="A26" s="25"/>
      <c r="B26" s="26" t="s">
        <v>648</v>
      </c>
      <c r="C26" s="419" t="s">
        <v>649</v>
      </c>
      <c r="D26" s="419"/>
      <c r="E26" s="419"/>
      <c r="F26" s="27" t="s">
        <v>70</v>
      </c>
      <c r="G26" s="22" t="s">
        <v>4347</v>
      </c>
      <c r="H26" s="58"/>
      <c r="I26" s="28"/>
      <c r="J26" s="28"/>
      <c r="K26" s="29"/>
      <c r="BB26" s="14"/>
      <c r="BC26" s="15"/>
      <c r="BD26" s="21"/>
      <c r="BE26" s="12" t="s">
        <v>649</v>
      </c>
    </row>
    <row r="27" spans="1:58" s="3" customFormat="1" ht="21.6" x14ac:dyDescent="0.3">
      <c r="A27" s="37" t="s">
        <v>143</v>
      </c>
      <c r="B27" s="38" t="s">
        <v>2246</v>
      </c>
      <c r="C27" s="430" t="s">
        <v>2247</v>
      </c>
      <c r="D27" s="430"/>
      <c r="E27" s="430"/>
      <c r="F27" s="39" t="s">
        <v>70</v>
      </c>
      <c r="G27" s="40" t="s">
        <v>4348</v>
      </c>
      <c r="H27" s="100"/>
      <c r="I27" s="41"/>
      <c r="J27" s="41"/>
      <c r="K27" s="42"/>
      <c r="BB27" s="14"/>
      <c r="BC27" s="15"/>
      <c r="BD27" s="21"/>
      <c r="BE27" s="12"/>
      <c r="BF27" s="43" t="s">
        <v>2247</v>
      </c>
    </row>
    <row r="28" spans="1:58" s="3" customFormat="1" ht="20.399999999999999" x14ac:dyDescent="0.3">
      <c r="A28" s="25"/>
      <c r="B28" s="26" t="s">
        <v>2249</v>
      </c>
      <c r="C28" s="419" t="s">
        <v>2250</v>
      </c>
      <c r="D28" s="419"/>
      <c r="E28" s="419"/>
      <c r="F28" s="27" t="s">
        <v>70</v>
      </c>
      <c r="G28" s="22" t="s">
        <v>4349</v>
      </c>
      <c r="H28" s="58"/>
      <c r="I28" s="28"/>
      <c r="J28" s="28"/>
      <c r="K28" s="29"/>
      <c r="BB28" s="14"/>
      <c r="BC28" s="15"/>
      <c r="BD28" s="21"/>
      <c r="BE28" s="12" t="s">
        <v>2250</v>
      </c>
      <c r="BF28" s="43"/>
    </row>
    <row r="29" spans="1:58" s="3" customFormat="1" ht="31.8" x14ac:dyDescent="0.3">
      <c r="A29" s="25"/>
      <c r="B29" s="26" t="s">
        <v>2252</v>
      </c>
      <c r="C29" s="419" t="s">
        <v>2253</v>
      </c>
      <c r="D29" s="419"/>
      <c r="E29" s="419"/>
      <c r="F29" s="27" t="s">
        <v>46</v>
      </c>
      <c r="G29" s="22" t="s">
        <v>4350</v>
      </c>
      <c r="H29" s="58"/>
      <c r="I29" s="28"/>
      <c r="J29" s="28"/>
      <c r="K29" s="29"/>
      <c r="BB29" s="14"/>
      <c r="BC29" s="15"/>
      <c r="BD29" s="21"/>
      <c r="BE29" s="12" t="s">
        <v>2253</v>
      </c>
      <c r="BF29" s="43"/>
    </row>
    <row r="30" spans="1:58" s="3" customFormat="1" ht="21.6" x14ac:dyDescent="0.3">
      <c r="A30" s="25"/>
      <c r="B30" s="26" t="s">
        <v>839</v>
      </c>
      <c r="C30" s="419" t="s">
        <v>840</v>
      </c>
      <c r="D30" s="419"/>
      <c r="E30" s="419"/>
      <c r="F30" s="27" t="s">
        <v>75</v>
      </c>
      <c r="G30" s="22" t="s">
        <v>4351</v>
      </c>
      <c r="H30" s="58"/>
      <c r="I30" s="28"/>
      <c r="J30" s="28"/>
      <c r="K30" s="29"/>
      <c r="BB30" s="14"/>
      <c r="BC30" s="15"/>
      <c r="BD30" s="21"/>
      <c r="BE30" s="12" t="s">
        <v>840</v>
      </c>
      <c r="BF30" s="43"/>
    </row>
    <row r="31" spans="1:58" s="3" customFormat="1" ht="42" x14ac:dyDescent="0.3">
      <c r="A31" s="16" t="s">
        <v>40</v>
      </c>
      <c r="B31" s="17" t="s">
        <v>2256</v>
      </c>
      <c r="C31" s="405" t="s">
        <v>2257</v>
      </c>
      <c r="D31" s="405"/>
      <c r="E31" s="405"/>
      <c r="F31" s="16" t="s">
        <v>1460</v>
      </c>
      <c r="G31" s="23">
        <v>12</v>
      </c>
      <c r="H31" s="57">
        <v>0</v>
      </c>
      <c r="I31" s="19">
        <v>0</v>
      </c>
      <c r="J31" s="19">
        <f>K31/G31</f>
        <v>864586.125</v>
      </c>
      <c r="K31" s="19">
        <v>10375033.5</v>
      </c>
      <c r="BB31" s="14"/>
      <c r="BC31" s="15"/>
      <c r="BD31" s="21" t="s">
        <v>2257</v>
      </c>
      <c r="BE31" s="12"/>
      <c r="BF31" s="43"/>
    </row>
    <row r="32" spans="1:58" s="3" customFormat="1" ht="15" customHeight="1" x14ac:dyDescent="0.3">
      <c r="A32" s="437" t="s">
        <v>4352</v>
      </c>
      <c r="B32" s="418"/>
      <c r="C32" s="418"/>
      <c r="D32" s="418"/>
      <c r="E32" s="418"/>
      <c r="F32" s="418"/>
      <c r="G32" s="418"/>
      <c r="H32" s="123"/>
      <c r="I32" s="123"/>
      <c r="J32" s="123"/>
      <c r="K32" s="124"/>
      <c r="BB32" s="14"/>
      <c r="BC32" s="15" t="s">
        <v>4352</v>
      </c>
      <c r="BD32" s="21"/>
      <c r="BE32" s="12"/>
      <c r="BF32" s="43"/>
    </row>
    <row r="33" spans="1:59" s="3" customFormat="1" ht="42" x14ac:dyDescent="0.3">
      <c r="A33" s="16" t="s">
        <v>47</v>
      </c>
      <c r="B33" s="17" t="s">
        <v>257</v>
      </c>
      <c r="C33" s="405" t="s">
        <v>258</v>
      </c>
      <c r="D33" s="405"/>
      <c r="E33" s="405"/>
      <c r="F33" s="16" t="s">
        <v>43</v>
      </c>
      <c r="G33" s="44">
        <v>7.5740000000000002E-2</v>
      </c>
      <c r="H33" s="57">
        <f>I33/G33</f>
        <v>11166.094533931871</v>
      </c>
      <c r="I33" s="19">
        <v>845.72</v>
      </c>
      <c r="J33" s="19">
        <f>K33/G33</f>
        <v>0</v>
      </c>
      <c r="K33" s="19">
        <v>0</v>
      </c>
      <c r="BB33" s="14"/>
      <c r="BC33" s="15"/>
      <c r="BD33" s="21" t="s">
        <v>258</v>
      </c>
      <c r="BE33" s="12"/>
      <c r="BF33" s="43"/>
    </row>
    <row r="34" spans="1:59" s="3" customFormat="1" ht="15" customHeight="1" x14ac:dyDescent="0.3">
      <c r="A34" s="435" t="s">
        <v>4353</v>
      </c>
      <c r="B34" s="436"/>
      <c r="C34" s="436"/>
      <c r="D34" s="436"/>
      <c r="E34" s="436"/>
      <c r="F34" s="436"/>
      <c r="G34" s="436"/>
      <c r="H34" s="103"/>
      <c r="I34" s="103"/>
      <c r="J34" s="103"/>
      <c r="K34" s="104"/>
      <c r="BB34" s="14" t="s">
        <v>4353</v>
      </c>
      <c r="BC34" s="15"/>
      <c r="BD34" s="21"/>
      <c r="BE34" s="12"/>
      <c r="BF34" s="43"/>
    </row>
    <row r="35" spans="1:59" s="3" customFormat="1" ht="15" customHeight="1" x14ac:dyDescent="0.3">
      <c r="A35" s="437" t="s">
        <v>4354</v>
      </c>
      <c r="B35" s="418"/>
      <c r="C35" s="418"/>
      <c r="D35" s="418"/>
      <c r="E35" s="418"/>
      <c r="F35" s="418"/>
      <c r="G35" s="418"/>
      <c r="H35" s="123"/>
      <c r="I35" s="123"/>
      <c r="J35" s="123"/>
      <c r="K35" s="124"/>
      <c r="BB35" s="14"/>
      <c r="BC35" s="15" t="s">
        <v>4354</v>
      </c>
      <c r="BD35" s="21"/>
      <c r="BE35" s="12"/>
      <c r="BF35" s="43"/>
    </row>
    <row r="36" spans="1:59" s="3" customFormat="1" ht="21.6" x14ac:dyDescent="0.3">
      <c r="A36" s="16" t="s">
        <v>52</v>
      </c>
      <c r="B36" s="17" t="s">
        <v>4355</v>
      </c>
      <c r="C36" s="405" t="s">
        <v>4356</v>
      </c>
      <c r="D36" s="405"/>
      <c r="E36" s="405"/>
      <c r="F36" s="16" t="s">
        <v>46</v>
      </c>
      <c r="G36" s="31">
        <v>1.02</v>
      </c>
      <c r="H36" s="57">
        <f>I36/G36</f>
        <v>909.92156862745105</v>
      </c>
      <c r="I36" s="19">
        <f>1527.15-K36</f>
        <v>928.12000000000012</v>
      </c>
      <c r="J36" s="19">
        <f>K36/G36</f>
        <v>587.28431372549016</v>
      </c>
      <c r="K36" s="19">
        <v>599.03</v>
      </c>
      <c r="BB36" s="14"/>
      <c r="BC36" s="15"/>
      <c r="BD36" s="21" t="s">
        <v>4356</v>
      </c>
      <c r="BE36" s="12"/>
      <c r="BF36" s="43"/>
    </row>
    <row r="37" spans="1:59" s="3" customFormat="1" ht="20.399999999999999" x14ac:dyDescent="0.3">
      <c r="A37" s="25"/>
      <c r="B37" s="26" t="s">
        <v>154</v>
      </c>
      <c r="C37" s="419" t="s">
        <v>155</v>
      </c>
      <c r="D37" s="419"/>
      <c r="E37" s="419"/>
      <c r="F37" s="27" t="s">
        <v>46</v>
      </c>
      <c r="G37" s="22" t="s">
        <v>4357</v>
      </c>
      <c r="H37" s="58"/>
      <c r="I37" s="28"/>
      <c r="J37" s="28"/>
      <c r="K37" s="29"/>
      <c r="BB37" s="14"/>
      <c r="BC37" s="15"/>
      <c r="BD37" s="21"/>
      <c r="BE37" s="12" t="s">
        <v>155</v>
      </c>
      <c r="BF37" s="43"/>
    </row>
    <row r="38" spans="1:59" s="3" customFormat="1" ht="20.399999999999999" x14ac:dyDescent="0.3">
      <c r="A38" s="37" t="s">
        <v>143</v>
      </c>
      <c r="B38" s="38" t="s">
        <v>767</v>
      </c>
      <c r="C38" s="430" t="s">
        <v>768</v>
      </c>
      <c r="D38" s="430"/>
      <c r="E38" s="430"/>
      <c r="F38" s="39" t="s">
        <v>46</v>
      </c>
      <c r="G38" s="40" t="s">
        <v>4358</v>
      </c>
      <c r="H38" s="100"/>
      <c r="I38" s="41"/>
      <c r="J38" s="41"/>
      <c r="K38" s="42"/>
      <c r="BB38" s="14"/>
      <c r="BC38" s="15"/>
      <c r="BD38" s="21"/>
      <c r="BE38" s="12"/>
      <c r="BF38" s="43" t="s">
        <v>768</v>
      </c>
    </row>
    <row r="39" spans="1:59" s="3" customFormat="1" ht="21.6" x14ac:dyDescent="0.3">
      <c r="A39" s="25" t="s">
        <v>129</v>
      </c>
      <c r="B39" s="26" t="s">
        <v>205</v>
      </c>
      <c r="C39" s="419" t="s">
        <v>82</v>
      </c>
      <c r="D39" s="419"/>
      <c r="E39" s="419"/>
      <c r="F39" s="27" t="s">
        <v>46</v>
      </c>
      <c r="G39" s="22" t="s">
        <v>4358</v>
      </c>
      <c r="H39" s="58"/>
      <c r="I39" s="28"/>
      <c r="J39" s="28"/>
      <c r="K39" s="29"/>
      <c r="BB39" s="14"/>
      <c r="BC39" s="15"/>
      <c r="BD39" s="21"/>
      <c r="BE39" s="12"/>
      <c r="BF39" s="43"/>
      <c r="BG39" s="12" t="s">
        <v>82</v>
      </c>
    </row>
    <row r="40" spans="1:59" s="3" customFormat="1" ht="15" customHeight="1" x14ac:dyDescent="0.3">
      <c r="A40" s="437" t="s">
        <v>1986</v>
      </c>
      <c r="B40" s="418"/>
      <c r="C40" s="418"/>
      <c r="D40" s="418"/>
      <c r="E40" s="418"/>
      <c r="F40" s="418"/>
      <c r="G40" s="418"/>
      <c r="H40" s="123"/>
      <c r="I40" s="123"/>
      <c r="J40" s="123"/>
      <c r="K40" s="124"/>
      <c r="BB40" s="14"/>
      <c r="BC40" s="15" t="s">
        <v>1986</v>
      </c>
      <c r="BD40" s="21"/>
      <c r="BE40" s="12"/>
      <c r="BF40" s="43"/>
      <c r="BG40" s="12"/>
    </row>
    <row r="41" spans="1:59" s="3" customFormat="1" ht="31.8" x14ac:dyDescent="0.3">
      <c r="A41" s="16" t="s">
        <v>55</v>
      </c>
      <c r="B41" s="17" t="s">
        <v>1183</v>
      </c>
      <c r="C41" s="405" t="s">
        <v>1184</v>
      </c>
      <c r="D41" s="405"/>
      <c r="E41" s="405"/>
      <c r="F41" s="16" t="s">
        <v>189</v>
      </c>
      <c r="G41" s="30">
        <v>4.5999999999999999E-3</v>
      </c>
      <c r="H41" s="57">
        <f>I41/G41</f>
        <v>49543.47826086956</v>
      </c>
      <c r="I41" s="19">
        <f>400.34-K41</f>
        <v>227.89999999999998</v>
      </c>
      <c r="J41" s="19">
        <f>K41/G41</f>
        <v>37486.956521739128</v>
      </c>
      <c r="K41" s="19">
        <v>172.44</v>
      </c>
      <c r="BB41" s="14"/>
      <c r="BC41" s="15"/>
      <c r="BD41" s="21" t="s">
        <v>1184</v>
      </c>
      <c r="BE41" s="12"/>
      <c r="BF41" s="43"/>
      <c r="BG41" s="12"/>
    </row>
    <row r="42" spans="1:59" s="3" customFormat="1" ht="21.6" x14ac:dyDescent="0.3">
      <c r="A42" s="37" t="s">
        <v>78</v>
      </c>
      <c r="B42" s="38" t="s">
        <v>1185</v>
      </c>
      <c r="C42" s="430" t="s">
        <v>1186</v>
      </c>
      <c r="D42" s="430"/>
      <c r="E42" s="430"/>
      <c r="F42" s="39" t="s">
        <v>158</v>
      </c>
      <c r="G42" s="40" t="s">
        <v>33</v>
      </c>
      <c r="H42" s="100"/>
      <c r="I42" s="41"/>
      <c r="J42" s="41"/>
      <c r="K42" s="42"/>
      <c r="BB42" s="14"/>
      <c r="BC42" s="15"/>
      <c r="BD42" s="21"/>
      <c r="BE42" s="12"/>
      <c r="BF42" s="43" t="s">
        <v>1186</v>
      </c>
      <c r="BG42" s="12"/>
    </row>
    <row r="43" spans="1:59" s="3" customFormat="1" ht="20.399999999999999" x14ac:dyDescent="0.3">
      <c r="A43" s="25"/>
      <c r="B43" s="26" t="s">
        <v>648</v>
      </c>
      <c r="C43" s="419" t="s">
        <v>649</v>
      </c>
      <c r="D43" s="419"/>
      <c r="E43" s="419"/>
      <c r="F43" s="27" t="s">
        <v>70</v>
      </c>
      <c r="G43" s="22" t="s">
        <v>2110</v>
      </c>
      <c r="H43" s="58"/>
      <c r="I43" s="28"/>
      <c r="J43" s="28"/>
      <c r="K43" s="29"/>
      <c r="BB43" s="14"/>
      <c r="BC43" s="15"/>
      <c r="BD43" s="21"/>
      <c r="BE43" s="12" t="s">
        <v>649</v>
      </c>
      <c r="BF43" s="43"/>
      <c r="BG43" s="12"/>
    </row>
    <row r="44" spans="1:59" s="3" customFormat="1" ht="21.6" x14ac:dyDescent="0.3">
      <c r="A44" s="25" t="s">
        <v>129</v>
      </c>
      <c r="B44" s="26" t="s">
        <v>1988</v>
      </c>
      <c r="C44" s="419" t="s">
        <v>1989</v>
      </c>
      <c r="D44" s="419"/>
      <c r="E44" s="419"/>
      <c r="F44" s="27" t="s">
        <v>158</v>
      </c>
      <c r="G44" s="22" t="s">
        <v>4359</v>
      </c>
      <c r="H44" s="58"/>
      <c r="I44" s="28"/>
      <c r="J44" s="28"/>
      <c r="K44" s="29"/>
      <c r="BB44" s="14"/>
      <c r="BC44" s="15"/>
      <c r="BD44" s="21"/>
      <c r="BE44" s="12"/>
      <c r="BF44" s="43"/>
      <c r="BG44" s="12" t="s">
        <v>1989</v>
      </c>
    </row>
    <row r="45" spans="1:59" s="3" customFormat="1" ht="15" customHeight="1" x14ac:dyDescent="0.3">
      <c r="A45" s="437" t="s">
        <v>1991</v>
      </c>
      <c r="B45" s="418"/>
      <c r="C45" s="418"/>
      <c r="D45" s="418"/>
      <c r="E45" s="418"/>
      <c r="F45" s="418"/>
      <c r="G45" s="418"/>
      <c r="H45" s="123"/>
      <c r="I45" s="123"/>
      <c r="J45" s="123"/>
      <c r="K45" s="124"/>
      <c r="BB45" s="14"/>
      <c r="BC45" s="15" t="s">
        <v>1991</v>
      </c>
      <c r="BD45" s="21"/>
      <c r="BE45" s="12"/>
      <c r="BF45" s="43"/>
      <c r="BG45" s="12"/>
    </row>
    <row r="46" spans="1:59" s="3" customFormat="1" ht="14.4" x14ac:dyDescent="0.3">
      <c r="A46" s="16" t="s">
        <v>56</v>
      </c>
      <c r="B46" s="17" t="s">
        <v>152</v>
      </c>
      <c r="C46" s="405" t="s">
        <v>153</v>
      </c>
      <c r="D46" s="405"/>
      <c r="E46" s="405"/>
      <c r="F46" s="16" t="s">
        <v>125</v>
      </c>
      <c r="G46" s="30">
        <v>3.3999999999999998E-3</v>
      </c>
      <c r="H46" s="57">
        <f>I46/G46</f>
        <v>154973.52941176482</v>
      </c>
      <c r="I46" s="19">
        <f>2273.01-K46</f>
        <v>526.91000000000031</v>
      </c>
      <c r="J46" s="19">
        <f>K46/G46</f>
        <v>513558.82352941175</v>
      </c>
      <c r="K46" s="19">
        <v>1746.1</v>
      </c>
      <c r="BB46" s="14"/>
      <c r="BC46" s="15"/>
      <c r="BD46" s="21" t="s">
        <v>153</v>
      </c>
      <c r="BE46" s="12"/>
      <c r="BF46" s="43"/>
      <c r="BG46" s="12"/>
    </row>
    <row r="47" spans="1:59" s="3" customFormat="1" ht="20.399999999999999" x14ac:dyDescent="0.3">
      <c r="A47" s="25"/>
      <c r="B47" s="26" t="s">
        <v>154</v>
      </c>
      <c r="C47" s="419" t="s">
        <v>155</v>
      </c>
      <c r="D47" s="419"/>
      <c r="E47" s="419"/>
      <c r="F47" s="27" t="s">
        <v>46</v>
      </c>
      <c r="G47" s="22" t="s">
        <v>4360</v>
      </c>
      <c r="H47" s="58"/>
      <c r="I47" s="28"/>
      <c r="J47" s="28"/>
      <c r="K47" s="29"/>
      <c r="BB47" s="14"/>
      <c r="BC47" s="15"/>
      <c r="BD47" s="21"/>
      <c r="BE47" s="12" t="s">
        <v>155</v>
      </c>
      <c r="BF47" s="43"/>
      <c r="BG47" s="12"/>
    </row>
    <row r="48" spans="1:59" s="3" customFormat="1" ht="20.399999999999999" x14ac:dyDescent="0.3">
      <c r="A48" s="25"/>
      <c r="B48" s="26" t="s">
        <v>156</v>
      </c>
      <c r="C48" s="419" t="s">
        <v>157</v>
      </c>
      <c r="D48" s="419"/>
      <c r="E48" s="419"/>
      <c r="F48" s="27" t="s">
        <v>158</v>
      </c>
      <c r="G48" s="22" t="s">
        <v>4361</v>
      </c>
      <c r="H48" s="58"/>
      <c r="I48" s="28"/>
      <c r="J48" s="28"/>
      <c r="K48" s="29"/>
      <c r="BB48" s="14"/>
      <c r="BC48" s="15"/>
      <c r="BD48" s="21"/>
      <c r="BE48" s="12" t="s">
        <v>157</v>
      </c>
      <c r="BF48" s="43"/>
      <c r="BG48" s="12"/>
    </row>
    <row r="49" spans="1:59" s="3" customFormat="1" ht="20.399999999999999" x14ac:dyDescent="0.3">
      <c r="A49" s="37" t="s">
        <v>143</v>
      </c>
      <c r="B49" s="38" t="s">
        <v>159</v>
      </c>
      <c r="C49" s="430" t="s">
        <v>160</v>
      </c>
      <c r="D49" s="430"/>
      <c r="E49" s="430"/>
      <c r="F49" s="39" t="s">
        <v>46</v>
      </c>
      <c r="G49" s="40" t="s">
        <v>4362</v>
      </c>
      <c r="H49" s="100"/>
      <c r="I49" s="41"/>
      <c r="J49" s="41"/>
      <c r="K49" s="42"/>
      <c r="BB49" s="14"/>
      <c r="BC49" s="15"/>
      <c r="BD49" s="21"/>
      <c r="BE49" s="12"/>
      <c r="BF49" s="43" t="s">
        <v>160</v>
      </c>
      <c r="BG49" s="12"/>
    </row>
    <row r="50" spans="1:59" s="3" customFormat="1" ht="21.6" x14ac:dyDescent="0.3">
      <c r="A50" s="25" t="s">
        <v>129</v>
      </c>
      <c r="B50" s="26" t="s">
        <v>1995</v>
      </c>
      <c r="C50" s="419" t="s">
        <v>1996</v>
      </c>
      <c r="D50" s="419"/>
      <c r="E50" s="419"/>
      <c r="F50" s="27" t="s">
        <v>46</v>
      </c>
      <c r="G50" s="22" t="s">
        <v>4362</v>
      </c>
      <c r="H50" s="58"/>
      <c r="I50" s="28"/>
      <c r="J50" s="28"/>
      <c r="K50" s="29"/>
      <c r="BB50" s="14"/>
      <c r="BC50" s="15"/>
      <c r="BD50" s="21"/>
      <c r="BE50" s="12"/>
      <c r="BF50" s="43"/>
      <c r="BG50" s="12" t="s">
        <v>1996</v>
      </c>
    </row>
    <row r="51" spans="1:59" s="3" customFormat="1" ht="15" customHeight="1" x14ac:dyDescent="0.3">
      <c r="A51" s="437" t="s">
        <v>2016</v>
      </c>
      <c r="B51" s="418"/>
      <c r="C51" s="418"/>
      <c r="D51" s="418"/>
      <c r="E51" s="418"/>
      <c r="F51" s="418"/>
      <c r="G51" s="418"/>
      <c r="H51" s="123"/>
      <c r="I51" s="123"/>
      <c r="J51" s="123"/>
      <c r="K51" s="124"/>
      <c r="BB51" s="14"/>
      <c r="BC51" s="15" t="s">
        <v>2016</v>
      </c>
      <c r="BD51" s="21"/>
      <c r="BE51" s="12"/>
      <c r="BF51" s="43"/>
      <c r="BG51" s="12"/>
    </row>
    <row r="52" spans="1:59" s="3" customFormat="1" ht="21.6" x14ac:dyDescent="0.3">
      <c r="A52" s="16" t="s">
        <v>166</v>
      </c>
      <c r="B52" s="17" t="s">
        <v>273</v>
      </c>
      <c r="C52" s="405" t="s">
        <v>274</v>
      </c>
      <c r="D52" s="405"/>
      <c r="E52" s="405"/>
      <c r="F52" s="16" t="s">
        <v>125</v>
      </c>
      <c r="G52" s="18">
        <v>3.4000000000000002E-2</v>
      </c>
      <c r="H52" s="57">
        <f>I52/G52</f>
        <v>229999.41176470584</v>
      </c>
      <c r="I52" s="19">
        <f>7966.95-K52</f>
        <v>7819.98</v>
      </c>
      <c r="J52" s="19">
        <f>K52/G52</f>
        <v>4322.6470588235288</v>
      </c>
      <c r="K52" s="19">
        <v>146.97</v>
      </c>
      <c r="BB52" s="14"/>
      <c r="BC52" s="15"/>
      <c r="BD52" s="21" t="s">
        <v>274</v>
      </c>
      <c r="BE52" s="12"/>
      <c r="BF52" s="43"/>
      <c r="BG52" s="12"/>
    </row>
    <row r="53" spans="1:59" s="3" customFormat="1" ht="20.399999999999999" x14ac:dyDescent="0.3">
      <c r="A53" s="25"/>
      <c r="B53" s="26" t="s">
        <v>154</v>
      </c>
      <c r="C53" s="419" t="s">
        <v>155</v>
      </c>
      <c r="D53" s="419"/>
      <c r="E53" s="419"/>
      <c r="F53" s="27" t="s">
        <v>46</v>
      </c>
      <c r="G53" s="22" t="s">
        <v>4363</v>
      </c>
      <c r="H53" s="58"/>
      <c r="I53" s="28"/>
      <c r="J53" s="28"/>
      <c r="K53" s="29"/>
      <c r="BB53" s="14"/>
      <c r="BC53" s="15"/>
      <c r="BD53" s="21"/>
      <c r="BE53" s="12" t="s">
        <v>155</v>
      </c>
      <c r="BF53" s="43"/>
      <c r="BG53" s="12"/>
    </row>
    <row r="54" spans="1:59" s="3" customFormat="1" ht="20.399999999999999" x14ac:dyDescent="0.3">
      <c r="A54" s="25"/>
      <c r="B54" s="26" t="s">
        <v>156</v>
      </c>
      <c r="C54" s="419" t="s">
        <v>157</v>
      </c>
      <c r="D54" s="419"/>
      <c r="E54" s="419"/>
      <c r="F54" s="27" t="s">
        <v>158</v>
      </c>
      <c r="G54" s="22" t="s">
        <v>4364</v>
      </c>
      <c r="H54" s="58"/>
      <c r="I54" s="28"/>
      <c r="J54" s="28"/>
      <c r="K54" s="29"/>
      <c r="BB54" s="14"/>
      <c r="BC54" s="15"/>
      <c r="BD54" s="21"/>
      <c r="BE54" s="12" t="s">
        <v>157</v>
      </c>
      <c r="BF54" s="43"/>
      <c r="BG54" s="12"/>
    </row>
    <row r="55" spans="1:59" s="3" customFormat="1" ht="20.399999999999999" x14ac:dyDescent="0.3">
      <c r="A55" s="25"/>
      <c r="B55" s="26" t="s">
        <v>277</v>
      </c>
      <c r="C55" s="419" t="s">
        <v>278</v>
      </c>
      <c r="D55" s="419"/>
      <c r="E55" s="419"/>
      <c r="F55" s="27" t="s">
        <v>70</v>
      </c>
      <c r="G55" s="22" t="s">
        <v>4365</v>
      </c>
      <c r="H55" s="58"/>
      <c r="I55" s="28"/>
      <c r="J55" s="28"/>
      <c r="K55" s="29"/>
      <c r="BB55" s="14"/>
      <c r="BC55" s="15"/>
      <c r="BD55" s="21"/>
      <c r="BE55" s="12" t="s">
        <v>278</v>
      </c>
      <c r="BF55" s="43"/>
      <c r="BG55" s="12"/>
    </row>
    <row r="56" spans="1:59" s="3" customFormat="1" ht="20.399999999999999" x14ac:dyDescent="0.3">
      <c r="A56" s="25"/>
      <c r="B56" s="26" t="s">
        <v>76</v>
      </c>
      <c r="C56" s="419" t="s">
        <v>77</v>
      </c>
      <c r="D56" s="419"/>
      <c r="E56" s="419"/>
      <c r="F56" s="27" t="s">
        <v>70</v>
      </c>
      <c r="G56" s="22" t="s">
        <v>4366</v>
      </c>
      <c r="H56" s="58"/>
      <c r="I56" s="28"/>
      <c r="J56" s="28"/>
      <c r="K56" s="29"/>
      <c r="BB56" s="14"/>
      <c r="BC56" s="15"/>
      <c r="BD56" s="21"/>
      <c r="BE56" s="12" t="s">
        <v>77</v>
      </c>
      <c r="BF56" s="43"/>
      <c r="BG56" s="12"/>
    </row>
    <row r="57" spans="1:59" s="3" customFormat="1" ht="21.6" x14ac:dyDescent="0.3">
      <c r="A57" s="25"/>
      <c r="B57" s="26" t="s">
        <v>281</v>
      </c>
      <c r="C57" s="419" t="s">
        <v>282</v>
      </c>
      <c r="D57" s="419"/>
      <c r="E57" s="419"/>
      <c r="F57" s="27" t="s">
        <v>70</v>
      </c>
      <c r="G57" s="22" t="s">
        <v>4367</v>
      </c>
      <c r="H57" s="58"/>
      <c r="I57" s="28"/>
      <c r="J57" s="28"/>
      <c r="K57" s="29"/>
      <c r="BB57" s="14"/>
      <c r="BC57" s="15"/>
      <c r="BD57" s="21"/>
      <c r="BE57" s="12" t="s">
        <v>282</v>
      </c>
      <c r="BF57" s="43"/>
      <c r="BG57" s="12"/>
    </row>
    <row r="58" spans="1:59" s="3" customFormat="1" ht="20.399999999999999" x14ac:dyDescent="0.3">
      <c r="A58" s="37" t="s">
        <v>143</v>
      </c>
      <c r="B58" s="38" t="s">
        <v>159</v>
      </c>
      <c r="C58" s="430" t="s">
        <v>160</v>
      </c>
      <c r="D58" s="430"/>
      <c r="E58" s="430"/>
      <c r="F58" s="39" t="s">
        <v>46</v>
      </c>
      <c r="G58" s="40" t="s">
        <v>4368</v>
      </c>
      <c r="H58" s="100"/>
      <c r="I58" s="41"/>
      <c r="J58" s="41"/>
      <c r="K58" s="42"/>
      <c r="BB58" s="14"/>
      <c r="BC58" s="15"/>
      <c r="BD58" s="21"/>
      <c r="BE58" s="12"/>
      <c r="BF58" s="43" t="s">
        <v>160</v>
      </c>
      <c r="BG58" s="12"/>
    </row>
    <row r="59" spans="1:59" s="3" customFormat="1" ht="21.6" x14ac:dyDescent="0.3">
      <c r="A59" s="25"/>
      <c r="B59" s="26" t="s">
        <v>285</v>
      </c>
      <c r="C59" s="419" t="s">
        <v>286</v>
      </c>
      <c r="D59" s="419"/>
      <c r="E59" s="419"/>
      <c r="F59" s="27" t="s">
        <v>70</v>
      </c>
      <c r="G59" s="22" t="s">
        <v>4369</v>
      </c>
      <c r="H59" s="58"/>
      <c r="I59" s="28"/>
      <c r="J59" s="28"/>
      <c r="K59" s="29"/>
      <c r="BB59" s="14"/>
      <c r="BC59" s="15"/>
      <c r="BD59" s="21"/>
      <c r="BE59" s="12" t="s">
        <v>286</v>
      </c>
      <c r="BF59" s="43"/>
      <c r="BG59" s="12"/>
    </row>
    <row r="60" spans="1:59" s="3" customFormat="1" ht="20.399999999999999" x14ac:dyDescent="0.3">
      <c r="A60" s="37" t="s">
        <v>143</v>
      </c>
      <c r="B60" s="38" t="s">
        <v>288</v>
      </c>
      <c r="C60" s="430" t="s">
        <v>289</v>
      </c>
      <c r="D60" s="430"/>
      <c r="E60" s="430"/>
      <c r="F60" s="39" t="s">
        <v>70</v>
      </c>
      <c r="G60" s="40" t="s">
        <v>4370</v>
      </c>
      <c r="H60" s="100"/>
      <c r="I60" s="41"/>
      <c r="J60" s="41"/>
      <c r="K60" s="42"/>
      <c r="BB60" s="14"/>
      <c r="BC60" s="15"/>
      <c r="BD60" s="21"/>
      <c r="BE60" s="12"/>
      <c r="BF60" s="43" t="s">
        <v>289</v>
      </c>
      <c r="BG60" s="12"/>
    </row>
    <row r="61" spans="1:59" s="3" customFormat="1" ht="31.8" x14ac:dyDescent="0.3">
      <c r="A61" s="25"/>
      <c r="B61" s="26" t="s">
        <v>291</v>
      </c>
      <c r="C61" s="419" t="s">
        <v>292</v>
      </c>
      <c r="D61" s="419"/>
      <c r="E61" s="419"/>
      <c r="F61" s="27" t="s">
        <v>46</v>
      </c>
      <c r="G61" s="22" t="s">
        <v>4371</v>
      </c>
      <c r="H61" s="58"/>
      <c r="I61" s="28"/>
      <c r="J61" s="28"/>
      <c r="K61" s="29"/>
      <c r="BB61" s="14"/>
      <c r="BC61" s="15"/>
      <c r="BD61" s="21"/>
      <c r="BE61" s="12" t="s">
        <v>292</v>
      </c>
      <c r="BF61" s="43"/>
      <c r="BG61" s="12"/>
    </row>
    <row r="62" spans="1:59" s="3" customFormat="1" ht="20.399999999999999" x14ac:dyDescent="0.3">
      <c r="A62" s="25"/>
      <c r="B62" s="26" t="s">
        <v>294</v>
      </c>
      <c r="C62" s="419" t="s">
        <v>295</v>
      </c>
      <c r="D62" s="419"/>
      <c r="E62" s="419"/>
      <c r="F62" s="27" t="s">
        <v>158</v>
      </c>
      <c r="G62" s="22" t="s">
        <v>4372</v>
      </c>
      <c r="H62" s="58"/>
      <c r="I62" s="28"/>
      <c r="J62" s="28"/>
      <c r="K62" s="29"/>
      <c r="BB62" s="14"/>
      <c r="BC62" s="15"/>
      <c r="BD62" s="21"/>
      <c r="BE62" s="12" t="s">
        <v>295</v>
      </c>
      <c r="BF62" s="43"/>
      <c r="BG62" s="12"/>
    </row>
    <row r="63" spans="1:59" s="3" customFormat="1" ht="21.6" x14ac:dyDescent="0.3">
      <c r="A63" s="16" t="s">
        <v>169</v>
      </c>
      <c r="B63" s="17" t="s">
        <v>2031</v>
      </c>
      <c r="C63" s="405" t="s">
        <v>2032</v>
      </c>
      <c r="D63" s="405"/>
      <c r="E63" s="405"/>
      <c r="F63" s="16" t="s">
        <v>46</v>
      </c>
      <c r="G63" s="18">
        <v>3.4510000000000001</v>
      </c>
      <c r="H63" s="57">
        <v>0</v>
      </c>
      <c r="I63" s="19">
        <v>0</v>
      </c>
      <c r="J63" s="19">
        <f>K63/G63</f>
        <v>6422.3558388872789</v>
      </c>
      <c r="K63" s="19">
        <v>22163.55</v>
      </c>
      <c r="BB63" s="14"/>
      <c r="BC63" s="15"/>
      <c r="BD63" s="21" t="s">
        <v>2032</v>
      </c>
      <c r="BE63" s="12"/>
      <c r="BF63" s="43"/>
      <c r="BG63" s="12"/>
    </row>
    <row r="64" spans="1:59" s="3" customFormat="1" ht="21.6" x14ac:dyDescent="0.3">
      <c r="A64" s="16" t="s">
        <v>170</v>
      </c>
      <c r="B64" s="17" t="s">
        <v>2033</v>
      </c>
      <c r="C64" s="405" t="s">
        <v>2034</v>
      </c>
      <c r="D64" s="405"/>
      <c r="E64" s="405"/>
      <c r="F64" s="16" t="s">
        <v>70</v>
      </c>
      <c r="G64" s="44">
        <v>0.10742</v>
      </c>
      <c r="H64" s="57">
        <v>0</v>
      </c>
      <c r="I64" s="19">
        <v>0</v>
      </c>
      <c r="J64" s="19">
        <f t="shared" ref="J64:J67" si="0">K64/G64</f>
        <v>49423.571029603423</v>
      </c>
      <c r="K64" s="19">
        <v>5309.08</v>
      </c>
      <c r="BB64" s="14"/>
      <c r="BC64" s="15"/>
      <c r="BD64" s="21" t="s">
        <v>2034</v>
      </c>
      <c r="BE64" s="12"/>
      <c r="BF64" s="43"/>
      <c r="BG64" s="12"/>
    </row>
    <row r="65" spans="1:59" s="3" customFormat="1" ht="21.6" x14ac:dyDescent="0.3">
      <c r="A65" s="16" t="s">
        <v>173</v>
      </c>
      <c r="B65" s="17" t="s">
        <v>2043</v>
      </c>
      <c r="C65" s="405" t="s">
        <v>2044</v>
      </c>
      <c r="D65" s="405"/>
      <c r="E65" s="405"/>
      <c r="F65" s="16" t="s">
        <v>70</v>
      </c>
      <c r="G65" s="44">
        <v>2.9940000000000001E-2</v>
      </c>
      <c r="H65" s="57">
        <v>0</v>
      </c>
      <c r="I65" s="19">
        <v>0</v>
      </c>
      <c r="J65" s="19">
        <f t="shared" si="0"/>
        <v>65656.646626586502</v>
      </c>
      <c r="K65" s="19">
        <v>1965.76</v>
      </c>
      <c r="BB65" s="14"/>
      <c r="BC65" s="15"/>
      <c r="BD65" s="21" t="s">
        <v>2044</v>
      </c>
      <c r="BE65" s="12"/>
      <c r="BF65" s="43"/>
      <c r="BG65" s="12"/>
    </row>
    <row r="66" spans="1:59" s="3" customFormat="1" ht="31.8" x14ac:dyDescent="0.3">
      <c r="A66" s="16" t="s">
        <v>176</v>
      </c>
      <c r="B66" s="17" t="s">
        <v>2027</v>
      </c>
      <c r="C66" s="405" t="s">
        <v>2028</v>
      </c>
      <c r="D66" s="405"/>
      <c r="E66" s="405"/>
      <c r="F66" s="16" t="s">
        <v>311</v>
      </c>
      <c r="G66" s="24">
        <v>3.4</v>
      </c>
      <c r="H66" s="57">
        <v>0</v>
      </c>
      <c r="I66" s="19">
        <v>0</v>
      </c>
      <c r="J66" s="19">
        <f t="shared" si="0"/>
        <v>64.25</v>
      </c>
      <c r="K66" s="19">
        <v>218.45</v>
      </c>
      <c r="BB66" s="14"/>
      <c r="BC66" s="15"/>
      <c r="BD66" s="21" t="s">
        <v>2028</v>
      </c>
      <c r="BE66" s="12"/>
      <c r="BF66" s="43"/>
      <c r="BG66" s="12"/>
    </row>
    <row r="67" spans="1:59" s="3" customFormat="1" ht="31.8" x14ac:dyDescent="0.3">
      <c r="A67" s="16" t="s">
        <v>177</v>
      </c>
      <c r="B67" s="17" t="s">
        <v>2029</v>
      </c>
      <c r="C67" s="405" t="s">
        <v>2030</v>
      </c>
      <c r="D67" s="405"/>
      <c r="E67" s="405"/>
      <c r="F67" s="16" t="s">
        <v>311</v>
      </c>
      <c r="G67" s="24">
        <v>3.4</v>
      </c>
      <c r="H67" s="57">
        <v>0</v>
      </c>
      <c r="I67" s="19">
        <v>0</v>
      </c>
      <c r="J67" s="19">
        <f t="shared" si="0"/>
        <v>192.66470588235293</v>
      </c>
      <c r="K67" s="19">
        <v>655.05999999999995</v>
      </c>
      <c r="BB67" s="14"/>
      <c r="BC67" s="15"/>
      <c r="BD67" s="21" t="s">
        <v>2030</v>
      </c>
      <c r="BE67" s="12"/>
      <c r="BF67" s="43"/>
      <c r="BG67" s="12"/>
    </row>
    <row r="68" spans="1:59" s="3" customFormat="1" ht="15" customHeight="1" x14ac:dyDescent="0.3">
      <c r="A68" s="437" t="s">
        <v>3318</v>
      </c>
      <c r="B68" s="418"/>
      <c r="C68" s="418"/>
      <c r="D68" s="418"/>
      <c r="E68" s="418"/>
      <c r="F68" s="418"/>
      <c r="G68" s="418"/>
      <c r="H68" s="123"/>
      <c r="I68" s="123"/>
      <c r="J68" s="123"/>
      <c r="K68" s="124"/>
      <c r="BB68" s="14"/>
      <c r="BC68" s="15" t="s">
        <v>3318</v>
      </c>
      <c r="BD68" s="21"/>
      <c r="BE68" s="12"/>
      <c r="BF68" s="43"/>
      <c r="BG68" s="12"/>
    </row>
    <row r="69" spans="1:59" s="3" customFormat="1" ht="21.6" x14ac:dyDescent="0.3">
      <c r="A69" s="16" t="s">
        <v>180</v>
      </c>
      <c r="B69" s="17" t="s">
        <v>2046</v>
      </c>
      <c r="C69" s="405" t="s">
        <v>2047</v>
      </c>
      <c r="D69" s="405"/>
      <c r="E69" s="405"/>
      <c r="F69" s="16" t="s">
        <v>70</v>
      </c>
      <c r="G69" s="44">
        <v>9.7979999999999998E-2</v>
      </c>
      <c r="H69" s="57">
        <f>I69/G69</f>
        <v>200046.64217187182</v>
      </c>
      <c r="I69" s="19">
        <f>29732.04-K69</f>
        <v>19600.57</v>
      </c>
      <c r="J69" s="19">
        <f>K69/G69</f>
        <v>103403.44968360889</v>
      </c>
      <c r="K69" s="19">
        <v>10131.469999999999</v>
      </c>
      <c r="BB69" s="14"/>
      <c r="BC69" s="15"/>
      <c r="BD69" s="21" t="s">
        <v>2047</v>
      </c>
      <c r="BE69" s="12"/>
      <c r="BF69" s="43"/>
      <c r="BG69" s="12"/>
    </row>
    <row r="70" spans="1:59" s="3" customFormat="1" ht="20.399999999999999" x14ac:dyDescent="0.3">
      <c r="A70" s="37" t="s">
        <v>143</v>
      </c>
      <c r="B70" s="38" t="s">
        <v>2048</v>
      </c>
      <c r="C70" s="430" t="s">
        <v>2049</v>
      </c>
      <c r="D70" s="430"/>
      <c r="E70" s="430"/>
      <c r="F70" s="39" t="s">
        <v>70</v>
      </c>
      <c r="G70" s="40" t="s">
        <v>4373</v>
      </c>
      <c r="H70" s="100"/>
      <c r="I70" s="41"/>
      <c r="J70" s="41"/>
      <c r="K70" s="42"/>
      <c r="BB70" s="14"/>
      <c r="BC70" s="15"/>
      <c r="BD70" s="21"/>
      <c r="BE70" s="12"/>
      <c r="BF70" s="43" t="s">
        <v>2049</v>
      </c>
      <c r="BG70" s="12"/>
    </row>
    <row r="71" spans="1:59" s="3" customFormat="1" ht="20.399999999999999" x14ac:dyDescent="0.3">
      <c r="A71" s="25" t="s">
        <v>129</v>
      </c>
      <c r="B71" s="26" t="s">
        <v>2051</v>
      </c>
      <c r="C71" s="419" t="s">
        <v>2052</v>
      </c>
      <c r="D71" s="419"/>
      <c r="E71" s="419"/>
      <c r="F71" s="27" t="s">
        <v>70</v>
      </c>
      <c r="G71" s="22" t="s">
        <v>4373</v>
      </c>
      <c r="H71" s="58"/>
      <c r="I71" s="28"/>
      <c r="J71" s="28"/>
      <c r="K71" s="29"/>
      <c r="BB71" s="14"/>
      <c r="BC71" s="15"/>
      <c r="BD71" s="21"/>
      <c r="BE71" s="12"/>
      <c r="BF71" s="43"/>
      <c r="BG71" s="12" t="s">
        <v>2052</v>
      </c>
    </row>
    <row r="72" spans="1:59" s="3" customFormat="1" ht="15" customHeight="1" x14ac:dyDescent="0.3">
      <c r="A72" s="437" t="s">
        <v>2093</v>
      </c>
      <c r="B72" s="418"/>
      <c r="C72" s="418"/>
      <c r="D72" s="418"/>
      <c r="E72" s="418"/>
      <c r="F72" s="418"/>
      <c r="G72" s="418"/>
      <c r="H72" s="123"/>
      <c r="I72" s="123"/>
      <c r="J72" s="123"/>
      <c r="K72" s="124"/>
      <c r="BB72" s="14"/>
      <c r="BC72" s="15" t="s">
        <v>2093</v>
      </c>
      <c r="BD72" s="21"/>
      <c r="BE72" s="12"/>
      <c r="BF72" s="43"/>
      <c r="BG72" s="12"/>
    </row>
    <row r="73" spans="1:59" s="3" customFormat="1" ht="21.6" x14ac:dyDescent="0.3">
      <c r="A73" s="16" t="s">
        <v>182</v>
      </c>
      <c r="B73" s="17" t="s">
        <v>2094</v>
      </c>
      <c r="C73" s="405" t="s">
        <v>2095</v>
      </c>
      <c r="D73" s="405"/>
      <c r="E73" s="405"/>
      <c r="F73" s="16" t="s">
        <v>329</v>
      </c>
      <c r="G73" s="30">
        <v>8.8599999999999998E-2</v>
      </c>
      <c r="H73" s="57">
        <f>I73/G73</f>
        <v>6055.3047404063209</v>
      </c>
      <c r="I73" s="19">
        <f>655.72-K73</f>
        <v>536.5</v>
      </c>
      <c r="J73" s="19">
        <f>K73/G73</f>
        <v>1345.5981941309255</v>
      </c>
      <c r="K73" s="19">
        <v>119.22</v>
      </c>
      <c r="BB73" s="14"/>
      <c r="BC73" s="15"/>
      <c r="BD73" s="21" t="s">
        <v>2095</v>
      </c>
      <c r="BE73" s="12"/>
      <c r="BF73" s="43"/>
      <c r="BG73" s="12"/>
    </row>
    <row r="74" spans="1:59" s="3" customFormat="1" ht="20.399999999999999" x14ac:dyDescent="0.3">
      <c r="A74" s="25"/>
      <c r="B74" s="26" t="s">
        <v>415</v>
      </c>
      <c r="C74" s="419" t="s">
        <v>416</v>
      </c>
      <c r="D74" s="419"/>
      <c r="E74" s="419"/>
      <c r="F74" s="27" t="s">
        <v>70</v>
      </c>
      <c r="G74" s="22" t="s">
        <v>4374</v>
      </c>
      <c r="H74" s="58"/>
      <c r="I74" s="28"/>
      <c r="J74" s="28"/>
      <c r="K74" s="29"/>
      <c r="BB74" s="14"/>
      <c r="BC74" s="15"/>
      <c r="BD74" s="21"/>
      <c r="BE74" s="12" t="s">
        <v>416</v>
      </c>
      <c r="BF74" s="43"/>
      <c r="BG74" s="12"/>
    </row>
    <row r="75" spans="1:59" s="3" customFormat="1" ht="20.399999999999999" x14ac:dyDescent="0.3">
      <c r="A75" s="25"/>
      <c r="B75" s="26" t="s">
        <v>2097</v>
      </c>
      <c r="C75" s="419" t="s">
        <v>2098</v>
      </c>
      <c r="D75" s="419"/>
      <c r="E75" s="419"/>
      <c r="F75" s="27" t="s">
        <v>70</v>
      </c>
      <c r="G75" s="22" t="s">
        <v>4375</v>
      </c>
      <c r="H75" s="58"/>
      <c r="I75" s="28"/>
      <c r="J75" s="28"/>
      <c r="K75" s="29"/>
      <c r="BB75" s="14"/>
      <c r="BC75" s="15"/>
      <c r="BD75" s="21"/>
      <c r="BE75" s="12" t="s">
        <v>2098</v>
      </c>
      <c r="BF75" s="43"/>
      <c r="BG75" s="12"/>
    </row>
    <row r="76" spans="1:59" s="3" customFormat="1" ht="15" customHeight="1" x14ac:dyDescent="0.3">
      <c r="A76" s="437" t="s">
        <v>3326</v>
      </c>
      <c r="B76" s="418"/>
      <c r="C76" s="418"/>
      <c r="D76" s="418"/>
      <c r="E76" s="418"/>
      <c r="F76" s="418"/>
      <c r="G76" s="418"/>
      <c r="H76" s="123"/>
      <c r="I76" s="123"/>
      <c r="J76" s="123"/>
      <c r="K76" s="124"/>
      <c r="BB76" s="14"/>
      <c r="BC76" s="15" t="s">
        <v>3326</v>
      </c>
      <c r="BD76" s="21"/>
      <c r="BE76" s="12"/>
      <c r="BF76" s="43"/>
      <c r="BG76" s="12"/>
    </row>
    <row r="77" spans="1:59" s="3" customFormat="1" ht="21.6" x14ac:dyDescent="0.3">
      <c r="A77" s="16" t="s">
        <v>186</v>
      </c>
      <c r="B77" s="17" t="s">
        <v>2101</v>
      </c>
      <c r="C77" s="405" t="s">
        <v>2102</v>
      </c>
      <c r="D77" s="405"/>
      <c r="E77" s="405"/>
      <c r="F77" s="16" t="s">
        <v>329</v>
      </c>
      <c r="G77" s="30">
        <v>8.8599999999999998E-2</v>
      </c>
      <c r="H77" s="57">
        <f>I77/G77</f>
        <v>4233.5214446952605</v>
      </c>
      <c r="I77" s="19">
        <f>591.76-K77</f>
        <v>375.09000000000003</v>
      </c>
      <c r="J77" s="19">
        <f>K77/G77</f>
        <v>2445.4853273137696</v>
      </c>
      <c r="K77" s="19">
        <v>216.67</v>
      </c>
      <c r="BB77" s="14"/>
      <c r="BC77" s="15"/>
      <c r="BD77" s="21" t="s">
        <v>2102</v>
      </c>
      <c r="BE77" s="12"/>
      <c r="BF77" s="43"/>
      <c r="BG77" s="12"/>
    </row>
    <row r="78" spans="1:59" s="3" customFormat="1" ht="20.399999999999999" x14ac:dyDescent="0.3">
      <c r="A78" s="25"/>
      <c r="B78" s="26" t="s">
        <v>2103</v>
      </c>
      <c r="C78" s="419" t="s">
        <v>2104</v>
      </c>
      <c r="D78" s="419"/>
      <c r="E78" s="419"/>
      <c r="F78" s="27" t="s">
        <v>70</v>
      </c>
      <c r="G78" s="22" t="s">
        <v>4376</v>
      </c>
      <c r="H78" s="58"/>
      <c r="I78" s="28"/>
      <c r="J78" s="28"/>
      <c r="K78" s="29"/>
      <c r="BB78" s="14"/>
      <c r="BC78" s="15"/>
      <c r="BD78" s="21"/>
      <c r="BE78" s="12" t="s">
        <v>2104</v>
      </c>
      <c r="BF78" s="43"/>
      <c r="BG78" s="12"/>
    </row>
    <row r="79" spans="1:59" s="3" customFormat="1" ht="20.399999999999999" x14ac:dyDescent="0.3">
      <c r="A79" s="25"/>
      <c r="B79" s="26" t="s">
        <v>353</v>
      </c>
      <c r="C79" s="419" t="s">
        <v>354</v>
      </c>
      <c r="D79" s="419"/>
      <c r="E79" s="419"/>
      <c r="F79" s="27" t="s">
        <v>75</v>
      </c>
      <c r="G79" s="22" t="s">
        <v>4377</v>
      </c>
      <c r="H79" s="58"/>
      <c r="I79" s="28"/>
      <c r="J79" s="28"/>
      <c r="K79" s="29"/>
      <c r="BB79" s="14"/>
      <c r="BC79" s="15"/>
      <c r="BD79" s="21"/>
      <c r="BE79" s="12" t="s">
        <v>354</v>
      </c>
      <c r="BF79" s="43"/>
      <c r="BG79" s="12"/>
    </row>
    <row r="80" spans="1:59" s="3" customFormat="1" ht="15" customHeight="1" x14ac:dyDescent="0.3">
      <c r="A80" s="437" t="s">
        <v>2283</v>
      </c>
      <c r="B80" s="418"/>
      <c r="C80" s="418"/>
      <c r="D80" s="418"/>
      <c r="E80" s="418"/>
      <c r="F80" s="418"/>
      <c r="G80" s="418"/>
      <c r="H80" s="123"/>
      <c r="I80" s="123"/>
      <c r="J80" s="123"/>
      <c r="K80" s="124"/>
      <c r="BB80" s="14"/>
      <c r="BC80" s="15" t="s">
        <v>2283</v>
      </c>
      <c r="BD80" s="21"/>
      <c r="BE80" s="12"/>
      <c r="BF80" s="43"/>
      <c r="BG80" s="12"/>
    </row>
    <row r="81" spans="1:59" s="3" customFormat="1" ht="42" x14ac:dyDescent="0.3">
      <c r="A81" s="16" t="s">
        <v>192</v>
      </c>
      <c r="B81" s="17" t="s">
        <v>327</v>
      </c>
      <c r="C81" s="405" t="s">
        <v>328</v>
      </c>
      <c r="D81" s="405"/>
      <c r="E81" s="405"/>
      <c r="F81" s="16" t="s">
        <v>329</v>
      </c>
      <c r="G81" s="30">
        <v>0.19320000000000001</v>
      </c>
      <c r="H81" s="57">
        <f>I81/G81</f>
        <v>25173.654244306414</v>
      </c>
      <c r="I81" s="19">
        <f>9901.38-K81</f>
        <v>4863.5499999999993</v>
      </c>
      <c r="J81" s="19">
        <f>K81/G81</f>
        <v>26075.724637681156</v>
      </c>
      <c r="K81" s="19">
        <v>5037.83</v>
      </c>
      <c r="BB81" s="14"/>
      <c r="BC81" s="15"/>
      <c r="BD81" s="21" t="s">
        <v>328</v>
      </c>
      <c r="BE81" s="12"/>
      <c r="BF81" s="43"/>
      <c r="BG81" s="12"/>
    </row>
    <row r="82" spans="1:59" s="3" customFormat="1" ht="20.399999999999999" x14ac:dyDescent="0.3">
      <c r="A82" s="37" t="s">
        <v>143</v>
      </c>
      <c r="B82" s="38" t="s">
        <v>330</v>
      </c>
      <c r="C82" s="430" t="s">
        <v>331</v>
      </c>
      <c r="D82" s="430"/>
      <c r="E82" s="430"/>
      <c r="F82" s="39" t="s">
        <v>70</v>
      </c>
      <c r="G82" s="40" t="s">
        <v>4378</v>
      </c>
      <c r="H82" s="100"/>
      <c r="I82" s="41"/>
      <c r="J82" s="41"/>
      <c r="K82" s="42"/>
      <c r="BB82" s="14"/>
      <c r="BC82" s="15"/>
      <c r="BD82" s="21"/>
      <c r="BE82" s="12"/>
      <c r="BF82" s="43" t="s">
        <v>331</v>
      </c>
      <c r="BG82" s="12"/>
    </row>
    <row r="83" spans="1:59" s="3" customFormat="1" ht="20.399999999999999" x14ac:dyDescent="0.3">
      <c r="A83" s="37" t="s">
        <v>143</v>
      </c>
      <c r="B83" s="38" t="s">
        <v>333</v>
      </c>
      <c r="C83" s="430" t="s">
        <v>334</v>
      </c>
      <c r="D83" s="430"/>
      <c r="E83" s="430"/>
      <c r="F83" s="39" t="s">
        <v>70</v>
      </c>
      <c r="G83" s="40" t="s">
        <v>4379</v>
      </c>
      <c r="H83" s="100"/>
      <c r="I83" s="41"/>
      <c r="J83" s="41"/>
      <c r="K83" s="42"/>
      <c r="BB83" s="14"/>
      <c r="BC83" s="15"/>
      <c r="BD83" s="21"/>
      <c r="BE83" s="12"/>
      <c r="BF83" s="43" t="s">
        <v>334</v>
      </c>
      <c r="BG83" s="12"/>
    </row>
    <row r="84" spans="1:59" s="3" customFormat="1" ht="20.399999999999999" x14ac:dyDescent="0.3">
      <c r="A84" s="25"/>
      <c r="B84" s="26" t="s">
        <v>336</v>
      </c>
      <c r="C84" s="419" t="s">
        <v>337</v>
      </c>
      <c r="D84" s="419"/>
      <c r="E84" s="419"/>
      <c r="F84" s="27" t="s">
        <v>70</v>
      </c>
      <c r="G84" s="22" t="s">
        <v>4380</v>
      </c>
      <c r="H84" s="58"/>
      <c r="I84" s="28"/>
      <c r="J84" s="28"/>
      <c r="K84" s="29"/>
      <c r="BB84" s="14"/>
      <c r="BC84" s="15"/>
      <c r="BD84" s="21"/>
      <c r="BE84" s="12" t="s">
        <v>337</v>
      </c>
      <c r="BF84" s="43"/>
      <c r="BG84" s="12"/>
    </row>
    <row r="85" spans="1:59" s="3" customFormat="1" ht="20.399999999999999" x14ac:dyDescent="0.3">
      <c r="A85" s="25"/>
      <c r="B85" s="26" t="s">
        <v>339</v>
      </c>
      <c r="C85" s="419" t="s">
        <v>340</v>
      </c>
      <c r="D85" s="419"/>
      <c r="E85" s="419"/>
      <c r="F85" s="27" t="s">
        <v>75</v>
      </c>
      <c r="G85" s="22" t="s">
        <v>4381</v>
      </c>
      <c r="H85" s="58"/>
      <c r="I85" s="28"/>
      <c r="J85" s="28"/>
      <c r="K85" s="29"/>
      <c r="BB85" s="14"/>
      <c r="BC85" s="15"/>
      <c r="BD85" s="21"/>
      <c r="BE85" s="12" t="s">
        <v>340</v>
      </c>
      <c r="BF85" s="43"/>
      <c r="BG85" s="12"/>
    </row>
    <row r="86" spans="1:59" s="3" customFormat="1" ht="20.399999999999999" x14ac:dyDescent="0.3">
      <c r="A86" s="25" t="s">
        <v>129</v>
      </c>
      <c r="B86" s="26" t="s">
        <v>344</v>
      </c>
      <c r="C86" s="419" t="s">
        <v>345</v>
      </c>
      <c r="D86" s="419"/>
      <c r="E86" s="419"/>
      <c r="F86" s="27" t="s">
        <v>70</v>
      </c>
      <c r="G86" s="22" t="s">
        <v>4378</v>
      </c>
      <c r="H86" s="58"/>
      <c r="I86" s="28"/>
      <c r="J86" s="28"/>
      <c r="K86" s="29"/>
      <c r="BB86" s="14"/>
      <c r="BC86" s="15"/>
      <c r="BD86" s="21"/>
      <c r="BE86" s="12"/>
      <c r="BF86" s="43"/>
      <c r="BG86" s="12" t="s">
        <v>345</v>
      </c>
    </row>
    <row r="87" spans="1:59" s="3" customFormat="1" ht="21.6" x14ac:dyDescent="0.3">
      <c r="A87" s="25" t="s">
        <v>129</v>
      </c>
      <c r="B87" s="26" t="s">
        <v>2288</v>
      </c>
      <c r="C87" s="419" t="s">
        <v>2289</v>
      </c>
      <c r="D87" s="419"/>
      <c r="E87" s="419"/>
      <c r="F87" s="27" t="s">
        <v>70</v>
      </c>
      <c r="G87" s="22" t="s">
        <v>4379</v>
      </c>
      <c r="H87" s="58"/>
      <c r="I87" s="28"/>
      <c r="J87" s="28"/>
      <c r="K87" s="29"/>
      <c r="BB87" s="14"/>
      <c r="BC87" s="15"/>
      <c r="BD87" s="21"/>
      <c r="BE87" s="12"/>
      <c r="BF87" s="43"/>
      <c r="BG87" s="12" t="s">
        <v>2289</v>
      </c>
    </row>
    <row r="88" spans="1:59" s="3" customFormat="1" ht="15" customHeight="1" x14ac:dyDescent="0.3">
      <c r="A88" s="435" t="s">
        <v>4382</v>
      </c>
      <c r="B88" s="436"/>
      <c r="C88" s="436"/>
      <c r="D88" s="436"/>
      <c r="E88" s="436"/>
      <c r="F88" s="436"/>
      <c r="G88" s="436"/>
      <c r="H88" s="103"/>
      <c r="I88" s="103"/>
      <c r="J88" s="103"/>
      <c r="K88" s="104"/>
      <c r="BB88" s="14" t="s">
        <v>4382</v>
      </c>
      <c r="BC88" s="15"/>
      <c r="BD88" s="21"/>
      <c r="BE88" s="12"/>
      <c r="BF88" s="43"/>
      <c r="BG88" s="12"/>
    </row>
    <row r="89" spans="1:59" s="3" customFormat="1" ht="15" customHeight="1" x14ac:dyDescent="0.3">
      <c r="A89" s="437" t="s">
        <v>4354</v>
      </c>
      <c r="B89" s="418"/>
      <c r="C89" s="418"/>
      <c r="D89" s="418"/>
      <c r="E89" s="418"/>
      <c r="F89" s="418"/>
      <c r="G89" s="418"/>
      <c r="H89" s="123"/>
      <c r="I89" s="123"/>
      <c r="J89" s="123"/>
      <c r="K89" s="124"/>
      <c r="BB89" s="14"/>
      <c r="BC89" s="15" t="s">
        <v>4354</v>
      </c>
      <c r="BD89" s="21"/>
      <c r="BE89" s="12"/>
      <c r="BF89" s="43"/>
      <c r="BG89" s="12"/>
    </row>
    <row r="90" spans="1:59" s="3" customFormat="1" ht="21.6" x14ac:dyDescent="0.3">
      <c r="A90" s="16" t="s">
        <v>196</v>
      </c>
      <c r="B90" s="17" t="s">
        <v>4355</v>
      </c>
      <c r="C90" s="405" t="s">
        <v>4356</v>
      </c>
      <c r="D90" s="405"/>
      <c r="E90" s="405"/>
      <c r="F90" s="16" t="s">
        <v>46</v>
      </c>
      <c r="G90" s="31">
        <v>0.84</v>
      </c>
      <c r="H90" s="57">
        <f>I90/G90</f>
        <v>909.89285714285734</v>
      </c>
      <c r="I90" s="19">
        <f>1257.63-K90</f>
        <v>764.31000000000017</v>
      </c>
      <c r="J90" s="19">
        <f>K90/G90</f>
        <v>587.28571428571433</v>
      </c>
      <c r="K90" s="19">
        <v>493.32</v>
      </c>
      <c r="BB90" s="14"/>
      <c r="BC90" s="15"/>
      <c r="BD90" s="21" t="s">
        <v>4356</v>
      </c>
      <c r="BE90" s="12"/>
      <c r="BF90" s="43"/>
      <c r="BG90" s="12"/>
    </row>
    <row r="91" spans="1:59" s="3" customFormat="1" ht="20.399999999999999" x14ac:dyDescent="0.3">
      <c r="A91" s="25"/>
      <c r="B91" s="26" t="s">
        <v>154</v>
      </c>
      <c r="C91" s="419" t="s">
        <v>155</v>
      </c>
      <c r="D91" s="419"/>
      <c r="E91" s="419"/>
      <c r="F91" s="27" t="s">
        <v>46</v>
      </c>
      <c r="G91" s="22" t="s">
        <v>4383</v>
      </c>
      <c r="H91" s="58"/>
      <c r="I91" s="28"/>
      <c r="J91" s="28"/>
      <c r="K91" s="29"/>
      <c r="BB91" s="14"/>
      <c r="BC91" s="15"/>
      <c r="BD91" s="21"/>
      <c r="BE91" s="12" t="s">
        <v>155</v>
      </c>
      <c r="BF91" s="43"/>
      <c r="BG91" s="12"/>
    </row>
    <row r="92" spans="1:59" s="3" customFormat="1" ht="20.399999999999999" x14ac:dyDescent="0.3">
      <c r="A92" s="37" t="s">
        <v>143</v>
      </c>
      <c r="B92" s="38" t="s">
        <v>767</v>
      </c>
      <c r="C92" s="430" t="s">
        <v>768</v>
      </c>
      <c r="D92" s="430"/>
      <c r="E92" s="430"/>
      <c r="F92" s="39" t="s">
        <v>46</v>
      </c>
      <c r="G92" s="40" t="s">
        <v>4384</v>
      </c>
      <c r="H92" s="100"/>
      <c r="I92" s="41"/>
      <c r="J92" s="41"/>
      <c r="K92" s="42"/>
      <c r="BB92" s="14"/>
      <c r="BC92" s="15"/>
      <c r="BD92" s="21"/>
      <c r="BE92" s="12"/>
      <c r="BF92" s="43" t="s">
        <v>768</v>
      </c>
      <c r="BG92" s="12"/>
    </row>
    <row r="93" spans="1:59" s="3" customFormat="1" ht="21.6" x14ac:dyDescent="0.3">
      <c r="A93" s="25" t="s">
        <v>129</v>
      </c>
      <c r="B93" s="26" t="s">
        <v>205</v>
      </c>
      <c r="C93" s="419" t="s">
        <v>82</v>
      </c>
      <c r="D93" s="419"/>
      <c r="E93" s="419"/>
      <c r="F93" s="27" t="s">
        <v>46</v>
      </c>
      <c r="G93" s="22" t="s">
        <v>4384</v>
      </c>
      <c r="H93" s="58"/>
      <c r="I93" s="28"/>
      <c r="J93" s="28"/>
      <c r="K93" s="29"/>
      <c r="BB93" s="14"/>
      <c r="BC93" s="15"/>
      <c r="BD93" s="21"/>
      <c r="BE93" s="12"/>
      <c r="BF93" s="43"/>
      <c r="BG93" s="12" t="s">
        <v>82</v>
      </c>
    </row>
    <row r="94" spans="1:59" s="3" customFormat="1" ht="15" customHeight="1" x14ac:dyDescent="0.3">
      <c r="A94" s="437" t="s">
        <v>1986</v>
      </c>
      <c r="B94" s="418"/>
      <c r="C94" s="418"/>
      <c r="D94" s="418"/>
      <c r="E94" s="418"/>
      <c r="F94" s="418"/>
      <c r="G94" s="418"/>
      <c r="H94" s="123"/>
      <c r="I94" s="123"/>
      <c r="J94" s="123"/>
      <c r="K94" s="124"/>
      <c r="BB94" s="14"/>
      <c r="BC94" s="15" t="s">
        <v>1986</v>
      </c>
      <c r="BD94" s="21"/>
      <c r="BE94" s="12"/>
      <c r="BF94" s="43"/>
      <c r="BG94" s="12"/>
    </row>
    <row r="95" spans="1:59" s="3" customFormat="1" ht="31.8" x14ac:dyDescent="0.3">
      <c r="A95" s="16" t="s">
        <v>198</v>
      </c>
      <c r="B95" s="17" t="s">
        <v>1183</v>
      </c>
      <c r="C95" s="405" t="s">
        <v>1184</v>
      </c>
      <c r="D95" s="405"/>
      <c r="E95" s="405"/>
      <c r="F95" s="16" t="s">
        <v>189</v>
      </c>
      <c r="G95" s="30">
        <v>3.8E-3</v>
      </c>
      <c r="H95" s="57">
        <f>I95/G95</f>
        <v>49544.736842105274</v>
      </c>
      <c r="I95" s="19">
        <f>330.72-K95</f>
        <v>188.27000000000004</v>
      </c>
      <c r="J95" s="19">
        <f>K95/G95</f>
        <v>37486.842105263153</v>
      </c>
      <c r="K95" s="19">
        <v>142.44999999999999</v>
      </c>
      <c r="BB95" s="14"/>
      <c r="BC95" s="15"/>
      <c r="BD95" s="21" t="s">
        <v>1184</v>
      </c>
      <c r="BE95" s="12"/>
      <c r="BF95" s="43"/>
      <c r="BG95" s="12"/>
    </row>
    <row r="96" spans="1:59" s="3" customFormat="1" ht="21.6" x14ac:dyDescent="0.3">
      <c r="A96" s="37" t="s">
        <v>78</v>
      </c>
      <c r="B96" s="38" t="s">
        <v>1185</v>
      </c>
      <c r="C96" s="430" t="s">
        <v>1186</v>
      </c>
      <c r="D96" s="430"/>
      <c r="E96" s="430"/>
      <c r="F96" s="39" t="s">
        <v>158</v>
      </c>
      <c r="G96" s="40" t="s">
        <v>33</v>
      </c>
      <c r="H96" s="100"/>
      <c r="I96" s="41"/>
      <c r="J96" s="41"/>
      <c r="K96" s="42"/>
      <c r="BB96" s="14"/>
      <c r="BC96" s="15"/>
      <c r="BD96" s="21"/>
      <c r="BE96" s="12"/>
      <c r="BF96" s="43" t="s">
        <v>1186</v>
      </c>
      <c r="BG96" s="12"/>
    </row>
    <row r="97" spans="1:59" s="3" customFormat="1" ht="20.399999999999999" x14ac:dyDescent="0.3">
      <c r="A97" s="25"/>
      <c r="B97" s="26" t="s">
        <v>648</v>
      </c>
      <c r="C97" s="419" t="s">
        <v>649</v>
      </c>
      <c r="D97" s="419"/>
      <c r="E97" s="419"/>
      <c r="F97" s="27" t="s">
        <v>70</v>
      </c>
      <c r="G97" s="22" t="s">
        <v>4385</v>
      </c>
      <c r="H97" s="58"/>
      <c r="I97" s="28"/>
      <c r="J97" s="28"/>
      <c r="K97" s="29"/>
      <c r="BB97" s="14"/>
      <c r="BC97" s="15"/>
      <c r="BD97" s="21"/>
      <c r="BE97" s="12" t="s">
        <v>649</v>
      </c>
      <c r="BF97" s="43"/>
      <c r="BG97" s="12"/>
    </row>
    <row r="98" spans="1:59" s="3" customFormat="1" ht="21.6" x14ac:dyDescent="0.3">
      <c r="A98" s="25" t="s">
        <v>129</v>
      </c>
      <c r="B98" s="26" t="s">
        <v>1988</v>
      </c>
      <c r="C98" s="419" t="s">
        <v>1989</v>
      </c>
      <c r="D98" s="419"/>
      <c r="E98" s="419"/>
      <c r="F98" s="27" t="s">
        <v>158</v>
      </c>
      <c r="G98" s="22" t="s">
        <v>4386</v>
      </c>
      <c r="H98" s="58"/>
      <c r="I98" s="28"/>
      <c r="J98" s="28"/>
      <c r="K98" s="29"/>
      <c r="BB98" s="14"/>
      <c r="BC98" s="15"/>
      <c r="BD98" s="21"/>
      <c r="BE98" s="12"/>
      <c r="BF98" s="43"/>
      <c r="BG98" s="12" t="s">
        <v>1989</v>
      </c>
    </row>
    <row r="99" spans="1:59" s="3" customFormat="1" ht="15" customHeight="1" x14ac:dyDescent="0.3">
      <c r="A99" s="437" t="s">
        <v>1991</v>
      </c>
      <c r="B99" s="418"/>
      <c r="C99" s="418"/>
      <c r="D99" s="418"/>
      <c r="E99" s="418"/>
      <c r="F99" s="418"/>
      <c r="G99" s="418"/>
      <c r="H99" s="123"/>
      <c r="I99" s="123"/>
      <c r="J99" s="123"/>
      <c r="K99" s="124"/>
      <c r="BB99" s="14"/>
      <c r="BC99" s="15" t="s">
        <v>1991</v>
      </c>
      <c r="BD99" s="21"/>
      <c r="BE99" s="12"/>
      <c r="BF99" s="43"/>
      <c r="BG99" s="12"/>
    </row>
    <row r="100" spans="1:59" s="3" customFormat="1" ht="14.4" x14ac:dyDescent="0.3">
      <c r="A100" s="16" t="s">
        <v>201</v>
      </c>
      <c r="B100" s="17" t="s">
        <v>152</v>
      </c>
      <c r="C100" s="405" t="s">
        <v>153</v>
      </c>
      <c r="D100" s="405"/>
      <c r="E100" s="405"/>
      <c r="F100" s="16" t="s">
        <v>125</v>
      </c>
      <c r="G100" s="18">
        <v>3.0000000000000001E-3</v>
      </c>
      <c r="H100" s="57">
        <f>I100/G100</f>
        <v>154979.99999999994</v>
      </c>
      <c r="I100" s="19">
        <f>2005.62-K100</f>
        <v>464.93999999999983</v>
      </c>
      <c r="J100" s="19">
        <f>K100/G100</f>
        <v>513560</v>
      </c>
      <c r="K100" s="19">
        <v>1540.68</v>
      </c>
      <c r="BB100" s="14"/>
      <c r="BC100" s="15"/>
      <c r="BD100" s="21" t="s">
        <v>153</v>
      </c>
      <c r="BE100" s="12"/>
      <c r="BF100" s="43"/>
      <c r="BG100" s="12"/>
    </row>
    <row r="101" spans="1:59" s="3" customFormat="1" ht="20.399999999999999" x14ac:dyDescent="0.3">
      <c r="A101" s="25"/>
      <c r="B101" s="26" t="s">
        <v>154</v>
      </c>
      <c r="C101" s="419" t="s">
        <v>155</v>
      </c>
      <c r="D101" s="419"/>
      <c r="E101" s="419"/>
      <c r="F101" s="27" t="s">
        <v>46</v>
      </c>
      <c r="G101" s="22" t="s">
        <v>4387</v>
      </c>
      <c r="H101" s="58"/>
      <c r="I101" s="28"/>
      <c r="J101" s="28"/>
      <c r="K101" s="29"/>
      <c r="BB101" s="14"/>
      <c r="BC101" s="15"/>
      <c r="BD101" s="21"/>
      <c r="BE101" s="12" t="s">
        <v>155</v>
      </c>
      <c r="BF101" s="43"/>
      <c r="BG101" s="12"/>
    </row>
    <row r="102" spans="1:59" s="3" customFormat="1" ht="20.399999999999999" x14ac:dyDescent="0.3">
      <c r="A102" s="25"/>
      <c r="B102" s="26" t="s">
        <v>156</v>
      </c>
      <c r="C102" s="419" t="s">
        <v>157</v>
      </c>
      <c r="D102" s="419"/>
      <c r="E102" s="419"/>
      <c r="F102" s="27" t="s">
        <v>158</v>
      </c>
      <c r="G102" s="22" t="s">
        <v>4388</v>
      </c>
      <c r="H102" s="58"/>
      <c r="I102" s="28"/>
      <c r="J102" s="28"/>
      <c r="K102" s="29"/>
      <c r="BB102" s="14"/>
      <c r="BC102" s="15"/>
      <c r="BD102" s="21"/>
      <c r="BE102" s="12" t="s">
        <v>157</v>
      </c>
      <c r="BF102" s="43"/>
      <c r="BG102" s="12"/>
    </row>
    <row r="103" spans="1:59" s="3" customFormat="1" ht="20.399999999999999" x14ac:dyDescent="0.3">
      <c r="A103" s="37" t="s">
        <v>143</v>
      </c>
      <c r="B103" s="38" t="s">
        <v>159</v>
      </c>
      <c r="C103" s="430" t="s">
        <v>160</v>
      </c>
      <c r="D103" s="430"/>
      <c r="E103" s="430"/>
      <c r="F103" s="39" t="s">
        <v>46</v>
      </c>
      <c r="G103" s="40" t="s">
        <v>4389</v>
      </c>
      <c r="H103" s="100"/>
      <c r="I103" s="41"/>
      <c r="J103" s="41"/>
      <c r="K103" s="42"/>
      <c r="BB103" s="14"/>
      <c r="BC103" s="15"/>
      <c r="BD103" s="21"/>
      <c r="BE103" s="12"/>
      <c r="BF103" s="43" t="s">
        <v>160</v>
      </c>
      <c r="BG103" s="12"/>
    </row>
    <row r="104" spans="1:59" s="3" customFormat="1" ht="21.6" x14ac:dyDescent="0.3">
      <c r="A104" s="25" t="s">
        <v>129</v>
      </c>
      <c r="B104" s="26" t="s">
        <v>1995</v>
      </c>
      <c r="C104" s="419" t="s">
        <v>1996</v>
      </c>
      <c r="D104" s="419"/>
      <c r="E104" s="419"/>
      <c r="F104" s="27" t="s">
        <v>46</v>
      </c>
      <c r="G104" s="22" t="s">
        <v>4389</v>
      </c>
      <c r="H104" s="58"/>
      <c r="I104" s="28"/>
      <c r="J104" s="28"/>
      <c r="K104" s="29"/>
      <c r="BB104" s="14"/>
      <c r="BC104" s="15"/>
      <c r="BD104" s="21"/>
      <c r="BE104" s="12"/>
      <c r="BF104" s="43"/>
      <c r="BG104" s="12" t="s">
        <v>1996</v>
      </c>
    </row>
    <row r="105" spans="1:59" s="3" customFormat="1" ht="15" customHeight="1" x14ac:dyDescent="0.3">
      <c r="A105" s="437" t="s">
        <v>2016</v>
      </c>
      <c r="B105" s="418"/>
      <c r="C105" s="418"/>
      <c r="D105" s="418"/>
      <c r="E105" s="418"/>
      <c r="F105" s="418"/>
      <c r="G105" s="418"/>
      <c r="H105" s="123"/>
      <c r="I105" s="123"/>
      <c r="J105" s="123"/>
      <c r="K105" s="124"/>
      <c r="BB105" s="14"/>
      <c r="BC105" s="15" t="s">
        <v>2016</v>
      </c>
      <c r="BD105" s="21"/>
      <c r="BE105" s="12"/>
      <c r="BF105" s="43"/>
      <c r="BG105" s="12"/>
    </row>
    <row r="106" spans="1:59" s="3" customFormat="1" ht="21.6" x14ac:dyDescent="0.3">
      <c r="A106" s="16" t="s">
        <v>219</v>
      </c>
      <c r="B106" s="17" t="s">
        <v>273</v>
      </c>
      <c r="C106" s="405" t="s">
        <v>274</v>
      </c>
      <c r="D106" s="405"/>
      <c r="E106" s="405"/>
      <c r="F106" s="16" t="s">
        <v>125</v>
      </c>
      <c r="G106" s="30">
        <v>3.2599999999999997E-2</v>
      </c>
      <c r="H106" s="57">
        <f>I106/G106</f>
        <v>229999.38650306748</v>
      </c>
      <c r="I106" s="19">
        <f>34262.11-K106</f>
        <v>7497.98</v>
      </c>
      <c r="J106" s="19">
        <f>K106/G106</f>
        <v>820985.58282208594</v>
      </c>
      <c r="K106" s="19">
        <v>26764.13</v>
      </c>
      <c r="BB106" s="14"/>
      <c r="BC106" s="15"/>
      <c r="BD106" s="21" t="s">
        <v>274</v>
      </c>
      <c r="BE106" s="12"/>
      <c r="BF106" s="43"/>
      <c r="BG106" s="12"/>
    </row>
    <row r="107" spans="1:59" s="3" customFormat="1" ht="20.399999999999999" x14ac:dyDescent="0.3">
      <c r="A107" s="25"/>
      <c r="B107" s="26" t="s">
        <v>154</v>
      </c>
      <c r="C107" s="419" t="s">
        <v>155</v>
      </c>
      <c r="D107" s="419"/>
      <c r="E107" s="419"/>
      <c r="F107" s="27" t="s">
        <v>46</v>
      </c>
      <c r="G107" s="22" t="s">
        <v>4390</v>
      </c>
      <c r="H107" s="58"/>
      <c r="I107" s="28"/>
      <c r="J107" s="28"/>
      <c r="K107" s="29"/>
      <c r="BB107" s="14"/>
      <c r="BC107" s="15"/>
      <c r="BD107" s="21"/>
      <c r="BE107" s="12" t="s">
        <v>155</v>
      </c>
      <c r="BF107" s="43"/>
      <c r="BG107" s="12"/>
    </row>
    <row r="108" spans="1:59" s="3" customFormat="1" ht="20.399999999999999" x14ac:dyDescent="0.3">
      <c r="A108" s="25"/>
      <c r="B108" s="26" t="s">
        <v>156</v>
      </c>
      <c r="C108" s="419" t="s">
        <v>157</v>
      </c>
      <c r="D108" s="419"/>
      <c r="E108" s="419"/>
      <c r="F108" s="27" t="s">
        <v>158</v>
      </c>
      <c r="G108" s="22" t="s">
        <v>4391</v>
      </c>
      <c r="H108" s="58"/>
      <c r="I108" s="28"/>
      <c r="J108" s="28"/>
      <c r="K108" s="29"/>
      <c r="BB108" s="14"/>
      <c r="BC108" s="15"/>
      <c r="BD108" s="21"/>
      <c r="BE108" s="12" t="s">
        <v>157</v>
      </c>
      <c r="BF108" s="43"/>
      <c r="BG108" s="12"/>
    </row>
    <row r="109" spans="1:59" s="3" customFormat="1" ht="20.399999999999999" x14ac:dyDescent="0.3">
      <c r="A109" s="25"/>
      <c r="B109" s="26" t="s">
        <v>277</v>
      </c>
      <c r="C109" s="419" t="s">
        <v>278</v>
      </c>
      <c r="D109" s="419"/>
      <c r="E109" s="419"/>
      <c r="F109" s="27" t="s">
        <v>70</v>
      </c>
      <c r="G109" s="22" t="s">
        <v>4392</v>
      </c>
      <c r="H109" s="58"/>
      <c r="I109" s="28"/>
      <c r="J109" s="28"/>
      <c r="K109" s="29"/>
      <c r="BB109" s="14"/>
      <c r="BC109" s="15"/>
      <c r="BD109" s="21"/>
      <c r="BE109" s="12" t="s">
        <v>278</v>
      </c>
      <c r="BF109" s="43"/>
      <c r="BG109" s="12"/>
    </row>
    <row r="110" spans="1:59" s="3" customFormat="1" ht="20.399999999999999" x14ac:dyDescent="0.3">
      <c r="A110" s="25"/>
      <c r="B110" s="26" t="s">
        <v>76</v>
      </c>
      <c r="C110" s="419" t="s">
        <v>77</v>
      </c>
      <c r="D110" s="419"/>
      <c r="E110" s="419"/>
      <c r="F110" s="27" t="s">
        <v>70</v>
      </c>
      <c r="G110" s="22" t="s">
        <v>4393</v>
      </c>
      <c r="H110" s="58"/>
      <c r="I110" s="28"/>
      <c r="J110" s="28"/>
      <c r="K110" s="29"/>
      <c r="BB110" s="14"/>
      <c r="BC110" s="15"/>
      <c r="BD110" s="21"/>
      <c r="BE110" s="12" t="s">
        <v>77</v>
      </c>
      <c r="BF110" s="43"/>
      <c r="BG110" s="12"/>
    </row>
    <row r="111" spans="1:59" s="3" customFormat="1" ht="21.6" x14ac:dyDescent="0.3">
      <c r="A111" s="25"/>
      <c r="B111" s="26" t="s">
        <v>281</v>
      </c>
      <c r="C111" s="419" t="s">
        <v>282</v>
      </c>
      <c r="D111" s="419"/>
      <c r="E111" s="419"/>
      <c r="F111" s="27" t="s">
        <v>70</v>
      </c>
      <c r="G111" s="22" t="s">
        <v>4394</v>
      </c>
      <c r="H111" s="58"/>
      <c r="I111" s="28"/>
      <c r="J111" s="28"/>
      <c r="K111" s="29"/>
      <c r="BB111" s="14"/>
      <c r="BC111" s="15"/>
      <c r="BD111" s="21"/>
      <c r="BE111" s="12" t="s">
        <v>282</v>
      </c>
      <c r="BF111" s="43"/>
      <c r="BG111" s="12"/>
    </row>
    <row r="112" spans="1:59" s="3" customFormat="1" ht="20.399999999999999" x14ac:dyDescent="0.3">
      <c r="A112" s="37" t="s">
        <v>143</v>
      </c>
      <c r="B112" s="38" t="s">
        <v>159</v>
      </c>
      <c r="C112" s="430" t="s">
        <v>160</v>
      </c>
      <c r="D112" s="430"/>
      <c r="E112" s="430"/>
      <c r="F112" s="39" t="s">
        <v>46</v>
      </c>
      <c r="G112" s="40" t="s">
        <v>4395</v>
      </c>
      <c r="H112" s="100"/>
      <c r="I112" s="41"/>
      <c r="J112" s="41"/>
      <c r="K112" s="42"/>
      <c r="BB112" s="14"/>
      <c r="BC112" s="15"/>
      <c r="BD112" s="21"/>
      <c r="BE112" s="12"/>
      <c r="BF112" s="43" t="s">
        <v>160</v>
      </c>
      <c r="BG112" s="12"/>
    </row>
    <row r="113" spans="1:59" s="3" customFormat="1" ht="21.6" x14ac:dyDescent="0.3">
      <c r="A113" s="25"/>
      <c r="B113" s="26" t="s">
        <v>285</v>
      </c>
      <c r="C113" s="419" t="s">
        <v>286</v>
      </c>
      <c r="D113" s="419"/>
      <c r="E113" s="419"/>
      <c r="F113" s="27" t="s">
        <v>70</v>
      </c>
      <c r="G113" s="22" t="s">
        <v>4396</v>
      </c>
      <c r="H113" s="58"/>
      <c r="I113" s="28"/>
      <c r="J113" s="28"/>
      <c r="K113" s="29"/>
      <c r="BB113" s="14"/>
      <c r="BC113" s="15"/>
      <c r="BD113" s="21"/>
      <c r="BE113" s="12" t="s">
        <v>286</v>
      </c>
      <c r="BF113" s="43"/>
      <c r="BG113" s="12"/>
    </row>
    <row r="114" spans="1:59" s="3" customFormat="1" ht="20.399999999999999" x14ac:dyDescent="0.3">
      <c r="A114" s="37" t="s">
        <v>143</v>
      </c>
      <c r="B114" s="38" t="s">
        <v>288</v>
      </c>
      <c r="C114" s="430" t="s">
        <v>289</v>
      </c>
      <c r="D114" s="430"/>
      <c r="E114" s="430"/>
      <c r="F114" s="39" t="s">
        <v>70</v>
      </c>
      <c r="G114" s="40" t="s">
        <v>4397</v>
      </c>
      <c r="H114" s="100"/>
      <c r="I114" s="41"/>
      <c r="J114" s="41"/>
      <c r="K114" s="42"/>
      <c r="BB114" s="14"/>
      <c r="BC114" s="15"/>
      <c r="BD114" s="21"/>
      <c r="BE114" s="12"/>
      <c r="BF114" s="43" t="s">
        <v>289</v>
      </c>
      <c r="BG114" s="12"/>
    </row>
    <row r="115" spans="1:59" s="3" customFormat="1" ht="31.8" x14ac:dyDescent="0.3">
      <c r="A115" s="25"/>
      <c r="B115" s="26" t="s">
        <v>291</v>
      </c>
      <c r="C115" s="419" t="s">
        <v>292</v>
      </c>
      <c r="D115" s="419"/>
      <c r="E115" s="419"/>
      <c r="F115" s="27" t="s">
        <v>46</v>
      </c>
      <c r="G115" s="22" t="s">
        <v>4398</v>
      </c>
      <c r="H115" s="58"/>
      <c r="I115" s="28"/>
      <c r="J115" s="28"/>
      <c r="K115" s="29"/>
      <c r="BB115" s="14"/>
      <c r="BC115" s="15"/>
      <c r="BD115" s="21"/>
      <c r="BE115" s="12" t="s">
        <v>292</v>
      </c>
      <c r="BF115" s="43"/>
      <c r="BG115" s="12"/>
    </row>
    <row r="116" spans="1:59" s="3" customFormat="1" ht="20.399999999999999" x14ac:dyDescent="0.3">
      <c r="A116" s="25"/>
      <c r="B116" s="26" t="s">
        <v>294</v>
      </c>
      <c r="C116" s="419" t="s">
        <v>295</v>
      </c>
      <c r="D116" s="419"/>
      <c r="E116" s="419"/>
      <c r="F116" s="27" t="s">
        <v>158</v>
      </c>
      <c r="G116" s="22" t="s">
        <v>4399</v>
      </c>
      <c r="H116" s="58"/>
      <c r="I116" s="28"/>
      <c r="J116" s="28"/>
      <c r="K116" s="29"/>
      <c r="BB116" s="14"/>
      <c r="BC116" s="15"/>
      <c r="BD116" s="21"/>
      <c r="BE116" s="12" t="s">
        <v>295</v>
      </c>
      <c r="BF116" s="43"/>
      <c r="BG116" s="12"/>
    </row>
    <row r="117" spans="1:59" s="3" customFormat="1" ht="21.6" x14ac:dyDescent="0.3">
      <c r="A117" s="25" t="s">
        <v>129</v>
      </c>
      <c r="B117" s="26" t="s">
        <v>2031</v>
      </c>
      <c r="C117" s="419" t="s">
        <v>2032</v>
      </c>
      <c r="D117" s="419"/>
      <c r="E117" s="419"/>
      <c r="F117" s="27" t="s">
        <v>46</v>
      </c>
      <c r="G117" s="22" t="s">
        <v>4395</v>
      </c>
      <c r="H117" s="58"/>
      <c r="I117" s="28"/>
      <c r="J117" s="28"/>
      <c r="K117" s="29"/>
      <c r="BB117" s="14"/>
      <c r="BC117" s="15"/>
      <c r="BD117" s="21"/>
      <c r="BE117" s="12"/>
      <c r="BF117" s="43"/>
      <c r="BG117" s="12" t="s">
        <v>2032</v>
      </c>
    </row>
    <row r="118" spans="1:59" s="3" customFormat="1" ht="21.6" x14ac:dyDescent="0.3">
      <c r="A118" s="25" t="s">
        <v>129</v>
      </c>
      <c r="B118" s="26" t="s">
        <v>2033</v>
      </c>
      <c r="C118" s="419" t="s">
        <v>2034</v>
      </c>
      <c r="D118" s="419"/>
      <c r="E118" s="419"/>
      <c r="F118" s="27" t="s">
        <v>70</v>
      </c>
      <c r="G118" s="22" t="s">
        <v>4400</v>
      </c>
      <c r="H118" s="58"/>
      <c r="I118" s="28"/>
      <c r="J118" s="28"/>
      <c r="K118" s="29"/>
      <c r="BB118" s="14"/>
      <c r="BC118" s="15"/>
      <c r="BD118" s="21"/>
      <c r="BE118" s="12"/>
      <c r="BF118" s="43"/>
      <c r="BG118" s="12" t="s">
        <v>2034</v>
      </c>
    </row>
    <row r="119" spans="1:59" s="3" customFormat="1" ht="21.6" x14ac:dyDescent="0.3">
      <c r="A119" s="25" t="s">
        <v>129</v>
      </c>
      <c r="B119" s="26" t="s">
        <v>2043</v>
      </c>
      <c r="C119" s="419" t="s">
        <v>2044</v>
      </c>
      <c r="D119" s="419"/>
      <c r="E119" s="419"/>
      <c r="F119" s="27" t="s">
        <v>70</v>
      </c>
      <c r="G119" s="22" t="s">
        <v>4401</v>
      </c>
      <c r="H119" s="58"/>
      <c r="I119" s="28"/>
      <c r="J119" s="28"/>
      <c r="K119" s="29"/>
      <c r="BB119" s="14"/>
      <c r="BC119" s="15"/>
      <c r="BD119" s="21"/>
      <c r="BE119" s="12"/>
      <c r="BF119" s="43"/>
      <c r="BG119" s="12" t="s">
        <v>2044</v>
      </c>
    </row>
    <row r="120" spans="1:59" s="3" customFormat="1" ht="31.8" x14ac:dyDescent="0.3">
      <c r="A120" s="16" t="s">
        <v>222</v>
      </c>
      <c r="B120" s="17" t="s">
        <v>2027</v>
      </c>
      <c r="C120" s="405" t="s">
        <v>2028</v>
      </c>
      <c r="D120" s="405"/>
      <c r="E120" s="405"/>
      <c r="F120" s="16" t="s">
        <v>311</v>
      </c>
      <c r="G120" s="31">
        <v>3.26</v>
      </c>
      <c r="H120" s="57">
        <f>I120/G120</f>
        <v>0</v>
      </c>
      <c r="I120" s="19">
        <v>0</v>
      </c>
      <c r="J120" s="19">
        <f>K120/G120</f>
        <v>64.25153374233129</v>
      </c>
      <c r="K120" s="19">
        <v>209.46</v>
      </c>
      <c r="BB120" s="14"/>
      <c r="BC120" s="15"/>
      <c r="BD120" s="21" t="s">
        <v>2028</v>
      </c>
      <c r="BE120" s="12"/>
      <c r="BF120" s="43"/>
      <c r="BG120" s="12"/>
    </row>
    <row r="121" spans="1:59" s="3" customFormat="1" ht="31.8" x14ac:dyDescent="0.3">
      <c r="A121" s="16" t="s">
        <v>225</v>
      </c>
      <c r="B121" s="17" t="s">
        <v>2029</v>
      </c>
      <c r="C121" s="405" t="s">
        <v>2030</v>
      </c>
      <c r="D121" s="405"/>
      <c r="E121" s="405"/>
      <c r="F121" s="16" t="s">
        <v>311</v>
      </c>
      <c r="G121" s="31">
        <v>3.26</v>
      </c>
      <c r="H121" s="57">
        <f>I121/G121</f>
        <v>0</v>
      </c>
      <c r="I121" s="19">
        <v>0</v>
      </c>
      <c r="J121" s="19">
        <f>K121/G121</f>
        <v>192.66564417177915</v>
      </c>
      <c r="K121" s="19">
        <v>628.09</v>
      </c>
      <c r="BB121" s="14"/>
      <c r="BC121" s="15"/>
      <c r="BD121" s="21" t="s">
        <v>2030</v>
      </c>
      <c r="BE121" s="12"/>
      <c r="BF121" s="43"/>
      <c r="BG121" s="12"/>
    </row>
    <row r="122" spans="1:59" s="3" customFormat="1" ht="15" customHeight="1" x14ac:dyDescent="0.3">
      <c r="A122" s="437" t="s">
        <v>3318</v>
      </c>
      <c r="B122" s="418"/>
      <c r="C122" s="418"/>
      <c r="D122" s="418"/>
      <c r="E122" s="418"/>
      <c r="F122" s="418"/>
      <c r="G122" s="418"/>
      <c r="H122" s="123"/>
      <c r="I122" s="123"/>
      <c r="J122" s="123"/>
      <c r="K122" s="124"/>
      <c r="BB122" s="14"/>
      <c r="BC122" s="15" t="s">
        <v>3318</v>
      </c>
      <c r="BD122" s="21"/>
      <c r="BE122" s="12"/>
      <c r="BF122" s="43"/>
      <c r="BG122" s="12"/>
    </row>
    <row r="123" spans="1:59" s="3" customFormat="1" ht="21.6" x14ac:dyDescent="0.3">
      <c r="A123" s="16" t="s">
        <v>227</v>
      </c>
      <c r="B123" s="17" t="s">
        <v>2046</v>
      </c>
      <c r="C123" s="405" t="s">
        <v>2047</v>
      </c>
      <c r="D123" s="405"/>
      <c r="E123" s="405"/>
      <c r="F123" s="16" t="s">
        <v>70</v>
      </c>
      <c r="G123" s="44">
        <v>9.7979999999999998E-2</v>
      </c>
      <c r="H123" s="57">
        <f>I123/G123</f>
        <v>200046.64217187182</v>
      </c>
      <c r="I123" s="19">
        <f>29732.04-K123</f>
        <v>19600.57</v>
      </c>
      <c r="J123" s="19">
        <f>K123/G123</f>
        <v>103403.44968360889</v>
      </c>
      <c r="K123" s="19">
        <v>10131.469999999999</v>
      </c>
      <c r="BB123" s="14"/>
      <c r="BC123" s="15"/>
      <c r="BD123" s="21" t="s">
        <v>2047</v>
      </c>
      <c r="BE123" s="12"/>
      <c r="BF123" s="43"/>
      <c r="BG123" s="12"/>
    </row>
    <row r="124" spans="1:59" s="3" customFormat="1" ht="20.399999999999999" x14ac:dyDescent="0.3">
      <c r="A124" s="37" t="s">
        <v>143</v>
      </c>
      <c r="B124" s="38" t="s">
        <v>2048</v>
      </c>
      <c r="C124" s="430" t="s">
        <v>2049</v>
      </c>
      <c r="D124" s="430"/>
      <c r="E124" s="430"/>
      <c r="F124" s="39" t="s">
        <v>70</v>
      </c>
      <c r="G124" s="40" t="s">
        <v>4373</v>
      </c>
      <c r="H124" s="100"/>
      <c r="I124" s="41"/>
      <c r="J124" s="41"/>
      <c r="K124" s="42"/>
      <c r="BB124" s="14"/>
      <c r="BC124" s="15"/>
      <c r="BD124" s="21"/>
      <c r="BE124" s="12"/>
      <c r="BF124" s="43" t="s">
        <v>2049</v>
      </c>
      <c r="BG124" s="12"/>
    </row>
    <row r="125" spans="1:59" s="3" customFormat="1" ht="20.399999999999999" x14ac:dyDescent="0.3">
      <c r="A125" s="25" t="s">
        <v>129</v>
      </c>
      <c r="B125" s="26" t="s">
        <v>2051</v>
      </c>
      <c r="C125" s="419" t="s">
        <v>2052</v>
      </c>
      <c r="D125" s="419"/>
      <c r="E125" s="419"/>
      <c r="F125" s="27" t="s">
        <v>70</v>
      </c>
      <c r="G125" s="22" t="s">
        <v>4373</v>
      </c>
      <c r="H125" s="58"/>
      <c r="I125" s="28"/>
      <c r="J125" s="28"/>
      <c r="K125" s="29"/>
      <c r="BB125" s="14"/>
      <c r="BC125" s="15"/>
      <c r="BD125" s="21"/>
      <c r="BE125" s="12"/>
      <c r="BF125" s="43"/>
      <c r="BG125" s="12" t="s">
        <v>2052</v>
      </c>
    </row>
    <row r="126" spans="1:59" s="3" customFormat="1" ht="15" customHeight="1" x14ac:dyDescent="0.3">
      <c r="A126" s="437" t="s">
        <v>2093</v>
      </c>
      <c r="B126" s="418"/>
      <c r="C126" s="418"/>
      <c r="D126" s="418"/>
      <c r="E126" s="418"/>
      <c r="F126" s="418"/>
      <c r="G126" s="418"/>
      <c r="H126" s="123"/>
      <c r="I126" s="123"/>
      <c r="J126" s="123"/>
      <c r="K126" s="124"/>
      <c r="BB126" s="14"/>
      <c r="BC126" s="15" t="s">
        <v>2093</v>
      </c>
      <c r="BD126" s="21"/>
      <c r="BE126" s="12"/>
      <c r="BF126" s="43"/>
      <c r="BG126" s="12"/>
    </row>
    <row r="127" spans="1:59" s="3" customFormat="1" ht="21.6" x14ac:dyDescent="0.3">
      <c r="A127" s="16" t="s">
        <v>230</v>
      </c>
      <c r="B127" s="17" t="s">
        <v>2094</v>
      </c>
      <c r="C127" s="405" t="s">
        <v>2095</v>
      </c>
      <c r="D127" s="405"/>
      <c r="E127" s="405"/>
      <c r="F127" s="16" t="s">
        <v>329</v>
      </c>
      <c r="G127" s="30">
        <v>4.4299999999999999E-2</v>
      </c>
      <c r="H127" s="57">
        <f>I127/G127</f>
        <v>6055.7562076749437</v>
      </c>
      <c r="I127" s="19">
        <f>327.88-K127</f>
        <v>268.27</v>
      </c>
      <c r="J127" s="19">
        <f>K127/G127</f>
        <v>1345.5981941309255</v>
      </c>
      <c r="K127" s="19">
        <v>59.61</v>
      </c>
      <c r="BB127" s="14"/>
      <c r="BC127" s="15"/>
      <c r="BD127" s="21" t="s">
        <v>2095</v>
      </c>
      <c r="BE127" s="12"/>
      <c r="BF127" s="43"/>
      <c r="BG127" s="12"/>
    </row>
    <row r="128" spans="1:59" s="3" customFormat="1" ht="20.399999999999999" x14ac:dyDescent="0.3">
      <c r="A128" s="25"/>
      <c r="B128" s="26" t="s">
        <v>415</v>
      </c>
      <c r="C128" s="419" t="s">
        <v>416</v>
      </c>
      <c r="D128" s="419"/>
      <c r="E128" s="419"/>
      <c r="F128" s="27" t="s">
        <v>70</v>
      </c>
      <c r="G128" s="22" t="s">
        <v>4402</v>
      </c>
      <c r="H128" s="58"/>
      <c r="I128" s="28"/>
      <c r="J128" s="28"/>
      <c r="K128" s="29"/>
      <c r="BB128" s="14"/>
      <c r="BC128" s="15"/>
      <c r="BD128" s="21"/>
      <c r="BE128" s="12" t="s">
        <v>416</v>
      </c>
      <c r="BF128" s="43"/>
      <c r="BG128" s="12"/>
    </row>
    <row r="129" spans="1:59" s="3" customFormat="1" ht="20.399999999999999" x14ac:dyDescent="0.3">
      <c r="A129" s="25"/>
      <c r="B129" s="26" t="s">
        <v>2097</v>
      </c>
      <c r="C129" s="419" t="s">
        <v>2098</v>
      </c>
      <c r="D129" s="419"/>
      <c r="E129" s="419"/>
      <c r="F129" s="27" t="s">
        <v>70</v>
      </c>
      <c r="G129" s="22" t="s">
        <v>4403</v>
      </c>
      <c r="H129" s="58"/>
      <c r="I129" s="28"/>
      <c r="J129" s="28"/>
      <c r="K129" s="29"/>
      <c r="BB129" s="14"/>
      <c r="BC129" s="15"/>
      <c r="BD129" s="21"/>
      <c r="BE129" s="12" t="s">
        <v>2098</v>
      </c>
      <c r="BF129" s="43"/>
      <c r="BG129" s="12"/>
    </row>
    <row r="130" spans="1:59" s="3" customFormat="1" ht="15" customHeight="1" x14ac:dyDescent="0.3">
      <c r="A130" s="437" t="s">
        <v>3326</v>
      </c>
      <c r="B130" s="418"/>
      <c r="C130" s="418"/>
      <c r="D130" s="418"/>
      <c r="E130" s="418"/>
      <c r="F130" s="418"/>
      <c r="G130" s="418"/>
      <c r="H130" s="123"/>
      <c r="I130" s="123"/>
      <c r="J130" s="123"/>
      <c r="K130" s="124"/>
      <c r="BB130" s="14"/>
      <c r="BC130" s="15" t="s">
        <v>3326</v>
      </c>
      <c r="BD130" s="21"/>
      <c r="BE130" s="12"/>
      <c r="BF130" s="43"/>
      <c r="BG130" s="12"/>
    </row>
    <row r="131" spans="1:59" s="3" customFormat="1" ht="21.6" x14ac:dyDescent="0.3">
      <c r="A131" s="16" t="s">
        <v>233</v>
      </c>
      <c r="B131" s="17" t="s">
        <v>2101</v>
      </c>
      <c r="C131" s="405" t="s">
        <v>2102</v>
      </c>
      <c r="D131" s="405"/>
      <c r="E131" s="405"/>
      <c r="F131" s="16" t="s">
        <v>329</v>
      </c>
      <c r="G131" s="30">
        <v>4.4299999999999999E-2</v>
      </c>
      <c r="H131" s="57">
        <f>I131/G131</f>
        <v>4233.4085778781046</v>
      </c>
      <c r="I131" s="19">
        <f>295.87-K131</f>
        <v>187.54000000000002</v>
      </c>
      <c r="J131" s="19">
        <f>K131/G131</f>
        <v>2445.3724604966142</v>
      </c>
      <c r="K131" s="19">
        <v>108.33</v>
      </c>
      <c r="BB131" s="14"/>
      <c r="BC131" s="15"/>
      <c r="BD131" s="21" t="s">
        <v>2102</v>
      </c>
      <c r="BE131" s="12"/>
      <c r="BF131" s="43"/>
      <c r="BG131" s="12"/>
    </row>
    <row r="132" spans="1:59" s="3" customFormat="1" ht="20.399999999999999" x14ac:dyDescent="0.3">
      <c r="A132" s="25"/>
      <c r="B132" s="26" t="s">
        <v>2103</v>
      </c>
      <c r="C132" s="419" t="s">
        <v>2104</v>
      </c>
      <c r="D132" s="419"/>
      <c r="E132" s="419"/>
      <c r="F132" s="27" t="s">
        <v>70</v>
      </c>
      <c r="G132" s="22" t="s">
        <v>4404</v>
      </c>
      <c r="H132" s="58"/>
      <c r="I132" s="28"/>
      <c r="J132" s="28"/>
      <c r="K132" s="29"/>
      <c r="BB132" s="14"/>
      <c r="BC132" s="15"/>
      <c r="BD132" s="21"/>
      <c r="BE132" s="12" t="s">
        <v>2104</v>
      </c>
      <c r="BF132" s="43"/>
      <c r="BG132" s="12"/>
    </row>
    <row r="133" spans="1:59" s="3" customFormat="1" ht="20.399999999999999" x14ac:dyDescent="0.3">
      <c r="A133" s="25"/>
      <c r="B133" s="26" t="s">
        <v>353</v>
      </c>
      <c r="C133" s="419" t="s">
        <v>354</v>
      </c>
      <c r="D133" s="419"/>
      <c r="E133" s="419"/>
      <c r="F133" s="27" t="s">
        <v>75</v>
      </c>
      <c r="G133" s="22" t="s">
        <v>4405</v>
      </c>
      <c r="H133" s="58"/>
      <c r="I133" s="28"/>
      <c r="J133" s="28"/>
      <c r="K133" s="29"/>
      <c r="BB133" s="14"/>
      <c r="BC133" s="15"/>
      <c r="BD133" s="21"/>
      <c r="BE133" s="12" t="s">
        <v>354</v>
      </c>
      <c r="BF133" s="43"/>
      <c r="BG133" s="12"/>
    </row>
    <row r="134" spans="1:59" s="3" customFormat="1" ht="15" customHeight="1" x14ac:dyDescent="0.3">
      <c r="A134" s="437" t="s">
        <v>2283</v>
      </c>
      <c r="B134" s="418"/>
      <c r="C134" s="418"/>
      <c r="D134" s="418"/>
      <c r="E134" s="418"/>
      <c r="F134" s="418"/>
      <c r="G134" s="418"/>
      <c r="H134" s="123"/>
      <c r="I134" s="123"/>
      <c r="J134" s="123"/>
      <c r="K134" s="124"/>
      <c r="BB134" s="14"/>
      <c r="BC134" s="15" t="s">
        <v>2283</v>
      </c>
      <c r="BD134" s="21"/>
      <c r="BE134" s="12"/>
      <c r="BF134" s="43"/>
      <c r="BG134" s="12"/>
    </row>
    <row r="135" spans="1:59" s="3" customFormat="1" ht="42" x14ac:dyDescent="0.3">
      <c r="A135" s="16" t="s">
        <v>235</v>
      </c>
      <c r="B135" s="17" t="s">
        <v>327</v>
      </c>
      <c r="C135" s="405" t="s">
        <v>328</v>
      </c>
      <c r="D135" s="405"/>
      <c r="E135" s="405"/>
      <c r="F135" s="16" t="s">
        <v>329</v>
      </c>
      <c r="G135" s="30">
        <v>0.15840000000000001</v>
      </c>
      <c r="H135" s="57">
        <f>I135/G135</f>
        <v>25173.67424242424</v>
      </c>
      <c r="I135" s="19">
        <f>8117.91-K135</f>
        <v>3987.51</v>
      </c>
      <c r="J135" s="19">
        <f>K135/G135</f>
        <v>26075.757575757572</v>
      </c>
      <c r="K135" s="19">
        <v>4130.3999999999996</v>
      </c>
      <c r="BB135" s="14"/>
      <c r="BC135" s="15"/>
      <c r="BD135" s="21" t="s">
        <v>328</v>
      </c>
      <c r="BE135" s="12"/>
      <c r="BF135" s="43"/>
      <c r="BG135" s="12"/>
    </row>
    <row r="136" spans="1:59" s="3" customFormat="1" ht="20.399999999999999" x14ac:dyDescent="0.3">
      <c r="A136" s="37" t="s">
        <v>143</v>
      </c>
      <c r="B136" s="38" t="s">
        <v>330</v>
      </c>
      <c r="C136" s="430" t="s">
        <v>331</v>
      </c>
      <c r="D136" s="430"/>
      <c r="E136" s="430"/>
      <c r="F136" s="39" t="s">
        <v>70</v>
      </c>
      <c r="G136" s="40" t="s">
        <v>4406</v>
      </c>
      <c r="H136" s="100"/>
      <c r="I136" s="41"/>
      <c r="J136" s="41"/>
      <c r="K136" s="42"/>
      <c r="BB136" s="14"/>
      <c r="BC136" s="15"/>
      <c r="BD136" s="21"/>
      <c r="BE136" s="12"/>
      <c r="BF136" s="43" t="s">
        <v>331</v>
      </c>
      <c r="BG136" s="12"/>
    </row>
    <row r="137" spans="1:59" s="3" customFormat="1" ht="20.399999999999999" x14ac:dyDescent="0.3">
      <c r="A137" s="37" t="s">
        <v>143</v>
      </c>
      <c r="B137" s="38" t="s">
        <v>333</v>
      </c>
      <c r="C137" s="430" t="s">
        <v>334</v>
      </c>
      <c r="D137" s="430"/>
      <c r="E137" s="430"/>
      <c r="F137" s="39" t="s">
        <v>70</v>
      </c>
      <c r="G137" s="40" t="s">
        <v>4407</v>
      </c>
      <c r="H137" s="100"/>
      <c r="I137" s="41"/>
      <c r="J137" s="41"/>
      <c r="K137" s="42"/>
      <c r="BB137" s="14"/>
      <c r="BC137" s="15"/>
      <c r="BD137" s="21"/>
      <c r="BE137" s="12"/>
      <c r="BF137" s="43" t="s">
        <v>334</v>
      </c>
      <c r="BG137" s="12"/>
    </row>
    <row r="138" spans="1:59" s="3" customFormat="1" ht="20.399999999999999" x14ac:dyDescent="0.3">
      <c r="A138" s="25"/>
      <c r="B138" s="26" t="s">
        <v>336</v>
      </c>
      <c r="C138" s="419" t="s">
        <v>337</v>
      </c>
      <c r="D138" s="419"/>
      <c r="E138" s="419"/>
      <c r="F138" s="27" t="s">
        <v>70</v>
      </c>
      <c r="G138" s="22" t="s">
        <v>4408</v>
      </c>
      <c r="H138" s="58"/>
      <c r="I138" s="28"/>
      <c r="J138" s="28"/>
      <c r="K138" s="29"/>
      <c r="BB138" s="14"/>
      <c r="BC138" s="15"/>
      <c r="BD138" s="21"/>
      <c r="BE138" s="12" t="s">
        <v>337</v>
      </c>
      <c r="BF138" s="43"/>
      <c r="BG138" s="12"/>
    </row>
    <row r="139" spans="1:59" s="3" customFormat="1" ht="20.399999999999999" x14ac:dyDescent="0.3">
      <c r="A139" s="25"/>
      <c r="B139" s="26" t="s">
        <v>339</v>
      </c>
      <c r="C139" s="419" t="s">
        <v>340</v>
      </c>
      <c r="D139" s="419"/>
      <c r="E139" s="419"/>
      <c r="F139" s="27" t="s">
        <v>75</v>
      </c>
      <c r="G139" s="22" t="s">
        <v>4409</v>
      </c>
      <c r="H139" s="58"/>
      <c r="I139" s="28"/>
      <c r="J139" s="28"/>
      <c r="K139" s="29"/>
      <c r="BB139" s="14"/>
      <c r="BC139" s="15"/>
      <c r="BD139" s="21"/>
      <c r="BE139" s="12" t="s">
        <v>340</v>
      </c>
      <c r="BF139" s="43"/>
      <c r="BG139" s="12"/>
    </row>
    <row r="140" spans="1:59" s="3" customFormat="1" ht="20.399999999999999" x14ac:dyDescent="0.3">
      <c r="A140" s="25" t="s">
        <v>129</v>
      </c>
      <c r="B140" s="26" t="s">
        <v>344</v>
      </c>
      <c r="C140" s="419" t="s">
        <v>345</v>
      </c>
      <c r="D140" s="419"/>
      <c r="E140" s="419"/>
      <c r="F140" s="27" t="s">
        <v>70</v>
      </c>
      <c r="G140" s="22" t="s">
        <v>4406</v>
      </c>
      <c r="H140" s="58"/>
      <c r="I140" s="28"/>
      <c r="J140" s="28"/>
      <c r="K140" s="29"/>
      <c r="BB140" s="14"/>
      <c r="BC140" s="15"/>
      <c r="BD140" s="21"/>
      <c r="BE140" s="12"/>
      <c r="BF140" s="43"/>
      <c r="BG140" s="12" t="s">
        <v>345</v>
      </c>
    </row>
    <row r="141" spans="1:59" s="3" customFormat="1" ht="21.6" x14ac:dyDescent="0.3">
      <c r="A141" s="25" t="s">
        <v>129</v>
      </c>
      <c r="B141" s="26" t="s">
        <v>2288</v>
      </c>
      <c r="C141" s="419" t="s">
        <v>2289</v>
      </c>
      <c r="D141" s="419"/>
      <c r="E141" s="419"/>
      <c r="F141" s="27" t="s">
        <v>70</v>
      </c>
      <c r="G141" s="22" t="s">
        <v>4407</v>
      </c>
      <c r="H141" s="58"/>
      <c r="I141" s="28"/>
      <c r="J141" s="28"/>
      <c r="K141" s="29"/>
      <c r="BB141" s="14"/>
      <c r="BC141" s="15"/>
      <c r="BD141" s="21"/>
      <c r="BE141" s="12"/>
      <c r="BF141" s="43"/>
      <c r="BG141" s="12" t="s">
        <v>2289</v>
      </c>
    </row>
    <row r="142" spans="1:59" s="3" customFormat="1" ht="20.25" customHeight="1" x14ac:dyDescent="0.3">
      <c r="A142" s="406" t="s">
        <v>57</v>
      </c>
      <c r="B142" s="407"/>
      <c r="C142" s="407"/>
      <c r="D142" s="407"/>
      <c r="E142" s="407"/>
      <c r="F142" s="407"/>
      <c r="G142" s="407"/>
      <c r="H142" s="66"/>
      <c r="I142" s="67">
        <f>SUM(I13:I141)</f>
        <v>484696.97</v>
      </c>
      <c r="J142" s="72"/>
      <c r="K142" s="67">
        <f>SUM(K13:K141)</f>
        <v>10472998.660000002</v>
      </c>
    </row>
    <row r="143" spans="1:59" s="53" customFormat="1" ht="20.25" customHeight="1" thickBot="1" x14ac:dyDescent="0.35">
      <c r="A143" s="408" t="s">
        <v>5461</v>
      </c>
      <c r="B143" s="409"/>
      <c r="C143" s="409"/>
      <c r="D143" s="409"/>
      <c r="E143" s="409"/>
      <c r="F143" s="409"/>
      <c r="G143" s="409"/>
      <c r="H143" s="88"/>
      <c r="I143" s="410">
        <f>I142+K142</f>
        <v>10957695.630000003</v>
      </c>
      <c r="J143" s="411"/>
      <c r="K143" s="412"/>
    </row>
    <row r="144" spans="1:59" s="3" customFormat="1" ht="53.25" customHeight="1" x14ac:dyDescent="0.3">
      <c r="A144" s="4"/>
      <c r="B144" s="4"/>
      <c r="C144" s="4"/>
      <c r="D144" s="4"/>
      <c r="E144" s="4"/>
      <c r="F144" s="4"/>
      <c r="G144" s="4"/>
      <c r="H144" s="54"/>
      <c r="I144" s="54"/>
      <c r="J144" s="54"/>
      <c r="K144" s="54"/>
    </row>
  </sheetData>
  <autoFilter ref="A11:BJ143" xr:uid="{00000000-0001-0000-1E00-000000000000}"/>
  <mergeCells count="140">
    <mergeCell ref="C128:E128"/>
    <mergeCell ref="C129:E129"/>
    <mergeCell ref="C121:E121"/>
    <mergeCell ref="C123:E123"/>
    <mergeCell ref="C124:E124"/>
    <mergeCell ref="C125:E125"/>
    <mergeCell ref="C141:E141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5:E135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27:E127"/>
    <mergeCell ref="C108:E108"/>
    <mergeCell ref="C109:E109"/>
    <mergeCell ref="C110:E110"/>
    <mergeCell ref="C101:E101"/>
    <mergeCell ref="C102:E102"/>
    <mergeCell ref="C103:E103"/>
    <mergeCell ref="C104:E104"/>
    <mergeCell ref="C116:E116"/>
    <mergeCell ref="C117:E117"/>
    <mergeCell ref="C97:E97"/>
    <mergeCell ref="C98:E98"/>
    <mergeCell ref="C100:E100"/>
    <mergeCell ref="C91:E91"/>
    <mergeCell ref="C92:E92"/>
    <mergeCell ref="C93:E93"/>
    <mergeCell ref="C95:E95"/>
    <mergeCell ref="C106:E106"/>
    <mergeCell ref="C107:E107"/>
    <mergeCell ref="C86:E86"/>
    <mergeCell ref="C87:E87"/>
    <mergeCell ref="C90:E90"/>
    <mergeCell ref="C81:E81"/>
    <mergeCell ref="C82:E82"/>
    <mergeCell ref="C83:E83"/>
    <mergeCell ref="C84:E84"/>
    <mergeCell ref="C85:E85"/>
    <mergeCell ref="C96:E96"/>
    <mergeCell ref="C70:E70"/>
    <mergeCell ref="C61:E61"/>
    <mergeCell ref="C62:E62"/>
    <mergeCell ref="C63:E63"/>
    <mergeCell ref="C64:E64"/>
    <mergeCell ref="C65:E65"/>
    <mergeCell ref="C77:E77"/>
    <mergeCell ref="C78:E78"/>
    <mergeCell ref="C79:E79"/>
    <mergeCell ref="C71:E71"/>
    <mergeCell ref="C73:E73"/>
    <mergeCell ref="C74:E74"/>
    <mergeCell ref="C75:E75"/>
    <mergeCell ref="C59:E59"/>
    <mergeCell ref="C60:E60"/>
    <mergeCell ref="C52:E52"/>
    <mergeCell ref="C53:E53"/>
    <mergeCell ref="C54:E54"/>
    <mergeCell ref="C55:E55"/>
    <mergeCell ref="C66:E66"/>
    <mergeCell ref="C67:E67"/>
    <mergeCell ref="C69:E69"/>
    <mergeCell ref="C49:E49"/>
    <mergeCell ref="C50:E50"/>
    <mergeCell ref="C41:E41"/>
    <mergeCell ref="C42:E42"/>
    <mergeCell ref="C43:E43"/>
    <mergeCell ref="C44:E44"/>
    <mergeCell ref="C56:E56"/>
    <mergeCell ref="C57:E57"/>
    <mergeCell ref="C58:E58"/>
    <mergeCell ref="C36:E36"/>
    <mergeCell ref="C37:E37"/>
    <mergeCell ref="C38:E38"/>
    <mergeCell ref="C39:E39"/>
    <mergeCell ref="C31:E31"/>
    <mergeCell ref="C33:E33"/>
    <mergeCell ref="C46:E46"/>
    <mergeCell ref="C47:E47"/>
    <mergeCell ref="C48:E48"/>
    <mergeCell ref="C19:E19"/>
    <mergeCell ref="C14:E14"/>
    <mergeCell ref="C26:E26"/>
    <mergeCell ref="C27:E27"/>
    <mergeCell ref="A18:G18"/>
    <mergeCell ref="C28:E28"/>
    <mergeCell ref="C29:E29"/>
    <mergeCell ref="C30:E30"/>
    <mergeCell ref="C22:E22"/>
    <mergeCell ref="C23:E23"/>
    <mergeCell ref="C24:E24"/>
    <mergeCell ref="C25:E25"/>
    <mergeCell ref="A2:K2"/>
    <mergeCell ref="A3:K3"/>
    <mergeCell ref="A5:K5"/>
    <mergeCell ref="C9:E9"/>
    <mergeCell ref="C10:E10"/>
    <mergeCell ref="A6:K6"/>
    <mergeCell ref="C7:G7"/>
    <mergeCell ref="C16:E16"/>
    <mergeCell ref="C17:E17"/>
    <mergeCell ref="A15:G15"/>
    <mergeCell ref="A13:G13"/>
    <mergeCell ref="A12:G12"/>
    <mergeCell ref="A142:G142"/>
    <mergeCell ref="A143:G143"/>
    <mergeCell ref="I143:K143"/>
    <mergeCell ref="A40:G40"/>
    <mergeCell ref="A35:G35"/>
    <mergeCell ref="A34:G34"/>
    <mergeCell ref="A32:G32"/>
    <mergeCell ref="A21:G21"/>
    <mergeCell ref="A20:G20"/>
    <mergeCell ref="A134:G134"/>
    <mergeCell ref="A130:G130"/>
    <mergeCell ref="A126:G126"/>
    <mergeCell ref="A122:G122"/>
    <mergeCell ref="A105:G105"/>
    <mergeCell ref="A99:G99"/>
    <mergeCell ref="A94:G94"/>
    <mergeCell ref="A89:G89"/>
    <mergeCell ref="A88:G88"/>
    <mergeCell ref="A80:G80"/>
    <mergeCell ref="A76:G76"/>
    <mergeCell ref="A72:G72"/>
    <mergeCell ref="A68:G68"/>
    <mergeCell ref="A51:G51"/>
    <mergeCell ref="A45:G4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BK252"/>
  <sheetViews>
    <sheetView zoomScale="85" zoomScaleNormal="85" workbookViewId="0">
      <selection activeCell="C7" sqref="C7:G7"/>
    </sheetView>
  </sheetViews>
  <sheetFormatPr defaultColWidth="9.109375" defaultRowHeight="11.25" customHeight="1" x14ac:dyDescent="0.2"/>
  <cols>
    <col min="1" max="1" width="9" style="1" customWidth="1"/>
    <col min="2" max="2" width="28.5546875" style="1" customWidth="1"/>
    <col min="3" max="3" width="24.33203125" style="1" customWidth="1"/>
    <col min="4" max="4" width="28.109375" style="1" customWidth="1"/>
    <col min="5" max="5" width="31.6640625" style="1" customWidth="1"/>
    <col min="6" max="7" width="10.6640625" style="1" customWidth="1"/>
    <col min="8" max="11" width="18.664062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5" t="s">
        <v>5563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8" s="3" customFormat="1" ht="14.4" x14ac:dyDescent="0.3">
      <c r="A2" s="403" t="s">
        <v>0</v>
      </c>
      <c r="B2" s="403"/>
      <c r="C2" s="403"/>
      <c r="D2" s="403"/>
      <c r="E2" s="403"/>
      <c r="F2" s="403"/>
      <c r="G2" s="403"/>
      <c r="H2" s="439"/>
      <c r="I2" s="439"/>
      <c r="J2" s="439"/>
      <c r="K2" s="439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38"/>
      <c r="I3" s="438"/>
      <c r="J3" s="438"/>
      <c r="K3" s="438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8" s="3" customFormat="1" ht="14.4" x14ac:dyDescent="0.3">
      <c r="A5" s="403" t="s">
        <v>1041</v>
      </c>
      <c r="B5" s="403"/>
      <c r="C5" s="403"/>
      <c r="D5" s="403"/>
      <c r="E5" s="403"/>
      <c r="F5" s="403"/>
      <c r="G5" s="403"/>
      <c r="H5" s="439"/>
      <c r="I5" s="439"/>
      <c r="J5" s="439"/>
      <c r="K5" s="439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58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38"/>
      <c r="I6" s="438"/>
      <c r="J6" s="438"/>
      <c r="K6" s="438"/>
    </row>
    <row r="7" spans="1:58" s="3" customFormat="1" ht="14.4" x14ac:dyDescent="0.3">
      <c r="A7" s="4"/>
      <c r="B7" s="8" t="s">
        <v>5</v>
      </c>
      <c r="C7" s="402" t="s">
        <v>6</v>
      </c>
      <c r="D7" s="402"/>
      <c r="E7" s="402"/>
      <c r="F7" s="402"/>
      <c r="G7" s="402"/>
      <c r="H7" s="55"/>
      <c r="I7" s="109"/>
      <c r="J7" s="109"/>
      <c r="K7" s="109"/>
    </row>
    <row r="8" spans="1:58" s="3" customFormat="1" ht="15" thickBot="1" x14ac:dyDescent="0.35">
      <c r="A8" s="13"/>
      <c r="H8" s="56"/>
      <c r="I8" s="56"/>
      <c r="J8" s="56"/>
      <c r="K8" s="56"/>
    </row>
    <row r="9" spans="1:58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8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8" s="3" customFormat="1" ht="15" customHeight="1" x14ac:dyDescent="0.3">
      <c r="A11" s="445" t="s">
        <v>1042</v>
      </c>
      <c r="B11" s="436"/>
      <c r="C11" s="436"/>
      <c r="D11" s="436"/>
      <c r="E11" s="436"/>
      <c r="F11" s="436"/>
      <c r="G11" s="436"/>
      <c r="H11" s="150"/>
      <c r="I11" s="150"/>
      <c r="J11" s="150"/>
      <c r="K11" s="152"/>
      <c r="BC11" s="14"/>
    </row>
    <row r="12" spans="1:58" s="3" customFormat="1" ht="15" customHeight="1" x14ac:dyDescent="0.3">
      <c r="A12" s="417" t="s">
        <v>1043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30"/>
      <c r="BC12" s="14"/>
      <c r="BD12" s="15"/>
    </row>
    <row r="13" spans="1:58" s="3" customFormat="1" ht="15" customHeight="1" x14ac:dyDescent="0.3">
      <c r="A13" s="417" t="s">
        <v>1043</v>
      </c>
      <c r="B13" s="418"/>
      <c r="C13" s="418"/>
      <c r="D13" s="418"/>
      <c r="E13" s="418"/>
      <c r="F13" s="418"/>
      <c r="G13" s="418"/>
      <c r="H13" s="123"/>
      <c r="I13" s="123"/>
      <c r="J13" s="123"/>
      <c r="K13" s="130"/>
      <c r="BC13" s="14"/>
      <c r="BD13" s="15"/>
    </row>
    <row r="14" spans="1:58" s="3" customFormat="1" ht="14.4" x14ac:dyDescent="0.3">
      <c r="A14" s="80" t="s">
        <v>15</v>
      </c>
      <c r="B14" s="17" t="s">
        <v>1045</v>
      </c>
      <c r="C14" s="405" t="s">
        <v>1046</v>
      </c>
      <c r="D14" s="405"/>
      <c r="E14" s="405"/>
      <c r="F14" s="16" t="s">
        <v>18</v>
      </c>
      <c r="G14" s="18">
        <v>0.46200000000000002</v>
      </c>
      <c r="H14" s="57">
        <f>I14/G14</f>
        <v>321526.25541125541</v>
      </c>
      <c r="I14" s="19">
        <v>148545.13</v>
      </c>
      <c r="J14" s="19">
        <f>K14/G14</f>
        <v>0</v>
      </c>
      <c r="K14" s="131">
        <v>0</v>
      </c>
      <c r="BC14" s="14"/>
      <c r="BD14" s="15"/>
      <c r="BE14" s="21"/>
    </row>
    <row r="15" spans="1:58" s="3" customFormat="1" ht="20.399999999999999" x14ac:dyDescent="0.3">
      <c r="A15" s="133" t="s">
        <v>143</v>
      </c>
      <c r="B15" s="38" t="s">
        <v>1047</v>
      </c>
      <c r="C15" s="430" t="s">
        <v>1048</v>
      </c>
      <c r="D15" s="430"/>
      <c r="E15" s="430"/>
      <c r="F15" s="39" t="s">
        <v>1049</v>
      </c>
      <c r="G15" s="40" t="s">
        <v>1050</v>
      </c>
      <c r="H15" s="40"/>
      <c r="I15" s="41"/>
      <c r="J15" s="41"/>
      <c r="K15" s="134"/>
      <c r="BC15" s="14"/>
      <c r="BD15" s="15"/>
      <c r="BE15" s="21"/>
      <c r="BF15" s="43"/>
    </row>
    <row r="16" spans="1:58" s="3" customFormat="1" ht="15" customHeight="1" x14ac:dyDescent="0.3">
      <c r="A16" s="417" t="s">
        <v>1043</v>
      </c>
      <c r="B16" s="418"/>
      <c r="C16" s="418"/>
      <c r="D16" s="418"/>
      <c r="E16" s="418"/>
      <c r="F16" s="418"/>
      <c r="G16" s="418"/>
      <c r="H16" s="123"/>
      <c r="I16" s="123"/>
      <c r="J16" s="123"/>
      <c r="K16" s="130"/>
      <c r="BC16" s="14"/>
      <c r="BD16" s="15"/>
      <c r="BE16" s="21"/>
      <c r="BF16" s="43"/>
    </row>
    <row r="17" spans="1:59" s="3" customFormat="1" ht="15" customHeight="1" x14ac:dyDescent="0.3">
      <c r="A17" s="417" t="s">
        <v>1051</v>
      </c>
      <c r="B17" s="418"/>
      <c r="C17" s="418"/>
      <c r="D17" s="418"/>
      <c r="E17" s="418"/>
      <c r="F17" s="418"/>
      <c r="G17" s="418"/>
      <c r="H17" s="123"/>
      <c r="I17" s="123"/>
      <c r="J17" s="123"/>
      <c r="K17" s="130"/>
      <c r="BC17" s="14"/>
      <c r="BD17" s="15"/>
      <c r="BE17" s="21"/>
      <c r="BF17" s="43"/>
    </row>
    <row r="18" spans="1:59" s="3" customFormat="1" ht="15" customHeight="1" x14ac:dyDescent="0.3">
      <c r="A18" s="417" t="s">
        <v>1052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30"/>
      <c r="BC18" s="14"/>
      <c r="BD18" s="15"/>
      <c r="BE18" s="21"/>
      <c r="BF18" s="43"/>
    </row>
    <row r="19" spans="1:59" s="3" customFormat="1" ht="14.4" x14ac:dyDescent="0.3">
      <c r="A19" s="80" t="s">
        <v>20</v>
      </c>
      <c r="B19" s="17" t="s">
        <v>1045</v>
      </c>
      <c r="C19" s="405" t="s">
        <v>1046</v>
      </c>
      <c r="D19" s="405"/>
      <c r="E19" s="405"/>
      <c r="F19" s="16" t="s">
        <v>18</v>
      </c>
      <c r="G19" s="30">
        <v>7.6200000000000004E-2</v>
      </c>
      <c r="H19" s="57">
        <f t="shared" ref="H19" si="0">I19/G19</f>
        <v>405122.83464567061</v>
      </c>
      <c r="I19" s="19">
        <f>1228788.8-K19</f>
        <v>30870.360000000102</v>
      </c>
      <c r="J19" s="19">
        <f t="shared" ref="J19" si="1">K19/G19</f>
        <v>15720714.435695536</v>
      </c>
      <c r="K19" s="131">
        <v>1197918.44</v>
      </c>
      <c r="BC19" s="14"/>
      <c r="BD19" s="15"/>
      <c r="BE19" s="21"/>
      <c r="BF19" s="43"/>
    </row>
    <row r="20" spans="1:59" s="3" customFormat="1" ht="20.399999999999999" x14ac:dyDescent="0.3">
      <c r="A20" s="133" t="s">
        <v>143</v>
      </c>
      <c r="B20" s="38" t="s">
        <v>1047</v>
      </c>
      <c r="C20" s="430" t="s">
        <v>1048</v>
      </c>
      <c r="D20" s="430"/>
      <c r="E20" s="430"/>
      <c r="F20" s="39" t="s">
        <v>1049</v>
      </c>
      <c r="G20" s="40" t="s">
        <v>1053</v>
      </c>
      <c r="H20" s="40"/>
      <c r="I20" s="41"/>
      <c r="J20" s="41"/>
      <c r="K20" s="134"/>
      <c r="BC20" s="14"/>
      <c r="BD20" s="15"/>
      <c r="BE20" s="21"/>
      <c r="BF20" s="43"/>
    </row>
    <row r="21" spans="1:59" s="3" customFormat="1" ht="20.399999999999999" x14ac:dyDescent="0.3">
      <c r="A21" s="83" t="s">
        <v>129</v>
      </c>
      <c r="B21" s="26" t="s">
        <v>1054</v>
      </c>
      <c r="C21" s="419" t="s">
        <v>1055</v>
      </c>
      <c r="D21" s="419"/>
      <c r="E21" s="419"/>
      <c r="F21" s="27" t="s">
        <v>1049</v>
      </c>
      <c r="G21" s="22" t="s">
        <v>1053</v>
      </c>
      <c r="H21" s="22"/>
      <c r="I21" s="28"/>
      <c r="J21" s="28"/>
      <c r="K21" s="132"/>
      <c r="BC21" s="14"/>
      <c r="BD21" s="15"/>
      <c r="BE21" s="21"/>
      <c r="BF21" s="43"/>
      <c r="BG21" s="12"/>
    </row>
    <row r="22" spans="1:59" s="3" customFormat="1" ht="15" customHeight="1" x14ac:dyDescent="0.3">
      <c r="A22" s="417" t="s">
        <v>1056</v>
      </c>
      <c r="B22" s="418"/>
      <c r="C22" s="418"/>
      <c r="D22" s="418"/>
      <c r="E22" s="418"/>
      <c r="F22" s="418"/>
      <c r="G22" s="418"/>
      <c r="H22" s="123"/>
      <c r="I22" s="123"/>
      <c r="J22" s="123"/>
      <c r="K22" s="130"/>
      <c r="BC22" s="14"/>
      <c r="BD22" s="15"/>
      <c r="BE22" s="21"/>
      <c r="BF22" s="43"/>
      <c r="BG22" s="12"/>
    </row>
    <row r="23" spans="1:59" s="3" customFormat="1" ht="15" customHeight="1" x14ac:dyDescent="0.3">
      <c r="A23" s="417" t="s">
        <v>1051</v>
      </c>
      <c r="B23" s="418"/>
      <c r="C23" s="418"/>
      <c r="D23" s="418"/>
      <c r="E23" s="418"/>
      <c r="F23" s="418"/>
      <c r="G23" s="418"/>
      <c r="H23" s="123"/>
      <c r="I23" s="123"/>
      <c r="J23" s="123"/>
      <c r="K23" s="130"/>
      <c r="BC23" s="14"/>
      <c r="BD23" s="15"/>
      <c r="BE23" s="21"/>
      <c r="BF23" s="43"/>
      <c r="BG23" s="12"/>
    </row>
    <row r="24" spans="1:59" s="3" customFormat="1" ht="14.4" x14ac:dyDescent="0.3">
      <c r="A24" s="80" t="s">
        <v>22</v>
      </c>
      <c r="B24" s="17" t="s">
        <v>1057</v>
      </c>
      <c r="C24" s="405" t="s">
        <v>1058</v>
      </c>
      <c r="D24" s="405"/>
      <c r="E24" s="405"/>
      <c r="F24" s="16" t="s">
        <v>18</v>
      </c>
      <c r="G24" s="30">
        <v>7.7999999999999996E-3</v>
      </c>
      <c r="H24" s="57">
        <f t="shared" ref="H24" si="2">I24/G24</f>
        <v>413655.12820512755</v>
      </c>
      <c r="I24" s="19">
        <f>130018.4-K24</f>
        <v>3226.5099999999948</v>
      </c>
      <c r="J24" s="19">
        <f t="shared" ref="J24" si="3">K24/G24</f>
        <v>16255370.512820514</v>
      </c>
      <c r="K24" s="131">
        <v>126791.89</v>
      </c>
      <c r="BC24" s="14"/>
      <c r="BD24" s="15"/>
      <c r="BE24" s="21"/>
      <c r="BF24" s="43"/>
      <c r="BG24" s="12"/>
    </row>
    <row r="25" spans="1:59" s="3" customFormat="1" ht="20.399999999999999" x14ac:dyDescent="0.3">
      <c r="A25" s="133" t="s">
        <v>78</v>
      </c>
      <c r="B25" s="38" t="s">
        <v>1059</v>
      </c>
      <c r="C25" s="430" t="s">
        <v>1060</v>
      </c>
      <c r="D25" s="430"/>
      <c r="E25" s="430"/>
      <c r="F25" s="39" t="s">
        <v>158</v>
      </c>
      <c r="G25" s="40" t="s">
        <v>33</v>
      </c>
      <c r="H25" s="40"/>
      <c r="I25" s="41"/>
      <c r="J25" s="41"/>
      <c r="K25" s="134"/>
      <c r="BC25" s="14"/>
      <c r="BD25" s="15"/>
      <c r="BE25" s="21"/>
      <c r="BF25" s="43"/>
      <c r="BG25" s="12"/>
    </row>
    <row r="26" spans="1:59" s="3" customFormat="1" ht="20.399999999999999" x14ac:dyDescent="0.3">
      <c r="A26" s="133" t="s">
        <v>143</v>
      </c>
      <c r="B26" s="38" t="s">
        <v>1047</v>
      </c>
      <c r="C26" s="430" t="s">
        <v>1048</v>
      </c>
      <c r="D26" s="430"/>
      <c r="E26" s="430"/>
      <c r="F26" s="39" t="s">
        <v>1049</v>
      </c>
      <c r="G26" s="40" t="s">
        <v>1061</v>
      </c>
      <c r="H26" s="40"/>
      <c r="I26" s="41"/>
      <c r="J26" s="41"/>
      <c r="K26" s="134"/>
      <c r="BC26" s="14"/>
      <c r="BD26" s="15"/>
      <c r="BE26" s="21"/>
      <c r="BF26" s="43"/>
      <c r="BG26" s="12"/>
    </row>
    <row r="27" spans="1:59" s="3" customFormat="1" ht="20.399999999999999" x14ac:dyDescent="0.3">
      <c r="A27" s="83" t="s">
        <v>129</v>
      </c>
      <c r="B27" s="26" t="s">
        <v>1062</v>
      </c>
      <c r="C27" s="419" t="s">
        <v>1060</v>
      </c>
      <c r="D27" s="419"/>
      <c r="E27" s="419"/>
      <c r="F27" s="27" t="s">
        <v>158</v>
      </c>
      <c r="G27" s="22" t="s">
        <v>1063</v>
      </c>
      <c r="H27" s="22"/>
      <c r="I27" s="28"/>
      <c r="J27" s="28"/>
      <c r="K27" s="132"/>
      <c r="BC27" s="14"/>
      <c r="BD27" s="15"/>
      <c r="BE27" s="21"/>
      <c r="BF27" s="43"/>
      <c r="BG27" s="12"/>
    </row>
    <row r="28" spans="1:59" s="3" customFormat="1" ht="20.399999999999999" x14ac:dyDescent="0.3">
      <c r="A28" s="83" t="s">
        <v>129</v>
      </c>
      <c r="B28" s="26" t="s">
        <v>1054</v>
      </c>
      <c r="C28" s="419" t="s">
        <v>1055</v>
      </c>
      <c r="D28" s="419"/>
      <c r="E28" s="419"/>
      <c r="F28" s="27" t="s">
        <v>1049</v>
      </c>
      <c r="G28" s="22" t="s">
        <v>1061</v>
      </c>
      <c r="H28" s="22"/>
      <c r="I28" s="28"/>
      <c r="J28" s="28"/>
      <c r="K28" s="132"/>
      <c r="BC28" s="14"/>
      <c r="BD28" s="15"/>
      <c r="BE28" s="21"/>
      <c r="BF28" s="43"/>
      <c r="BG28" s="12"/>
    </row>
    <row r="29" spans="1:59" s="3" customFormat="1" ht="15" customHeight="1" x14ac:dyDescent="0.3">
      <c r="A29" s="417" t="s">
        <v>1043</v>
      </c>
      <c r="B29" s="418"/>
      <c r="C29" s="418"/>
      <c r="D29" s="418"/>
      <c r="E29" s="418"/>
      <c r="F29" s="418"/>
      <c r="G29" s="418"/>
      <c r="H29" s="123"/>
      <c r="I29" s="123"/>
      <c r="J29" s="123"/>
      <c r="K29" s="130"/>
      <c r="BC29" s="14"/>
      <c r="BD29" s="15"/>
      <c r="BE29" s="21"/>
      <c r="BF29" s="43"/>
      <c r="BG29" s="12"/>
    </row>
    <row r="30" spans="1:59" s="3" customFormat="1" ht="15" customHeight="1" x14ac:dyDescent="0.3">
      <c r="A30" s="417" t="s">
        <v>1051</v>
      </c>
      <c r="B30" s="418"/>
      <c r="C30" s="418"/>
      <c r="D30" s="418"/>
      <c r="E30" s="418"/>
      <c r="F30" s="418"/>
      <c r="G30" s="418"/>
      <c r="H30" s="123"/>
      <c r="I30" s="123"/>
      <c r="J30" s="123"/>
      <c r="K30" s="130"/>
      <c r="BC30" s="14"/>
      <c r="BD30" s="15"/>
      <c r="BE30" s="21"/>
      <c r="BF30" s="43"/>
      <c r="BG30" s="12"/>
    </row>
    <row r="31" spans="1:59" s="3" customFormat="1" ht="14.4" x14ac:dyDescent="0.3">
      <c r="A31" s="80" t="s">
        <v>27</v>
      </c>
      <c r="B31" s="17" t="s">
        <v>1045</v>
      </c>
      <c r="C31" s="405" t="s">
        <v>1046</v>
      </c>
      <c r="D31" s="405"/>
      <c r="E31" s="405"/>
      <c r="F31" s="16" t="s">
        <v>18</v>
      </c>
      <c r="G31" s="18">
        <v>1.169</v>
      </c>
      <c r="H31" s="57">
        <f t="shared" ref="H31" si="4">I31/G31</f>
        <v>321526.24465355295</v>
      </c>
      <c r="I31" s="19">
        <f>18753379.42-K31</f>
        <v>375864.18000000343</v>
      </c>
      <c r="J31" s="19">
        <f t="shared" ref="J31" si="5">K31/G31</f>
        <v>15720714.491017962</v>
      </c>
      <c r="K31" s="131">
        <v>18377515.239999998</v>
      </c>
      <c r="BC31" s="14"/>
      <c r="BD31" s="15"/>
      <c r="BE31" s="21"/>
      <c r="BF31" s="43"/>
      <c r="BG31" s="12"/>
    </row>
    <row r="32" spans="1:59" s="3" customFormat="1" ht="20.399999999999999" x14ac:dyDescent="0.3">
      <c r="A32" s="133" t="s">
        <v>143</v>
      </c>
      <c r="B32" s="38" t="s">
        <v>1047</v>
      </c>
      <c r="C32" s="430" t="s">
        <v>1048</v>
      </c>
      <c r="D32" s="430"/>
      <c r="E32" s="430"/>
      <c r="F32" s="39" t="s">
        <v>1049</v>
      </c>
      <c r="G32" s="40" t="s">
        <v>1064</v>
      </c>
      <c r="H32" s="40"/>
      <c r="I32" s="41"/>
      <c r="J32" s="41"/>
      <c r="K32" s="134"/>
      <c r="BC32" s="14"/>
      <c r="BD32" s="15"/>
      <c r="BE32" s="21"/>
      <c r="BF32" s="43"/>
      <c r="BG32" s="12"/>
    </row>
    <row r="33" spans="1:59" s="3" customFormat="1" ht="20.399999999999999" x14ac:dyDescent="0.3">
      <c r="A33" s="83" t="s">
        <v>129</v>
      </c>
      <c r="B33" s="26" t="s">
        <v>1054</v>
      </c>
      <c r="C33" s="419" t="s">
        <v>1055</v>
      </c>
      <c r="D33" s="419"/>
      <c r="E33" s="419"/>
      <c r="F33" s="27" t="s">
        <v>1049</v>
      </c>
      <c r="G33" s="22" t="s">
        <v>1064</v>
      </c>
      <c r="H33" s="22"/>
      <c r="I33" s="28"/>
      <c r="J33" s="28"/>
      <c r="K33" s="132"/>
      <c r="BC33" s="14"/>
      <c r="BD33" s="15"/>
      <c r="BE33" s="21"/>
      <c r="BF33" s="43"/>
      <c r="BG33" s="12"/>
    </row>
    <row r="34" spans="1:59" s="3" customFormat="1" ht="15" customHeight="1" x14ac:dyDescent="0.3">
      <c r="A34" s="417" t="s">
        <v>1056</v>
      </c>
      <c r="B34" s="418"/>
      <c r="C34" s="418"/>
      <c r="D34" s="418"/>
      <c r="E34" s="418"/>
      <c r="F34" s="418"/>
      <c r="G34" s="418"/>
      <c r="H34" s="123"/>
      <c r="I34" s="123"/>
      <c r="J34" s="123"/>
      <c r="K34" s="130"/>
      <c r="BC34" s="14"/>
      <c r="BD34" s="15"/>
      <c r="BE34" s="21"/>
      <c r="BF34" s="43"/>
      <c r="BG34" s="12"/>
    </row>
    <row r="35" spans="1:59" s="3" customFormat="1" ht="15" customHeight="1" x14ac:dyDescent="0.3">
      <c r="A35" s="417" t="s">
        <v>1051</v>
      </c>
      <c r="B35" s="418"/>
      <c r="C35" s="418"/>
      <c r="D35" s="418"/>
      <c r="E35" s="418"/>
      <c r="F35" s="418"/>
      <c r="G35" s="418"/>
      <c r="H35" s="123"/>
      <c r="I35" s="123"/>
      <c r="J35" s="123"/>
      <c r="K35" s="130"/>
      <c r="BC35" s="14"/>
      <c r="BD35" s="15"/>
      <c r="BE35" s="21"/>
      <c r="BF35" s="43"/>
      <c r="BG35" s="12"/>
    </row>
    <row r="36" spans="1:59" s="3" customFormat="1" ht="14.4" x14ac:dyDescent="0.3">
      <c r="A36" s="80" t="s">
        <v>35</v>
      </c>
      <c r="B36" s="17" t="s">
        <v>1057</v>
      </c>
      <c r="C36" s="405" t="s">
        <v>1058</v>
      </c>
      <c r="D36" s="405"/>
      <c r="E36" s="405"/>
      <c r="F36" s="16" t="s">
        <v>18</v>
      </c>
      <c r="G36" s="31">
        <v>0.23</v>
      </c>
      <c r="H36" s="57">
        <f t="shared" ref="H36" si="6">I36/G36</f>
        <v>328296.95652173832</v>
      </c>
      <c r="I36" s="19">
        <f>3814225.79-K36</f>
        <v>75508.299999999814</v>
      </c>
      <c r="J36" s="19">
        <f t="shared" ref="J36" si="7">K36/G36</f>
        <v>16255293.434782609</v>
      </c>
      <c r="K36" s="131">
        <v>3738717.49</v>
      </c>
      <c r="BC36" s="14"/>
      <c r="BD36" s="15"/>
      <c r="BE36" s="21"/>
      <c r="BF36" s="43"/>
      <c r="BG36" s="12"/>
    </row>
    <row r="37" spans="1:59" s="3" customFormat="1" ht="20.399999999999999" x14ac:dyDescent="0.3">
      <c r="A37" s="133" t="s">
        <v>78</v>
      </c>
      <c r="B37" s="38" t="s">
        <v>1059</v>
      </c>
      <c r="C37" s="430" t="s">
        <v>1060</v>
      </c>
      <c r="D37" s="430"/>
      <c r="E37" s="430"/>
      <c r="F37" s="39" t="s">
        <v>158</v>
      </c>
      <c r="G37" s="40" t="s">
        <v>33</v>
      </c>
      <c r="H37" s="40"/>
      <c r="I37" s="41"/>
      <c r="J37" s="41"/>
      <c r="K37" s="134"/>
      <c r="BC37" s="14"/>
      <c r="BD37" s="15"/>
      <c r="BE37" s="21"/>
      <c r="BF37" s="43"/>
      <c r="BG37" s="12"/>
    </row>
    <row r="38" spans="1:59" s="3" customFormat="1" ht="20.399999999999999" x14ac:dyDescent="0.3">
      <c r="A38" s="133" t="s">
        <v>143</v>
      </c>
      <c r="B38" s="38" t="s">
        <v>1047</v>
      </c>
      <c r="C38" s="430" t="s">
        <v>1048</v>
      </c>
      <c r="D38" s="430"/>
      <c r="E38" s="430"/>
      <c r="F38" s="39" t="s">
        <v>1049</v>
      </c>
      <c r="G38" s="40" t="s">
        <v>1065</v>
      </c>
      <c r="H38" s="40"/>
      <c r="I38" s="41"/>
      <c r="J38" s="41"/>
      <c r="K38" s="134"/>
      <c r="BC38" s="14"/>
      <c r="BD38" s="15"/>
      <c r="BE38" s="21"/>
      <c r="BF38" s="43"/>
      <c r="BG38" s="12"/>
    </row>
    <row r="39" spans="1:59" s="3" customFormat="1" ht="20.399999999999999" x14ac:dyDescent="0.3">
      <c r="A39" s="83" t="s">
        <v>129</v>
      </c>
      <c r="B39" s="26" t="s">
        <v>1062</v>
      </c>
      <c r="C39" s="419" t="s">
        <v>1060</v>
      </c>
      <c r="D39" s="419"/>
      <c r="E39" s="419"/>
      <c r="F39" s="27" t="s">
        <v>158</v>
      </c>
      <c r="G39" s="22" t="s">
        <v>1066</v>
      </c>
      <c r="H39" s="22"/>
      <c r="I39" s="28"/>
      <c r="J39" s="28"/>
      <c r="K39" s="132"/>
      <c r="BC39" s="14"/>
      <c r="BD39" s="15"/>
      <c r="BE39" s="21"/>
      <c r="BF39" s="43"/>
      <c r="BG39" s="12"/>
    </row>
    <row r="40" spans="1:59" s="3" customFormat="1" ht="20.399999999999999" x14ac:dyDescent="0.3">
      <c r="A40" s="83" t="s">
        <v>129</v>
      </c>
      <c r="B40" s="26" t="s">
        <v>1054</v>
      </c>
      <c r="C40" s="419" t="s">
        <v>1055</v>
      </c>
      <c r="D40" s="419"/>
      <c r="E40" s="419"/>
      <c r="F40" s="27" t="s">
        <v>1049</v>
      </c>
      <c r="G40" s="22" t="s">
        <v>1065</v>
      </c>
      <c r="H40" s="22"/>
      <c r="I40" s="28"/>
      <c r="J40" s="28"/>
      <c r="K40" s="132"/>
      <c r="BC40" s="14"/>
      <c r="BD40" s="15"/>
      <c r="BE40" s="21"/>
      <c r="BF40" s="43"/>
      <c r="BG40" s="12"/>
    </row>
    <row r="41" spans="1:59" s="3" customFormat="1" ht="15" customHeight="1" x14ac:dyDescent="0.3">
      <c r="A41" s="417" t="s">
        <v>1067</v>
      </c>
      <c r="B41" s="418"/>
      <c r="C41" s="418"/>
      <c r="D41" s="418"/>
      <c r="E41" s="418"/>
      <c r="F41" s="418"/>
      <c r="G41" s="418"/>
      <c r="H41" s="123"/>
      <c r="I41" s="123"/>
      <c r="J41" s="123"/>
      <c r="K41" s="130"/>
      <c r="BC41" s="14"/>
      <c r="BD41" s="15"/>
      <c r="BE41" s="21"/>
      <c r="BF41" s="43"/>
      <c r="BG41" s="12"/>
    </row>
    <row r="42" spans="1:59" s="3" customFormat="1" ht="15" customHeight="1" x14ac:dyDescent="0.3">
      <c r="A42" s="417" t="s">
        <v>1044</v>
      </c>
      <c r="B42" s="418"/>
      <c r="C42" s="418"/>
      <c r="D42" s="418"/>
      <c r="E42" s="418"/>
      <c r="F42" s="418"/>
      <c r="G42" s="418"/>
      <c r="H42" s="123"/>
      <c r="I42" s="123"/>
      <c r="J42" s="123"/>
      <c r="K42" s="130"/>
      <c r="BC42" s="14"/>
      <c r="BD42" s="15"/>
      <c r="BE42" s="21"/>
      <c r="BF42" s="43"/>
      <c r="BG42" s="12"/>
    </row>
    <row r="43" spans="1:59" s="3" customFormat="1" ht="14.4" x14ac:dyDescent="0.3">
      <c r="A43" s="80" t="s">
        <v>40</v>
      </c>
      <c r="B43" s="17" t="s">
        <v>1045</v>
      </c>
      <c r="C43" s="405" t="s">
        <v>1046</v>
      </c>
      <c r="D43" s="405"/>
      <c r="E43" s="405"/>
      <c r="F43" s="16" t="s">
        <v>18</v>
      </c>
      <c r="G43" s="18">
        <v>1.2929999999999999</v>
      </c>
      <c r="H43" s="57">
        <f t="shared" ref="H43" si="8">I43/G43</f>
        <v>321526.23356535193</v>
      </c>
      <c r="I43" s="19">
        <v>415733.42</v>
      </c>
      <c r="J43" s="19">
        <f t="shared" ref="J43" si="9">K43/G43</f>
        <v>0</v>
      </c>
      <c r="K43" s="131">
        <v>0</v>
      </c>
      <c r="BC43" s="14"/>
      <c r="BD43" s="15"/>
      <c r="BE43" s="21"/>
      <c r="BF43" s="43"/>
      <c r="BG43" s="12"/>
    </row>
    <row r="44" spans="1:59" s="3" customFormat="1" ht="20.399999999999999" x14ac:dyDescent="0.3">
      <c r="A44" s="133" t="s">
        <v>143</v>
      </c>
      <c r="B44" s="38" t="s">
        <v>1047</v>
      </c>
      <c r="C44" s="430" t="s">
        <v>1048</v>
      </c>
      <c r="D44" s="430"/>
      <c r="E44" s="430"/>
      <c r="F44" s="39" t="s">
        <v>1049</v>
      </c>
      <c r="G44" s="40" t="s">
        <v>1068</v>
      </c>
      <c r="H44" s="40"/>
      <c r="I44" s="41"/>
      <c r="J44" s="41"/>
      <c r="K44" s="134"/>
      <c r="BC44" s="14"/>
      <c r="BD44" s="15"/>
      <c r="BE44" s="21"/>
      <c r="BF44" s="43"/>
      <c r="BG44" s="12"/>
    </row>
    <row r="45" spans="1:59" s="3" customFormat="1" ht="15" customHeight="1" x14ac:dyDescent="0.3">
      <c r="A45" s="417" t="s">
        <v>1067</v>
      </c>
      <c r="B45" s="418"/>
      <c r="C45" s="418"/>
      <c r="D45" s="418"/>
      <c r="E45" s="418"/>
      <c r="F45" s="418"/>
      <c r="G45" s="418"/>
      <c r="H45" s="123"/>
      <c r="I45" s="123"/>
      <c r="J45" s="123"/>
      <c r="K45" s="130"/>
      <c r="BC45" s="14"/>
      <c r="BD45" s="15"/>
      <c r="BE45" s="21"/>
      <c r="BF45" s="43"/>
      <c r="BG45" s="12"/>
    </row>
    <row r="46" spans="1:59" s="3" customFormat="1" ht="14.4" x14ac:dyDescent="0.3">
      <c r="A46" s="80" t="s">
        <v>47</v>
      </c>
      <c r="B46" s="17" t="s">
        <v>1045</v>
      </c>
      <c r="C46" s="405" t="s">
        <v>1046</v>
      </c>
      <c r="D46" s="405"/>
      <c r="E46" s="405"/>
      <c r="F46" s="16" t="s">
        <v>18</v>
      </c>
      <c r="G46" s="18">
        <v>0.123</v>
      </c>
      <c r="H46" s="57">
        <f t="shared" ref="H46" si="10">I46/G46</f>
        <v>321526.26016260148</v>
      </c>
      <c r="I46" s="19">
        <f>2065342.72-K46</f>
        <v>39547.729999999981</v>
      </c>
      <c r="J46" s="19">
        <f t="shared" ref="J46" si="11">K46/G46</f>
        <v>16469877.967479674</v>
      </c>
      <c r="K46" s="131">
        <v>2025794.99</v>
      </c>
      <c r="BC46" s="14"/>
      <c r="BD46" s="15"/>
      <c r="BE46" s="21"/>
      <c r="BF46" s="43"/>
      <c r="BG46" s="12"/>
    </row>
    <row r="47" spans="1:59" s="3" customFormat="1" ht="20.399999999999999" x14ac:dyDescent="0.3">
      <c r="A47" s="133" t="s">
        <v>143</v>
      </c>
      <c r="B47" s="38" t="s">
        <v>1047</v>
      </c>
      <c r="C47" s="430" t="s">
        <v>1048</v>
      </c>
      <c r="D47" s="430"/>
      <c r="E47" s="430"/>
      <c r="F47" s="39" t="s">
        <v>1049</v>
      </c>
      <c r="G47" s="40" t="s">
        <v>1069</v>
      </c>
      <c r="H47" s="40"/>
      <c r="I47" s="41"/>
      <c r="J47" s="41"/>
      <c r="K47" s="134"/>
      <c r="BC47" s="14"/>
      <c r="BD47" s="15"/>
      <c r="BE47" s="21"/>
      <c r="BF47" s="43"/>
      <c r="BG47" s="12"/>
    </row>
    <row r="48" spans="1:59" s="3" customFormat="1" ht="20.399999999999999" x14ac:dyDescent="0.3">
      <c r="A48" s="83" t="s">
        <v>129</v>
      </c>
      <c r="B48" s="26" t="s">
        <v>1070</v>
      </c>
      <c r="C48" s="419" t="s">
        <v>1071</v>
      </c>
      <c r="D48" s="419"/>
      <c r="E48" s="419"/>
      <c r="F48" s="27" t="s">
        <v>1049</v>
      </c>
      <c r="G48" s="22" t="s">
        <v>1069</v>
      </c>
      <c r="H48" s="22"/>
      <c r="I48" s="28"/>
      <c r="J48" s="28"/>
      <c r="K48" s="132"/>
      <c r="BC48" s="14"/>
      <c r="BD48" s="15"/>
      <c r="BE48" s="21"/>
      <c r="BF48" s="43"/>
      <c r="BG48" s="12"/>
    </row>
    <row r="49" spans="1:59" s="3" customFormat="1" ht="15" customHeight="1" x14ac:dyDescent="0.3">
      <c r="A49" s="417" t="s">
        <v>1067</v>
      </c>
      <c r="B49" s="418"/>
      <c r="C49" s="418"/>
      <c r="D49" s="418"/>
      <c r="E49" s="418"/>
      <c r="F49" s="418"/>
      <c r="G49" s="418"/>
      <c r="H49" s="123"/>
      <c r="I49" s="123"/>
      <c r="J49" s="123"/>
      <c r="K49" s="130"/>
      <c r="BC49" s="14"/>
      <c r="BD49" s="15"/>
      <c r="BE49" s="21"/>
      <c r="BF49" s="43"/>
      <c r="BG49" s="12"/>
    </row>
    <row r="50" spans="1:59" s="3" customFormat="1" ht="15" customHeight="1" x14ac:dyDescent="0.3">
      <c r="A50" s="417" t="s">
        <v>1052</v>
      </c>
      <c r="B50" s="418"/>
      <c r="C50" s="418"/>
      <c r="D50" s="418"/>
      <c r="E50" s="418"/>
      <c r="F50" s="418"/>
      <c r="G50" s="418"/>
      <c r="H50" s="123"/>
      <c r="I50" s="123"/>
      <c r="J50" s="123"/>
      <c r="K50" s="130"/>
      <c r="BC50" s="14"/>
      <c r="BD50" s="15"/>
      <c r="BE50" s="21"/>
      <c r="BF50" s="43"/>
      <c r="BG50" s="12"/>
    </row>
    <row r="51" spans="1:59" s="3" customFormat="1" ht="14.4" x14ac:dyDescent="0.3">
      <c r="A51" s="80" t="s">
        <v>52</v>
      </c>
      <c r="B51" s="17" t="s">
        <v>1045</v>
      </c>
      <c r="C51" s="405" t="s">
        <v>1046</v>
      </c>
      <c r="D51" s="405"/>
      <c r="E51" s="405"/>
      <c r="F51" s="16" t="s">
        <v>18</v>
      </c>
      <c r="G51" s="30">
        <v>1.35E-2</v>
      </c>
      <c r="H51" s="57">
        <f t="shared" ref="H51" si="12">I51/G51</f>
        <v>405122.22222222178</v>
      </c>
      <c r="I51" s="19">
        <f>227812.5-K51</f>
        <v>5469.1499999999942</v>
      </c>
      <c r="J51" s="19">
        <f t="shared" ref="J51" si="13">K51/G51</f>
        <v>16469877.777777778</v>
      </c>
      <c r="K51" s="131">
        <v>222343.35</v>
      </c>
      <c r="BC51" s="14"/>
      <c r="BD51" s="15"/>
      <c r="BE51" s="21"/>
      <c r="BF51" s="43"/>
      <c r="BG51" s="12"/>
    </row>
    <row r="52" spans="1:59" s="3" customFormat="1" ht="20.399999999999999" x14ac:dyDescent="0.3">
      <c r="A52" s="133" t="s">
        <v>143</v>
      </c>
      <c r="B52" s="38" t="s">
        <v>1047</v>
      </c>
      <c r="C52" s="430" t="s">
        <v>1048</v>
      </c>
      <c r="D52" s="430"/>
      <c r="E52" s="430"/>
      <c r="F52" s="39" t="s">
        <v>1049</v>
      </c>
      <c r="G52" s="40" t="s">
        <v>1072</v>
      </c>
      <c r="H52" s="40"/>
      <c r="I52" s="41"/>
      <c r="J52" s="41"/>
      <c r="K52" s="134"/>
      <c r="BC52" s="14"/>
      <c r="BD52" s="15"/>
      <c r="BE52" s="21"/>
      <c r="BF52" s="43"/>
      <c r="BG52" s="12"/>
    </row>
    <row r="53" spans="1:59" s="3" customFormat="1" ht="20.399999999999999" x14ac:dyDescent="0.3">
      <c r="A53" s="83" t="s">
        <v>129</v>
      </c>
      <c r="B53" s="26" t="s">
        <v>1070</v>
      </c>
      <c r="C53" s="419" t="s">
        <v>1071</v>
      </c>
      <c r="D53" s="419"/>
      <c r="E53" s="419"/>
      <c r="F53" s="27" t="s">
        <v>1049</v>
      </c>
      <c r="G53" s="22" t="s">
        <v>1072</v>
      </c>
      <c r="H53" s="22"/>
      <c r="I53" s="28"/>
      <c r="J53" s="28"/>
      <c r="K53" s="132"/>
      <c r="BC53" s="14"/>
      <c r="BD53" s="15"/>
      <c r="BE53" s="21"/>
      <c r="BF53" s="43"/>
      <c r="BG53" s="12"/>
    </row>
    <row r="54" spans="1:59" s="3" customFormat="1" ht="15" customHeight="1" x14ac:dyDescent="0.3">
      <c r="A54" s="417" t="s">
        <v>1073</v>
      </c>
      <c r="B54" s="418"/>
      <c r="C54" s="418"/>
      <c r="D54" s="418"/>
      <c r="E54" s="418"/>
      <c r="F54" s="418"/>
      <c r="G54" s="418"/>
      <c r="H54" s="123"/>
      <c r="I54" s="123"/>
      <c r="J54" s="123"/>
      <c r="K54" s="130"/>
      <c r="BC54" s="14"/>
      <c r="BD54" s="15"/>
      <c r="BE54" s="21"/>
      <c r="BF54" s="43"/>
      <c r="BG54" s="12"/>
    </row>
    <row r="55" spans="1:59" s="3" customFormat="1" ht="15" customHeight="1" x14ac:dyDescent="0.3">
      <c r="A55" s="417" t="s">
        <v>1052</v>
      </c>
      <c r="B55" s="418"/>
      <c r="C55" s="418"/>
      <c r="D55" s="418"/>
      <c r="E55" s="418"/>
      <c r="F55" s="418"/>
      <c r="G55" s="418"/>
      <c r="H55" s="123"/>
      <c r="I55" s="123"/>
      <c r="J55" s="123"/>
      <c r="K55" s="130"/>
      <c r="BC55" s="14"/>
      <c r="BD55" s="15"/>
      <c r="BE55" s="21"/>
      <c r="BF55" s="43"/>
      <c r="BG55" s="12"/>
    </row>
    <row r="56" spans="1:59" s="3" customFormat="1" ht="14.4" x14ac:dyDescent="0.3">
      <c r="A56" s="80" t="s">
        <v>55</v>
      </c>
      <c r="B56" s="17" t="s">
        <v>1057</v>
      </c>
      <c r="C56" s="405" t="s">
        <v>1058</v>
      </c>
      <c r="D56" s="405"/>
      <c r="E56" s="405"/>
      <c r="F56" s="16" t="s">
        <v>18</v>
      </c>
      <c r="G56" s="30">
        <v>1.35E-2</v>
      </c>
      <c r="H56" s="57">
        <f t="shared" ref="H56" si="14">I56/G56</f>
        <v>413654.81481481454</v>
      </c>
      <c r="I56" s="19">
        <f>235144.01-K56</f>
        <v>5584.3399999999965</v>
      </c>
      <c r="J56" s="19">
        <f t="shared" ref="J56" si="15">K56/G56</f>
        <v>17004420</v>
      </c>
      <c r="K56" s="131">
        <v>229559.67</v>
      </c>
      <c r="BC56" s="14"/>
      <c r="BD56" s="15"/>
      <c r="BE56" s="21"/>
      <c r="BF56" s="43"/>
      <c r="BG56" s="12"/>
    </row>
    <row r="57" spans="1:59" s="3" customFormat="1" ht="20.399999999999999" x14ac:dyDescent="0.3">
      <c r="A57" s="133" t="s">
        <v>78</v>
      </c>
      <c r="B57" s="38" t="s">
        <v>1059</v>
      </c>
      <c r="C57" s="430" t="s">
        <v>1060</v>
      </c>
      <c r="D57" s="430"/>
      <c r="E57" s="430"/>
      <c r="F57" s="39" t="s">
        <v>158</v>
      </c>
      <c r="G57" s="40" t="s">
        <v>33</v>
      </c>
      <c r="H57" s="40"/>
      <c r="I57" s="41"/>
      <c r="J57" s="41"/>
      <c r="K57" s="134"/>
      <c r="BC57" s="14"/>
      <c r="BD57" s="15"/>
      <c r="BE57" s="21"/>
      <c r="BF57" s="43"/>
      <c r="BG57" s="12"/>
    </row>
    <row r="58" spans="1:59" s="3" customFormat="1" ht="20.399999999999999" x14ac:dyDescent="0.3">
      <c r="A58" s="133" t="s">
        <v>143</v>
      </c>
      <c r="B58" s="38" t="s">
        <v>1047</v>
      </c>
      <c r="C58" s="430" t="s">
        <v>1048</v>
      </c>
      <c r="D58" s="430"/>
      <c r="E58" s="430"/>
      <c r="F58" s="39" t="s">
        <v>1049</v>
      </c>
      <c r="G58" s="40" t="s">
        <v>1072</v>
      </c>
      <c r="H58" s="40"/>
      <c r="I58" s="41"/>
      <c r="J58" s="41"/>
      <c r="K58" s="134"/>
      <c r="BC58" s="14"/>
      <c r="BD58" s="15"/>
      <c r="BE58" s="21"/>
      <c r="BF58" s="43"/>
      <c r="BG58" s="12"/>
    </row>
    <row r="59" spans="1:59" s="3" customFormat="1" ht="20.399999999999999" x14ac:dyDescent="0.3">
      <c r="A59" s="83" t="s">
        <v>129</v>
      </c>
      <c r="B59" s="26" t="s">
        <v>1062</v>
      </c>
      <c r="C59" s="419" t="s">
        <v>1060</v>
      </c>
      <c r="D59" s="419"/>
      <c r="E59" s="419"/>
      <c r="F59" s="27" t="s">
        <v>158</v>
      </c>
      <c r="G59" s="22" t="s">
        <v>1074</v>
      </c>
      <c r="H59" s="22"/>
      <c r="I59" s="28"/>
      <c r="J59" s="28"/>
      <c r="K59" s="132"/>
      <c r="BC59" s="14"/>
      <c r="BD59" s="15"/>
      <c r="BE59" s="21"/>
      <c r="BF59" s="43"/>
      <c r="BG59" s="12"/>
    </row>
    <row r="60" spans="1:59" s="3" customFormat="1" ht="20.399999999999999" x14ac:dyDescent="0.3">
      <c r="A60" s="83" t="s">
        <v>129</v>
      </c>
      <c r="B60" s="26" t="s">
        <v>1070</v>
      </c>
      <c r="C60" s="419" t="s">
        <v>1071</v>
      </c>
      <c r="D60" s="419"/>
      <c r="E60" s="419"/>
      <c r="F60" s="27" t="s">
        <v>1049</v>
      </c>
      <c r="G60" s="22" t="s">
        <v>1072</v>
      </c>
      <c r="H60" s="22"/>
      <c r="I60" s="28"/>
      <c r="J60" s="28"/>
      <c r="K60" s="132"/>
      <c r="BC60" s="14"/>
      <c r="BD60" s="15"/>
      <c r="BE60" s="21"/>
      <c r="BF60" s="43"/>
      <c r="BG60" s="12"/>
    </row>
    <row r="61" spans="1:59" s="3" customFormat="1" ht="15" customHeight="1" x14ac:dyDescent="0.3">
      <c r="A61" s="417" t="s">
        <v>1075</v>
      </c>
      <c r="B61" s="418"/>
      <c r="C61" s="418"/>
      <c r="D61" s="418"/>
      <c r="E61" s="418"/>
      <c r="F61" s="418"/>
      <c r="G61" s="418"/>
      <c r="H61" s="123"/>
      <c r="I61" s="123"/>
      <c r="J61" s="123"/>
      <c r="K61" s="130"/>
      <c r="BC61" s="14"/>
      <c r="BD61" s="15"/>
      <c r="BE61" s="21"/>
      <c r="BF61" s="43"/>
      <c r="BG61" s="12"/>
    </row>
    <row r="62" spans="1:59" s="3" customFormat="1" ht="15" customHeight="1" x14ac:dyDescent="0.3">
      <c r="A62" s="417" t="s">
        <v>1044</v>
      </c>
      <c r="B62" s="418"/>
      <c r="C62" s="418"/>
      <c r="D62" s="418"/>
      <c r="E62" s="418"/>
      <c r="F62" s="418"/>
      <c r="G62" s="418"/>
      <c r="H62" s="123"/>
      <c r="I62" s="123"/>
      <c r="J62" s="123"/>
      <c r="K62" s="130"/>
      <c r="BC62" s="14"/>
      <c r="BD62" s="15"/>
      <c r="BE62" s="21"/>
      <c r="BF62" s="43"/>
      <c r="BG62" s="12"/>
    </row>
    <row r="63" spans="1:59" s="3" customFormat="1" ht="14.4" x14ac:dyDescent="0.3">
      <c r="A63" s="80" t="s">
        <v>56</v>
      </c>
      <c r="B63" s="17" t="s">
        <v>1057</v>
      </c>
      <c r="C63" s="405" t="s">
        <v>1058</v>
      </c>
      <c r="D63" s="405"/>
      <c r="E63" s="405"/>
      <c r="F63" s="16" t="s">
        <v>18</v>
      </c>
      <c r="G63" s="18">
        <v>0.161</v>
      </c>
      <c r="H63" s="57">
        <f t="shared" ref="H63" si="16">I63/G63</f>
        <v>328296.89440993674</v>
      </c>
      <c r="I63" s="19">
        <f>2790573.36-K63</f>
        <v>52855.799999999814</v>
      </c>
      <c r="J63" s="19">
        <f t="shared" ref="J63" si="17">K63/G63</f>
        <v>17004456.89440994</v>
      </c>
      <c r="K63" s="131">
        <v>2737717.56</v>
      </c>
      <c r="BC63" s="14"/>
      <c r="BD63" s="15"/>
      <c r="BE63" s="21"/>
      <c r="BF63" s="43"/>
      <c r="BG63" s="12"/>
    </row>
    <row r="64" spans="1:59" s="3" customFormat="1" ht="20.399999999999999" x14ac:dyDescent="0.3">
      <c r="A64" s="133" t="s">
        <v>78</v>
      </c>
      <c r="B64" s="38" t="s">
        <v>1059</v>
      </c>
      <c r="C64" s="430" t="s">
        <v>1060</v>
      </c>
      <c r="D64" s="430"/>
      <c r="E64" s="430"/>
      <c r="F64" s="39" t="s">
        <v>158</v>
      </c>
      <c r="G64" s="40" t="s">
        <v>33</v>
      </c>
      <c r="H64" s="40"/>
      <c r="I64" s="41"/>
      <c r="J64" s="41"/>
      <c r="K64" s="134"/>
      <c r="BC64" s="14"/>
      <c r="BD64" s="15"/>
      <c r="BE64" s="21"/>
      <c r="BF64" s="43"/>
      <c r="BG64" s="12"/>
    </row>
    <row r="65" spans="1:60" s="3" customFormat="1" ht="20.399999999999999" x14ac:dyDescent="0.3">
      <c r="A65" s="133" t="s">
        <v>143</v>
      </c>
      <c r="B65" s="38" t="s">
        <v>1047</v>
      </c>
      <c r="C65" s="430" t="s">
        <v>1048</v>
      </c>
      <c r="D65" s="430"/>
      <c r="E65" s="430"/>
      <c r="F65" s="39" t="s">
        <v>1049</v>
      </c>
      <c r="G65" s="40" t="s">
        <v>1076</v>
      </c>
      <c r="H65" s="40"/>
      <c r="I65" s="41"/>
      <c r="J65" s="41"/>
      <c r="K65" s="134"/>
      <c r="BC65" s="14"/>
      <c r="BD65" s="15"/>
      <c r="BE65" s="21"/>
      <c r="BF65" s="43"/>
      <c r="BG65" s="12"/>
    </row>
    <row r="66" spans="1:60" s="3" customFormat="1" ht="20.399999999999999" x14ac:dyDescent="0.3">
      <c r="A66" s="83" t="s">
        <v>129</v>
      </c>
      <c r="B66" s="26" t="s">
        <v>1062</v>
      </c>
      <c r="C66" s="419" t="s">
        <v>1060</v>
      </c>
      <c r="D66" s="419"/>
      <c r="E66" s="419"/>
      <c r="F66" s="27" t="s">
        <v>158</v>
      </c>
      <c r="G66" s="22" t="s">
        <v>1077</v>
      </c>
      <c r="H66" s="22"/>
      <c r="I66" s="28"/>
      <c r="J66" s="28"/>
      <c r="K66" s="132"/>
      <c r="BC66" s="14"/>
      <c r="BD66" s="15"/>
      <c r="BE66" s="21"/>
      <c r="BF66" s="43"/>
      <c r="BG66" s="12"/>
    </row>
    <row r="67" spans="1:60" s="3" customFormat="1" ht="20.399999999999999" x14ac:dyDescent="0.3">
      <c r="A67" s="83" t="s">
        <v>129</v>
      </c>
      <c r="B67" s="26" t="s">
        <v>1070</v>
      </c>
      <c r="C67" s="419" t="s">
        <v>1071</v>
      </c>
      <c r="D67" s="419"/>
      <c r="E67" s="419"/>
      <c r="F67" s="27" t="s">
        <v>1049</v>
      </c>
      <c r="G67" s="22" t="s">
        <v>1076</v>
      </c>
      <c r="H67" s="22"/>
      <c r="I67" s="28"/>
      <c r="J67" s="28"/>
      <c r="K67" s="132"/>
      <c r="BC67" s="14"/>
      <c r="BD67" s="15"/>
      <c r="BE67" s="21"/>
      <c r="BF67" s="43"/>
      <c r="BG67" s="12"/>
    </row>
    <row r="68" spans="1:60" s="3" customFormat="1" ht="15" customHeight="1" x14ac:dyDescent="0.3">
      <c r="A68" s="417" t="s">
        <v>1078</v>
      </c>
      <c r="B68" s="418"/>
      <c r="C68" s="418"/>
      <c r="D68" s="418"/>
      <c r="E68" s="418"/>
      <c r="F68" s="418"/>
      <c r="G68" s="418"/>
      <c r="H68" s="123"/>
      <c r="I68" s="123"/>
      <c r="J68" s="123"/>
      <c r="K68" s="130"/>
      <c r="BC68" s="14"/>
      <c r="BD68" s="15"/>
      <c r="BE68" s="21"/>
      <c r="BF68" s="43"/>
      <c r="BG68" s="12"/>
    </row>
    <row r="69" spans="1:60" s="3" customFormat="1" ht="15" customHeight="1" x14ac:dyDescent="0.3">
      <c r="A69" s="417" t="s">
        <v>1079</v>
      </c>
      <c r="B69" s="418"/>
      <c r="C69" s="418"/>
      <c r="D69" s="418"/>
      <c r="E69" s="418"/>
      <c r="F69" s="418"/>
      <c r="G69" s="418"/>
      <c r="H69" s="123"/>
      <c r="I69" s="123"/>
      <c r="J69" s="123"/>
      <c r="K69" s="130"/>
      <c r="BC69" s="14"/>
      <c r="BD69" s="15"/>
      <c r="BE69" s="21"/>
      <c r="BF69" s="43"/>
      <c r="BG69" s="12"/>
    </row>
    <row r="70" spans="1:60" s="3" customFormat="1" ht="14.4" x14ac:dyDescent="0.3">
      <c r="A70" s="80" t="s">
        <v>166</v>
      </c>
      <c r="B70" s="17" t="s">
        <v>1080</v>
      </c>
      <c r="C70" s="405" t="s">
        <v>1081</v>
      </c>
      <c r="D70" s="405"/>
      <c r="E70" s="405"/>
      <c r="F70" s="16" t="s">
        <v>25</v>
      </c>
      <c r="G70" s="23">
        <v>7</v>
      </c>
      <c r="H70" s="57">
        <f t="shared" ref="H70" si="18">I70/G70</f>
        <v>172816.14857142855</v>
      </c>
      <c r="I70" s="19">
        <f>2867146.88-K70</f>
        <v>1209713.0399999998</v>
      </c>
      <c r="J70" s="19">
        <f t="shared" ref="J70" si="19">K70/G70</f>
        <v>236776.26285714286</v>
      </c>
      <c r="K70" s="131">
        <v>1657433.84</v>
      </c>
      <c r="BC70" s="14"/>
      <c r="BD70" s="15"/>
      <c r="BE70" s="21"/>
      <c r="BF70" s="43"/>
      <c r="BG70" s="12"/>
    </row>
    <row r="71" spans="1:60" s="3" customFormat="1" ht="20.399999999999999" x14ac:dyDescent="0.3">
      <c r="A71" s="133" t="s">
        <v>78</v>
      </c>
      <c r="B71" s="38" t="s">
        <v>1082</v>
      </c>
      <c r="C71" s="430" t="s">
        <v>1083</v>
      </c>
      <c r="D71" s="430"/>
      <c r="E71" s="430"/>
      <c r="F71" s="39" t="s">
        <v>46</v>
      </c>
      <c r="G71" s="40" t="s">
        <v>33</v>
      </c>
      <c r="H71" s="40"/>
      <c r="I71" s="41"/>
      <c r="J71" s="41"/>
      <c r="K71" s="134"/>
      <c r="BC71" s="14"/>
      <c r="BD71" s="15"/>
      <c r="BE71" s="21"/>
      <c r="BF71" s="43"/>
      <c r="BG71" s="12"/>
    </row>
    <row r="72" spans="1:60" s="3" customFormat="1" ht="20.399999999999999" x14ac:dyDescent="0.3">
      <c r="A72" s="83"/>
      <c r="B72" s="26" t="s">
        <v>1084</v>
      </c>
      <c r="C72" s="419" t="s">
        <v>1085</v>
      </c>
      <c r="D72" s="419"/>
      <c r="E72" s="419"/>
      <c r="F72" s="27" t="s">
        <v>1086</v>
      </c>
      <c r="G72" s="22" t="s">
        <v>1087</v>
      </c>
      <c r="H72" s="22"/>
      <c r="I72" s="28"/>
      <c r="J72" s="28"/>
      <c r="K72" s="132"/>
      <c r="BC72" s="14"/>
      <c r="BD72" s="15"/>
      <c r="BE72" s="21"/>
      <c r="BF72" s="43"/>
      <c r="BG72" s="12"/>
      <c r="BH72" s="12"/>
    </row>
    <row r="73" spans="1:60" s="3" customFormat="1" ht="20.399999999999999" x14ac:dyDescent="0.3">
      <c r="A73" s="133" t="s">
        <v>78</v>
      </c>
      <c r="B73" s="38" t="s">
        <v>1088</v>
      </c>
      <c r="C73" s="430" t="s">
        <v>1089</v>
      </c>
      <c r="D73" s="430"/>
      <c r="E73" s="430"/>
      <c r="F73" s="39" t="s">
        <v>38</v>
      </c>
      <c r="G73" s="40" t="s">
        <v>33</v>
      </c>
      <c r="H73" s="40"/>
      <c r="I73" s="41"/>
      <c r="J73" s="41"/>
      <c r="K73" s="134"/>
      <c r="BC73" s="14"/>
      <c r="BD73" s="15"/>
      <c r="BE73" s="21"/>
      <c r="BF73" s="43"/>
      <c r="BG73" s="12"/>
      <c r="BH73" s="12"/>
    </row>
    <row r="74" spans="1:60" s="3" customFormat="1" ht="20.399999999999999" x14ac:dyDescent="0.3">
      <c r="A74" s="83"/>
      <c r="B74" s="26" t="s">
        <v>1090</v>
      </c>
      <c r="C74" s="419" t="s">
        <v>1091</v>
      </c>
      <c r="D74" s="419"/>
      <c r="E74" s="419"/>
      <c r="F74" s="27" t="s">
        <v>38</v>
      </c>
      <c r="G74" s="22" t="s">
        <v>1092</v>
      </c>
      <c r="H74" s="22"/>
      <c r="I74" s="28"/>
      <c r="J74" s="28"/>
      <c r="K74" s="132"/>
      <c r="BC74" s="14"/>
      <c r="BD74" s="15"/>
      <c r="BE74" s="21"/>
      <c r="BF74" s="43"/>
      <c r="BG74" s="12"/>
      <c r="BH74" s="12"/>
    </row>
    <row r="75" spans="1:60" s="3" customFormat="1" ht="20.399999999999999" x14ac:dyDescent="0.3">
      <c r="A75" s="83"/>
      <c r="B75" s="26" t="s">
        <v>1093</v>
      </c>
      <c r="C75" s="419" t="s">
        <v>1094</v>
      </c>
      <c r="D75" s="419"/>
      <c r="E75" s="419"/>
      <c r="F75" s="27" t="s">
        <v>1086</v>
      </c>
      <c r="G75" s="22" t="s">
        <v>1087</v>
      </c>
      <c r="H75" s="22"/>
      <c r="I75" s="28"/>
      <c r="J75" s="28"/>
      <c r="K75" s="132"/>
      <c r="BC75" s="14"/>
      <c r="BD75" s="15"/>
      <c r="BE75" s="21"/>
      <c r="BF75" s="43"/>
      <c r="BG75" s="12"/>
      <c r="BH75" s="12"/>
    </row>
    <row r="76" spans="1:60" s="3" customFormat="1" ht="20.399999999999999" x14ac:dyDescent="0.3">
      <c r="A76" s="83"/>
      <c r="B76" s="26" t="s">
        <v>1095</v>
      </c>
      <c r="C76" s="419" t="s">
        <v>1096</v>
      </c>
      <c r="D76" s="419"/>
      <c r="E76" s="419"/>
      <c r="F76" s="27" t="s">
        <v>70</v>
      </c>
      <c r="G76" s="22" t="s">
        <v>1097</v>
      </c>
      <c r="H76" s="22"/>
      <c r="I76" s="28"/>
      <c r="J76" s="28"/>
      <c r="K76" s="132"/>
      <c r="BC76" s="14"/>
      <c r="BD76" s="15"/>
      <c r="BE76" s="21"/>
      <c r="BF76" s="43"/>
      <c r="BG76" s="12"/>
      <c r="BH76" s="12"/>
    </row>
    <row r="77" spans="1:60" s="3" customFormat="1" ht="20.399999999999999" x14ac:dyDescent="0.3">
      <c r="A77" s="83"/>
      <c r="B77" s="26" t="s">
        <v>1098</v>
      </c>
      <c r="C77" s="419" t="s">
        <v>1099</v>
      </c>
      <c r="D77" s="419"/>
      <c r="E77" s="419"/>
      <c r="F77" s="27" t="s">
        <v>70</v>
      </c>
      <c r="G77" s="22" t="s">
        <v>1100</v>
      </c>
      <c r="H77" s="22"/>
      <c r="I77" s="28"/>
      <c r="J77" s="28"/>
      <c r="K77" s="132"/>
      <c r="BC77" s="14"/>
      <c r="BD77" s="15"/>
      <c r="BE77" s="21"/>
      <c r="BF77" s="43"/>
      <c r="BG77" s="12"/>
      <c r="BH77" s="12"/>
    </row>
    <row r="78" spans="1:60" s="3" customFormat="1" ht="20.399999999999999" x14ac:dyDescent="0.3">
      <c r="A78" s="83"/>
      <c r="B78" s="26" t="s">
        <v>1101</v>
      </c>
      <c r="C78" s="419" t="s">
        <v>1102</v>
      </c>
      <c r="D78" s="419"/>
      <c r="E78" s="419"/>
      <c r="F78" s="27" t="s">
        <v>70</v>
      </c>
      <c r="G78" s="22" t="s">
        <v>1103</v>
      </c>
      <c r="H78" s="22"/>
      <c r="I78" s="28"/>
      <c r="J78" s="28"/>
      <c r="K78" s="132"/>
      <c r="BC78" s="14"/>
      <c r="BD78" s="15"/>
      <c r="BE78" s="21"/>
      <c r="BF78" s="43"/>
      <c r="BG78" s="12"/>
      <c r="BH78" s="12"/>
    </row>
    <row r="79" spans="1:60" s="3" customFormat="1" ht="20.399999999999999" x14ac:dyDescent="0.3">
      <c r="A79" s="83"/>
      <c r="B79" s="26" t="s">
        <v>1104</v>
      </c>
      <c r="C79" s="419" t="s">
        <v>1105</v>
      </c>
      <c r="D79" s="419"/>
      <c r="E79" s="419"/>
      <c r="F79" s="27" t="s">
        <v>38</v>
      </c>
      <c r="G79" s="22" t="s">
        <v>1106</v>
      </c>
      <c r="H79" s="22"/>
      <c r="I79" s="28"/>
      <c r="J79" s="28"/>
      <c r="K79" s="132"/>
      <c r="BC79" s="14"/>
      <c r="BD79" s="15"/>
      <c r="BE79" s="21"/>
      <c r="BF79" s="43"/>
      <c r="BG79" s="12"/>
      <c r="BH79" s="12"/>
    </row>
    <row r="80" spans="1:60" s="3" customFormat="1" ht="20.399999999999999" x14ac:dyDescent="0.3">
      <c r="A80" s="83"/>
      <c r="B80" s="26" t="s">
        <v>1107</v>
      </c>
      <c r="C80" s="419" t="s">
        <v>1108</v>
      </c>
      <c r="D80" s="419"/>
      <c r="E80" s="419"/>
      <c r="F80" s="27" t="s">
        <v>115</v>
      </c>
      <c r="G80" s="22" t="s">
        <v>1109</v>
      </c>
      <c r="H80" s="22"/>
      <c r="I80" s="28"/>
      <c r="J80" s="28"/>
      <c r="K80" s="132"/>
      <c r="BC80" s="14"/>
      <c r="BD80" s="15"/>
      <c r="BE80" s="21"/>
      <c r="BF80" s="43"/>
      <c r="BG80" s="12"/>
      <c r="BH80" s="12"/>
    </row>
    <row r="81" spans="1:60" s="3" customFormat="1" ht="20.399999999999999" x14ac:dyDescent="0.3">
      <c r="A81" s="133" t="s">
        <v>143</v>
      </c>
      <c r="B81" s="38" t="s">
        <v>1110</v>
      </c>
      <c r="C81" s="430" t="s">
        <v>1111</v>
      </c>
      <c r="D81" s="430"/>
      <c r="E81" s="430"/>
      <c r="F81" s="39" t="s">
        <v>142</v>
      </c>
      <c r="G81" s="40" t="s">
        <v>1112</v>
      </c>
      <c r="H81" s="40"/>
      <c r="I81" s="41"/>
      <c r="J81" s="41"/>
      <c r="K81" s="134"/>
      <c r="BC81" s="14"/>
      <c r="BD81" s="15"/>
      <c r="BE81" s="21"/>
      <c r="BF81" s="43"/>
      <c r="BG81" s="12"/>
      <c r="BH81" s="12"/>
    </row>
    <row r="82" spans="1:60" s="3" customFormat="1" ht="20.399999999999999" x14ac:dyDescent="0.3">
      <c r="A82" s="133" t="s">
        <v>143</v>
      </c>
      <c r="B82" s="38" t="s">
        <v>1113</v>
      </c>
      <c r="C82" s="430" t="s">
        <v>1114</v>
      </c>
      <c r="D82" s="430"/>
      <c r="E82" s="430"/>
      <c r="F82" s="39" t="s">
        <v>25</v>
      </c>
      <c r="G82" s="40" t="s">
        <v>1115</v>
      </c>
      <c r="H82" s="40"/>
      <c r="I82" s="41"/>
      <c r="J82" s="41"/>
      <c r="K82" s="134"/>
      <c r="BC82" s="14"/>
      <c r="BD82" s="15"/>
      <c r="BE82" s="21"/>
      <c r="BF82" s="43"/>
      <c r="BG82" s="12"/>
      <c r="BH82" s="12"/>
    </row>
    <row r="83" spans="1:60" s="3" customFormat="1" ht="20.399999999999999" x14ac:dyDescent="0.3">
      <c r="A83" s="83"/>
      <c r="B83" s="26" t="s">
        <v>1116</v>
      </c>
      <c r="C83" s="419" t="s">
        <v>1117</v>
      </c>
      <c r="D83" s="419"/>
      <c r="E83" s="419"/>
      <c r="F83" s="27" t="s">
        <v>38</v>
      </c>
      <c r="G83" s="22" t="s">
        <v>1106</v>
      </c>
      <c r="H83" s="22"/>
      <c r="I83" s="28"/>
      <c r="J83" s="28"/>
      <c r="K83" s="132"/>
      <c r="BC83" s="14"/>
      <c r="BD83" s="15"/>
      <c r="BE83" s="21"/>
      <c r="BF83" s="43"/>
      <c r="BG83" s="12"/>
      <c r="BH83" s="12"/>
    </row>
    <row r="84" spans="1:60" s="3" customFormat="1" ht="20.399999999999999" x14ac:dyDescent="0.3">
      <c r="A84" s="83"/>
      <c r="B84" s="26" t="s">
        <v>1118</v>
      </c>
      <c r="C84" s="419" t="s">
        <v>1119</v>
      </c>
      <c r="D84" s="419"/>
      <c r="E84" s="419"/>
      <c r="F84" s="27" t="s">
        <v>38</v>
      </c>
      <c r="G84" s="22" t="s">
        <v>1106</v>
      </c>
      <c r="H84" s="22"/>
      <c r="I84" s="28"/>
      <c r="J84" s="28"/>
      <c r="K84" s="132"/>
      <c r="BC84" s="14"/>
      <c r="BD84" s="15"/>
      <c r="BE84" s="21"/>
      <c r="BF84" s="43"/>
      <c r="BG84" s="12"/>
      <c r="BH84" s="12"/>
    </row>
    <row r="85" spans="1:60" s="3" customFormat="1" ht="14.4" x14ac:dyDescent="0.3">
      <c r="A85" s="80" t="s">
        <v>169</v>
      </c>
      <c r="B85" s="17" t="s">
        <v>1120</v>
      </c>
      <c r="C85" s="405" t="s">
        <v>1121</v>
      </c>
      <c r="D85" s="405"/>
      <c r="E85" s="405"/>
      <c r="F85" s="16" t="s">
        <v>25</v>
      </c>
      <c r="G85" s="23">
        <v>7</v>
      </c>
      <c r="H85" s="57">
        <f t="shared" ref="H85:H88" si="20">I85/G85</f>
        <v>194578.41571428571</v>
      </c>
      <c r="I85" s="19">
        <v>1362048.91</v>
      </c>
      <c r="J85" s="19">
        <f t="shared" ref="J85:J88" si="21">K85/G85</f>
        <v>0</v>
      </c>
      <c r="K85" s="131">
        <v>0</v>
      </c>
      <c r="BC85" s="14"/>
      <c r="BD85" s="15"/>
      <c r="BE85" s="21"/>
      <c r="BF85" s="43"/>
      <c r="BG85" s="12"/>
      <c r="BH85" s="12"/>
    </row>
    <row r="86" spans="1:60" s="3" customFormat="1" ht="15" customHeight="1" x14ac:dyDescent="0.3">
      <c r="A86" s="417" t="s">
        <v>1122</v>
      </c>
      <c r="B86" s="418"/>
      <c r="C86" s="418"/>
      <c r="D86" s="418"/>
      <c r="E86" s="418"/>
      <c r="F86" s="418"/>
      <c r="G86" s="418"/>
      <c r="H86" s="123"/>
      <c r="I86" s="123"/>
      <c r="J86" s="123"/>
      <c r="K86" s="130"/>
      <c r="BC86" s="14"/>
      <c r="BD86" s="15"/>
      <c r="BE86" s="21"/>
      <c r="BF86" s="43"/>
      <c r="BG86" s="12"/>
      <c r="BH86" s="12"/>
    </row>
    <row r="87" spans="1:60" s="3" customFormat="1" ht="15" customHeight="1" x14ac:dyDescent="0.3">
      <c r="A87" s="417" t="s">
        <v>1123</v>
      </c>
      <c r="B87" s="418"/>
      <c r="C87" s="418"/>
      <c r="D87" s="418"/>
      <c r="E87" s="418"/>
      <c r="F87" s="418"/>
      <c r="G87" s="418"/>
      <c r="H87" s="123"/>
      <c r="I87" s="123"/>
      <c r="J87" s="123"/>
      <c r="K87" s="130"/>
      <c r="BC87" s="14"/>
      <c r="BD87" s="15"/>
      <c r="BE87" s="21"/>
      <c r="BF87" s="43"/>
      <c r="BG87" s="12"/>
      <c r="BH87" s="12"/>
    </row>
    <row r="88" spans="1:60" s="3" customFormat="1" ht="14.4" x14ac:dyDescent="0.3">
      <c r="A88" s="80" t="s">
        <v>170</v>
      </c>
      <c r="B88" s="17" t="s">
        <v>1080</v>
      </c>
      <c r="C88" s="405" t="s">
        <v>1081</v>
      </c>
      <c r="D88" s="405"/>
      <c r="E88" s="405"/>
      <c r="F88" s="16" t="s">
        <v>25</v>
      </c>
      <c r="G88" s="23">
        <v>8</v>
      </c>
      <c r="H88" s="57">
        <f t="shared" si="20"/>
        <v>172816.14499999996</v>
      </c>
      <c r="I88" s="19">
        <f>3276739.26-K88</f>
        <v>1382529.1599999997</v>
      </c>
      <c r="J88" s="19">
        <f t="shared" si="21"/>
        <v>236776.26250000001</v>
      </c>
      <c r="K88" s="131">
        <v>1894210.1</v>
      </c>
      <c r="BC88" s="14"/>
      <c r="BD88" s="15"/>
      <c r="BE88" s="21"/>
      <c r="BF88" s="43"/>
      <c r="BG88" s="12"/>
      <c r="BH88" s="12"/>
    </row>
    <row r="89" spans="1:60" s="3" customFormat="1" ht="20.399999999999999" x14ac:dyDescent="0.3">
      <c r="A89" s="133" t="s">
        <v>78</v>
      </c>
      <c r="B89" s="38" t="s">
        <v>1082</v>
      </c>
      <c r="C89" s="430" t="s">
        <v>1083</v>
      </c>
      <c r="D89" s="430"/>
      <c r="E89" s="430"/>
      <c r="F89" s="39" t="s">
        <v>46</v>
      </c>
      <c r="G89" s="40" t="s">
        <v>33</v>
      </c>
      <c r="H89" s="40"/>
      <c r="I89" s="41"/>
      <c r="J89" s="41"/>
      <c r="K89" s="134"/>
      <c r="BC89" s="14"/>
      <c r="BD89" s="15"/>
      <c r="BE89" s="21"/>
      <c r="BF89" s="43"/>
      <c r="BG89" s="12"/>
      <c r="BH89" s="12"/>
    </row>
    <row r="90" spans="1:60" s="3" customFormat="1" ht="20.399999999999999" x14ac:dyDescent="0.3">
      <c r="A90" s="83"/>
      <c r="B90" s="26" t="s">
        <v>1084</v>
      </c>
      <c r="C90" s="419" t="s">
        <v>1085</v>
      </c>
      <c r="D90" s="419"/>
      <c r="E90" s="419"/>
      <c r="F90" s="27" t="s">
        <v>1086</v>
      </c>
      <c r="G90" s="22" t="s">
        <v>1124</v>
      </c>
      <c r="H90" s="22"/>
      <c r="I90" s="28"/>
      <c r="J90" s="28"/>
      <c r="K90" s="132"/>
      <c r="BC90" s="14"/>
      <c r="BD90" s="15"/>
      <c r="BE90" s="21"/>
      <c r="BF90" s="43"/>
      <c r="BG90" s="12"/>
      <c r="BH90" s="12"/>
    </row>
    <row r="91" spans="1:60" s="3" customFormat="1" ht="20.399999999999999" x14ac:dyDescent="0.3">
      <c r="A91" s="133" t="s">
        <v>78</v>
      </c>
      <c r="B91" s="38" t="s">
        <v>1088</v>
      </c>
      <c r="C91" s="430" t="s">
        <v>1089</v>
      </c>
      <c r="D91" s="430"/>
      <c r="E91" s="430"/>
      <c r="F91" s="39" t="s">
        <v>38</v>
      </c>
      <c r="G91" s="40" t="s">
        <v>33</v>
      </c>
      <c r="H91" s="40"/>
      <c r="I91" s="41"/>
      <c r="J91" s="41"/>
      <c r="K91" s="134"/>
      <c r="BC91" s="14"/>
      <c r="BD91" s="15"/>
      <c r="BE91" s="21"/>
      <c r="BF91" s="43"/>
      <c r="BG91" s="12"/>
      <c r="BH91" s="12"/>
    </row>
    <row r="92" spans="1:60" s="3" customFormat="1" ht="20.399999999999999" x14ac:dyDescent="0.3">
      <c r="A92" s="83"/>
      <c r="B92" s="26" t="s">
        <v>1090</v>
      </c>
      <c r="C92" s="419" t="s">
        <v>1091</v>
      </c>
      <c r="D92" s="419"/>
      <c r="E92" s="419"/>
      <c r="F92" s="27" t="s">
        <v>38</v>
      </c>
      <c r="G92" s="22" t="s">
        <v>1125</v>
      </c>
      <c r="H92" s="22"/>
      <c r="I92" s="28"/>
      <c r="J92" s="28"/>
      <c r="K92" s="132"/>
      <c r="BC92" s="14"/>
      <c r="BD92" s="15"/>
      <c r="BE92" s="21"/>
      <c r="BF92" s="43"/>
      <c r="BG92" s="12"/>
      <c r="BH92" s="12"/>
    </row>
    <row r="93" spans="1:60" s="3" customFormat="1" ht="20.399999999999999" x14ac:dyDescent="0.3">
      <c r="A93" s="83"/>
      <c r="B93" s="26" t="s">
        <v>1093</v>
      </c>
      <c r="C93" s="419" t="s">
        <v>1094</v>
      </c>
      <c r="D93" s="419"/>
      <c r="E93" s="419"/>
      <c r="F93" s="27" t="s">
        <v>1086</v>
      </c>
      <c r="G93" s="22" t="s">
        <v>1124</v>
      </c>
      <c r="H93" s="22"/>
      <c r="I93" s="28"/>
      <c r="J93" s="28"/>
      <c r="K93" s="132"/>
      <c r="BC93" s="14"/>
      <c r="BD93" s="15"/>
      <c r="BE93" s="21"/>
      <c r="BF93" s="43"/>
      <c r="BG93" s="12"/>
      <c r="BH93" s="12"/>
    </row>
    <row r="94" spans="1:60" s="3" customFormat="1" ht="20.399999999999999" x14ac:dyDescent="0.3">
      <c r="A94" s="83"/>
      <c r="B94" s="26" t="s">
        <v>1095</v>
      </c>
      <c r="C94" s="419" t="s">
        <v>1096</v>
      </c>
      <c r="D94" s="419"/>
      <c r="E94" s="419"/>
      <c r="F94" s="27" t="s">
        <v>70</v>
      </c>
      <c r="G94" s="22" t="s">
        <v>1126</v>
      </c>
      <c r="H94" s="22"/>
      <c r="I94" s="28"/>
      <c r="J94" s="28"/>
      <c r="K94" s="132"/>
      <c r="BC94" s="14"/>
      <c r="BD94" s="15"/>
      <c r="BE94" s="21"/>
      <c r="BF94" s="43"/>
      <c r="BG94" s="12"/>
      <c r="BH94" s="12"/>
    </row>
    <row r="95" spans="1:60" s="3" customFormat="1" ht="20.399999999999999" x14ac:dyDescent="0.3">
      <c r="A95" s="83"/>
      <c r="B95" s="26" t="s">
        <v>1098</v>
      </c>
      <c r="C95" s="419" t="s">
        <v>1099</v>
      </c>
      <c r="D95" s="419"/>
      <c r="E95" s="419"/>
      <c r="F95" s="27" t="s">
        <v>70</v>
      </c>
      <c r="G95" s="22" t="s">
        <v>1127</v>
      </c>
      <c r="H95" s="22"/>
      <c r="I95" s="28"/>
      <c r="J95" s="28"/>
      <c r="K95" s="132"/>
      <c r="BC95" s="14"/>
      <c r="BD95" s="15"/>
      <c r="BE95" s="21"/>
      <c r="BF95" s="43"/>
      <c r="BG95" s="12"/>
      <c r="BH95" s="12"/>
    </row>
    <row r="96" spans="1:60" s="3" customFormat="1" ht="20.399999999999999" x14ac:dyDescent="0.3">
      <c r="A96" s="83"/>
      <c r="B96" s="26" t="s">
        <v>1101</v>
      </c>
      <c r="C96" s="419" t="s">
        <v>1102</v>
      </c>
      <c r="D96" s="419"/>
      <c r="E96" s="419"/>
      <c r="F96" s="27" t="s">
        <v>70</v>
      </c>
      <c r="G96" s="22" t="s">
        <v>1128</v>
      </c>
      <c r="H96" s="22"/>
      <c r="I96" s="28"/>
      <c r="J96" s="28"/>
      <c r="K96" s="132"/>
      <c r="BC96" s="14"/>
      <c r="BD96" s="15"/>
      <c r="BE96" s="21"/>
      <c r="BF96" s="43"/>
      <c r="BG96" s="12"/>
      <c r="BH96" s="12"/>
    </row>
    <row r="97" spans="1:60" s="3" customFormat="1" ht="20.399999999999999" x14ac:dyDescent="0.3">
      <c r="A97" s="83"/>
      <c r="B97" s="26" t="s">
        <v>1104</v>
      </c>
      <c r="C97" s="419" t="s">
        <v>1105</v>
      </c>
      <c r="D97" s="419"/>
      <c r="E97" s="419"/>
      <c r="F97" s="27" t="s">
        <v>38</v>
      </c>
      <c r="G97" s="22" t="s">
        <v>1129</v>
      </c>
      <c r="H97" s="22"/>
      <c r="I97" s="28"/>
      <c r="J97" s="28"/>
      <c r="K97" s="132"/>
      <c r="BC97" s="14"/>
      <c r="BD97" s="15"/>
      <c r="BE97" s="21"/>
      <c r="BF97" s="43"/>
      <c r="BG97" s="12"/>
      <c r="BH97" s="12"/>
    </row>
    <row r="98" spans="1:60" s="3" customFormat="1" ht="20.399999999999999" x14ac:dyDescent="0.3">
      <c r="A98" s="83"/>
      <c r="B98" s="26" t="s">
        <v>1107</v>
      </c>
      <c r="C98" s="419" t="s">
        <v>1108</v>
      </c>
      <c r="D98" s="419"/>
      <c r="E98" s="419"/>
      <c r="F98" s="27" t="s">
        <v>115</v>
      </c>
      <c r="G98" s="22" t="s">
        <v>1130</v>
      </c>
      <c r="H98" s="22"/>
      <c r="I98" s="28"/>
      <c r="J98" s="28"/>
      <c r="K98" s="132"/>
      <c r="BC98" s="14"/>
      <c r="BD98" s="15"/>
      <c r="BE98" s="21"/>
      <c r="BF98" s="43"/>
      <c r="BG98" s="12"/>
      <c r="BH98" s="12"/>
    </row>
    <row r="99" spans="1:60" s="3" customFormat="1" ht="20.399999999999999" x14ac:dyDescent="0.3">
      <c r="A99" s="133" t="s">
        <v>143</v>
      </c>
      <c r="B99" s="38" t="s">
        <v>1110</v>
      </c>
      <c r="C99" s="430" t="s">
        <v>1111</v>
      </c>
      <c r="D99" s="430"/>
      <c r="E99" s="430"/>
      <c r="F99" s="39" t="s">
        <v>142</v>
      </c>
      <c r="G99" s="40" t="s">
        <v>860</v>
      </c>
      <c r="H99" s="40"/>
      <c r="I99" s="41"/>
      <c r="J99" s="41"/>
      <c r="K99" s="134"/>
      <c r="BC99" s="14"/>
      <c r="BD99" s="15"/>
      <c r="BE99" s="21"/>
      <c r="BF99" s="43"/>
      <c r="BG99" s="12"/>
      <c r="BH99" s="12"/>
    </row>
    <row r="100" spans="1:60" s="3" customFormat="1" ht="20.399999999999999" x14ac:dyDescent="0.3">
      <c r="A100" s="133" t="s">
        <v>143</v>
      </c>
      <c r="B100" s="38" t="s">
        <v>1113</v>
      </c>
      <c r="C100" s="430" t="s">
        <v>1114</v>
      </c>
      <c r="D100" s="430"/>
      <c r="E100" s="430"/>
      <c r="F100" s="39" t="s">
        <v>25</v>
      </c>
      <c r="G100" s="40" t="s">
        <v>1131</v>
      </c>
      <c r="H100" s="40"/>
      <c r="I100" s="41"/>
      <c r="J100" s="41"/>
      <c r="K100" s="134"/>
      <c r="BC100" s="14"/>
      <c r="BD100" s="15"/>
      <c r="BE100" s="21"/>
      <c r="BF100" s="43"/>
      <c r="BG100" s="12"/>
      <c r="BH100" s="12"/>
    </row>
    <row r="101" spans="1:60" s="3" customFormat="1" ht="20.399999999999999" x14ac:dyDescent="0.3">
      <c r="A101" s="83"/>
      <c r="B101" s="26" t="s">
        <v>1116</v>
      </c>
      <c r="C101" s="419" t="s">
        <v>1117</v>
      </c>
      <c r="D101" s="419"/>
      <c r="E101" s="419"/>
      <c r="F101" s="27" t="s">
        <v>38</v>
      </c>
      <c r="G101" s="22" t="s">
        <v>1129</v>
      </c>
      <c r="H101" s="22"/>
      <c r="I101" s="28"/>
      <c r="J101" s="28"/>
      <c r="K101" s="132"/>
      <c r="BC101" s="14"/>
      <c r="BD101" s="15"/>
      <c r="BE101" s="21"/>
      <c r="BF101" s="43"/>
      <c r="BG101" s="12"/>
      <c r="BH101" s="12"/>
    </row>
    <row r="102" spans="1:60" s="3" customFormat="1" ht="20.399999999999999" x14ac:dyDescent="0.3">
      <c r="A102" s="83"/>
      <c r="B102" s="26" t="s">
        <v>1118</v>
      </c>
      <c r="C102" s="419" t="s">
        <v>1119</v>
      </c>
      <c r="D102" s="419"/>
      <c r="E102" s="419"/>
      <c r="F102" s="27" t="s">
        <v>38</v>
      </c>
      <c r="G102" s="22" t="s">
        <v>1129</v>
      </c>
      <c r="H102" s="22"/>
      <c r="I102" s="28"/>
      <c r="J102" s="28"/>
      <c r="K102" s="132"/>
      <c r="BC102" s="14"/>
      <c r="BD102" s="15"/>
      <c r="BE102" s="21"/>
      <c r="BF102" s="43"/>
      <c r="BG102" s="12"/>
      <c r="BH102" s="12"/>
    </row>
    <row r="103" spans="1:60" s="3" customFormat="1" ht="14.4" x14ac:dyDescent="0.3">
      <c r="A103" s="80" t="s">
        <v>173</v>
      </c>
      <c r="B103" s="17" t="s">
        <v>1132</v>
      </c>
      <c r="C103" s="405" t="s">
        <v>1133</v>
      </c>
      <c r="D103" s="405"/>
      <c r="E103" s="405"/>
      <c r="F103" s="16" t="s">
        <v>25</v>
      </c>
      <c r="G103" s="23">
        <v>8</v>
      </c>
      <c r="H103" s="57">
        <f>I103/G103</f>
        <v>195763.60375000001</v>
      </c>
      <c r="I103" s="19">
        <f>1769039.33-K103</f>
        <v>1566108.83</v>
      </c>
      <c r="J103" s="19">
        <f>K103/G103</f>
        <v>25366.3125</v>
      </c>
      <c r="K103" s="131">
        <v>202930.5</v>
      </c>
      <c r="BC103" s="14"/>
      <c r="BD103" s="15"/>
      <c r="BE103" s="21"/>
      <c r="BF103" s="43"/>
      <c r="BG103" s="12"/>
      <c r="BH103" s="12"/>
    </row>
    <row r="104" spans="1:60" s="3" customFormat="1" ht="20.399999999999999" x14ac:dyDescent="0.3">
      <c r="A104" s="133" t="s">
        <v>78</v>
      </c>
      <c r="B104" s="38" t="s">
        <v>1059</v>
      </c>
      <c r="C104" s="430" t="s">
        <v>1060</v>
      </c>
      <c r="D104" s="430"/>
      <c r="E104" s="430"/>
      <c r="F104" s="39" t="s">
        <v>158</v>
      </c>
      <c r="G104" s="40" t="s">
        <v>33</v>
      </c>
      <c r="H104" s="40"/>
      <c r="I104" s="41"/>
      <c r="J104" s="41"/>
      <c r="K104" s="134"/>
      <c r="BC104" s="14"/>
      <c r="BD104" s="15"/>
      <c r="BE104" s="21"/>
      <c r="BF104" s="43"/>
      <c r="BG104" s="12"/>
      <c r="BH104" s="12"/>
    </row>
    <row r="105" spans="1:60" s="3" customFormat="1" ht="20.399999999999999" x14ac:dyDescent="0.3">
      <c r="A105" s="83" t="s">
        <v>129</v>
      </c>
      <c r="B105" s="26" t="s">
        <v>1062</v>
      </c>
      <c r="C105" s="419" t="s">
        <v>1060</v>
      </c>
      <c r="D105" s="419"/>
      <c r="E105" s="419"/>
      <c r="F105" s="27" t="s">
        <v>158</v>
      </c>
      <c r="G105" s="22" t="s">
        <v>1134</v>
      </c>
      <c r="H105" s="22"/>
      <c r="I105" s="28"/>
      <c r="J105" s="28"/>
      <c r="K105" s="132"/>
      <c r="BC105" s="14"/>
      <c r="BD105" s="15"/>
      <c r="BE105" s="21"/>
      <c r="BF105" s="43"/>
      <c r="BG105" s="12"/>
      <c r="BH105" s="12"/>
    </row>
    <row r="106" spans="1:60" s="3" customFormat="1" ht="15" customHeight="1" x14ac:dyDescent="0.3">
      <c r="A106" s="417" t="s">
        <v>1135</v>
      </c>
      <c r="B106" s="418"/>
      <c r="C106" s="418"/>
      <c r="D106" s="418"/>
      <c r="E106" s="418"/>
      <c r="F106" s="418"/>
      <c r="G106" s="418"/>
      <c r="H106" s="123"/>
      <c r="I106" s="123"/>
      <c r="J106" s="123"/>
      <c r="K106" s="130"/>
      <c r="BC106" s="14"/>
      <c r="BD106" s="15"/>
      <c r="BE106" s="21"/>
      <c r="BF106" s="43"/>
      <c r="BG106" s="12"/>
      <c r="BH106" s="12"/>
    </row>
    <row r="107" spans="1:60" s="3" customFormat="1" ht="15" customHeight="1" x14ac:dyDescent="0.3">
      <c r="A107" s="417" t="s">
        <v>1078</v>
      </c>
      <c r="B107" s="418"/>
      <c r="C107" s="418"/>
      <c r="D107" s="418"/>
      <c r="E107" s="418"/>
      <c r="F107" s="418"/>
      <c r="G107" s="418"/>
      <c r="H107" s="123"/>
      <c r="I107" s="123"/>
      <c r="J107" s="123"/>
      <c r="K107" s="130"/>
      <c r="BC107" s="14"/>
      <c r="BD107" s="15"/>
      <c r="BE107" s="21"/>
      <c r="BF107" s="43"/>
      <c r="BG107" s="12"/>
      <c r="BH107" s="12"/>
    </row>
    <row r="108" spans="1:60" s="3" customFormat="1" ht="15" customHeight="1" x14ac:dyDescent="0.3">
      <c r="A108" s="417" t="s">
        <v>1136</v>
      </c>
      <c r="B108" s="418"/>
      <c r="C108" s="418"/>
      <c r="D108" s="418"/>
      <c r="E108" s="418"/>
      <c r="F108" s="418"/>
      <c r="G108" s="418"/>
      <c r="H108" s="123"/>
      <c r="I108" s="123"/>
      <c r="J108" s="123"/>
      <c r="K108" s="130"/>
      <c r="BC108" s="14"/>
      <c r="BD108" s="15"/>
      <c r="BE108" s="21"/>
      <c r="BF108" s="43"/>
      <c r="BG108" s="12"/>
      <c r="BH108" s="12"/>
    </row>
    <row r="109" spans="1:60" s="3" customFormat="1" ht="14.4" x14ac:dyDescent="0.3">
      <c r="A109" s="80" t="s">
        <v>176</v>
      </c>
      <c r="B109" s="17" t="s">
        <v>1080</v>
      </c>
      <c r="C109" s="405" t="s">
        <v>1081</v>
      </c>
      <c r="D109" s="405"/>
      <c r="E109" s="405"/>
      <c r="F109" s="16" t="s">
        <v>25</v>
      </c>
      <c r="G109" s="23">
        <v>8</v>
      </c>
      <c r="H109" s="57">
        <f t="shared" ref="H109" si="22">I109/G109</f>
        <v>172816.14499999996</v>
      </c>
      <c r="I109" s="19">
        <f>3276739.26-K109</f>
        <v>1382529.1599999997</v>
      </c>
      <c r="J109" s="19">
        <f t="shared" ref="J109" si="23">K109/G109</f>
        <v>236776.26250000001</v>
      </c>
      <c r="K109" s="131">
        <v>1894210.1</v>
      </c>
      <c r="BC109" s="14"/>
      <c r="BD109" s="15"/>
      <c r="BE109" s="21"/>
      <c r="BF109" s="43"/>
      <c r="BG109" s="12"/>
      <c r="BH109" s="12"/>
    </row>
    <row r="110" spans="1:60" s="3" customFormat="1" ht="20.399999999999999" x14ac:dyDescent="0.3">
      <c r="A110" s="133" t="s">
        <v>78</v>
      </c>
      <c r="B110" s="38" t="s">
        <v>1082</v>
      </c>
      <c r="C110" s="430" t="s">
        <v>1083</v>
      </c>
      <c r="D110" s="430"/>
      <c r="E110" s="430"/>
      <c r="F110" s="39" t="s">
        <v>46</v>
      </c>
      <c r="G110" s="40" t="s">
        <v>33</v>
      </c>
      <c r="H110" s="40"/>
      <c r="I110" s="41"/>
      <c r="J110" s="41"/>
      <c r="K110" s="134"/>
      <c r="BC110" s="14"/>
      <c r="BD110" s="15"/>
      <c r="BE110" s="21"/>
      <c r="BF110" s="43"/>
      <c r="BG110" s="12"/>
      <c r="BH110" s="12"/>
    </row>
    <row r="111" spans="1:60" s="3" customFormat="1" ht="20.399999999999999" x14ac:dyDescent="0.3">
      <c r="A111" s="83"/>
      <c r="B111" s="26" t="s">
        <v>1084</v>
      </c>
      <c r="C111" s="419" t="s">
        <v>1085</v>
      </c>
      <c r="D111" s="419"/>
      <c r="E111" s="419"/>
      <c r="F111" s="27" t="s">
        <v>1086</v>
      </c>
      <c r="G111" s="22" t="s">
        <v>1124</v>
      </c>
      <c r="H111" s="22"/>
      <c r="I111" s="28"/>
      <c r="J111" s="28"/>
      <c r="K111" s="132"/>
      <c r="BC111" s="14"/>
      <c r="BD111" s="15"/>
      <c r="BE111" s="21"/>
      <c r="BF111" s="43"/>
      <c r="BG111" s="12"/>
      <c r="BH111" s="12"/>
    </row>
    <row r="112" spans="1:60" s="3" customFormat="1" ht="20.399999999999999" x14ac:dyDescent="0.3">
      <c r="A112" s="133" t="s">
        <v>78</v>
      </c>
      <c r="B112" s="38" t="s">
        <v>1088</v>
      </c>
      <c r="C112" s="430" t="s">
        <v>1089</v>
      </c>
      <c r="D112" s="430"/>
      <c r="E112" s="430"/>
      <c r="F112" s="39" t="s">
        <v>38</v>
      </c>
      <c r="G112" s="40" t="s">
        <v>33</v>
      </c>
      <c r="H112" s="40"/>
      <c r="I112" s="41"/>
      <c r="J112" s="41"/>
      <c r="K112" s="134"/>
      <c r="BC112" s="14"/>
      <c r="BD112" s="15"/>
      <c r="BE112" s="21"/>
      <c r="BF112" s="43"/>
      <c r="BG112" s="12"/>
      <c r="BH112" s="12"/>
    </row>
    <row r="113" spans="1:60" s="3" customFormat="1" ht="20.399999999999999" x14ac:dyDescent="0.3">
      <c r="A113" s="83"/>
      <c r="B113" s="26" t="s">
        <v>1090</v>
      </c>
      <c r="C113" s="419" t="s">
        <v>1091</v>
      </c>
      <c r="D113" s="419"/>
      <c r="E113" s="419"/>
      <c r="F113" s="27" t="s">
        <v>38</v>
      </c>
      <c r="G113" s="22" t="s">
        <v>1125</v>
      </c>
      <c r="H113" s="22"/>
      <c r="I113" s="28"/>
      <c r="J113" s="28"/>
      <c r="K113" s="132"/>
      <c r="BC113" s="14"/>
      <c r="BD113" s="15"/>
      <c r="BE113" s="21"/>
      <c r="BF113" s="43"/>
      <c r="BG113" s="12"/>
      <c r="BH113" s="12"/>
    </row>
    <row r="114" spans="1:60" s="3" customFormat="1" ht="20.399999999999999" x14ac:dyDescent="0.3">
      <c r="A114" s="83"/>
      <c r="B114" s="26" t="s">
        <v>1093</v>
      </c>
      <c r="C114" s="419" t="s">
        <v>1094</v>
      </c>
      <c r="D114" s="419"/>
      <c r="E114" s="419"/>
      <c r="F114" s="27" t="s">
        <v>1086</v>
      </c>
      <c r="G114" s="22" t="s">
        <v>1124</v>
      </c>
      <c r="H114" s="22"/>
      <c r="I114" s="28"/>
      <c r="J114" s="28"/>
      <c r="K114" s="132"/>
      <c r="BC114" s="14"/>
      <c r="BD114" s="15"/>
      <c r="BE114" s="21"/>
      <c r="BF114" s="43"/>
      <c r="BG114" s="12"/>
      <c r="BH114" s="12"/>
    </row>
    <row r="115" spans="1:60" s="3" customFormat="1" ht="20.399999999999999" x14ac:dyDescent="0.3">
      <c r="A115" s="83"/>
      <c r="B115" s="26" t="s">
        <v>1095</v>
      </c>
      <c r="C115" s="419" t="s">
        <v>1096</v>
      </c>
      <c r="D115" s="419"/>
      <c r="E115" s="419"/>
      <c r="F115" s="27" t="s">
        <v>70</v>
      </c>
      <c r="G115" s="22" t="s">
        <v>1126</v>
      </c>
      <c r="H115" s="22"/>
      <c r="I115" s="28"/>
      <c r="J115" s="28"/>
      <c r="K115" s="132"/>
      <c r="BC115" s="14"/>
      <c r="BD115" s="15"/>
      <c r="BE115" s="21"/>
      <c r="BF115" s="43"/>
      <c r="BG115" s="12"/>
      <c r="BH115" s="12"/>
    </row>
    <row r="116" spans="1:60" s="3" customFormat="1" ht="20.399999999999999" x14ac:dyDescent="0.3">
      <c r="A116" s="83"/>
      <c r="B116" s="26" t="s">
        <v>1098</v>
      </c>
      <c r="C116" s="419" t="s">
        <v>1099</v>
      </c>
      <c r="D116" s="419"/>
      <c r="E116" s="419"/>
      <c r="F116" s="27" t="s">
        <v>70</v>
      </c>
      <c r="G116" s="22" t="s">
        <v>1127</v>
      </c>
      <c r="H116" s="22"/>
      <c r="I116" s="28"/>
      <c r="J116" s="28"/>
      <c r="K116" s="132"/>
      <c r="BC116" s="14"/>
      <c r="BD116" s="15"/>
      <c r="BE116" s="21"/>
      <c r="BF116" s="43"/>
      <c r="BG116" s="12"/>
      <c r="BH116" s="12"/>
    </row>
    <row r="117" spans="1:60" s="3" customFormat="1" ht="20.399999999999999" x14ac:dyDescent="0.3">
      <c r="A117" s="83"/>
      <c r="B117" s="26" t="s">
        <v>1101</v>
      </c>
      <c r="C117" s="419" t="s">
        <v>1102</v>
      </c>
      <c r="D117" s="419"/>
      <c r="E117" s="419"/>
      <c r="F117" s="27" t="s">
        <v>70</v>
      </c>
      <c r="G117" s="22" t="s">
        <v>1128</v>
      </c>
      <c r="H117" s="22"/>
      <c r="I117" s="28"/>
      <c r="J117" s="28"/>
      <c r="K117" s="132"/>
      <c r="BC117" s="14"/>
      <c r="BD117" s="15"/>
      <c r="BE117" s="21"/>
      <c r="BF117" s="43"/>
      <c r="BG117" s="12"/>
      <c r="BH117" s="12"/>
    </row>
    <row r="118" spans="1:60" s="3" customFormat="1" ht="20.399999999999999" x14ac:dyDescent="0.3">
      <c r="A118" s="83"/>
      <c r="B118" s="26" t="s">
        <v>1104</v>
      </c>
      <c r="C118" s="419" t="s">
        <v>1105</v>
      </c>
      <c r="D118" s="419"/>
      <c r="E118" s="419"/>
      <c r="F118" s="27" t="s">
        <v>38</v>
      </c>
      <c r="G118" s="22" t="s">
        <v>1129</v>
      </c>
      <c r="H118" s="22"/>
      <c r="I118" s="28"/>
      <c r="J118" s="28"/>
      <c r="K118" s="132"/>
      <c r="BC118" s="14"/>
      <c r="BD118" s="15"/>
      <c r="BE118" s="21"/>
      <c r="BF118" s="43"/>
      <c r="BG118" s="12"/>
      <c r="BH118" s="12"/>
    </row>
    <row r="119" spans="1:60" s="3" customFormat="1" ht="20.399999999999999" x14ac:dyDescent="0.3">
      <c r="A119" s="83"/>
      <c r="B119" s="26" t="s">
        <v>1107</v>
      </c>
      <c r="C119" s="419" t="s">
        <v>1108</v>
      </c>
      <c r="D119" s="419"/>
      <c r="E119" s="419"/>
      <c r="F119" s="27" t="s">
        <v>115</v>
      </c>
      <c r="G119" s="22" t="s">
        <v>1130</v>
      </c>
      <c r="H119" s="22"/>
      <c r="I119" s="28"/>
      <c r="J119" s="28"/>
      <c r="K119" s="132"/>
      <c r="BC119" s="14"/>
      <c r="BD119" s="15"/>
      <c r="BE119" s="21"/>
      <c r="BF119" s="43"/>
      <c r="BG119" s="12"/>
      <c r="BH119" s="12"/>
    </row>
    <row r="120" spans="1:60" s="3" customFormat="1" ht="20.399999999999999" x14ac:dyDescent="0.3">
      <c r="A120" s="133" t="s">
        <v>143</v>
      </c>
      <c r="B120" s="38" t="s">
        <v>1110</v>
      </c>
      <c r="C120" s="430" t="s">
        <v>1111</v>
      </c>
      <c r="D120" s="430"/>
      <c r="E120" s="430"/>
      <c r="F120" s="39" t="s">
        <v>142</v>
      </c>
      <c r="G120" s="40" t="s">
        <v>860</v>
      </c>
      <c r="H120" s="40"/>
      <c r="I120" s="41"/>
      <c r="J120" s="41"/>
      <c r="K120" s="134"/>
      <c r="BC120" s="14"/>
      <c r="BD120" s="15"/>
      <c r="BE120" s="21"/>
      <c r="BF120" s="43"/>
      <c r="BG120" s="12"/>
      <c r="BH120" s="12"/>
    </row>
    <row r="121" spans="1:60" s="3" customFormat="1" ht="20.399999999999999" x14ac:dyDescent="0.3">
      <c r="A121" s="133" t="s">
        <v>143</v>
      </c>
      <c r="B121" s="38" t="s">
        <v>1113</v>
      </c>
      <c r="C121" s="430" t="s">
        <v>1114</v>
      </c>
      <c r="D121" s="430"/>
      <c r="E121" s="430"/>
      <c r="F121" s="39" t="s">
        <v>25</v>
      </c>
      <c r="G121" s="40" t="s">
        <v>1131</v>
      </c>
      <c r="H121" s="40"/>
      <c r="I121" s="41"/>
      <c r="J121" s="41"/>
      <c r="K121" s="134"/>
      <c r="BC121" s="14"/>
      <c r="BD121" s="15"/>
      <c r="BE121" s="21"/>
      <c r="BF121" s="43"/>
      <c r="BG121" s="12"/>
      <c r="BH121" s="12"/>
    </row>
    <row r="122" spans="1:60" s="3" customFormat="1" ht="20.399999999999999" x14ac:dyDescent="0.3">
      <c r="A122" s="83"/>
      <c r="B122" s="26" t="s">
        <v>1116</v>
      </c>
      <c r="C122" s="419" t="s">
        <v>1117</v>
      </c>
      <c r="D122" s="419"/>
      <c r="E122" s="419"/>
      <c r="F122" s="27" t="s">
        <v>38</v>
      </c>
      <c r="G122" s="22" t="s">
        <v>1129</v>
      </c>
      <c r="H122" s="22"/>
      <c r="I122" s="28"/>
      <c r="J122" s="28"/>
      <c r="K122" s="132"/>
      <c r="BC122" s="14"/>
      <c r="BD122" s="15"/>
      <c r="BE122" s="21"/>
      <c r="BF122" s="43"/>
      <c r="BG122" s="12"/>
      <c r="BH122" s="12"/>
    </row>
    <row r="123" spans="1:60" s="3" customFormat="1" ht="20.399999999999999" x14ac:dyDescent="0.3">
      <c r="A123" s="83"/>
      <c r="B123" s="26" t="s">
        <v>1118</v>
      </c>
      <c r="C123" s="419" t="s">
        <v>1119</v>
      </c>
      <c r="D123" s="419"/>
      <c r="E123" s="419"/>
      <c r="F123" s="27" t="s">
        <v>38</v>
      </c>
      <c r="G123" s="22" t="s">
        <v>1129</v>
      </c>
      <c r="H123" s="22"/>
      <c r="I123" s="28"/>
      <c r="J123" s="28"/>
      <c r="K123" s="132"/>
      <c r="BC123" s="14"/>
      <c r="BD123" s="15"/>
      <c r="BE123" s="21"/>
      <c r="BF123" s="43"/>
      <c r="BG123" s="12"/>
      <c r="BH123" s="12"/>
    </row>
    <row r="124" spans="1:60" s="3" customFormat="1" ht="14.4" x14ac:dyDescent="0.3">
      <c r="A124" s="80" t="s">
        <v>177</v>
      </c>
      <c r="B124" s="17" t="s">
        <v>1120</v>
      </c>
      <c r="C124" s="405" t="s">
        <v>1121</v>
      </c>
      <c r="D124" s="405"/>
      <c r="E124" s="405"/>
      <c r="F124" s="16" t="s">
        <v>25</v>
      </c>
      <c r="G124" s="23">
        <v>8</v>
      </c>
      <c r="H124" s="57">
        <f t="shared" ref="H124:H127" si="24">I124/G124</f>
        <v>194578.41625000001</v>
      </c>
      <c r="I124" s="19">
        <v>1556627.33</v>
      </c>
      <c r="J124" s="19">
        <f t="shared" ref="J124" si="25">K124/G124</f>
        <v>0</v>
      </c>
      <c r="K124" s="131">
        <v>0</v>
      </c>
      <c r="BC124" s="14"/>
      <c r="BD124" s="15"/>
      <c r="BE124" s="21"/>
      <c r="BF124" s="43"/>
      <c r="BG124" s="12"/>
      <c r="BH124" s="12"/>
    </row>
    <row r="125" spans="1:60" s="3" customFormat="1" ht="33" customHeight="1" x14ac:dyDescent="0.3">
      <c r="A125" s="417" t="s">
        <v>1122</v>
      </c>
      <c r="B125" s="418"/>
      <c r="C125" s="418"/>
      <c r="D125" s="418"/>
      <c r="E125" s="418"/>
      <c r="F125" s="418"/>
      <c r="G125" s="418"/>
      <c r="H125" s="123"/>
      <c r="I125" s="123"/>
      <c r="J125" s="123"/>
      <c r="K125" s="130"/>
      <c r="BC125" s="14"/>
      <c r="BD125" s="15"/>
      <c r="BE125" s="21"/>
      <c r="BF125" s="43"/>
      <c r="BG125" s="12"/>
      <c r="BH125" s="12"/>
    </row>
    <row r="126" spans="1:60" s="3" customFormat="1" ht="30" customHeight="1" x14ac:dyDescent="0.3">
      <c r="A126" s="417" t="s">
        <v>1136</v>
      </c>
      <c r="B126" s="418"/>
      <c r="C126" s="418"/>
      <c r="D126" s="418"/>
      <c r="E126" s="418"/>
      <c r="F126" s="418"/>
      <c r="G126" s="418"/>
      <c r="H126" s="123"/>
      <c r="I126" s="123"/>
      <c r="J126" s="123"/>
      <c r="K126" s="130"/>
      <c r="BC126" s="14"/>
      <c r="BD126" s="15"/>
      <c r="BE126" s="21"/>
      <c r="BF126" s="43"/>
      <c r="BG126" s="12"/>
      <c r="BH126" s="12"/>
    </row>
    <row r="127" spans="1:60" s="3" customFormat="1" ht="23.4" customHeight="1" x14ac:dyDescent="0.3">
      <c r="A127" s="327" t="s">
        <v>180</v>
      </c>
      <c r="B127" s="328" t="s">
        <v>1080</v>
      </c>
      <c r="C127" s="440" t="s">
        <v>1081</v>
      </c>
      <c r="D127" s="440"/>
      <c r="E127" s="440"/>
      <c r="F127" s="329" t="s">
        <v>25</v>
      </c>
      <c r="G127" s="330">
        <v>3</v>
      </c>
      <c r="H127" s="72">
        <f t="shared" si="24"/>
        <v>172816.14333333322</v>
      </c>
      <c r="I127" s="67">
        <f>4780800.83-K127</f>
        <v>518448.4299999997</v>
      </c>
      <c r="J127" s="67">
        <f>K127/G127</f>
        <v>1420784.1333333335</v>
      </c>
      <c r="K127" s="135">
        <v>4262352.4000000004</v>
      </c>
      <c r="BC127" s="14"/>
      <c r="BD127" s="15"/>
      <c r="BE127" s="21"/>
      <c r="BF127" s="43"/>
      <c r="BG127" s="12"/>
      <c r="BH127" s="12"/>
    </row>
    <row r="128" spans="1:60" s="3" customFormat="1" ht="20.399999999999999" x14ac:dyDescent="0.3">
      <c r="A128" s="133" t="s">
        <v>78</v>
      </c>
      <c r="B128" s="38" t="s">
        <v>1082</v>
      </c>
      <c r="C128" s="430" t="s">
        <v>1083</v>
      </c>
      <c r="D128" s="430"/>
      <c r="E128" s="430"/>
      <c r="F128" s="39" t="s">
        <v>46</v>
      </c>
      <c r="G128" s="40" t="s">
        <v>33</v>
      </c>
      <c r="H128" s="40"/>
      <c r="I128" s="41"/>
      <c r="J128" s="41"/>
      <c r="K128" s="134"/>
      <c r="BC128" s="14"/>
      <c r="BD128" s="15"/>
      <c r="BE128" s="21"/>
      <c r="BF128" s="43"/>
      <c r="BG128" s="12"/>
      <c r="BH128" s="12"/>
    </row>
    <row r="129" spans="1:60" s="3" customFormat="1" ht="20.399999999999999" x14ac:dyDescent="0.3">
      <c r="A129" s="83"/>
      <c r="B129" s="26" t="s">
        <v>1084</v>
      </c>
      <c r="C129" s="419" t="s">
        <v>1085</v>
      </c>
      <c r="D129" s="419"/>
      <c r="E129" s="419"/>
      <c r="F129" s="27" t="s">
        <v>1086</v>
      </c>
      <c r="G129" s="22" t="s">
        <v>1137</v>
      </c>
      <c r="H129" s="22"/>
      <c r="I129" s="28"/>
      <c r="J129" s="28"/>
      <c r="K129" s="132"/>
      <c r="BC129" s="14"/>
      <c r="BD129" s="15"/>
      <c r="BE129" s="21"/>
      <c r="BF129" s="43"/>
      <c r="BG129" s="12"/>
      <c r="BH129" s="12"/>
    </row>
    <row r="130" spans="1:60" s="3" customFormat="1" ht="20.399999999999999" x14ac:dyDescent="0.3">
      <c r="A130" s="133" t="s">
        <v>78</v>
      </c>
      <c r="B130" s="38" t="s">
        <v>1088</v>
      </c>
      <c r="C130" s="430" t="s">
        <v>1089</v>
      </c>
      <c r="D130" s="430"/>
      <c r="E130" s="430"/>
      <c r="F130" s="39" t="s">
        <v>38</v>
      </c>
      <c r="G130" s="40" t="s">
        <v>33</v>
      </c>
      <c r="H130" s="40"/>
      <c r="I130" s="41"/>
      <c r="J130" s="41"/>
      <c r="K130" s="134"/>
      <c r="BC130" s="14"/>
      <c r="BD130" s="15"/>
      <c r="BE130" s="21"/>
      <c r="BF130" s="43"/>
      <c r="BG130" s="12"/>
      <c r="BH130" s="12"/>
    </row>
    <row r="131" spans="1:60" s="3" customFormat="1" ht="20.399999999999999" x14ac:dyDescent="0.3">
      <c r="A131" s="83"/>
      <c r="B131" s="26" t="s">
        <v>1090</v>
      </c>
      <c r="C131" s="419" t="s">
        <v>1091</v>
      </c>
      <c r="D131" s="419"/>
      <c r="E131" s="419"/>
      <c r="F131" s="27" t="s">
        <v>38</v>
      </c>
      <c r="G131" s="22" t="s">
        <v>1138</v>
      </c>
      <c r="H131" s="22"/>
      <c r="I131" s="28"/>
      <c r="J131" s="28"/>
      <c r="K131" s="132"/>
      <c r="BC131" s="14"/>
      <c r="BD131" s="15"/>
      <c r="BE131" s="21"/>
      <c r="BF131" s="43"/>
      <c r="BG131" s="12"/>
      <c r="BH131" s="12"/>
    </row>
    <row r="132" spans="1:60" s="3" customFormat="1" ht="20.399999999999999" x14ac:dyDescent="0.3">
      <c r="A132" s="83"/>
      <c r="B132" s="26" t="s">
        <v>1093</v>
      </c>
      <c r="C132" s="419" t="s">
        <v>1094</v>
      </c>
      <c r="D132" s="419"/>
      <c r="E132" s="419"/>
      <c r="F132" s="27" t="s">
        <v>1086</v>
      </c>
      <c r="G132" s="22" t="s">
        <v>1137</v>
      </c>
      <c r="H132" s="22"/>
      <c r="I132" s="28"/>
      <c r="J132" s="28"/>
      <c r="K132" s="132"/>
      <c r="BC132" s="14"/>
      <c r="BD132" s="15"/>
      <c r="BE132" s="21"/>
      <c r="BF132" s="43"/>
      <c r="BG132" s="12"/>
      <c r="BH132" s="12"/>
    </row>
    <row r="133" spans="1:60" s="3" customFormat="1" ht="20.399999999999999" x14ac:dyDescent="0.3">
      <c r="A133" s="83"/>
      <c r="B133" s="26" t="s">
        <v>1095</v>
      </c>
      <c r="C133" s="419" t="s">
        <v>1096</v>
      </c>
      <c r="D133" s="419"/>
      <c r="E133" s="419"/>
      <c r="F133" s="27" t="s">
        <v>70</v>
      </c>
      <c r="G133" s="22" t="s">
        <v>1139</v>
      </c>
      <c r="H133" s="22"/>
      <c r="I133" s="28"/>
      <c r="J133" s="28"/>
      <c r="K133" s="132"/>
      <c r="BC133" s="14"/>
      <c r="BD133" s="15"/>
      <c r="BE133" s="21"/>
      <c r="BF133" s="43"/>
      <c r="BG133" s="12"/>
      <c r="BH133" s="12"/>
    </row>
    <row r="134" spans="1:60" s="3" customFormat="1" ht="20.399999999999999" x14ac:dyDescent="0.3">
      <c r="A134" s="83"/>
      <c r="B134" s="26" t="s">
        <v>1098</v>
      </c>
      <c r="C134" s="419" t="s">
        <v>1099</v>
      </c>
      <c r="D134" s="419"/>
      <c r="E134" s="419"/>
      <c r="F134" s="27" t="s">
        <v>70</v>
      </c>
      <c r="G134" s="22" t="s">
        <v>1140</v>
      </c>
      <c r="H134" s="22"/>
      <c r="I134" s="28"/>
      <c r="J134" s="28"/>
      <c r="K134" s="132"/>
      <c r="BC134" s="14"/>
      <c r="BD134" s="15"/>
      <c r="BE134" s="21"/>
      <c r="BF134" s="43"/>
      <c r="BG134" s="12"/>
      <c r="BH134" s="12"/>
    </row>
    <row r="135" spans="1:60" s="3" customFormat="1" ht="20.399999999999999" x14ac:dyDescent="0.3">
      <c r="A135" s="83"/>
      <c r="B135" s="26" t="s">
        <v>1101</v>
      </c>
      <c r="C135" s="419" t="s">
        <v>1102</v>
      </c>
      <c r="D135" s="419"/>
      <c r="E135" s="419"/>
      <c r="F135" s="27" t="s">
        <v>70</v>
      </c>
      <c r="G135" s="22" t="s">
        <v>1141</v>
      </c>
      <c r="H135" s="22"/>
      <c r="I135" s="28"/>
      <c r="J135" s="28"/>
      <c r="K135" s="132"/>
      <c r="BC135" s="14"/>
      <c r="BD135" s="15"/>
      <c r="BE135" s="21"/>
      <c r="BF135" s="43"/>
      <c r="BG135" s="12"/>
      <c r="BH135" s="12"/>
    </row>
    <row r="136" spans="1:60" s="3" customFormat="1" ht="20.399999999999999" x14ac:dyDescent="0.3">
      <c r="A136" s="83"/>
      <c r="B136" s="26" t="s">
        <v>1104</v>
      </c>
      <c r="C136" s="419" t="s">
        <v>1105</v>
      </c>
      <c r="D136" s="419"/>
      <c r="E136" s="419"/>
      <c r="F136" s="27" t="s">
        <v>38</v>
      </c>
      <c r="G136" s="22" t="s">
        <v>1142</v>
      </c>
      <c r="H136" s="22"/>
      <c r="I136" s="28"/>
      <c r="J136" s="28"/>
      <c r="K136" s="132"/>
      <c r="BC136" s="14"/>
      <c r="BD136" s="15"/>
      <c r="BE136" s="21"/>
      <c r="BF136" s="43"/>
      <c r="BG136" s="12"/>
      <c r="BH136" s="12"/>
    </row>
    <row r="137" spans="1:60" s="3" customFormat="1" ht="20.399999999999999" x14ac:dyDescent="0.3">
      <c r="A137" s="83"/>
      <c r="B137" s="26" t="s">
        <v>1107</v>
      </c>
      <c r="C137" s="419" t="s">
        <v>1108</v>
      </c>
      <c r="D137" s="419"/>
      <c r="E137" s="419"/>
      <c r="F137" s="27" t="s">
        <v>115</v>
      </c>
      <c r="G137" s="22" t="s">
        <v>1143</v>
      </c>
      <c r="H137" s="22"/>
      <c r="I137" s="28"/>
      <c r="J137" s="28"/>
      <c r="K137" s="132"/>
      <c r="BC137" s="14"/>
      <c r="BD137" s="15"/>
      <c r="BE137" s="21"/>
      <c r="BF137" s="43"/>
      <c r="BG137" s="12"/>
      <c r="BH137" s="12"/>
    </row>
    <row r="138" spans="1:60" s="3" customFormat="1" ht="20.399999999999999" x14ac:dyDescent="0.3">
      <c r="A138" s="133" t="s">
        <v>143</v>
      </c>
      <c r="B138" s="38" t="s">
        <v>1110</v>
      </c>
      <c r="C138" s="430" t="s">
        <v>1111</v>
      </c>
      <c r="D138" s="430"/>
      <c r="E138" s="430"/>
      <c r="F138" s="39" t="s">
        <v>142</v>
      </c>
      <c r="G138" s="40" t="s">
        <v>1144</v>
      </c>
      <c r="H138" s="40"/>
      <c r="I138" s="41"/>
      <c r="J138" s="41"/>
      <c r="K138" s="134"/>
      <c r="BC138" s="14"/>
      <c r="BD138" s="15"/>
      <c r="BE138" s="21"/>
      <c r="BF138" s="43"/>
      <c r="BG138" s="12"/>
      <c r="BH138" s="12"/>
    </row>
    <row r="139" spans="1:60" s="3" customFormat="1" ht="20.399999999999999" x14ac:dyDescent="0.3">
      <c r="A139" s="133" t="s">
        <v>143</v>
      </c>
      <c r="B139" s="38" t="s">
        <v>1113</v>
      </c>
      <c r="C139" s="430" t="s">
        <v>1114</v>
      </c>
      <c r="D139" s="430"/>
      <c r="E139" s="430"/>
      <c r="F139" s="39" t="s">
        <v>25</v>
      </c>
      <c r="G139" s="40" t="s">
        <v>1145</v>
      </c>
      <c r="H139" s="40"/>
      <c r="I139" s="41"/>
      <c r="J139" s="41"/>
      <c r="K139" s="134"/>
      <c r="BC139" s="14"/>
      <c r="BD139" s="15"/>
      <c r="BE139" s="21"/>
      <c r="BF139" s="43"/>
      <c r="BG139" s="12"/>
      <c r="BH139" s="12"/>
    </row>
    <row r="140" spans="1:60" s="3" customFormat="1" ht="20.399999999999999" x14ac:dyDescent="0.3">
      <c r="A140" s="83"/>
      <c r="B140" s="26" t="s">
        <v>1116</v>
      </c>
      <c r="C140" s="419" t="s">
        <v>1117</v>
      </c>
      <c r="D140" s="419"/>
      <c r="E140" s="419"/>
      <c r="F140" s="27" t="s">
        <v>38</v>
      </c>
      <c r="G140" s="22" t="s">
        <v>1142</v>
      </c>
      <c r="H140" s="22"/>
      <c r="I140" s="28"/>
      <c r="J140" s="28"/>
      <c r="K140" s="132"/>
      <c r="BC140" s="14"/>
      <c r="BD140" s="15"/>
      <c r="BE140" s="21"/>
      <c r="BF140" s="43"/>
      <c r="BG140" s="12"/>
      <c r="BH140" s="12"/>
    </row>
    <row r="141" spans="1:60" s="3" customFormat="1" ht="20.399999999999999" x14ac:dyDescent="0.3">
      <c r="A141" s="83"/>
      <c r="B141" s="26" t="s">
        <v>1118</v>
      </c>
      <c r="C141" s="419" t="s">
        <v>1119</v>
      </c>
      <c r="D141" s="419"/>
      <c r="E141" s="419"/>
      <c r="F141" s="27" t="s">
        <v>38</v>
      </c>
      <c r="G141" s="22" t="s">
        <v>1142</v>
      </c>
      <c r="H141" s="22"/>
      <c r="I141" s="28"/>
      <c r="J141" s="28"/>
      <c r="K141" s="132"/>
      <c r="BC141" s="14"/>
      <c r="BD141" s="15"/>
      <c r="BE141" s="21"/>
      <c r="BF141" s="43"/>
      <c r="BG141" s="12"/>
      <c r="BH141" s="12"/>
    </row>
    <row r="142" spans="1:60" s="3" customFormat="1" ht="20.399999999999999" x14ac:dyDescent="0.3">
      <c r="A142" s="83" t="s">
        <v>129</v>
      </c>
      <c r="B142" s="26" t="s">
        <v>1146</v>
      </c>
      <c r="C142" s="419" t="s">
        <v>1147</v>
      </c>
      <c r="D142" s="419"/>
      <c r="E142" s="419"/>
      <c r="F142" s="27" t="s">
        <v>25</v>
      </c>
      <c r="G142" s="22" t="s">
        <v>1145</v>
      </c>
      <c r="H142" s="22"/>
      <c r="I142" s="28"/>
      <c r="J142" s="28"/>
      <c r="K142" s="132"/>
      <c r="BC142" s="14"/>
      <c r="BD142" s="15"/>
      <c r="BE142" s="21"/>
      <c r="BF142" s="43"/>
      <c r="BG142" s="12"/>
      <c r="BH142" s="12"/>
    </row>
    <row r="143" spans="1:60" s="3" customFormat="1" ht="20.399999999999999" x14ac:dyDescent="0.3">
      <c r="A143" s="83" t="s">
        <v>129</v>
      </c>
      <c r="B143" s="26" t="s">
        <v>1148</v>
      </c>
      <c r="C143" s="419" t="s">
        <v>1149</v>
      </c>
      <c r="D143" s="419"/>
      <c r="E143" s="419"/>
      <c r="F143" s="27" t="s">
        <v>25</v>
      </c>
      <c r="G143" s="22" t="s">
        <v>1145</v>
      </c>
      <c r="H143" s="22"/>
      <c r="I143" s="28"/>
      <c r="J143" s="28"/>
      <c r="K143" s="132"/>
      <c r="BC143" s="14"/>
      <c r="BD143" s="15"/>
      <c r="BE143" s="21"/>
      <c r="BF143" s="43"/>
      <c r="BG143" s="12"/>
      <c r="BH143" s="12"/>
    </row>
    <row r="144" spans="1:60" s="3" customFormat="1" ht="24" customHeight="1" x14ac:dyDescent="0.3">
      <c r="A144" s="80" t="s">
        <v>182</v>
      </c>
      <c r="B144" s="17" t="s">
        <v>1132</v>
      </c>
      <c r="C144" s="405" t="s">
        <v>1133</v>
      </c>
      <c r="D144" s="405"/>
      <c r="E144" s="405"/>
      <c r="F144" s="16" t="s">
        <v>25</v>
      </c>
      <c r="G144" s="23">
        <v>3</v>
      </c>
      <c r="H144" s="57">
        <f>I144/G144</f>
        <v>195763.60333333336</v>
      </c>
      <c r="I144" s="19">
        <f>663389.75-K144</f>
        <v>587290.81000000006</v>
      </c>
      <c r="J144" s="19">
        <f>K144/G144</f>
        <v>25366.313333333335</v>
      </c>
      <c r="K144" s="131">
        <v>76098.94</v>
      </c>
      <c r="BC144" s="14"/>
      <c r="BD144" s="15"/>
      <c r="BE144" s="21"/>
      <c r="BF144" s="43"/>
      <c r="BG144" s="12"/>
      <c r="BH144" s="12"/>
    </row>
    <row r="145" spans="1:60" s="3" customFormat="1" ht="20.399999999999999" x14ac:dyDescent="0.3">
      <c r="A145" s="133" t="s">
        <v>78</v>
      </c>
      <c r="B145" s="38" t="s">
        <v>1059</v>
      </c>
      <c r="C145" s="430" t="s">
        <v>1060</v>
      </c>
      <c r="D145" s="430"/>
      <c r="E145" s="430"/>
      <c r="F145" s="39" t="s">
        <v>158</v>
      </c>
      <c r="G145" s="40" t="s">
        <v>33</v>
      </c>
      <c r="H145" s="40"/>
      <c r="I145" s="41"/>
      <c r="J145" s="41"/>
      <c r="K145" s="134"/>
      <c r="BC145" s="14"/>
      <c r="BD145" s="15"/>
      <c r="BE145" s="21"/>
      <c r="BF145" s="43"/>
      <c r="BG145" s="12"/>
      <c r="BH145" s="12"/>
    </row>
    <row r="146" spans="1:60" s="3" customFormat="1" ht="20.399999999999999" x14ac:dyDescent="0.3">
      <c r="A146" s="83" t="s">
        <v>129</v>
      </c>
      <c r="B146" s="26" t="s">
        <v>1062</v>
      </c>
      <c r="C146" s="419" t="s">
        <v>1060</v>
      </c>
      <c r="D146" s="419"/>
      <c r="E146" s="419"/>
      <c r="F146" s="27" t="s">
        <v>158</v>
      </c>
      <c r="G146" s="22" t="s">
        <v>1150</v>
      </c>
      <c r="H146" s="22"/>
      <c r="I146" s="28"/>
      <c r="J146" s="28"/>
      <c r="K146" s="132"/>
      <c r="BC146" s="14"/>
      <c r="BD146" s="15"/>
      <c r="BE146" s="21"/>
      <c r="BF146" s="43"/>
      <c r="BG146" s="12"/>
      <c r="BH146" s="12"/>
    </row>
    <row r="147" spans="1:60" s="3" customFormat="1" ht="15" customHeight="1" x14ac:dyDescent="0.3">
      <c r="A147" s="417" t="s">
        <v>1135</v>
      </c>
      <c r="B147" s="418"/>
      <c r="C147" s="418"/>
      <c r="D147" s="418"/>
      <c r="E147" s="418"/>
      <c r="F147" s="418"/>
      <c r="G147" s="418"/>
      <c r="H147" s="123"/>
      <c r="I147" s="123"/>
      <c r="J147" s="123"/>
      <c r="K147" s="130"/>
      <c r="BC147" s="14"/>
      <c r="BD147" s="15"/>
      <c r="BE147" s="21"/>
      <c r="BF147" s="43"/>
      <c r="BG147" s="12"/>
      <c r="BH147" s="12"/>
    </row>
    <row r="148" spans="1:60" s="3" customFormat="1" ht="15" customHeight="1" x14ac:dyDescent="0.3">
      <c r="A148" s="417" t="s">
        <v>1151</v>
      </c>
      <c r="B148" s="418"/>
      <c r="C148" s="418"/>
      <c r="D148" s="418"/>
      <c r="E148" s="418"/>
      <c r="F148" s="418"/>
      <c r="G148" s="418"/>
      <c r="H148" s="123"/>
      <c r="I148" s="123"/>
      <c r="J148" s="123"/>
      <c r="K148" s="130"/>
      <c r="BC148" s="14"/>
      <c r="BD148" s="15"/>
      <c r="BE148" s="21"/>
      <c r="BF148" s="43"/>
      <c r="BG148" s="12"/>
      <c r="BH148" s="12"/>
    </row>
    <row r="149" spans="1:60" s="3" customFormat="1" ht="15" customHeight="1" x14ac:dyDescent="0.3">
      <c r="A149" s="417" t="s">
        <v>1052</v>
      </c>
      <c r="B149" s="418"/>
      <c r="C149" s="418"/>
      <c r="D149" s="418"/>
      <c r="E149" s="418"/>
      <c r="F149" s="418"/>
      <c r="G149" s="418"/>
      <c r="H149" s="123"/>
      <c r="I149" s="123"/>
      <c r="J149" s="123"/>
      <c r="K149" s="130"/>
      <c r="BC149" s="14"/>
      <c r="BD149" s="15"/>
      <c r="BE149" s="21"/>
      <c r="BF149" s="43"/>
      <c r="BG149" s="12"/>
      <c r="BH149" s="12"/>
    </row>
    <row r="150" spans="1:60" s="3" customFormat="1" ht="14.4" x14ac:dyDescent="0.3">
      <c r="A150" s="80" t="s">
        <v>186</v>
      </c>
      <c r="B150" s="17" t="s">
        <v>1152</v>
      </c>
      <c r="C150" s="405" t="s">
        <v>1153</v>
      </c>
      <c r="D150" s="405"/>
      <c r="E150" s="405"/>
      <c r="F150" s="16" t="s">
        <v>25</v>
      </c>
      <c r="G150" s="23">
        <v>1</v>
      </c>
      <c r="H150" s="57">
        <f t="shared" ref="H150" si="26">I150/G150</f>
        <v>910148.09000000008</v>
      </c>
      <c r="I150" s="19">
        <f>1073305.27-K150</f>
        <v>910148.09000000008</v>
      </c>
      <c r="J150" s="19">
        <f t="shared" ref="J150" si="27">K150/G150</f>
        <v>163157.18</v>
      </c>
      <c r="K150" s="131">
        <v>163157.18</v>
      </c>
      <c r="BC150" s="14"/>
      <c r="BD150" s="15"/>
      <c r="BE150" s="21"/>
      <c r="BF150" s="43"/>
      <c r="BG150" s="12"/>
      <c r="BH150" s="12"/>
    </row>
    <row r="151" spans="1:60" s="3" customFormat="1" ht="20.399999999999999" x14ac:dyDescent="0.3">
      <c r="A151" s="83"/>
      <c r="B151" s="26" t="s">
        <v>1154</v>
      </c>
      <c r="C151" s="419" t="s">
        <v>1155</v>
      </c>
      <c r="D151" s="419"/>
      <c r="E151" s="419"/>
      <c r="F151" s="27" t="s">
        <v>70</v>
      </c>
      <c r="G151" s="22" t="s">
        <v>1156</v>
      </c>
      <c r="H151" s="22"/>
      <c r="I151" s="28"/>
      <c r="J151" s="28"/>
      <c r="K151" s="132"/>
      <c r="BC151" s="14"/>
      <c r="BD151" s="15"/>
      <c r="BE151" s="21"/>
      <c r="BF151" s="43"/>
      <c r="BG151" s="12"/>
      <c r="BH151" s="12"/>
    </row>
    <row r="152" spans="1:60" s="3" customFormat="1" ht="20.399999999999999" x14ac:dyDescent="0.3">
      <c r="A152" s="133" t="s">
        <v>143</v>
      </c>
      <c r="B152" s="38" t="s">
        <v>1157</v>
      </c>
      <c r="C152" s="430" t="s">
        <v>1158</v>
      </c>
      <c r="D152" s="430"/>
      <c r="E152" s="430"/>
      <c r="F152" s="39" t="s">
        <v>46</v>
      </c>
      <c r="G152" s="40" t="s">
        <v>1159</v>
      </c>
      <c r="H152" s="40"/>
      <c r="I152" s="41"/>
      <c r="J152" s="41"/>
      <c r="K152" s="134"/>
      <c r="BC152" s="14"/>
      <c r="BD152" s="15"/>
      <c r="BE152" s="21"/>
      <c r="BF152" s="43"/>
      <c r="BG152" s="12"/>
      <c r="BH152" s="12"/>
    </row>
    <row r="153" spans="1:60" s="3" customFormat="1" ht="20.399999999999999" x14ac:dyDescent="0.3">
      <c r="A153" s="133" t="s">
        <v>78</v>
      </c>
      <c r="B153" s="38" t="s">
        <v>1160</v>
      </c>
      <c r="C153" s="430" t="s">
        <v>1161</v>
      </c>
      <c r="D153" s="430"/>
      <c r="E153" s="430"/>
      <c r="F153" s="39" t="s">
        <v>46</v>
      </c>
      <c r="G153" s="40" t="s">
        <v>33</v>
      </c>
      <c r="H153" s="40"/>
      <c r="I153" s="41"/>
      <c r="J153" s="41"/>
      <c r="K153" s="134"/>
      <c r="BC153" s="14"/>
      <c r="BD153" s="15"/>
      <c r="BE153" s="21"/>
      <c r="BF153" s="43"/>
      <c r="BG153" s="12"/>
      <c r="BH153" s="12"/>
    </row>
    <row r="154" spans="1:60" s="3" customFormat="1" ht="20.399999999999999" x14ac:dyDescent="0.3">
      <c r="A154" s="133" t="s">
        <v>78</v>
      </c>
      <c r="B154" s="38" t="s">
        <v>1162</v>
      </c>
      <c r="C154" s="430" t="s">
        <v>1163</v>
      </c>
      <c r="D154" s="430"/>
      <c r="E154" s="430"/>
      <c r="F154" s="39" t="s">
        <v>38</v>
      </c>
      <c r="G154" s="40" t="s">
        <v>33</v>
      </c>
      <c r="H154" s="40"/>
      <c r="I154" s="41"/>
      <c r="J154" s="41"/>
      <c r="K154" s="134"/>
      <c r="BC154" s="14"/>
      <c r="BD154" s="15"/>
      <c r="BE154" s="21"/>
      <c r="BF154" s="43"/>
      <c r="BG154" s="12"/>
      <c r="BH154" s="12"/>
    </row>
    <row r="155" spans="1:60" s="3" customFormat="1" ht="20.399999999999999" x14ac:dyDescent="0.3">
      <c r="A155" s="83"/>
      <c r="B155" s="26" t="s">
        <v>1164</v>
      </c>
      <c r="C155" s="419" t="s">
        <v>1165</v>
      </c>
      <c r="D155" s="419"/>
      <c r="E155" s="419"/>
      <c r="F155" s="27" t="s">
        <v>70</v>
      </c>
      <c r="G155" s="22" t="s">
        <v>1166</v>
      </c>
      <c r="H155" s="22"/>
      <c r="I155" s="28"/>
      <c r="J155" s="28"/>
      <c r="K155" s="132"/>
      <c r="BC155" s="14"/>
      <c r="BD155" s="15"/>
      <c r="BE155" s="21"/>
      <c r="BF155" s="43"/>
      <c r="BG155" s="12"/>
      <c r="BH155" s="12"/>
    </row>
    <row r="156" spans="1:60" s="3" customFormat="1" ht="20.399999999999999" x14ac:dyDescent="0.3">
      <c r="A156" s="83"/>
      <c r="B156" s="26" t="s">
        <v>1167</v>
      </c>
      <c r="C156" s="419" t="s">
        <v>1168</v>
      </c>
      <c r="D156" s="419"/>
      <c r="E156" s="419"/>
      <c r="F156" s="27" t="s">
        <v>1086</v>
      </c>
      <c r="G156" s="22" t="s">
        <v>1169</v>
      </c>
      <c r="H156" s="22"/>
      <c r="I156" s="28"/>
      <c r="J156" s="28"/>
      <c r="K156" s="132"/>
      <c r="BC156" s="14"/>
      <c r="BD156" s="15"/>
      <c r="BE156" s="21"/>
      <c r="BF156" s="43"/>
      <c r="BG156" s="12"/>
      <c r="BH156" s="12"/>
    </row>
    <row r="157" spans="1:60" s="3" customFormat="1" ht="20.399999999999999" x14ac:dyDescent="0.3">
      <c r="A157" s="83"/>
      <c r="B157" s="26" t="s">
        <v>1170</v>
      </c>
      <c r="C157" s="419" t="s">
        <v>1171</v>
      </c>
      <c r="D157" s="419"/>
      <c r="E157" s="419"/>
      <c r="F157" s="27" t="s">
        <v>70</v>
      </c>
      <c r="G157" s="22" t="s">
        <v>1172</v>
      </c>
      <c r="H157" s="22"/>
      <c r="I157" s="28"/>
      <c r="J157" s="28"/>
      <c r="K157" s="132"/>
      <c r="BC157" s="14"/>
      <c r="BD157" s="15"/>
      <c r="BE157" s="21"/>
      <c r="BF157" s="43"/>
      <c r="BG157" s="12"/>
      <c r="BH157" s="12"/>
    </row>
    <row r="158" spans="1:60" s="3" customFormat="1" ht="20.399999999999999" x14ac:dyDescent="0.3">
      <c r="A158" s="133" t="s">
        <v>143</v>
      </c>
      <c r="B158" s="38" t="s">
        <v>1110</v>
      </c>
      <c r="C158" s="430" t="s">
        <v>1111</v>
      </c>
      <c r="D158" s="430"/>
      <c r="E158" s="430"/>
      <c r="F158" s="39" t="s">
        <v>142</v>
      </c>
      <c r="G158" s="40" t="s">
        <v>1173</v>
      </c>
      <c r="H158" s="40"/>
      <c r="I158" s="41"/>
      <c r="J158" s="41"/>
      <c r="K158" s="134"/>
      <c r="BC158" s="14"/>
      <c r="BD158" s="15"/>
      <c r="BE158" s="21"/>
      <c r="BF158" s="43"/>
      <c r="BG158" s="12"/>
      <c r="BH158" s="12"/>
    </row>
    <row r="159" spans="1:60" s="3" customFormat="1" ht="20.399999999999999" x14ac:dyDescent="0.3">
      <c r="A159" s="83"/>
      <c r="B159" s="26" t="s">
        <v>1174</v>
      </c>
      <c r="C159" s="419" t="s">
        <v>1175</v>
      </c>
      <c r="D159" s="419"/>
      <c r="E159" s="419"/>
      <c r="F159" s="27" t="s">
        <v>38</v>
      </c>
      <c r="G159" s="22" t="s">
        <v>1176</v>
      </c>
      <c r="H159" s="22"/>
      <c r="I159" s="28"/>
      <c r="J159" s="28"/>
      <c r="K159" s="132"/>
      <c r="BC159" s="14"/>
      <c r="BD159" s="15"/>
      <c r="BE159" s="21"/>
      <c r="BF159" s="43"/>
      <c r="BG159" s="12"/>
      <c r="BH159" s="12"/>
    </row>
    <row r="160" spans="1:60" s="3" customFormat="1" ht="20.399999999999999" x14ac:dyDescent="0.3">
      <c r="A160" s="133" t="s">
        <v>143</v>
      </c>
      <c r="B160" s="38" t="s">
        <v>1177</v>
      </c>
      <c r="C160" s="430" t="s">
        <v>1178</v>
      </c>
      <c r="D160" s="430"/>
      <c r="E160" s="430"/>
      <c r="F160" s="39" t="s">
        <v>25</v>
      </c>
      <c r="G160" s="40" t="s">
        <v>1179</v>
      </c>
      <c r="H160" s="40"/>
      <c r="I160" s="41"/>
      <c r="J160" s="41"/>
      <c r="K160" s="134"/>
      <c r="BC160" s="14"/>
      <c r="BD160" s="15"/>
      <c r="BE160" s="21"/>
      <c r="BF160" s="43"/>
      <c r="BG160" s="12"/>
      <c r="BH160" s="12"/>
    </row>
    <row r="161" spans="1:60" s="3" customFormat="1" ht="14.4" x14ac:dyDescent="0.3">
      <c r="A161" s="80" t="s">
        <v>192</v>
      </c>
      <c r="B161" s="17" t="s">
        <v>1148</v>
      </c>
      <c r="C161" s="405" t="s">
        <v>1149</v>
      </c>
      <c r="D161" s="405"/>
      <c r="E161" s="405"/>
      <c r="F161" s="16" t="s">
        <v>25</v>
      </c>
      <c r="G161" s="23">
        <v>4</v>
      </c>
      <c r="H161" s="57">
        <f t="shared" ref="H161:H163" si="28">I161/G161</f>
        <v>0</v>
      </c>
      <c r="I161" s="19">
        <f>1066332.96-K161</f>
        <v>0</v>
      </c>
      <c r="J161" s="19">
        <f t="shared" ref="J161:J163" si="29">K161/G161</f>
        <v>266583.24</v>
      </c>
      <c r="K161" s="131">
        <v>1066332.96</v>
      </c>
      <c r="BC161" s="14"/>
      <c r="BD161" s="15"/>
      <c r="BE161" s="21"/>
      <c r="BF161" s="43"/>
      <c r="BG161" s="12"/>
      <c r="BH161" s="12"/>
    </row>
    <row r="162" spans="1:60" s="3" customFormat="1" ht="20.399999999999999" x14ac:dyDescent="0.3">
      <c r="A162" s="80" t="s">
        <v>196</v>
      </c>
      <c r="B162" s="17" t="s">
        <v>1180</v>
      </c>
      <c r="C162" s="405" t="s">
        <v>1181</v>
      </c>
      <c r="D162" s="405"/>
      <c r="E162" s="405"/>
      <c r="F162" s="16" t="s">
        <v>1182</v>
      </c>
      <c r="G162" s="23">
        <v>1</v>
      </c>
      <c r="H162" s="57">
        <f t="shared" si="28"/>
        <v>0</v>
      </c>
      <c r="I162" s="19">
        <f>20134902-K162</f>
        <v>0</v>
      </c>
      <c r="J162" s="19">
        <f t="shared" si="29"/>
        <v>20134902</v>
      </c>
      <c r="K162" s="131">
        <v>20134902</v>
      </c>
      <c r="BC162" s="14"/>
      <c r="BD162" s="15"/>
      <c r="BE162" s="21"/>
      <c r="BF162" s="43"/>
      <c r="BG162" s="12"/>
      <c r="BH162" s="12"/>
    </row>
    <row r="163" spans="1:60" s="3" customFormat="1" ht="14.4" x14ac:dyDescent="0.3">
      <c r="A163" s="80" t="s">
        <v>198</v>
      </c>
      <c r="B163" s="17" t="s">
        <v>1183</v>
      </c>
      <c r="C163" s="405" t="s">
        <v>1184</v>
      </c>
      <c r="D163" s="405"/>
      <c r="E163" s="405"/>
      <c r="F163" s="16" t="s">
        <v>189</v>
      </c>
      <c r="G163" s="44">
        <v>0.32902999999999999</v>
      </c>
      <c r="H163" s="57">
        <f t="shared" si="28"/>
        <v>49544.144910798415</v>
      </c>
      <c r="I163" s="19">
        <f>57682.04-K163</f>
        <v>16301.510000000002</v>
      </c>
      <c r="J163" s="19">
        <f t="shared" si="29"/>
        <v>125765.21897699298</v>
      </c>
      <c r="K163" s="131">
        <v>41380.53</v>
      </c>
      <c r="BC163" s="14"/>
      <c r="BD163" s="15"/>
      <c r="BE163" s="21"/>
      <c r="BF163" s="43"/>
      <c r="BG163" s="12"/>
      <c r="BH163" s="12"/>
    </row>
    <row r="164" spans="1:60" s="3" customFormat="1" ht="20.399999999999999" x14ac:dyDescent="0.3">
      <c r="A164" s="133" t="s">
        <v>78</v>
      </c>
      <c r="B164" s="38" t="s">
        <v>1185</v>
      </c>
      <c r="C164" s="430" t="s">
        <v>1186</v>
      </c>
      <c r="D164" s="430"/>
      <c r="E164" s="430"/>
      <c r="F164" s="39" t="s">
        <v>158</v>
      </c>
      <c r="G164" s="40" t="s">
        <v>33</v>
      </c>
      <c r="H164" s="40"/>
      <c r="I164" s="41"/>
      <c r="J164" s="41"/>
      <c r="K164" s="134"/>
      <c r="BC164" s="14"/>
      <c r="BD164" s="15"/>
      <c r="BE164" s="21"/>
      <c r="BF164" s="43"/>
      <c r="BG164" s="12"/>
      <c r="BH164" s="12"/>
    </row>
    <row r="165" spans="1:60" s="3" customFormat="1" ht="20.399999999999999" x14ac:dyDescent="0.3">
      <c r="A165" s="83"/>
      <c r="B165" s="26" t="s">
        <v>648</v>
      </c>
      <c r="C165" s="419" t="s">
        <v>649</v>
      </c>
      <c r="D165" s="419"/>
      <c r="E165" s="419"/>
      <c r="F165" s="27" t="s">
        <v>70</v>
      </c>
      <c r="G165" s="22" t="s">
        <v>1187</v>
      </c>
      <c r="H165" s="22"/>
      <c r="I165" s="28"/>
      <c r="J165" s="28"/>
      <c r="K165" s="132"/>
      <c r="BC165" s="14"/>
      <c r="BD165" s="15"/>
      <c r="BE165" s="21"/>
      <c r="BF165" s="43"/>
      <c r="BG165" s="12"/>
      <c r="BH165" s="12"/>
    </row>
    <row r="166" spans="1:60" s="3" customFormat="1" ht="20.399999999999999" x14ac:dyDescent="0.3">
      <c r="A166" s="83" t="s">
        <v>129</v>
      </c>
      <c r="B166" s="26" t="s">
        <v>1062</v>
      </c>
      <c r="C166" s="419" t="s">
        <v>1060</v>
      </c>
      <c r="D166" s="419"/>
      <c r="E166" s="419"/>
      <c r="F166" s="27" t="s">
        <v>158</v>
      </c>
      <c r="G166" s="22" t="s">
        <v>1188</v>
      </c>
      <c r="H166" s="22"/>
      <c r="I166" s="28"/>
      <c r="J166" s="28"/>
      <c r="K166" s="132"/>
      <c r="BC166" s="14"/>
      <c r="BD166" s="15"/>
      <c r="BE166" s="21"/>
      <c r="BF166" s="43"/>
      <c r="BG166" s="12"/>
      <c r="BH166" s="12"/>
    </row>
    <row r="167" spans="1:60" s="3" customFormat="1" ht="15" customHeight="1" x14ac:dyDescent="0.3">
      <c r="A167" s="417" t="s">
        <v>1189</v>
      </c>
      <c r="B167" s="418"/>
      <c r="C167" s="418"/>
      <c r="D167" s="418"/>
      <c r="E167" s="418"/>
      <c r="F167" s="418"/>
      <c r="G167" s="418"/>
      <c r="H167" s="123"/>
      <c r="I167" s="123"/>
      <c r="J167" s="123"/>
      <c r="K167" s="130"/>
      <c r="BC167" s="14"/>
      <c r="BD167" s="15"/>
      <c r="BE167" s="21"/>
      <c r="BF167" s="43"/>
      <c r="BG167" s="12"/>
      <c r="BH167" s="12"/>
    </row>
    <row r="168" spans="1:60" s="3" customFormat="1" ht="14.4" x14ac:dyDescent="0.3">
      <c r="A168" s="80" t="s">
        <v>201</v>
      </c>
      <c r="B168" s="17" t="s">
        <v>1190</v>
      </c>
      <c r="C168" s="405" t="s">
        <v>1189</v>
      </c>
      <c r="D168" s="405"/>
      <c r="E168" s="405"/>
      <c r="F168" s="16" t="s">
        <v>18</v>
      </c>
      <c r="G168" s="18">
        <v>1.728</v>
      </c>
      <c r="H168" s="57">
        <f t="shared" ref="H168" si="30">I168/G168</f>
        <v>1588311.4988425926</v>
      </c>
      <c r="I168" s="19">
        <v>2744602.27</v>
      </c>
      <c r="J168" s="19">
        <f t="shared" ref="J168" si="31">K168/G168</f>
        <v>0</v>
      </c>
      <c r="K168" s="131">
        <v>0</v>
      </c>
      <c r="BC168" s="14"/>
      <c r="BD168" s="15"/>
      <c r="BE168" s="21"/>
      <c r="BF168" s="43"/>
      <c r="BG168" s="12"/>
      <c r="BH168" s="12"/>
    </row>
    <row r="169" spans="1:60" s="3" customFormat="1" ht="20.399999999999999" x14ac:dyDescent="0.3">
      <c r="A169" s="133" t="s">
        <v>78</v>
      </c>
      <c r="B169" s="38" t="s">
        <v>1191</v>
      </c>
      <c r="C169" s="430" t="s">
        <v>1192</v>
      </c>
      <c r="D169" s="430"/>
      <c r="E169" s="430"/>
      <c r="F169" s="39" t="s">
        <v>46</v>
      </c>
      <c r="G169" s="40" t="s">
        <v>33</v>
      </c>
      <c r="H169" s="40"/>
      <c r="I169" s="41"/>
      <c r="J169" s="41"/>
      <c r="K169" s="134"/>
      <c r="BC169" s="14"/>
      <c r="BD169" s="15"/>
      <c r="BE169" s="21"/>
      <c r="BF169" s="43"/>
      <c r="BG169" s="12"/>
      <c r="BH169" s="12"/>
    </row>
    <row r="170" spans="1:60" s="3" customFormat="1" ht="15" customHeight="1" x14ac:dyDescent="0.3">
      <c r="A170" s="445" t="s">
        <v>1193</v>
      </c>
      <c r="B170" s="436"/>
      <c r="C170" s="436"/>
      <c r="D170" s="436"/>
      <c r="E170" s="436"/>
      <c r="F170" s="96"/>
      <c r="G170" s="96"/>
      <c r="H170" s="150"/>
      <c r="I170" s="103"/>
      <c r="J170" s="150"/>
      <c r="K170" s="129"/>
      <c r="BC170" s="14"/>
      <c r="BD170" s="15"/>
      <c r="BE170" s="21"/>
      <c r="BF170" s="43"/>
      <c r="BG170" s="12"/>
      <c r="BH170" s="12"/>
    </row>
    <row r="171" spans="1:60" s="3" customFormat="1" ht="15" customHeight="1" x14ac:dyDescent="0.3">
      <c r="A171" s="417" t="s">
        <v>1194</v>
      </c>
      <c r="B171" s="418"/>
      <c r="C171" s="418"/>
      <c r="D171" s="418"/>
      <c r="E171" s="418"/>
      <c r="F171" s="418"/>
      <c r="G171" s="418"/>
      <c r="H171" s="123"/>
      <c r="I171" s="123"/>
      <c r="J171" s="123"/>
      <c r="K171" s="130"/>
      <c r="BC171" s="14"/>
      <c r="BD171" s="15"/>
      <c r="BE171" s="21"/>
      <c r="BF171" s="43"/>
      <c r="BG171" s="12"/>
      <c r="BH171" s="12"/>
    </row>
    <row r="172" spans="1:60" s="3" customFormat="1" ht="14.4" x14ac:dyDescent="0.3">
      <c r="A172" s="80" t="s">
        <v>219</v>
      </c>
      <c r="B172" s="17" t="s">
        <v>1195</v>
      </c>
      <c r="C172" s="405" t="s">
        <v>1196</v>
      </c>
      <c r="D172" s="405"/>
      <c r="E172" s="405"/>
      <c r="F172" s="16" t="s">
        <v>43</v>
      </c>
      <c r="G172" s="30">
        <v>7.0252999999999997</v>
      </c>
      <c r="H172" s="57">
        <f t="shared" ref="H172" si="32">I172/G172</f>
        <v>359729.92754757806</v>
      </c>
      <c r="I172" s="19">
        <f>16966217.23-K172</f>
        <v>2527210.66</v>
      </c>
      <c r="J172" s="19">
        <f t="shared" ref="J172" si="33">K172/G172</f>
        <v>2055286.8304556389</v>
      </c>
      <c r="K172" s="131">
        <v>14439006.57</v>
      </c>
      <c r="BC172" s="14"/>
      <c r="BD172" s="15"/>
      <c r="BE172" s="21"/>
      <c r="BF172" s="43"/>
      <c r="BG172" s="12"/>
      <c r="BH172" s="12"/>
    </row>
    <row r="173" spans="1:60" s="3" customFormat="1" ht="20.399999999999999" x14ac:dyDescent="0.3">
      <c r="A173" s="83" t="s">
        <v>129</v>
      </c>
      <c r="B173" s="26" t="s">
        <v>1191</v>
      </c>
      <c r="C173" s="419" t="s">
        <v>1192</v>
      </c>
      <c r="D173" s="419"/>
      <c r="E173" s="419"/>
      <c r="F173" s="27" t="s">
        <v>46</v>
      </c>
      <c r="G173" s="22" t="s">
        <v>1197</v>
      </c>
      <c r="H173" s="22"/>
      <c r="I173" s="28"/>
      <c r="J173" s="28"/>
      <c r="K173" s="132"/>
      <c r="BC173" s="14"/>
      <c r="BD173" s="15"/>
      <c r="BE173" s="21"/>
      <c r="BF173" s="43"/>
      <c r="BG173" s="12"/>
      <c r="BH173" s="12"/>
    </row>
    <row r="174" spans="1:60" s="3" customFormat="1" ht="15" customHeight="1" x14ac:dyDescent="0.3">
      <c r="A174" s="417" t="s">
        <v>1198</v>
      </c>
      <c r="B174" s="418"/>
      <c r="C174" s="418"/>
      <c r="D174" s="418"/>
      <c r="E174" s="418"/>
      <c r="F174" s="418"/>
      <c r="G174" s="418"/>
      <c r="H174" s="123"/>
      <c r="I174" s="123"/>
      <c r="J174" s="123"/>
      <c r="K174" s="130"/>
      <c r="BC174" s="14"/>
      <c r="BD174" s="15"/>
      <c r="BE174" s="21"/>
      <c r="BF174" s="43"/>
      <c r="BG174" s="12"/>
      <c r="BH174" s="12"/>
    </row>
    <row r="175" spans="1:60" s="3" customFormat="1" ht="14.4" x14ac:dyDescent="0.3">
      <c r="A175" s="80" t="s">
        <v>222</v>
      </c>
      <c r="B175" s="17" t="s">
        <v>1195</v>
      </c>
      <c r="C175" s="405" t="s">
        <v>1196</v>
      </c>
      <c r="D175" s="405"/>
      <c r="E175" s="405"/>
      <c r="F175" s="16" t="s">
        <v>43</v>
      </c>
      <c r="G175" s="18">
        <v>0.45500000000000002</v>
      </c>
      <c r="H175" s="57">
        <f t="shared" ref="H175" si="34">I175/G175</f>
        <v>453259.71428571409</v>
      </c>
      <c r="I175" s="19">
        <f>1141388.68-K175</f>
        <v>206233.16999999993</v>
      </c>
      <c r="J175" s="19">
        <f t="shared" ref="J175" si="35">K175/G175</f>
        <v>2055286.8351648352</v>
      </c>
      <c r="K175" s="131">
        <v>935155.51</v>
      </c>
      <c r="BC175" s="14"/>
      <c r="BD175" s="15"/>
      <c r="BE175" s="21"/>
      <c r="BF175" s="43"/>
      <c r="BG175" s="12"/>
      <c r="BH175" s="12"/>
    </row>
    <row r="176" spans="1:60" s="3" customFormat="1" ht="20.399999999999999" x14ac:dyDescent="0.3">
      <c r="A176" s="83" t="s">
        <v>129</v>
      </c>
      <c r="B176" s="26" t="s">
        <v>1191</v>
      </c>
      <c r="C176" s="419" t="s">
        <v>1192</v>
      </c>
      <c r="D176" s="419"/>
      <c r="E176" s="419"/>
      <c r="F176" s="27" t="s">
        <v>46</v>
      </c>
      <c r="G176" s="22" t="s">
        <v>1199</v>
      </c>
      <c r="H176" s="22"/>
      <c r="I176" s="28"/>
      <c r="J176" s="28"/>
      <c r="K176" s="132"/>
      <c r="BC176" s="14"/>
      <c r="BD176" s="15"/>
      <c r="BE176" s="21"/>
      <c r="BF176" s="43"/>
      <c r="BG176" s="12"/>
      <c r="BH176" s="12"/>
    </row>
    <row r="177" spans="1:60" s="3" customFormat="1" ht="15" customHeight="1" x14ac:dyDescent="0.3">
      <c r="A177" s="417" t="s">
        <v>1200</v>
      </c>
      <c r="B177" s="418"/>
      <c r="C177" s="418"/>
      <c r="D177" s="418"/>
      <c r="E177" s="418"/>
      <c r="F177" s="418"/>
      <c r="G177" s="418"/>
      <c r="H177" s="123"/>
      <c r="I177" s="123"/>
      <c r="J177" s="123"/>
      <c r="K177" s="130"/>
      <c r="BC177" s="14"/>
      <c r="BD177" s="15"/>
      <c r="BE177" s="21"/>
      <c r="BF177" s="43"/>
      <c r="BG177" s="12"/>
      <c r="BH177" s="12"/>
    </row>
    <row r="178" spans="1:60" s="3" customFormat="1" ht="14.4" x14ac:dyDescent="0.3">
      <c r="A178" s="80" t="s">
        <v>225</v>
      </c>
      <c r="B178" s="17" t="s">
        <v>1195</v>
      </c>
      <c r="C178" s="405" t="s">
        <v>1196</v>
      </c>
      <c r="D178" s="405"/>
      <c r="E178" s="405"/>
      <c r="F178" s="16" t="s">
        <v>43</v>
      </c>
      <c r="G178" s="24">
        <v>0.2</v>
      </c>
      <c r="H178" s="57">
        <f t="shared" ref="H178" si="36">I178/G178</f>
        <v>453259.75000000006</v>
      </c>
      <c r="I178" s="19">
        <f>501709.32-K178</f>
        <v>90651.950000000012</v>
      </c>
      <c r="J178" s="19">
        <f t="shared" ref="J178" si="37">K178/G178</f>
        <v>2055286.8499999999</v>
      </c>
      <c r="K178" s="131">
        <v>411057.37</v>
      </c>
      <c r="BC178" s="14"/>
      <c r="BD178" s="15"/>
      <c r="BE178" s="21"/>
      <c r="BF178" s="43"/>
      <c r="BG178" s="12"/>
      <c r="BH178" s="12"/>
    </row>
    <row r="179" spans="1:60" s="3" customFormat="1" ht="20.399999999999999" x14ac:dyDescent="0.3">
      <c r="A179" s="83" t="s">
        <v>129</v>
      </c>
      <c r="B179" s="26" t="s">
        <v>1191</v>
      </c>
      <c r="C179" s="419" t="s">
        <v>1192</v>
      </c>
      <c r="D179" s="419"/>
      <c r="E179" s="419"/>
      <c r="F179" s="27" t="s">
        <v>46</v>
      </c>
      <c r="G179" s="22" t="s">
        <v>1201</v>
      </c>
      <c r="H179" s="22"/>
      <c r="I179" s="28"/>
      <c r="J179" s="28"/>
      <c r="K179" s="132"/>
      <c r="BC179" s="14"/>
      <c r="BD179" s="15"/>
      <c r="BE179" s="21"/>
      <c r="BF179" s="43"/>
      <c r="BG179" s="12"/>
      <c r="BH179" s="12"/>
    </row>
    <row r="180" spans="1:60" s="3" customFormat="1" ht="15" customHeight="1" x14ac:dyDescent="0.3">
      <c r="A180" s="417" t="s">
        <v>1202</v>
      </c>
      <c r="B180" s="418"/>
      <c r="C180" s="418"/>
      <c r="D180" s="418"/>
      <c r="E180" s="418"/>
      <c r="F180" s="418"/>
      <c r="G180" s="418"/>
      <c r="H180" s="123"/>
      <c r="I180" s="123"/>
      <c r="J180" s="123"/>
      <c r="K180" s="130"/>
      <c r="BC180" s="14"/>
      <c r="BD180" s="15"/>
      <c r="BE180" s="21"/>
      <c r="BF180" s="43"/>
      <c r="BG180" s="12"/>
      <c r="BH180" s="12"/>
    </row>
    <row r="181" spans="1:60" s="3" customFormat="1" ht="14.4" x14ac:dyDescent="0.3">
      <c r="A181" s="80" t="s">
        <v>227</v>
      </c>
      <c r="B181" s="17" t="s">
        <v>1195</v>
      </c>
      <c r="C181" s="405" t="s">
        <v>1196</v>
      </c>
      <c r="D181" s="405"/>
      <c r="E181" s="405"/>
      <c r="F181" s="16" t="s">
        <v>43</v>
      </c>
      <c r="G181" s="24">
        <v>1.3</v>
      </c>
      <c r="H181" s="57">
        <f t="shared" ref="H181" si="38">I181/G181</f>
        <v>359729.93076923088</v>
      </c>
      <c r="I181" s="19">
        <f>3139521.79-K181</f>
        <v>467648.91000000015</v>
      </c>
      <c r="J181" s="19">
        <f t="shared" ref="J181" si="39">K181/G181</f>
        <v>2055286.8307692306</v>
      </c>
      <c r="K181" s="131">
        <v>2671872.88</v>
      </c>
      <c r="BC181" s="14"/>
      <c r="BD181" s="15"/>
      <c r="BE181" s="21"/>
      <c r="BF181" s="43"/>
      <c r="BG181" s="12"/>
      <c r="BH181" s="12"/>
    </row>
    <row r="182" spans="1:60" s="3" customFormat="1" ht="20.399999999999999" x14ac:dyDescent="0.3">
      <c r="A182" s="83" t="s">
        <v>129</v>
      </c>
      <c r="B182" s="26" t="s">
        <v>1191</v>
      </c>
      <c r="C182" s="419" t="s">
        <v>1192</v>
      </c>
      <c r="D182" s="419"/>
      <c r="E182" s="419"/>
      <c r="F182" s="27" t="s">
        <v>46</v>
      </c>
      <c r="G182" s="22" t="s">
        <v>1203</v>
      </c>
      <c r="H182" s="22"/>
      <c r="I182" s="28"/>
      <c r="J182" s="28"/>
      <c r="K182" s="132"/>
      <c r="BC182" s="14"/>
      <c r="BD182" s="15"/>
      <c r="BE182" s="21"/>
      <c r="BF182" s="43"/>
      <c r="BG182" s="12"/>
      <c r="BH182" s="12"/>
    </row>
    <row r="183" spans="1:60" s="3" customFormat="1" ht="15" customHeight="1" x14ac:dyDescent="0.3">
      <c r="A183" s="417" t="s">
        <v>1204</v>
      </c>
      <c r="B183" s="418"/>
      <c r="C183" s="418"/>
      <c r="D183" s="418"/>
      <c r="E183" s="418"/>
      <c r="F183" s="418"/>
      <c r="G183" s="418"/>
      <c r="H183" s="123"/>
      <c r="I183" s="123"/>
      <c r="J183" s="123"/>
      <c r="K183" s="130"/>
      <c r="BC183" s="14"/>
      <c r="BD183" s="15"/>
      <c r="BE183" s="21"/>
      <c r="BF183" s="43"/>
      <c r="BG183" s="12"/>
      <c r="BH183" s="12"/>
    </row>
    <row r="184" spans="1:60" s="3" customFormat="1" ht="14.4" x14ac:dyDescent="0.3">
      <c r="A184" s="80" t="s">
        <v>230</v>
      </c>
      <c r="B184" s="17" t="s">
        <v>1205</v>
      </c>
      <c r="C184" s="405" t="s">
        <v>1206</v>
      </c>
      <c r="D184" s="405"/>
      <c r="E184" s="405"/>
      <c r="F184" s="16" t="s">
        <v>125</v>
      </c>
      <c r="G184" s="31">
        <v>13.01</v>
      </c>
      <c r="H184" s="57">
        <f t="shared" ref="H184:H188" si="40">I184/G184</f>
        <v>88738.072252113765</v>
      </c>
      <c r="I184" s="19">
        <v>1154482.32</v>
      </c>
      <c r="J184" s="19">
        <f t="shared" ref="J184:J188" si="41">K184/G184</f>
        <v>0</v>
      </c>
      <c r="K184" s="131">
        <v>0</v>
      </c>
      <c r="BC184" s="14"/>
      <c r="BD184" s="15"/>
      <c r="BE184" s="21"/>
      <c r="BF184" s="43"/>
      <c r="BG184" s="12"/>
      <c r="BH184" s="12"/>
    </row>
    <row r="185" spans="1:60" s="3" customFormat="1" ht="14.4" x14ac:dyDescent="0.3">
      <c r="A185" s="80" t="s">
        <v>233</v>
      </c>
      <c r="B185" s="17" t="s">
        <v>1207</v>
      </c>
      <c r="C185" s="405" t="s">
        <v>1192</v>
      </c>
      <c r="D185" s="405"/>
      <c r="E185" s="405"/>
      <c r="F185" s="16" t="s">
        <v>46</v>
      </c>
      <c r="G185" s="31">
        <v>1535.18</v>
      </c>
      <c r="H185" s="57">
        <f t="shared" si="40"/>
        <v>0</v>
      </c>
      <c r="I185" s="19">
        <f>2673928.17-K185</f>
        <v>0</v>
      </c>
      <c r="J185" s="19">
        <f t="shared" si="41"/>
        <v>1741.7685027162938</v>
      </c>
      <c r="K185" s="131">
        <v>2673928.17</v>
      </c>
      <c r="BC185" s="14"/>
      <c r="BD185" s="15"/>
      <c r="BE185" s="21"/>
      <c r="BF185" s="43"/>
      <c r="BG185" s="12"/>
      <c r="BH185" s="12"/>
    </row>
    <row r="186" spans="1:60" s="3" customFormat="1" ht="15" customHeight="1" x14ac:dyDescent="0.3">
      <c r="A186" s="445" t="s">
        <v>1208</v>
      </c>
      <c r="B186" s="436"/>
      <c r="C186" s="436"/>
      <c r="D186" s="436"/>
      <c r="E186" s="436"/>
      <c r="F186" s="96"/>
      <c r="G186" s="96"/>
      <c r="H186" s="150"/>
      <c r="I186" s="103"/>
      <c r="J186" s="150"/>
      <c r="K186" s="129"/>
      <c r="BC186" s="14"/>
      <c r="BD186" s="15"/>
      <c r="BE186" s="21"/>
      <c r="BF186" s="43"/>
      <c r="BG186" s="12"/>
      <c r="BH186" s="12"/>
    </row>
    <row r="187" spans="1:60" s="3" customFormat="1" ht="24.75" customHeight="1" x14ac:dyDescent="0.3">
      <c r="A187" s="417" t="s">
        <v>1209</v>
      </c>
      <c r="B187" s="418"/>
      <c r="C187" s="418"/>
      <c r="D187" s="418"/>
      <c r="E187" s="418"/>
      <c r="F187" s="418"/>
      <c r="G187" s="418"/>
      <c r="H187" s="123"/>
      <c r="I187" s="123"/>
      <c r="J187" s="123"/>
      <c r="K187" s="130"/>
      <c r="BC187" s="14"/>
      <c r="BD187" s="15"/>
      <c r="BE187" s="21"/>
      <c r="BF187" s="43"/>
      <c r="BG187" s="12"/>
      <c r="BH187" s="12"/>
    </row>
    <row r="188" spans="1:60" s="3" customFormat="1" ht="14.4" x14ac:dyDescent="0.3">
      <c r="A188" s="80" t="s">
        <v>235</v>
      </c>
      <c r="B188" s="17" t="s">
        <v>1210</v>
      </c>
      <c r="C188" s="405" t="s">
        <v>1211</v>
      </c>
      <c r="D188" s="405"/>
      <c r="E188" s="405"/>
      <c r="F188" s="16" t="s">
        <v>18</v>
      </c>
      <c r="G188" s="18">
        <v>0.111</v>
      </c>
      <c r="H188" s="57">
        <f t="shared" si="40"/>
        <v>366870.18018018012</v>
      </c>
      <c r="I188" s="19">
        <v>40722.589999999997</v>
      </c>
      <c r="J188" s="19">
        <f t="shared" si="41"/>
        <v>0</v>
      </c>
      <c r="K188" s="131">
        <v>0</v>
      </c>
      <c r="BC188" s="14"/>
      <c r="BD188" s="15"/>
      <c r="BE188" s="21"/>
      <c r="BF188" s="43"/>
      <c r="BG188" s="12"/>
      <c r="BH188" s="12"/>
    </row>
    <row r="189" spans="1:60" s="3" customFormat="1" ht="20.399999999999999" x14ac:dyDescent="0.3">
      <c r="A189" s="133" t="s">
        <v>78</v>
      </c>
      <c r="B189" s="38" t="s">
        <v>1191</v>
      </c>
      <c r="C189" s="430" t="s">
        <v>1192</v>
      </c>
      <c r="D189" s="430"/>
      <c r="E189" s="430"/>
      <c r="F189" s="39" t="s">
        <v>46</v>
      </c>
      <c r="G189" s="40" t="s">
        <v>33</v>
      </c>
      <c r="H189" s="40"/>
      <c r="I189" s="41"/>
      <c r="J189" s="41"/>
      <c r="K189" s="134"/>
      <c r="BC189" s="14"/>
      <c r="BD189" s="15"/>
      <c r="BE189" s="21"/>
      <c r="BF189" s="43"/>
      <c r="BG189" s="12"/>
      <c r="BH189" s="12"/>
    </row>
    <row r="190" spans="1:60" s="3" customFormat="1" ht="15" customHeight="1" x14ac:dyDescent="0.3">
      <c r="A190" s="417" t="s">
        <v>1211</v>
      </c>
      <c r="B190" s="418"/>
      <c r="C190" s="418"/>
      <c r="D190" s="418"/>
      <c r="E190" s="418"/>
      <c r="F190" s="418"/>
      <c r="G190" s="418"/>
      <c r="H190" s="123"/>
      <c r="I190" s="123"/>
      <c r="J190" s="123"/>
      <c r="K190" s="130"/>
      <c r="BC190" s="14"/>
      <c r="BD190" s="15"/>
      <c r="BE190" s="21"/>
      <c r="BF190" s="43"/>
      <c r="BG190" s="12"/>
      <c r="BH190" s="12"/>
    </row>
    <row r="191" spans="1:60" s="3" customFormat="1" ht="14.4" x14ac:dyDescent="0.3">
      <c r="A191" s="80" t="s">
        <v>237</v>
      </c>
      <c r="B191" s="17" t="s">
        <v>1210</v>
      </c>
      <c r="C191" s="405" t="s">
        <v>1211</v>
      </c>
      <c r="D191" s="405"/>
      <c r="E191" s="405"/>
      <c r="F191" s="16" t="s">
        <v>18</v>
      </c>
      <c r="G191" s="18">
        <v>5.1669999999999998</v>
      </c>
      <c r="H191" s="57">
        <f t="shared" ref="H191" si="42">I191/G191</f>
        <v>291166.85117089225</v>
      </c>
      <c r="I191" s="19">
        <v>1504459.12</v>
      </c>
      <c r="J191" s="19">
        <f t="shared" ref="J191" si="43">K191/G191</f>
        <v>0</v>
      </c>
      <c r="K191" s="131">
        <v>0</v>
      </c>
      <c r="BC191" s="14"/>
      <c r="BD191" s="15"/>
      <c r="BE191" s="21"/>
      <c r="BF191" s="43"/>
      <c r="BG191" s="12"/>
      <c r="BH191" s="12"/>
    </row>
    <row r="192" spans="1:60" s="3" customFormat="1" ht="20.399999999999999" x14ac:dyDescent="0.3">
      <c r="A192" s="133" t="s">
        <v>78</v>
      </c>
      <c r="B192" s="38" t="s">
        <v>1191</v>
      </c>
      <c r="C192" s="430" t="s">
        <v>1192</v>
      </c>
      <c r="D192" s="430"/>
      <c r="E192" s="430"/>
      <c r="F192" s="39" t="s">
        <v>46</v>
      </c>
      <c r="G192" s="40" t="s">
        <v>33</v>
      </c>
      <c r="H192" s="40"/>
      <c r="I192" s="41"/>
      <c r="J192" s="41"/>
      <c r="K192" s="134"/>
      <c r="BC192" s="14"/>
      <c r="BD192" s="15"/>
      <c r="BE192" s="21"/>
      <c r="BF192" s="43"/>
      <c r="BG192" s="12"/>
      <c r="BH192" s="12"/>
    </row>
    <row r="193" spans="1:60" s="3" customFormat="1" ht="15" customHeight="1" x14ac:dyDescent="0.3">
      <c r="A193" s="417" t="s">
        <v>1212</v>
      </c>
      <c r="B193" s="418"/>
      <c r="C193" s="418"/>
      <c r="D193" s="418"/>
      <c r="E193" s="418"/>
      <c r="F193" s="418"/>
      <c r="G193" s="418"/>
      <c r="H193" s="123"/>
      <c r="I193" s="123"/>
      <c r="J193" s="123"/>
      <c r="K193" s="130"/>
      <c r="BC193" s="14"/>
      <c r="BD193" s="15"/>
      <c r="BE193" s="21"/>
      <c r="BF193" s="43"/>
      <c r="BG193" s="12"/>
      <c r="BH193" s="12"/>
    </row>
    <row r="194" spans="1:60" s="3" customFormat="1" ht="20.399999999999999" x14ac:dyDescent="0.3">
      <c r="A194" s="80" t="s">
        <v>243</v>
      </c>
      <c r="B194" s="17" t="s">
        <v>1213</v>
      </c>
      <c r="C194" s="405" t="s">
        <v>1214</v>
      </c>
      <c r="D194" s="405"/>
      <c r="E194" s="405"/>
      <c r="F194" s="16" t="s">
        <v>1215</v>
      </c>
      <c r="G194" s="23">
        <v>26</v>
      </c>
      <c r="H194" s="57">
        <f t="shared" ref="H194" si="44">I194/G194</f>
        <v>160919.42961538461</v>
      </c>
      <c r="I194" s="19">
        <v>4183905.17</v>
      </c>
      <c r="J194" s="19">
        <f t="shared" ref="J194" si="45">K194/G194</f>
        <v>0</v>
      </c>
      <c r="K194" s="131">
        <v>0</v>
      </c>
      <c r="BC194" s="14"/>
      <c r="BD194" s="15"/>
      <c r="BE194" s="21"/>
      <c r="BF194" s="43"/>
      <c r="BG194" s="12"/>
      <c r="BH194" s="12"/>
    </row>
    <row r="195" spans="1:60" s="3" customFormat="1" ht="20.399999999999999" x14ac:dyDescent="0.3">
      <c r="A195" s="133" t="s">
        <v>78</v>
      </c>
      <c r="B195" s="38" t="s">
        <v>1191</v>
      </c>
      <c r="C195" s="430" t="s">
        <v>1192</v>
      </c>
      <c r="D195" s="430"/>
      <c r="E195" s="430"/>
      <c r="F195" s="39" t="s">
        <v>46</v>
      </c>
      <c r="G195" s="40" t="s">
        <v>33</v>
      </c>
      <c r="H195" s="40"/>
      <c r="I195" s="41"/>
      <c r="J195" s="41"/>
      <c r="K195" s="134"/>
      <c r="BC195" s="14"/>
      <c r="BD195" s="15"/>
      <c r="BE195" s="21"/>
      <c r="BF195" s="43"/>
      <c r="BG195" s="12"/>
      <c r="BH195" s="12"/>
    </row>
    <row r="196" spans="1:60" s="3" customFormat="1" ht="24.75" customHeight="1" x14ac:dyDescent="0.3">
      <c r="A196" s="417" t="s">
        <v>1216</v>
      </c>
      <c r="B196" s="418"/>
      <c r="C196" s="418"/>
      <c r="D196" s="418"/>
      <c r="E196" s="418"/>
      <c r="F196" s="418"/>
      <c r="G196" s="418"/>
      <c r="H196" s="123"/>
      <c r="I196" s="123"/>
      <c r="J196" s="123"/>
      <c r="K196" s="130"/>
      <c r="BC196" s="14"/>
      <c r="BD196" s="15"/>
      <c r="BE196" s="21"/>
      <c r="BF196" s="43"/>
      <c r="BG196" s="12"/>
      <c r="BH196" s="12"/>
    </row>
    <row r="197" spans="1:60" s="3" customFormat="1" ht="20.399999999999999" x14ac:dyDescent="0.3">
      <c r="A197" s="80" t="s">
        <v>244</v>
      </c>
      <c r="B197" s="17" t="s">
        <v>1217</v>
      </c>
      <c r="C197" s="405" t="s">
        <v>1218</v>
      </c>
      <c r="D197" s="405"/>
      <c r="E197" s="405"/>
      <c r="F197" s="16" t="s">
        <v>1215</v>
      </c>
      <c r="G197" s="23">
        <v>1</v>
      </c>
      <c r="H197" s="57">
        <f t="shared" ref="H197" si="46">I197/G197</f>
        <v>266182.09999999998</v>
      </c>
      <c r="I197" s="19">
        <v>266182.09999999998</v>
      </c>
      <c r="J197" s="19">
        <f t="shared" ref="J197" si="47">K197/G197</f>
        <v>0</v>
      </c>
      <c r="K197" s="131">
        <v>0</v>
      </c>
      <c r="BC197" s="14"/>
      <c r="BD197" s="15"/>
      <c r="BE197" s="21"/>
      <c r="BF197" s="43"/>
      <c r="BG197" s="12"/>
      <c r="BH197" s="12"/>
    </row>
    <row r="198" spans="1:60" s="3" customFormat="1" ht="20.399999999999999" x14ac:dyDescent="0.3">
      <c r="A198" s="133" t="s">
        <v>78</v>
      </c>
      <c r="B198" s="38" t="s">
        <v>1191</v>
      </c>
      <c r="C198" s="430" t="s">
        <v>1192</v>
      </c>
      <c r="D198" s="430"/>
      <c r="E198" s="430"/>
      <c r="F198" s="39" t="s">
        <v>46</v>
      </c>
      <c r="G198" s="40" t="s">
        <v>33</v>
      </c>
      <c r="H198" s="40"/>
      <c r="I198" s="41"/>
      <c r="J198" s="41"/>
      <c r="K198" s="134"/>
      <c r="BC198" s="14"/>
      <c r="BD198" s="15"/>
      <c r="BE198" s="21"/>
      <c r="BF198" s="43"/>
      <c r="BG198" s="12"/>
      <c r="BH198" s="12"/>
    </row>
    <row r="199" spans="1:60" s="3" customFormat="1" ht="15" customHeight="1" x14ac:dyDescent="0.3">
      <c r="A199" s="445" t="s">
        <v>1219</v>
      </c>
      <c r="B199" s="436"/>
      <c r="C199" s="436"/>
      <c r="D199" s="436"/>
      <c r="E199" s="436"/>
      <c r="F199" s="96"/>
      <c r="G199" s="96"/>
      <c r="H199" s="150"/>
      <c r="I199" s="103"/>
      <c r="J199" s="150"/>
      <c r="K199" s="129"/>
      <c r="BC199" s="14"/>
      <c r="BD199" s="15"/>
      <c r="BE199" s="21"/>
      <c r="BF199" s="43"/>
      <c r="BG199" s="12"/>
      <c r="BH199" s="12"/>
    </row>
    <row r="200" spans="1:60" s="3" customFormat="1" ht="15" customHeight="1" x14ac:dyDescent="0.3">
      <c r="A200" s="417" t="s">
        <v>1220</v>
      </c>
      <c r="B200" s="418"/>
      <c r="C200" s="418"/>
      <c r="D200" s="418"/>
      <c r="E200" s="418"/>
      <c r="F200" s="418"/>
      <c r="G200" s="418"/>
      <c r="H200" s="123"/>
      <c r="I200" s="123"/>
      <c r="J200" s="123"/>
      <c r="K200" s="130"/>
      <c r="BC200" s="14"/>
      <c r="BD200" s="15"/>
      <c r="BE200" s="21"/>
      <c r="BF200" s="43"/>
      <c r="BG200" s="12"/>
      <c r="BH200" s="12"/>
    </row>
    <row r="201" spans="1:60" s="3" customFormat="1" ht="15" customHeight="1" x14ac:dyDescent="0.3">
      <c r="A201" s="417" t="s">
        <v>1221</v>
      </c>
      <c r="B201" s="418"/>
      <c r="C201" s="418"/>
      <c r="D201" s="418"/>
      <c r="E201" s="418"/>
      <c r="F201" s="418"/>
      <c r="G201" s="418"/>
      <c r="H201" s="123"/>
      <c r="I201" s="123"/>
      <c r="J201" s="123"/>
      <c r="K201" s="130"/>
      <c r="BC201" s="14"/>
      <c r="BD201" s="15"/>
      <c r="BE201" s="21"/>
      <c r="BF201" s="43"/>
      <c r="BG201" s="12"/>
      <c r="BH201" s="12"/>
    </row>
    <row r="202" spans="1:60" s="3" customFormat="1" ht="14.4" x14ac:dyDescent="0.3">
      <c r="A202" s="80" t="s">
        <v>246</v>
      </c>
      <c r="B202" s="17" t="s">
        <v>1222</v>
      </c>
      <c r="C202" s="405" t="s">
        <v>1223</v>
      </c>
      <c r="D202" s="405"/>
      <c r="E202" s="405"/>
      <c r="F202" s="16" t="s">
        <v>38</v>
      </c>
      <c r="G202" s="23">
        <v>3</v>
      </c>
      <c r="H202" s="57">
        <f t="shared" ref="H202" si="48">I202/G202</f>
        <v>133773.36666666667</v>
      </c>
      <c r="I202" s="19">
        <f>783287.78-K202</f>
        <v>401320.10000000003</v>
      </c>
      <c r="J202" s="19">
        <f t="shared" ref="J202" si="49">K202/G202</f>
        <v>127322.56</v>
      </c>
      <c r="K202" s="131">
        <v>381967.68</v>
      </c>
      <c r="BC202" s="14"/>
      <c r="BD202" s="15"/>
      <c r="BE202" s="21"/>
      <c r="BF202" s="43"/>
      <c r="BG202" s="12"/>
      <c r="BH202" s="12"/>
    </row>
    <row r="203" spans="1:60" s="3" customFormat="1" ht="20.399999999999999" x14ac:dyDescent="0.3">
      <c r="A203" s="83"/>
      <c r="B203" s="26" t="s">
        <v>1154</v>
      </c>
      <c r="C203" s="419" t="s">
        <v>1155</v>
      </c>
      <c r="D203" s="419"/>
      <c r="E203" s="419"/>
      <c r="F203" s="27" t="s">
        <v>70</v>
      </c>
      <c r="G203" s="22" t="s">
        <v>1224</v>
      </c>
      <c r="H203" s="22"/>
      <c r="I203" s="28"/>
      <c r="J203" s="28"/>
      <c r="K203" s="132"/>
      <c r="BC203" s="14"/>
      <c r="BD203" s="15"/>
      <c r="BE203" s="21"/>
      <c r="BF203" s="43"/>
      <c r="BG203" s="12"/>
      <c r="BH203" s="12"/>
    </row>
    <row r="204" spans="1:60" s="3" customFormat="1" ht="20.399999999999999" x14ac:dyDescent="0.3">
      <c r="A204" s="83"/>
      <c r="B204" s="26" t="s">
        <v>1225</v>
      </c>
      <c r="C204" s="419" t="s">
        <v>1226</v>
      </c>
      <c r="D204" s="419"/>
      <c r="E204" s="419"/>
      <c r="F204" s="27" t="s">
        <v>70</v>
      </c>
      <c r="G204" s="22" t="s">
        <v>1227</v>
      </c>
      <c r="H204" s="22"/>
      <c r="I204" s="28"/>
      <c r="J204" s="28"/>
      <c r="K204" s="132"/>
      <c r="BC204" s="14"/>
      <c r="BD204" s="15"/>
      <c r="BE204" s="21"/>
      <c r="BF204" s="43"/>
      <c r="BG204" s="12"/>
      <c r="BH204" s="12"/>
    </row>
    <row r="205" spans="1:60" s="3" customFormat="1" ht="20.399999999999999" x14ac:dyDescent="0.3">
      <c r="A205" s="83"/>
      <c r="B205" s="26" t="s">
        <v>1228</v>
      </c>
      <c r="C205" s="419" t="s">
        <v>1229</v>
      </c>
      <c r="D205" s="419"/>
      <c r="E205" s="419"/>
      <c r="F205" s="27" t="s">
        <v>70</v>
      </c>
      <c r="G205" s="22" t="s">
        <v>1144</v>
      </c>
      <c r="H205" s="22"/>
      <c r="I205" s="28"/>
      <c r="J205" s="28"/>
      <c r="K205" s="132"/>
      <c r="BC205" s="14"/>
      <c r="BD205" s="15"/>
      <c r="BE205" s="21"/>
      <c r="BF205" s="43"/>
      <c r="BG205" s="12"/>
      <c r="BH205" s="12"/>
    </row>
    <row r="206" spans="1:60" s="3" customFormat="1" ht="20.399999999999999" x14ac:dyDescent="0.3">
      <c r="A206" s="133" t="s">
        <v>143</v>
      </c>
      <c r="B206" s="38" t="s">
        <v>1230</v>
      </c>
      <c r="C206" s="430" t="s">
        <v>1231</v>
      </c>
      <c r="D206" s="430"/>
      <c r="E206" s="430"/>
      <c r="F206" s="39" t="s">
        <v>46</v>
      </c>
      <c r="G206" s="40" t="s">
        <v>1232</v>
      </c>
      <c r="H206" s="40"/>
      <c r="I206" s="41"/>
      <c r="J206" s="41"/>
      <c r="K206" s="134"/>
      <c r="BC206" s="14"/>
      <c r="BD206" s="15"/>
      <c r="BE206" s="21"/>
      <c r="BF206" s="43"/>
      <c r="BG206" s="12"/>
      <c r="BH206" s="12"/>
    </row>
    <row r="207" spans="1:60" s="3" customFormat="1" ht="20.399999999999999" x14ac:dyDescent="0.3">
      <c r="A207" s="83"/>
      <c r="B207" s="26" t="s">
        <v>1233</v>
      </c>
      <c r="C207" s="419" t="s">
        <v>1234</v>
      </c>
      <c r="D207" s="419"/>
      <c r="E207" s="419"/>
      <c r="F207" s="27" t="s">
        <v>70</v>
      </c>
      <c r="G207" s="22" t="s">
        <v>1235</v>
      </c>
      <c r="H207" s="22"/>
      <c r="I207" s="28"/>
      <c r="J207" s="28"/>
      <c r="K207" s="132"/>
      <c r="BC207" s="14"/>
      <c r="BD207" s="15"/>
      <c r="BE207" s="21"/>
      <c r="BF207" s="43"/>
      <c r="BG207" s="12"/>
      <c r="BH207" s="12"/>
    </row>
    <row r="208" spans="1:60" s="3" customFormat="1" ht="20.399999999999999" x14ac:dyDescent="0.3">
      <c r="A208" s="83"/>
      <c r="B208" s="26" t="s">
        <v>1236</v>
      </c>
      <c r="C208" s="419" t="s">
        <v>1237</v>
      </c>
      <c r="D208" s="419"/>
      <c r="E208" s="419"/>
      <c r="F208" s="27" t="s">
        <v>70</v>
      </c>
      <c r="G208" s="22" t="s">
        <v>1144</v>
      </c>
      <c r="H208" s="22"/>
      <c r="I208" s="28"/>
      <c r="J208" s="28"/>
      <c r="K208" s="132"/>
      <c r="BC208" s="14"/>
      <c r="BD208" s="15"/>
      <c r="BE208" s="21"/>
      <c r="BF208" s="43"/>
      <c r="BG208" s="12"/>
      <c r="BH208" s="12"/>
    </row>
    <row r="209" spans="1:60" s="3" customFormat="1" ht="20.399999999999999" x14ac:dyDescent="0.3">
      <c r="A209" s="83"/>
      <c r="B209" s="26" t="s">
        <v>1238</v>
      </c>
      <c r="C209" s="419" t="s">
        <v>1239</v>
      </c>
      <c r="D209" s="419"/>
      <c r="E209" s="419"/>
      <c r="F209" s="27" t="s">
        <v>46</v>
      </c>
      <c r="G209" s="22" t="s">
        <v>1240</v>
      </c>
      <c r="H209" s="22"/>
      <c r="I209" s="28"/>
      <c r="J209" s="28"/>
      <c r="K209" s="132"/>
      <c r="BC209" s="14"/>
      <c r="BD209" s="15"/>
      <c r="BE209" s="21"/>
      <c r="BF209" s="43"/>
      <c r="BG209" s="12"/>
      <c r="BH209" s="12"/>
    </row>
    <row r="210" spans="1:60" s="3" customFormat="1" ht="20.399999999999999" x14ac:dyDescent="0.3">
      <c r="A210" s="83"/>
      <c r="B210" s="26" t="s">
        <v>839</v>
      </c>
      <c r="C210" s="419" t="s">
        <v>840</v>
      </c>
      <c r="D210" s="419"/>
      <c r="E210" s="419"/>
      <c r="F210" s="27" t="s">
        <v>75</v>
      </c>
      <c r="G210" s="22" t="s">
        <v>1145</v>
      </c>
      <c r="H210" s="22"/>
      <c r="I210" s="28"/>
      <c r="J210" s="28"/>
      <c r="K210" s="132"/>
      <c r="BC210" s="14"/>
      <c r="BD210" s="15"/>
      <c r="BE210" s="21"/>
      <c r="BF210" s="43"/>
      <c r="BG210" s="12"/>
      <c r="BH210" s="12"/>
    </row>
    <row r="211" spans="1:60" s="3" customFormat="1" ht="20.399999999999999" x14ac:dyDescent="0.3">
      <c r="A211" s="83"/>
      <c r="B211" s="26" t="s">
        <v>1241</v>
      </c>
      <c r="C211" s="419" t="s">
        <v>1242</v>
      </c>
      <c r="D211" s="419"/>
      <c r="E211" s="419"/>
      <c r="F211" s="27" t="s">
        <v>70</v>
      </c>
      <c r="G211" s="22" t="s">
        <v>1224</v>
      </c>
      <c r="H211" s="22"/>
      <c r="I211" s="28"/>
      <c r="J211" s="28"/>
      <c r="K211" s="132"/>
      <c r="BC211" s="14"/>
      <c r="BD211" s="15"/>
      <c r="BE211" s="21"/>
      <c r="BF211" s="43"/>
      <c r="BG211" s="12"/>
      <c r="BH211" s="12"/>
    </row>
    <row r="212" spans="1:60" s="3" customFormat="1" ht="20.399999999999999" x14ac:dyDescent="0.3">
      <c r="A212" s="83"/>
      <c r="B212" s="26" t="s">
        <v>1243</v>
      </c>
      <c r="C212" s="419" t="s">
        <v>1244</v>
      </c>
      <c r="D212" s="419"/>
      <c r="E212" s="419"/>
      <c r="F212" s="27" t="s">
        <v>38</v>
      </c>
      <c r="G212" s="22" t="s">
        <v>1245</v>
      </c>
      <c r="H212" s="22"/>
      <c r="I212" s="28"/>
      <c r="J212" s="28"/>
      <c r="K212" s="132"/>
      <c r="BC212" s="14"/>
      <c r="BD212" s="15"/>
      <c r="BE212" s="21"/>
      <c r="BF212" s="43"/>
      <c r="BG212" s="12"/>
      <c r="BH212" s="12"/>
    </row>
    <row r="213" spans="1:60" s="3" customFormat="1" ht="20.399999999999999" x14ac:dyDescent="0.3">
      <c r="A213" s="83"/>
      <c r="B213" s="26" t="s">
        <v>1164</v>
      </c>
      <c r="C213" s="419" t="s">
        <v>1165</v>
      </c>
      <c r="D213" s="419"/>
      <c r="E213" s="419"/>
      <c r="F213" s="27" t="s">
        <v>70</v>
      </c>
      <c r="G213" s="22" t="s">
        <v>1246</v>
      </c>
      <c r="H213" s="22"/>
      <c r="I213" s="28"/>
      <c r="J213" s="28"/>
      <c r="K213" s="132"/>
      <c r="BC213" s="14"/>
      <c r="BD213" s="15"/>
      <c r="BE213" s="21"/>
      <c r="BF213" s="43"/>
      <c r="BG213" s="12"/>
      <c r="BH213" s="12"/>
    </row>
    <row r="214" spans="1:60" s="3" customFormat="1" ht="20.399999999999999" x14ac:dyDescent="0.3">
      <c r="A214" s="83"/>
      <c r="B214" s="26" t="s">
        <v>1247</v>
      </c>
      <c r="C214" s="419" t="s">
        <v>1248</v>
      </c>
      <c r="D214" s="419"/>
      <c r="E214" s="419"/>
      <c r="F214" s="27" t="s">
        <v>70</v>
      </c>
      <c r="G214" s="22" t="s">
        <v>1144</v>
      </c>
      <c r="H214" s="22"/>
      <c r="I214" s="28"/>
      <c r="J214" s="28"/>
      <c r="K214" s="132"/>
      <c r="BC214" s="14"/>
      <c r="BD214" s="15"/>
      <c r="BE214" s="21"/>
      <c r="BF214" s="43"/>
      <c r="BG214" s="12"/>
      <c r="BH214" s="12"/>
    </row>
    <row r="215" spans="1:60" s="3" customFormat="1" ht="20.399999999999999" x14ac:dyDescent="0.3">
      <c r="A215" s="83"/>
      <c r="B215" s="26" t="s">
        <v>1249</v>
      </c>
      <c r="C215" s="419" t="s">
        <v>1250</v>
      </c>
      <c r="D215" s="419"/>
      <c r="E215" s="419"/>
      <c r="F215" s="27" t="s">
        <v>70</v>
      </c>
      <c r="G215" s="22" t="s">
        <v>1251</v>
      </c>
      <c r="H215" s="22"/>
      <c r="I215" s="28"/>
      <c r="J215" s="28"/>
      <c r="K215" s="132"/>
      <c r="BC215" s="14"/>
      <c r="BD215" s="15"/>
      <c r="BE215" s="21"/>
      <c r="BF215" s="43"/>
      <c r="BG215" s="12"/>
      <c r="BH215" s="12"/>
    </row>
    <row r="216" spans="1:60" s="3" customFormat="1" ht="20.399999999999999" x14ac:dyDescent="0.3">
      <c r="A216" s="83"/>
      <c r="B216" s="26" t="s">
        <v>1252</v>
      </c>
      <c r="C216" s="419" t="s">
        <v>1253</v>
      </c>
      <c r="D216" s="419"/>
      <c r="E216" s="419"/>
      <c r="F216" s="27" t="s">
        <v>70</v>
      </c>
      <c r="G216" s="22" t="s">
        <v>1254</v>
      </c>
      <c r="H216" s="22"/>
      <c r="I216" s="28"/>
      <c r="J216" s="28"/>
      <c r="K216" s="132"/>
      <c r="BC216" s="14"/>
      <c r="BD216" s="15"/>
      <c r="BE216" s="21"/>
      <c r="BF216" s="43"/>
      <c r="BG216" s="12"/>
      <c r="BH216" s="12"/>
    </row>
    <row r="217" spans="1:60" s="3" customFormat="1" ht="20.399999999999999" x14ac:dyDescent="0.3">
      <c r="A217" s="83"/>
      <c r="B217" s="26" t="s">
        <v>1255</v>
      </c>
      <c r="C217" s="419" t="s">
        <v>1256</v>
      </c>
      <c r="D217" s="419"/>
      <c r="E217" s="419"/>
      <c r="F217" s="27" t="s">
        <v>70</v>
      </c>
      <c r="G217" s="22" t="s">
        <v>1257</v>
      </c>
      <c r="H217" s="22"/>
      <c r="I217" s="28"/>
      <c r="J217" s="28"/>
      <c r="K217" s="132"/>
      <c r="BC217" s="14"/>
      <c r="BD217" s="15"/>
      <c r="BE217" s="21"/>
      <c r="BF217" s="43"/>
      <c r="BG217" s="12"/>
      <c r="BH217" s="12"/>
    </row>
    <row r="218" spans="1:60" s="3" customFormat="1" ht="20.399999999999999" x14ac:dyDescent="0.3">
      <c r="A218" s="83" t="s">
        <v>129</v>
      </c>
      <c r="B218" s="26" t="s">
        <v>149</v>
      </c>
      <c r="C218" s="419" t="s">
        <v>45</v>
      </c>
      <c r="D218" s="419"/>
      <c r="E218" s="419"/>
      <c r="F218" s="27" t="s">
        <v>46</v>
      </c>
      <c r="G218" s="22" t="s">
        <v>1232</v>
      </c>
      <c r="H218" s="22"/>
      <c r="I218" s="28"/>
      <c r="J218" s="28"/>
      <c r="K218" s="132"/>
      <c r="BC218" s="14"/>
      <c r="BD218" s="15"/>
      <c r="BE218" s="21"/>
      <c r="BF218" s="43"/>
      <c r="BG218" s="12"/>
      <c r="BH218" s="12"/>
    </row>
    <row r="219" spans="1:60" s="3" customFormat="1" ht="20.25" customHeight="1" x14ac:dyDescent="0.3">
      <c r="A219" s="417" t="s">
        <v>1258</v>
      </c>
      <c r="B219" s="418"/>
      <c r="C219" s="418"/>
      <c r="D219" s="418"/>
      <c r="E219" s="418"/>
      <c r="F219" s="418"/>
      <c r="G219" s="418"/>
      <c r="H219" s="123"/>
      <c r="I219" s="123"/>
      <c r="J219" s="123"/>
      <c r="K219" s="130"/>
      <c r="BC219" s="14"/>
      <c r="BD219" s="15"/>
      <c r="BE219" s="21"/>
      <c r="BF219" s="43"/>
      <c r="BG219" s="12"/>
      <c r="BH219" s="12"/>
    </row>
    <row r="220" spans="1:60" s="3" customFormat="1" ht="22.5" customHeight="1" x14ac:dyDescent="0.3">
      <c r="A220" s="80" t="s">
        <v>247</v>
      </c>
      <c r="B220" s="17" t="s">
        <v>1259</v>
      </c>
      <c r="C220" s="405" t="s">
        <v>1260</v>
      </c>
      <c r="D220" s="405"/>
      <c r="E220" s="405"/>
      <c r="F220" s="16" t="s">
        <v>1261</v>
      </c>
      <c r="G220" s="24">
        <v>0.4</v>
      </c>
      <c r="H220" s="57">
        <f t="shared" ref="H220" si="50">I220/G220</f>
        <v>108330.625</v>
      </c>
      <c r="I220" s="19">
        <f>53652.31-K220</f>
        <v>43332.25</v>
      </c>
      <c r="J220" s="19">
        <f t="shared" ref="J220" si="51">K220/G220</f>
        <v>25800.149999999998</v>
      </c>
      <c r="K220" s="131">
        <v>10320.06</v>
      </c>
      <c r="BC220" s="14"/>
      <c r="BD220" s="15"/>
      <c r="BE220" s="21"/>
      <c r="BF220" s="43"/>
      <c r="BG220" s="12"/>
      <c r="BH220" s="12"/>
    </row>
    <row r="221" spans="1:60" s="3" customFormat="1" ht="20.399999999999999" x14ac:dyDescent="0.3">
      <c r="A221" s="83"/>
      <c r="B221" s="26" t="s">
        <v>1262</v>
      </c>
      <c r="C221" s="419" t="s">
        <v>1263</v>
      </c>
      <c r="D221" s="419"/>
      <c r="E221" s="419"/>
      <c r="F221" s="27" t="s">
        <v>70</v>
      </c>
      <c r="G221" s="22" t="s">
        <v>1264</v>
      </c>
      <c r="H221" s="22"/>
      <c r="I221" s="28"/>
      <c r="J221" s="28"/>
      <c r="K221" s="132"/>
      <c r="BC221" s="14"/>
      <c r="BD221" s="15"/>
      <c r="BE221" s="21"/>
      <c r="BF221" s="43"/>
      <c r="BG221" s="12"/>
      <c r="BH221" s="12"/>
    </row>
    <row r="222" spans="1:60" s="3" customFormat="1" ht="20.399999999999999" x14ac:dyDescent="0.3">
      <c r="A222" s="83"/>
      <c r="B222" s="26" t="s">
        <v>1228</v>
      </c>
      <c r="C222" s="419" t="s">
        <v>1229</v>
      </c>
      <c r="D222" s="419"/>
      <c r="E222" s="419"/>
      <c r="F222" s="27" t="s">
        <v>70</v>
      </c>
      <c r="G222" s="22" t="s">
        <v>1265</v>
      </c>
      <c r="H222" s="22"/>
      <c r="I222" s="28"/>
      <c r="J222" s="28"/>
      <c r="K222" s="132"/>
      <c r="BC222" s="14"/>
      <c r="BD222" s="15"/>
      <c r="BE222" s="21"/>
      <c r="BF222" s="43"/>
      <c r="BG222" s="12"/>
      <c r="BH222" s="12"/>
    </row>
    <row r="223" spans="1:60" s="3" customFormat="1" ht="20.399999999999999" x14ac:dyDescent="0.3">
      <c r="A223" s="133" t="s">
        <v>143</v>
      </c>
      <c r="B223" s="38" t="s">
        <v>79</v>
      </c>
      <c r="C223" s="430" t="s">
        <v>264</v>
      </c>
      <c r="D223" s="430"/>
      <c r="E223" s="430"/>
      <c r="F223" s="39" t="s">
        <v>46</v>
      </c>
      <c r="G223" s="40" t="s">
        <v>1266</v>
      </c>
      <c r="H223" s="40"/>
      <c r="I223" s="41"/>
      <c r="J223" s="41"/>
      <c r="K223" s="134"/>
      <c r="BC223" s="14"/>
      <c r="BD223" s="15"/>
      <c r="BE223" s="21"/>
      <c r="BF223" s="43"/>
      <c r="BG223" s="12"/>
      <c r="BH223" s="12"/>
    </row>
    <row r="224" spans="1:60" s="3" customFormat="1" ht="20.399999999999999" x14ac:dyDescent="0.3">
      <c r="A224" s="133" t="s">
        <v>78</v>
      </c>
      <c r="B224" s="38" t="s">
        <v>1157</v>
      </c>
      <c r="C224" s="430" t="s">
        <v>86</v>
      </c>
      <c r="D224" s="430"/>
      <c r="E224" s="430"/>
      <c r="F224" s="39" t="s">
        <v>46</v>
      </c>
      <c r="G224" s="40" t="s">
        <v>33</v>
      </c>
      <c r="H224" s="40"/>
      <c r="I224" s="41"/>
      <c r="J224" s="41"/>
      <c r="K224" s="134"/>
      <c r="BC224" s="14"/>
      <c r="BD224" s="15"/>
      <c r="BE224" s="21"/>
      <c r="BF224" s="43"/>
      <c r="BG224" s="12"/>
      <c r="BH224" s="12"/>
    </row>
    <row r="225" spans="1:60" s="3" customFormat="1" ht="20.399999999999999" x14ac:dyDescent="0.3">
      <c r="A225" s="83"/>
      <c r="B225" s="26" t="s">
        <v>1267</v>
      </c>
      <c r="C225" s="419" t="s">
        <v>1268</v>
      </c>
      <c r="D225" s="419"/>
      <c r="E225" s="419"/>
      <c r="F225" s="27" t="s">
        <v>70</v>
      </c>
      <c r="G225" s="22" t="s">
        <v>1269</v>
      </c>
      <c r="H225" s="22"/>
      <c r="I225" s="28"/>
      <c r="J225" s="28"/>
      <c r="K225" s="132"/>
      <c r="BC225" s="14"/>
      <c r="BD225" s="15"/>
      <c r="BE225" s="21"/>
      <c r="BF225" s="43"/>
      <c r="BG225" s="12"/>
      <c r="BH225" s="12"/>
    </row>
    <row r="226" spans="1:60" s="3" customFormat="1" ht="20.399999999999999" x14ac:dyDescent="0.3">
      <c r="A226" s="83"/>
      <c r="B226" s="26" t="s">
        <v>1241</v>
      </c>
      <c r="C226" s="419" t="s">
        <v>1242</v>
      </c>
      <c r="D226" s="419"/>
      <c r="E226" s="419"/>
      <c r="F226" s="27" t="s">
        <v>70</v>
      </c>
      <c r="G226" s="22" t="s">
        <v>1270</v>
      </c>
      <c r="H226" s="22"/>
      <c r="I226" s="28"/>
      <c r="J226" s="28"/>
      <c r="K226" s="132"/>
      <c r="BC226" s="14"/>
      <c r="BD226" s="15"/>
      <c r="BE226" s="21"/>
      <c r="BF226" s="43"/>
      <c r="BG226" s="12"/>
      <c r="BH226" s="12"/>
    </row>
    <row r="227" spans="1:60" s="3" customFormat="1" ht="20.399999999999999" x14ac:dyDescent="0.3">
      <c r="A227" s="133" t="s">
        <v>143</v>
      </c>
      <c r="B227" s="38" t="s">
        <v>1110</v>
      </c>
      <c r="C227" s="430" t="s">
        <v>1111</v>
      </c>
      <c r="D227" s="430"/>
      <c r="E227" s="430"/>
      <c r="F227" s="39" t="s">
        <v>142</v>
      </c>
      <c r="G227" s="40" t="s">
        <v>1271</v>
      </c>
      <c r="H227" s="40"/>
      <c r="I227" s="41"/>
      <c r="J227" s="41"/>
      <c r="K227" s="134"/>
      <c r="BC227" s="14"/>
      <c r="BD227" s="15"/>
      <c r="BE227" s="21"/>
      <c r="BF227" s="43"/>
      <c r="BG227" s="12"/>
      <c r="BH227" s="12"/>
    </row>
    <row r="228" spans="1:60" s="3" customFormat="1" ht="20.399999999999999" x14ac:dyDescent="0.3">
      <c r="A228" s="83" t="s">
        <v>129</v>
      </c>
      <c r="B228" s="26" t="s">
        <v>1272</v>
      </c>
      <c r="C228" s="419" t="s">
        <v>1273</v>
      </c>
      <c r="D228" s="419"/>
      <c r="E228" s="419"/>
      <c r="F228" s="27" t="s">
        <v>142</v>
      </c>
      <c r="G228" s="22" t="s">
        <v>1274</v>
      </c>
      <c r="H228" s="22"/>
      <c r="I228" s="28"/>
      <c r="J228" s="28"/>
      <c r="K228" s="132"/>
      <c r="BC228" s="14"/>
      <c r="BD228" s="15"/>
      <c r="BE228" s="21"/>
      <c r="BF228" s="43"/>
      <c r="BG228" s="12"/>
      <c r="BH228" s="12"/>
    </row>
    <row r="229" spans="1:60" s="3" customFormat="1" ht="20.399999999999999" x14ac:dyDescent="0.3">
      <c r="A229" s="83" t="s">
        <v>129</v>
      </c>
      <c r="B229" s="26" t="s">
        <v>1275</v>
      </c>
      <c r="C229" s="419" t="s">
        <v>1276</v>
      </c>
      <c r="D229" s="419"/>
      <c r="E229" s="419"/>
      <c r="F229" s="27" t="s">
        <v>142</v>
      </c>
      <c r="G229" s="22" t="s">
        <v>1277</v>
      </c>
      <c r="H229" s="22"/>
      <c r="I229" s="28"/>
      <c r="J229" s="28"/>
      <c r="K229" s="132"/>
      <c r="BC229" s="14"/>
      <c r="BD229" s="15"/>
      <c r="BE229" s="21"/>
      <c r="BF229" s="43"/>
      <c r="BG229" s="12"/>
      <c r="BH229" s="12"/>
    </row>
    <row r="230" spans="1:60" s="3" customFormat="1" ht="15" customHeight="1" x14ac:dyDescent="0.3">
      <c r="A230" s="417" t="s">
        <v>1278</v>
      </c>
      <c r="B230" s="418"/>
      <c r="C230" s="418"/>
      <c r="D230" s="418"/>
      <c r="E230" s="418"/>
      <c r="F230" s="418"/>
      <c r="G230" s="418"/>
      <c r="H230" s="123"/>
      <c r="I230" s="123"/>
      <c r="J230" s="123"/>
      <c r="K230" s="130"/>
      <c r="BC230" s="14"/>
      <c r="BD230" s="15"/>
      <c r="BE230" s="21"/>
      <c r="BF230" s="43"/>
      <c r="BG230" s="12"/>
      <c r="BH230" s="12"/>
    </row>
    <row r="231" spans="1:60" s="3" customFormat="1" ht="14.4" x14ac:dyDescent="0.3">
      <c r="A231" s="80" t="s">
        <v>531</v>
      </c>
      <c r="B231" s="17" t="s">
        <v>1279</v>
      </c>
      <c r="C231" s="405" t="s">
        <v>1280</v>
      </c>
      <c r="D231" s="405"/>
      <c r="E231" s="405"/>
      <c r="F231" s="16" t="s">
        <v>142</v>
      </c>
      <c r="G231" s="31">
        <v>0.28000000000000003</v>
      </c>
      <c r="H231" s="57">
        <f t="shared" ref="H231" si="52">I231/G231</f>
        <v>127047.71428571428</v>
      </c>
      <c r="I231" s="19">
        <f>110268.46-K231</f>
        <v>35573.360000000001</v>
      </c>
      <c r="J231" s="19">
        <f t="shared" ref="J231" si="53">K231/G231</f>
        <v>266768.21428571426</v>
      </c>
      <c r="K231" s="131">
        <v>74695.100000000006</v>
      </c>
      <c r="BC231" s="14"/>
      <c r="BD231" s="15"/>
      <c r="BE231" s="21"/>
      <c r="BF231" s="43"/>
      <c r="BG231" s="12"/>
      <c r="BH231" s="12"/>
    </row>
    <row r="232" spans="1:60" s="3" customFormat="1" ht="20.399999999999999" x14ac:dyDescent="0.3">
      <c r="A232" s="133" t="s">
        <v>78</v>
      </c>
      <c r="B232" s="38" t="s">
        <v>1157</v>
      </c>
      <c r="C232" s="430" t="s">
        <v>1158</v>
      </c>
      <c r="D232" s="430"/>
      <c r="E232" s="430"/>
      <c r="F232" s="39" t="s">
        <v>46</v>
      </c>
      <c r="G232" s="40" t="s">
        <v>33</v>
      </c>
      <c r="H232" s="40"/>
      <c r="I232" s="41"/>
      <c r="J232" s="41"/>
      <c r="K232" s="134"/>
      <c r="BC232" s="14"/>
      <c r="BD232" s="15"/>
      <c r="BE232" s="21"/>
      <c r="BF232" s="43"/>
      <c r="BG232" s="12"/>
      <c r="BH232" s="12"/>
    </row>
    <row r="233" spans="1:60" s="3" customFormat="1" ht="20.399999999999999" x14ac:dyDescent="0.3">
      <c r="A233" s="83"/>
      <c r="B233" s="26" t="s">
        <v>1281</v>
      </c>
      <c r="C233" s="419" t="s">
        <v>1282</v>
      </c>
      <c r="D233" s="419"/>
      <c r="E233" s="419"/>
      <c r="F233" s="27" t="s">
        <v>75</v>
      </c>
      <c r="G233" s="22" t="s">
        <v>1283</v>
      </c>
      <c r="H233" s="22"/>
      <c r="I233" s="28"/>
      <c r="J233" s="28"/>
      <c r="K233" s="132"/>
      <c r="BC233" s="14"/>
      <c r="BD233" s="15"/>
      <c r="BE233" s="21"/>
      <c r="BF233" s="43"/>
      <c r="BG233" s="12"/>
      <c r="BH233" s="12"/>
    </row>
    <row r="234" spans="1:60" s="3" customFormat="1" ht="20.399999999999999" x14ac:dyDescent="0.3">
      <c r="A234" s="83"/>
      <c r="B234" s="26" t="s">
        <v>1284</v>
      </c>
      <c r="C234" s="419" t="s">
        <v>1285</v>
      </c>
      <c r="D234" s="419"/>
      <c r="E234" s="419"/>
      <c r="F234" s="27" t="s">
        <v>70</v>
      </c>
      <c r="G234" s="22" t="s">
        <v>1286</v>
      </c>
      <c r="H234" s="22"/>
      <c r="I234" s="28"/>
      <c r="J234" s="28"/>
      <c r="K234" s="132"/>
      <c r="BC234" s="14"/>
      <c r="BD234" s="15"/>
      <c r="BE234" s="21"/>
      <c r="BF234" s="43"/>
      <c r="BG234" s="12"/>
      <c r="BH234" s="12"/>
    </row>
    <row r="235" spans="1:60" s="3" customFormat="1" ht="20.399999999999999" x14ac:dyDescent="0.3">
      <c r="A235" s="83"/>
      <c r="B235" s="26" t="s">
        <v>415</v>
      </c>
      <c r="C235" s="419" t="s">
        <v>416</v>
      </c>
      <c r="D235" s="419"/>
      <c r="E235" s="419"/>
      <c r="F235" s="27" t="s">
        <v>70</v>
      </c>
      <c r="G235" s="22" t="s">
        <v>1287</v>
      </c>
      <c r="H235" s="22"/>
      <c r="I235" s="28"/>
      <c r="J235" s="28"/>
      <c r="K235" s="132"/>
      <c r="BC235" s="14"/>
      <c r="BD235" s="15"/>
      <c r="BE235" s="21"/>
      <c r="BF235" s="43"/>
      <c r="BG235" s="12"/>
      <c r="BH235" s="12"/>
    </row>
    <row r="236" spans="1:60" s="3" customFormat="1" ht="20.399999999999999" x14ac:dyDescent="0.3">
      <c r="A236" s="83"/>
      <c r="B236" s="26" t="s">
        <v>1288</v>
      </c>
      <c r="C236" s="419" t="s">
        <v>1289</v>
      </c>
      <c r="D236" s="419"/>
      <c r="E236" s="419"/>
      <c r="F236" s="27" t="s">
        <v>70</v>
      </c>
      <c r="G236" s="22" t="s">
        <v>1290</v>
      </c>
      <c r="H236" s="22"/>
      <c r="I236" s="28"/>
      <c r="J236" s="28"/>
      <c r="K236" s="132"/>
      <c r="BC236" s="14"/>
      <c r="BD236" s="15"/>
      <c r="BE236" s="21"/>
      <c r="BF236" s="43"/>
      <c r="BG236" s="12"/>
      <c r="BH236" s="12"/>
    </row>
    <row r="237" spans="1:60" s="3" customFormat="1" ht="20.399999999999999" x14ac:dyDescent="0.3">
      <c r="A237" s="83" t="s">
        <v>129</v>
      </c>
      <c r="B237" s="26" t="s">
        <v>1291</v>
      </c>
      <c r="C237" s="419" t="s">
        <v>1292</v>
      </c>
      <c r="D237" s="419"/>
      <c r="E237" s="419"/>
      <c r="F237" s="27" t="s">
        <v>38</v>
      </c>
      <c r="G237" s="22" t="s">
        <v>1293</v>
      </c>
      <c r="H237" s="22"/>
      <c r="I237" s="28"/>
      <c r="J237" s="28"/>
      <c r="K237" s="132"/>
      <c r="BC237" s="14"/>
      <c r="BD237" s="15"/>
      <c r="BE237" s="21"/>
      <c r="BF237" s="43"/>
      <c r="BG237" s="12"/>
      <c r="BH237" s="12"/>
    </row>
    <row r="238" spans="1:60" s="3" customFormat="1" ht="15" customHeight="1" x14ac:dyDescent="0.3">
      <c r="A238" s="417" t="s">
        <v>1294</v>
      </c>
      <c r="B238" s="418"/>
      <c r="C238" s="418"/>
      <c r="D238" s="418"/>
      <c r="E238" s="418"/>
      <c r="F238" s="418"/>
      <c r="G238" s="418"/>
      <c r="H238" s="123"/>
      <c r="I238" s="123"/>
      <c r="J238" s="123"/>
      <c r="K238" s="130"/>
      <c r="BC238" s="14"/>
      <c r="BD238" s="15"/>
      <c r="BE238" s="21"/>
      <c r="BF238" s="43"/>
      <c r="BG238" s="12"/>
      <c r="BH238" s="12"/>
    </row>
    <row r="239" spans="1:60" s="3" customFormat="1" ht="14.4" x14ac:dyDescent="0.3">
      <c r="A239" s="80" t="s">
        <v>533</v>
      </c>
      <c r="B239" s="17" t="s">
        <v>1295</v>
      </c>
      <c r="C239" s="405" t="s">
        <v>1296</v>
      </c>
      <c r="D239" s="405"/>
      <c r="E239" s="405"/>
      <c r="F239" s="16" t="s">
        <v>30</v>
      </c>
      <c r="G239" s="24">
        <v>0.1</v>
      </c>
      <c r="H239" s="57">
        <f t="shared" ref="H239" si="54">I239/G239</f>
        <v>187333.99999999994</v>
      </c>
      <c r="I239" s="19">
        <f>63939.81-K239</f>
        <v>18733.399999999994</v>
      </c>
      <c r="J239" s="19">
        <f t="shared" ref="J239" si="55">K239/G239</f>
        <v>452064.10000000003</v>
      </c>
      <c r="K239" s="131">
        <v>45206.41</v>
      </c>
      <c r="BC239" s="14"/>
      <c r="BD239" s="15"/>
      <c r="BE239" s="21"/>
      <c r="BF239" s="43"/>
      <c r="BG239" s="12"/>
      <c r="BH239" s="12"/>
    </row>
    <row r="240" spans="1:60" s="3" customFormat="1" ht="20.399999999999999" x14ac:dyDescent="0.3">
      <c r="A240" s="83"/>
      <c r="B240" s="26" t="s">
        <v>1297</v>
      </c>
      <c r="C240" s="419" t="s">
        <v>1298</v>
      </c>
      <c r="D240" s="419"/>
      <c r="E240" s="419"/>
      <c r="F240" s="27" t="s">
        <v>70</v>
      </c>
      <c r="G240" s="22" t="s">
        <v>1299</v>
      </c>
      <c r="H240" s="22"/>
      <c r="I240" s="28"/>
      <c r="J240" s="28"/>
      <c r="K240" s="132"/>
      <c r="BC240" s="14"/>
      <c r="BD240" s="15"/>
      <c r="BE240" s="21"/>
      <c r="BF240" s="43"/>
      <c r="BG240" s="12"/>
      <c r="BH240" s="12"/>
    </row>
    <row r="241" spans="1:63" s="3" customFormat="1" ht="20.399999999999999" x14ac:dyDescent="0.3">
      <c r="A241" s="83"/>
      <c r="B241" s="26" t="s">
        <v>1162</v>
      </c>
      <c r="C241" s="419" t="s">
        <v>1163</v>
      </c>
      <c r="D241" s="419"/>
      <c r="E241" s="419"/>
      <c r="F241" s="27" t="s">
        <v>38</v>
      </c>
      <c r="G241" s="22" t="s">
        <v>1300</v>
      </c>
      <c r="H241" s="22"/>
      <c r="I241" s="28"/>
      <c r="J241" s="28"/>
      <c r="K241" s="132"/>
      <c r="BC241" s="14"/>
      <c r="BD241" s="15"/>
      <c r="BE241" s="21"/>
      <c r="BF241" s="43"/>
      <c r="BG241" s="12"/>
      <c r="BH241" s="12"/>
    </row>
    <row r="242" spans="1:63" s="3" customFormat="1" ht="20.399999999999999" x14ac:dyDescent="0.3">
      <c r="A242" s="83"/>
      <c r="B242" s="26" t="s">
        <v>31</v>
      </c>
      <c r="C242" s="419" t="s">
        <v>32</v>
      </c>
      <c r="D242" s="419"/>
      <c r="E242" s="419"/>
      <c r="F242" s="27" t="s">
        <v>25</v>
      </c>
      <c r="G242" s="22" t="s">
        <v>1300</v>
      </c>
      <c r="H242" s="22"/>
      <c r="I242" s="28"/>
      <c r="J242" s="28"/>
      <c r="K242" s="132"/>
      <c r="BC242" s="14"/>
      <c r="BD242" s="15"/>
      <c r="BE242" s="21"/>
      <c r="BF242" s="43"/>
      <c r="BG242" s="12"/>
      <c r="BH242" s="12"/>
    </row>
    <row r="243" spans="1:63" s="3" customFormat="1" ht="20.25" customHeight="1" x14ac:dyDescent="0.3">
      <c r="A243" s="406" t="s">
        <v>57</v>
      </c>
      <c r="B243" s="407"/>
      <c r="C243" s="407"/>
      <c r="D243" s="407"/>
      <c r="E243" s="407"/>
      <c r="F243" s="407"/>
      <c r="G243" s="407"/>
      <c r="H243" s="66"/>
      <c r="I243" s="67">
        <f>SUM(I14:I242)</f>
        <v>25330007.56000001</v>
      </c>
      <c r="J243" s="72"/>
      <c r="K243" s="135">
        <f>SUM(K14:K242)</f>
        <v>81692576.930000007</v>
      </c>
    </row>
    <row r="244" spans="1:63" s="53" customFormat="1" ht="20.25" customHeight="1" thickBot="1" x14ac:dyDescent="0.35">
      <c r="A244" s="408" t="s">
        <v>5461</v>
      </c>
      <c r="B244" s="409"/>
      <c r="C244" s="409"/>
      <c r="D244" s="409"/>
      <c r="E244" s="409"/>
      <c r="F244" s="409"/>
      <c r="G244" s="409"/>
      <c r="H244" s="88"/>
      <c r="I244" s="410">
        <f>I243+K243</f>
        <v>107022584.49000001</v>
      </c>
      <c r="J244" s="411"/>
      <c r="K244" s="412"/>
    </row>
    <row r="245" spans="1:63" s="3" customFormat="1" ht="53.25" customHeight="1" x14ac:dyDescent="0.3">
      <c r="A245" s="4"/>
      <c r="B245" s="4"/>
      <c r="C245" s="4"/>
      <c r="D245" s="4"/>
      <c r="E245" s="4"/>
      <c r="F245" s="4"/>
      <c r="G245" s="4"/>
      <c r="H245" s="54"/>
      <c r="I245" s="54"/>
      <c r="J245" s="54"/>
      <c r="K245" s="54"/>
    </row>
    <row r="246" spans="1:63" s="10" customFormat="1" ht="12.75" customHeight="1" x14ac:dyDescent="0.3">
      <c r="A246" s="441" t="s">
        <v>58</v>
      </c>
      <c r="B246" s="441"/>
      <c r="C246" s="441"/>
      <c r="D246" s="441"/>
      <c r="E246" s="441"/>
      <c r="F246" s="441"/>
      <c r="G246" s="441"/>
      <c r="H246" s="442"/>
      <c r="I246" s="442"/>
      <c r="J246" s="442"/>
      <c r="K246" s="442"/>
      <c r="L246" s="33"/>
      <c r="M246" s="33"/>
      <c r="N246" s="148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</row>
    <row r="247" spans="1:63" s="10" customFormat="1" ht="12.75" customHeight="1" x14ac:dyDescent="0.2">
      <c r="A247" s="443" t="s">
        <v>59</v>
      </c>
      <c r="B247" s="443"/>
      <c r="C247" s="443"/>
      <c r="D247" s="443"/>
      <c r="E247" s="443"/>
      <c r="F247" s="443"/>
      <c r="G247" s="443"/>
      <c r="H247" s="444"/>
      <c r="I247" s="444"/>
      <c r="J247" s="444"/>
      <c r="K247" s="444"/>
      <c r="L247" s="34"/>
      <c r="M247" s="34"/>
      <c r="N247" s="149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</row>
    <row r="248" spans="1:63" s="10" customFormat="1" ht="13.5" customHeight="1" x14ac:dyDescent="0.3">
      <c r="A248" s="8"/>
      <c r="B248" s="8"/>
      <c r="C248" s="8"/>
      <c r="D248" s="8"/>
      <c r="E248" s="8"/>
      <c r="F248" s="8"/>
      <c r="G248" s="8"/>
      <c r="H248" s="59"/>
      <c r="I248" s="147"/>
      <c r="J248" s="147"/>
      <c r="K248" s="59"/>
      <c r="L248" s="3"/>
      <c r="M248" s="3"/>
      <c r="N248" s="3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</row>
    <row r="249" spans="1:63" s="10" customFormat="1" ht="12.75" customHeight="1" x14ac:dyDescent="0.3">
      <c r="A249" s="441" t="s">
        <v>60</v>
      </c>
      <c r="B249" s="441"/>
      <c r="C249" s="441"/>
      <c r="D249" s="441"/>
      <c r="E249" s="441"/>
      <c r="F249" s="441"/>
      <c r="G249" s="441"/>
      <c r="H249" s="442"/>
      <c r="I249" s="442"/>
      <c r="J249" s="442"/>
      <c r="K249" s="442"/>
      <c r="L249" s="33"/>
      <c r="M249" s="33"/>
      <c r="N249" s="33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</row>
    <row r="250" spans="1:63" s="10" customFormat="1" ht="12.75" customHeight="1" x14ac:dyDescent="0.2">
      <c r="A250" s="443" t="s">
        <v>59</v>
      </c>
      <c r="B250" s="443"/>
      <c r="C250" s="443"/>
      <c r="D250" s="443"/>
      <c r="E250" s="443"/>
      <c r="F250" s="443"/>
      <c r="G250" s="443"/>
      <c r="H250" s="444"/>
      <c r="I250" s="444"/>
      <c r="J250" s="444"/>
      <c r="K250" s="444"/>
      <c r="L250" s="34"/>
      <c r="M250" s="34"/>
      <c r="N250" s="34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</row>
    <row r="251" spans="1:63" s="10" customFormat="1" ht="13.5" customHeight="1" x14ac:dyDescent="0.3">
      <c r="A251" s="8"/>
      <c r="B251" s="8"/>
      <c r="C251" s="8"/>
      <c r="D251" s="8"/>
      <c r="E251" s="8"/>
      <c r="F251" s="8"/>
      <c r="G251" s="8"/>
      <c r="H251" s="59"/>
      <c r="I251" s="147"/>
      <c r="J251" s="147"/>
      <c r="K251" s="59"/>
      <c r="L251" s="3"/>
      <c r="M251" s="3"/>
      <c r="N251" s="3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</row>
    <row r="252" spans="1:63" s="3" customFormat="1" ht="14.4" x14ac:dyDescent="0.3">
      <c r="A252" s="4"/>
      <c r="B252" s="4"/>
      <c r="C252" s="4"/>
      <c r="D252" s="4"/>
      <c r="E252" s="4"/>
      <c r="F252" s="4"/>
      <c r="G252" s="4"/>
      <c r="H252" s="54"/>
      <c r="I252" s="141"/>
      <c r="J252" s="141"/>
      <c r="K252" s="54"/>
    </row>
  </sheetData>
  <autoFilter ref="A10:K10" xr:uid="{00000000-0001-0000-0C00-000000000000}">
    <filterColumn colId="2" showButton="0"/>
    <filterColumn colId="3" showButton="0"/>
  </autoFilter>
  <mergeCells count="246">
    <mergeCell ref="A249:K249"/>
    <mergeCell ref="A250:K250"/>
    <mergeCell ref="C9:E9"/>
    <mergeCell ref="C10:E10"/>
    <mergeCell ref="A243:G243"/>
    <mergeCell ref="A244:G244"/>
    <mergeCell ref="I244:K244"/>
    <mergeCell ref="A11:G11"/>
    <mergeCell ref="A199:E199"/>
    <mergeCell ref="A186:E186"/>
    <mergeCell ref="A170:E170"/>
    <mergeCell ref="A106:G106"/>
    <mergeCell ref="A87:G87"/>
    <mergeCell ref="A86:G86"/>
    <mergeCell ref="A69:G69"/>
    <mergeCell ref="A68:G68"/>
    <mergeCell ref="A246:K246"/>
    <mergeCell ref="A247:K247"/>
    <mergeCell ref="C242:E242"/>
    <mergeCell ref="C237:E237"/>
    <mergeCell ref="C239:E239"/>
    <mergeCell ref="C240:E240"/>
    <mergeCell ref="C241:E241"/>
    <mergeCell ref="A238:G238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1:E231"/>
    <mergeCell ref="A230:G230"/>
    <mergeCell ref="C222:E222"/>
    <mergeCell ref="C223:E223"/>
    <mergeCell ref="C224:E224"/>
    <mergeCell ref="C225:E225"/>
    <mergeCell ref="C226:E226"/>
    <mergeCell ref="C217:E217"/>
    <mergeCell ref="C218:E218"/>
    <mergeCell ref="C220:E220"/>
    <mergeCell ref="C221:E221"/>
    <mergeCell ref="A219:G219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A201:G201"/>
    <mergeCell ref="A200:G200"/>
    <mergeCell ref="C192:E192"/>
    <mergeCell ref="C194:E194"/>
    <mergeCell ref="C195:E195"/>
    <mergeCell ref="A196:G196"/>
    <mergeCell ref="A193:G193"/>
    <mergeCell ref="C188:E188"/>
    <mergeCell ref="C189:E189"/>
    <mergeCell ref="C191:E191"/>
    <mergeCell ref="A190:G190"/>
    <mergeCell ref="A187:G187"/>
    <mergeCell ref="C182:E182"/>
    <mergeCell ref="C184:E184"/>
    <mergeCell ref="C185:E185"/>
    <mergeCell ref="A183:G183"/>
    <mergeCell ref="C179:E179"/>
    <mergeCell ref="C181:E181"/>
    <mergeCell ref="A180:G180"/>
    <mergeCell ref="C176:E176"/>
    <mergeCell ref="C178:E178"/>
    <mergeCell ref="A177:G177"/>
    <mergeCell ref="C173:E173"/>
    <mergeCell ref="C175:E175"/>
    <mergeCell ref="A174:G174"/>
    <mergeCell ref="C172:E172"/>
    <mergeCell ref="A171:G171"/>
    <mergeCell ref="C165:E165"/>
    <mergeCell ref="C166:E166"/>
    <mergeCell ref="C168:E168"/>
    <mergeCell ref="C169:E169"/>
    <mergeCell ref="A167:G167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A149:G149"/>
    <mergeCell ref="A148:G148"/>
    <mergeCell ref="A147:G147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7:E127"/>
    <mergeCell ref="C128:E128"/>
    <mergeCell ref="C129:E129"/>
    <mergeCell ref="A126:G126"/>
    <mergeCell ref="A125:G125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9:E109"/>
    <mergeCell ref="A108:G108"/>
    <mergeCell ref="A107:G107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0:E60"/>
    <mergeCell ref="C63:E63"/>
    <mergeCell ref="C64:E64"/>
    <mergeCell ref="A62:G62"/>
    <mergeCell ref="A61:G61"/>
    <mergeCell ref="C56:E56"/>
    <mergeCell ref="C57:E57"/>
    <mergeCell ref="C58:E58"/>
    <mergeCell ref="C59:E59"/>
    <mergeCell ref="A55:G55"/>
    <mergeCell ref="C51:E51"/>
    <mergeCell ref="C52:E52"/>
    <mergeCell ref="C53:E53"/>
    <mergeCell ref="A54:G54"/>
    <mergeCell ref="A50:G50"/>
    <mergeCell ref="C46:E46"/>
    <mergeCell ref="C47:E47"/>
    <mergeCell ref="C48:E48"/>
    <mergeCell ref="A49:G49"/>
    <mergeCell ref="A45:G45"/>
    <mergeCell ref="C40:E40"/>
    <mergeCell ref="C43:E43"/>
    <mergeCell ref="C44:E44"/>
    <mergeCell ref="A42:G42"/>
    <mergeCell ref="A41:G41"/>
    <mergeCell ref="C36:E36"/>
    <mergeCell ref="C37:E37"/>
    <mergeCell ref="C38:E38"/>
    <mergeCell ref="C39:E39"/>
    <mergeCell ref="A35:G35"/>
    <mergeCell ref="C31:E31"/>
    <mergeCell ref="C32:E32"/>
    <mergeCell ref="C33:E33"/>
    <mergeCell ref="A34:G34"/>
    <mergeCell ref="A30:G30"/>
    <mergeCell ref="C25:E25"/>
    <mergeCell ref="C26:E26"/>
    <mergeCell ref="C27:E27"/>
    <mergeCell ref="C28:E28"/>
    <mergeCell ref="A29:G29"/>
    <mergeCell ref="C21:E21"/>
    <mergeCell ref="C24:E24"/>
    <mergeCell ref="A23:G23"/>
    <mergeCell ref="A22:G22"/>
    <mergeCell ref="C15:E15"/>
    <mergeCell ref="C19:E19"/>
    <mergeCell ref="A18:G18"/>
    <mergeCell ref="A17:G17"/>
    <mergeCell ref="A16:G16"/>
    <mergeCell ref="C14:E14"/>
    <mergeCell ref="A13:G13"/>
    <mergeCell ref="A12:G12"/>
    <mergeCell ref="A6:K6"/>
    <mergeCell ref="C7:G7"/>
    <mergeCell ref="A2:K2"/>
    <mergeCell ref="A3:K3"/>
    <mergeCell ref="A5:K5"/>
    <mergeCell ref="C20:E20"/>
  </mergeCells>
  <printOptions horizontalCentered="1"/>
  <pageMargins left="0.39370077848434498" right="0.39370077848434498" top="0.35433071851730302" bottom="0.31496062874794001" header="0.118110239505768" footer="0.118110239505768"/>
  <pageSetup paperSize="9" scale="63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K169"/>
  <sheetViews>
    <sheetView topLeftCell="A151" workbookViewId="0">
      <selection activeCell="N154" sqref="N15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0.44140625" style="1" customWidth="1"/>
    <col min="5" max="5" width="19.5546875" style="1" customWidth="1"/>
    <col min="6" max="6" width="10.6640625" style="117" customWidth="1"/>
    <col min="7" max="7" width="10.6640625" style="1" customWidth="1"/>
    <col min="8" max="10" width="16" style="54" customWidth="1"/>
    <col min="11" max="11" width="21.88671875" style="54" customWidth="1"/>
    <col min="12" max="16384" width="9.109375" style="1"/>
  </cols>
  <sheetData>
    <row r="1" spans="1:11" s="3" customFormat="1" ht="14.4" x14ac:dyDescent="0.3">
      <c r="A1" s="95" t="s">
        <v>5485</v>
      </c>
      <c r="B1" s="4"/>
      <c r="C1" s="4"/>
      <c r="D1" s="4"/>
      <c r="E1" s="4"/>
      <c r="F1" s="115"/>
      <c r="G1" s="4"/>
      <c r="H1" s="54"/>
      <c r="I1" s="54"/>
      <c r="J1" s="108"/>
      <c r="K1" s="54"/>
    </row>
    <row r="2" spans="1:11" s="3" customFormat="1" ht="30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3" spans="1:11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11" s="3" customFormat="1" ht="14.4" x14ac:dyDescent="0.3">
      <c r="A4" s="404" t="s">
        <v>126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</row>
    <row r="5" spans="1:11" s="3" customFormat="1" ht="15.75" customHeight="1" x14ac:dyDescent="0.3">
      <c r="A5" s="401" t="s">
        <v>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</row>
    <row r="6" spans="1:11" s="3" customFormat="1" ht="14.4" x14ac:dyDescent="0.3">
      <c r="A6" s="4"/>
      <c r="B6" s="8" t="s">
        <v>5</v>
      </c>
      <c r="C6" s="402" t="s">
        <v>62</v>
      </c>
      <c r="D6" s="402"/>
      <c r="E6" s="402"/>
      <c r="F6" s="402"/>
      <c r="G6" s="402"/>
      <c r="H6" s="55"/>
      <c r="I6" s="109"/>
      <c r="J6" s="109"/>
      <c r="K6" s="109"/>
    </row>
    <row r="7" spans="1:11" s="3" customFormat="1" ht="15" thickBot="1" x14ac:dyDescent="0.35">
      <c r="A7" s="13"/>
      <c r="F7" s="53"/>
      <c r="H7" s="56"/>
      <c r="I7" s="56"/>
      <c r="J7" s="56"/>
      <c r="K7" s="56"/>
    </row>
    <row r="8" spans="1:11" s="3" customFormat="1" ht="36" customHeight="1" x14ac:dyDescent="0.3">
      <c r="A8" s="74" t="s">
        <v>7</v>
      </c>
      <c r="B8" s="75" t="s">
        <v>8</v>
      </c>
      <c r="C8" s="414" t="s">
        <v>9</v>
      </c>
      <c r="D8" s="415"/>
      <c r="E8" s="416"/>
      <c r="F8" s="76" t="s">
        <v>10</v>
      </c>
      <c r="G8" s="77" t="s">
        <v>11</v>
      </c>
      <c r="H8" s="78" t="s">
        <v>5739</v>
      </c>
      <c r="I8" s="78" t="s">
        <v>5740</v>
      </c>
      <c r="J8" s="78" t="s">
        <v>5741</v>
      </c>
      <c r="K8" s="110" t="s">
        <v>5742</v>
      </c>
    </row>
    <row r="9" spans="1:11" s="3" customFormat="1" ht="15" thickBot="1" x14ac:dyDescent="0.35">
      <c r="A9" s="89">
        <v>1</v>
      </c>
      <c r="B9" s="90">
        <v>2</v>
      </c>
      <c r="C9" s="424">
        <v>3</v>
      </c>
      <c r="D9" s="425"/>
      <c r="E9" s="426"/>
      <c r="F9" s="92">
        <v>4</v>
      </c>
      <c r="G9" s="90">
        <v>5</v>
      </c>
      <c r="H9" s="125">
        <v>6</v>
      </c>
      <c r="I9" s="112" t="s">
        <v>47</v>
      </c>
      <c r="J9" s="112" t="s">
        <v>52</v>
      </c>
      <c r="K9" s="113" t="s">
        <v>55</v>
      </c>
    </row>
    <row r="10" spans="1:11" s="3" customFormat="1" ht="15" customHeight="1" x14ac:dyDescent="0.3">
      <c r="A10" s="433" t="s">
        <v>127</v>
      </c>
      <c r="B10" s="434"/>
      <c r="C10" s="434"/>
      <c r="D10" s="434"/>
      <c r="E10" s="434"/>
      <c r="F10" s="434"/>
      <c r="G10" s="434"/>
      <c r="H10" s="96"/>
      <c r="I10" s="96"/>
      <c r="J10" s="96"/>
      <c r="K10" s="97"/>
    </row>
    <row r="11" spans="1:11" s="3" customFormat="1" ht="15" customHeight="1" x14ac:dyDescent="0.3">
      <c r="A11" s="437" t="s">
        <v>128</v>
      </c>
      <c r="B11" s="418"/>
      <c r="C11" s="418"/>
      <c r="D11" s="418"/>
      <c r="E11" s="418"/>
      <c r="F11" s="418"/>
      <c r="G11" s="418"/>
      <c r="H11" s="61"/>
      <c r="I11" s="61"/>
      <c r="J11" s="61"/>
      <c r="K11" s="62"/>
    </row>
    <row r="12" spans="1:11" s="3" customFormat="1" ht="34.5" customHeight="1" x14ac:dyDescent="0.3">
      <c r="A12" s="16" t="s">
        <v>15</v>
      </c>
      <c r="B12" s="17" t="s">
        <v>92</v>
      </c>
      <c r="C12" s="427" t="s">
        <v>93</v>
      </c>
      <c r="D12" s="428"/>
      <c r="E12" s="429"/>
      <c r="F12" s="114" t="s">
        <v>67</v>
      </c>
      <c r="G12" s="18">
        <v>13.994999999999999</v>
      </c>
      <c r="H12" s="57">
        <f>I12/G12</f>
        <v>1451220.8910325118</v>
      </c>
      <c r="I12" s="19">
        <v>20309836.370000001</v>
      </c>
      <c r="J12" s="20">
        <f>K12/G12</f>
        <v>493299.44265809224</v>
      </c>
      <c r="K12" s="19">
        <v>6903725.7000000002</v>
      </c>
    </row>
    <row r="13" spans="1:11" s="3" customFormat="1" ht="23.25" customHeight="1" x14ac:dyDescent="0.3">
      <c r="A13" s="25"/>
      <c r="B13" s="26" t="s">
        <v>68</v>
      </c>
      <c r="C13" s="419" t="s">
        <v>69</v>
      </c>
      <c r="D13" s="419"/>
      <c r="E13" s="419"/>
      <c r="F13" s="51" t="s">
        <v>70</v>
      </c>
      <c r="G13" s="49" t="s">
        <v>5486</v>
      </c>
      <c r="H13" s="58"/>
      <c r="I13" s="28"/>
      <c r="J13" s="28"/>
      <c r="K13" s="29"/>
    </row>
    <row r="14" spans="1:11" s="3" customFormat="1" ht="23.25" customHeight="1" x14ac:dyDescent="0.3">
      <c r="A14" s="25"/>
      <c r="B14" s="26" t="s">
        <v>71</v>
      </c>
      <c r="C14" s="419" t="s">
        <v>72</v>
      </c>
      <c r="D14" s="419"/>
      <c r="E14" s="419"/>
      <c r="F14" s="51" t="s">
        <v>70</v>
      </c>
      <c r="G14" s="49" t="s">
        <v>5487</v>
      </c>
      <c r="H14" s="58"/>
      <c r="I14" s="28"/>
      <c r="J14" s="28"/>
      <c r="K14" s="29"/>
    </row>
    <row r="15" spans="1:11" s="3" customFormat="1" ht="22.5" customHeight="1" x14ac:dyDescent="0.3">
      <c r="A15" s="25"/>
      <c r="B15" s="26" t="s">
        <v>73</v>
      </c>
      <c r="C15" s="419" t="s">
        <v>74</v>
      </c>
      <c r="D15" s="419"/>
      <c r="E15" s="419"/>
      <c r="F15" s="51" t="s">
        <v>75</v>
      </c>
      <c r="G15" s="49" t="s">
        <v>5488</v>
      </c>
      <c r="H15" s="58"/>
      <c r="I15" s="28"/>
      <c r="J15" s="28"/>
      <c r="K15" s="29"/>
    </row>
    <row r="16" spans="1:11" s="3" customFormat="1" ht="22.5" customHeight="1" x14ac:dyDescent="0.3">
      <c r="A16" s="25"/>
      <c r="B16" s="26" t="s">
        <v>76</v>
      </c>
      <c r="C16" s="419" t="s">
        <v>77</v>
      </c>
      <c r="D16" s="419"/>
      <c r="E16" s="419"/>
      <c r="F16" s="51" t="s">
        <v>70</v>
      </c>
      <c r="G16" s="49" t="s">
        <v>5489</v>
      </c>
      <c r="H16" s="58"/>
      <c r="I16" s="28"/>
      <c r="J16" s="28"/>
      <c r="K16" s="29"/>
    </row>
    <row r="17" spans="1:11" s="3" customFormat="1" ht="23.25" customHeight="1" x14ac:dyDescent="0.3">
      <c r="A17" s="37" t="s">
        <v>78</v>
      </c>
      <c r="B17" s="38" t="s">
        <v>79</v>
      </c>
      <c r="C17" s="430" t="s">
        <v>80</v>
      </c>
      <c r="D17" s="430"/>
      <c r="E17" s="430"/>
      <c r="F17" s="116" t="s">
        <v>46</v>
      </c>
      <c r="G17" s="40" t="s">
        <v>33</v>
      </c>
      <c r="H17" s="100"/>
      <c r="I17" s="41"/>
      <c r="J17" s="41"/>
      <c r="K17" s="42"/>
    </row>
    <row r="18" spans="1:11" s="3" customFormat="1" ht="23.25" customHeight="1" x14ac:dyDescent="0.3">
      <c r="A18" s="37" t="s">
        <v>78</v>
      </c>
      <c r="B18" s="38" t="s">
        <v>81</v>
      </c>
      <c r="C18" s="430" t="s">
        <v>82</v>
      </c>
      <c r="D18" s="430"/>
      <c r="E18" s="430"/>
      <c r="F18" s="116" t="s">
        <v>46</v>
      </c>
      <c r="G18" s="40" t="s">
        <v>33</v>
      </c>
      <c r="H18" s="100"/>
      <c r="I18" s="41"/>
      <c r="J18" s="41"/>
      <c r="K18" s="42"/>
    </row>
    <row r="19" spans="1:11" s="3" customFormat="1" ht="23.25" customHeight="1" x14ac:dyDescent="0.3">
      <c r="A19" s="25"/>
      <c r="B19" s="26" t="s">
        <v>83</v>
      </c>
      <c r="C19" s="419" t="s">
        <v>84</v>
      </c>
      <c r="D19" s="419"/>
      <c r="E19" s="419"/>
      <c r="F19" s="51" t="s">
        <v>46</v>
      </c>
      <c r="G19" s="49" t="s">
        <v>5490</v>
      </c>
      <c r="H19" s="58"/>
      <c r="I19" s="28"/>
      <c r="J19" s="28"/>
      <c r="K19" s="29"/>
    </row>
    <row r="20" spans="1:11" s="3" customFormat="1" ht="22.5" customHeight="1" x14ac:dyDescent="0.3">
      <c r="A20" s="37" t="s">
        <v>78</v>
      </c>
      <c r="B20" s="38" t="s">
        <v>85</v>
      </c>
      <c r="C20" s="430" t="s">
        <v>86</v>
      </c>
      <c r="D20" s="430"/>
      <c r="E20" s="430"/>
      <c r="F20" s="116" t="s">
        <v>46</v>
      </c>
      <c r="G20" s="40" t="s">
        <v>33</v>
      </c>
      <c r="H20" s="100"/>
      <c r="I20" s="41"/>
      <c r="J20" s="41"/>
      <c r="K20" s="42"/>
    </row>
    <row r="21" spans="1:11" s="3" customFormat="1" ht="34.5" customHeight="1" x14ac:dyDescent="0.3">
      <c r="A21" s="25"/>
      <c r="B21" s="26" t="s">
        <v>87</v>
      </c>
      <c r="C21" s="419" t="s">
        <v>88</v>
      </c>
      <c r="D21" s="419"/>
      <c r="E21" s="419"/>
      <c r="F21" s="51" t="s">
        <v>46</v>
      </c>
      <c r="G21" s="49" t="s">
        <v>5491</v>
      </c>
      <c r="H21" s="58"/>
      <c r="I21" s="28"/>
      <c r="J21" s="28"/>
      <c r="K21" s="29"/>
    </row>
    <row r="22" spans="1:11" s="3" customFormat="1" ht="22.5" customHeight="1" x14ac:dyDescent="0.3">
      <c r="A22" s="25"/>
      <c r="B22" s="26" t="s">
        <v>89</v>
      </c>
      <c r="C22" s="419" t="s">
        <v>90</v>
      </c>
      <c r="D22" s="419"/>
      <c r="E22" s="419"/>
      <c r="F22" s="51" t="s">
        <v>70</v>
      </c>
      <c r="G22" s="49" t="s">
        <v>5492</v>
      </c>
      <c r="H22" s="58"/>
      <c r="I22" s="28"/>
      <c r="J22" s="28"/>
      <c r="K22" s="29"/>
    </row>
    <row r="23" spans="1:11" s="3" customFormat="1" ht="23.25" customHeight="1" x14ac:dyDescent="0.3">
      <c r="A23" s="25" t="s">
        <v>129</v>
      </c>
      <c r="B23" s="26" t="s">
        <v>130</v>
      </c>
      <c r="C23" s="419" t="s">
        <v>131</v>
      </c>
      <c r="D23" s="419"/>
      <c r="E23" s="419"/>
      <c r="F23" s="51" t="s">
        <v>46</v>
      </c>
      <c r="G23" s="49" t="s">
        <v>5493</v>
      </c>
      <c r="H23" s="58"/>
      <c r="I23" s="28"/>
      <c r="J23" s="28"/>
      <c r="K23" s="29"/>
    </row>
    <row r="24" spans="1:11" s="3" customFormat="1" ht="15" customHeight="1" x14ac:dyDescent="0.3">
      <c r="A24" s="437" t="s">
        <v>132</v>
      </c>
      <c r="B24" s="418"/>
      <c r="C24" s="418"/>
      <c r="D24" s="418"/>
      <c r="E24" s="418"/>
      <c r="F24" s="418"/>
      <c r="G24" s="418"/>
      <c r="H24" s="61"/>
      <c r="I24" s="61"/>
      <c r="J24" s="61"/>
      <c r="K24" s="62"/>
    </row>
    <row r="25" spans="1:11" s="3" customFormat="1" ht="34.5" customHeight="1" x14ac:dyDescent="0.3">
      <c r="A25" s="16" t="s">
        <v>20</v>
      </c>
      <c r="B25" s="17" t="s">
        <v>92</v>
      </c>
      <c r="C25" s="427" t="s">
        <v>93</v>
      </c>
      <c r="D25" s="428"/>
      <c r="E25" s="429"/>
      <c r="F25" s="114" t="s">
        <v>67</v>
      </c>
      <c r="G25" s="24">
        <v>0.3</v>
      </c>
      <c r="H25" s="57">
        <f>I25/G25</f>
        <v>1451220.9333333336</v>
      </c>
      <c r="I25" s="19">
        <f>583356.11-K25</f>
        <v>435366.28</v>
      </c>
      <c r="J25" s="20">
        <f>K25/G25</f>
        <v>493299.43333333329</v>
      </c>
      <c r="K25" s="19">
        <v>147989.82999999999</v>
      </c>
    </row>
    <row r="26" spans="1:11" s="3" customFormat="1" ht="23.25" customHeight="1" x14ac:dyDescent="0.3">
      <c r="A26" s="25"/>
      <c r="B26" s="26" t="s">
        <v>68</v>
      </c>
      <c r="C26" s="419" t="s">
        <v>69</v>
      </c>
      <c r="D26" s="419"/>
      <c r="E26" s="419"/>
      <c r="F26" s="51" t="s">
        <v>70</v>
      </c>
      <c r="G26" s="49" t="s">
        <v>5517</v>
      </c>
      <c r="H26" s="58"/>
      <c r="I26" s="28"/>
      <c r="J26" s="28"/>
      <c r="K26" s="29"/>
    </row>
    <row r="27" spans="1:11" s="3" customFormat="1" ht="23.25" customHeight="1" x14ac:dyDescent="0.3">
      <c r="A27" s="25"/>
      <c r="B27" s="26" t="s">
        <v>71</v>
      </c>
      <c r="C27" s="419" t="s">
        <v>72</v>
      </c>
      <c r="D27" s="419"/>
      <c r="E27" s="419"/>
      <c r="F27" s="51" t="s">
        <v>70</v>
      </c>
      <c r="G27" s="49" t="s">
        <v>5518</v>
      </c>
      <c r="H27" s="58"/>
      <c r="I27" s="28"/>
      <c r="J27" s="28"/>
      <c r="K27" s="29"/>
    </row>
    <row r="28" spans="1:11" s="3" customFormat="1" ht="22.5" customHeight="1" x14ac:dyDescent="0.3">
      <c r="A28" s="25"/>
      <c r="B28" s="26" t="s">
        <v>73</v>
      </c>
      <c r="C28" s="419" t="s">
        <v>74</v>
      </c>
      <c r="D28" s="419"/>
      <c r="E28" s="419"/>
      <c r="F28" s="51" t="s">
        <v>75</v>
      </c>
      <c r="G28" s="49" t="s">
        <v>5519</v>
      </c>
      <c r="H28" s="58"/>
      <c r="I28" s="28"/>
      <c r="J28" s="28"/>
      <c r="K28" s="29"/>
    </row>
    <row r="29" spans="1:11" s="3" customFormat="1" ht="22.5" customHeight="1" x14ac:dyDescent="0.3">
      <c r="A29" s="25"/>
      <c r="B29" s="26" t="s">
        <v>76</v>
      </c>
      <c r="C29" s="419" t="s">
        <v>77</v>
      </c>
      <c r="D29" s="419"/>
      <c r="E29" s="419"/>
      <c r="F29" s="51" t="s">
        <v>70</v>
      </c>
      <c r="G29" s="49" t="s">
        <v>5520</v>
      </c>
      <c r="H29" s="58"/>
      <c r="I29" s="28"/>
      <c r="J29" s="28"/>
      <c r="K29" s="29"/>
    </row>
    <row r="30" spans="1:11" s="3" customFormat="1" ht="23.25" customHeight="1" x14ac:dyDescent="0.3">
      <c r="A30" s="37" t="s">
        <v>78</v>
      </c>
      <c r="B30" s="38" t="s">
        <v>79</v>
      </c>
      <c r="C30" s="430" t="s">
        <v>80</v>
      </c>
      <c r="D30" s="430"/>
      <c r="E30" s="430"/>
      <c r="F30" s="116" t="s">
        <v>46</v>
      </c>
      <c r="G30" s="40" t="s">
        <v>33</v>
      </c>
      <c r="H30" s="100"/>
      <c r="I30" s="41"/>
      <c r="J30" s="41"/>
      <c r="K30" s="42"/>
    </row>
    <row r="31" spans="1:11" s="3" customFormat="1" ht="23.25" customHeight="1" x14ac:dyDescent="0.3">
      <c r="A31" s="37" t="s">
        <v>78</v>
      </c>
      <c r="B31" s="38" t="s">
        <v>81</v>
      </c>
      <c r="C31" s="430" t="s">
        <v>82</v>
      </c>
      <c r="D31" s="430"/>
      <c r="E31" s="430"/>
      <c r="F31" s="116" t="s">
        <v>46</v>
      </c>
      <c r="G31" s="40" t="s">
        <v>33</v>
      </c>
      <c r="H31" s="100"/>
      <c r="I31" s="41"/>
      <c r="J31" s="41"/>
      <c r="K31" s="42"/>
    </row>
    <row r="32" spans="1:11" s="3" customFormat="1" ht="23.25" customHeight="1" x14ac:dyDescent="0.3">
      <c r="A32" s="25"/>
      <c r="B32" s="26" t="s">
        <v>83</v>
      </c>
      <c r="C32" s="419" t="s">
        <v>84</v>
      </c>
      <c r="D32" s="419"/>
      <c r="E32" s="419"/>
      <c r="F32" s="51" t="s">
        <v>46</v>
      </c>
      <c r="G32" s="49" t="s">
        <v>5521</v>
      </c>
      <c r="H32" s="58"/>
      <c r="I32" s="28"/>
      <c r="J32" s="28"/>
      <c r="K32" s="29"/>
    </row>
    <row r="33" spans="1:11" s="3" customFormat="1" ht="22.5" customHeight="1" x14ac:dyDescent="0.3">
      <c r="A33" s="37" t="s">
        <v>78</v>
      </c>
      <c r="B33" s="38" t="s">
        <v>85</v>
      </c>
      <c r="C33" s="430" t="s">
        <v>86</v>
      </c>
      <c r="D33" s="430"/>
      <c r="E33" s="430"/>
      <c r="F33" s="116" t="s">
        <v>46</v>
      </c>
      <c r="G33" s="40" t="s">
        <v>33</v>
      </c>
      <c r="H33" s="100"/>
      <c r="I33" s="41"/>
      <c r="J33" s="41"/>
      <c r="K33" s="42"/>
    </row>
    <row r="34" spans="1:11" s="3" customFormat="1" ht="34.5" customHeight="1" x14ac:dyDescent="0.3">
      <c r="A34" s="25"/>
      <c r="B34" s="26" t="s">
        <v>87</v>
      </c>
      <c r="C34" s="419" t="s">
        <v>88</v>
      </c>
      <c r="D34" s="419"/>
      <c r="E34" s="419"/>
      <c r="F34" s="51" t="s">
        <v>46</v>
      </c>
      <c r="G34" s="49" t="s">
        <v>5500</v>
      </c>
      <c r="H34" s="58"/>
      <c r="I34" s="28"/>
      <c r="J34" s="28"/>
      <c r="K34" s="29"/>
    </row>
    <row r="35" spans="1:11" s="3" customFormat="1" ht="22.5" customHeight="1" x14ac:dyDescent="0.3">
      <c r="A35" s="25"/>
      <c r="B35" s="26" t="s">
        <v>89</v>
      </c>
      <c r="C35" s="419" t="s">
        <v>90</v>
      </c>
      <c r="D35" s="419"/>
      <c r="E35" s="419"/>
      <c r="F35" s="51" t="s">
        <v>70</v>
      </c>
      <c r="G35" s="49" t="s">
        <v>5522</v>
      </c>
      <c r="H35" s="58"/>
      <c r="I35" s="28"/>
      <c r="J35" s="28"/>
      <c r="K35" s="29"/>
    </row>
    <row r="36" spans="1:11" s="3" customFormat="1" ht="23.25" customHeight="1" x14ac:dyDescent="0.3">
      <c r="A36" s="25" t="s">
        <v>129</v>
      </c>
      <c r="B36" s="26" t="s">
        <v>130</v>
      </c>
      <c r="C36" s="419" t="s">
        <v>131</v>
      </c>
      <c r="D36" s="419"/>
      <c r="E36" s="419"/>
      <c r="F36" s="51" t="s">
        <v>46</v>
      </c>
      <c r="G36" s="49" t="s">
        <v>5516</v>
      </c>
      <c r="H36" s="58"/>
      <c r="I36" s="28"/>
      <c r="J36" s="28"/>
      <c r="K36" s="29"/>
    </row>
    <row r="37" spans="1:11" s="3" customFormat="1" ht="15" customHeight="1" x14ac:dyDescent="0.3">
      <c r="A37" s="437" t="s">
        <v>133</v>
      </c>
      <c r="B37" s="418"/>
      <c r="C37" s="418"/>
      <c r="D37" s="418"/>
      <c r="E37" s="418"/>
      <c r="F37" s="418"/>
      <c r="G37" s="418"/>
      <c r="H37" s="61"/>
      <c r="I37" s="61"/>
      <c r="J37" s="61"/>
      <c r="K37" s="62"/>
    </row>
    <row r="38" spans="1:11" s="3" customFormat="1" ht="34.5" customHeight="1" x14ac:dyDescent="0.3">
      <c r="A38" s="16" t="s">
        <v>22</v>
      </c>
      <c r="B38" s="17" t="s">
        <v>134</v>
      </c>
      <c r="C38" s="427" t="s">
        <v>135</v>
      </c>
      <c r="D38" s="428"/>
      <c r="E38" s="429"/>
      <c r="F38" s="114" t="s">
        <v>67</v>
      </c>
      <c r="G38" s="18">
        <v>1.1850000000000001</v>
      </c>
      <c r="H38" s="57">
        <f>I38/G38</f>
        <v>817239.04641350196</v>
      </c>
      <c r="I38" s="19">
        <f>1298484.16-K38</f>
        <v>968428.2699999999</v>
      </c>
      <c r="J38" s="20">
        <f>K38/G38</f>
        <v>278528.17721518985</v>
      </c>
      <c r="K38" s="19">
        <v>330055.89</v>
      </c>
    </row>
    <row r="39" spans="1:11" s="3" customFormat="1" ht="23.25" customHeight="1" x14ac:dyDescent="0.3">
      <c r="A39" s="25"/>
      <c r="B39" s="26" t="s">
        <v>68</v>
      </c>
      <c r="C39" s="419" t="s">
        <v>69</v>
      </c>
      <c r="D39" s="419"/>
      <c r="E39" s="419"/>
      <c r="F39" s="51" t="s">
        <v>70</v>
      </c>
      <c r="G39" s="49" t="s">
        <v>5523</v>
      </c>
      <c r="H39" s="58"/>
      <c r="I39" s="28"/>
      <c r="J39" s="28"/>
      <c r="K39" s="29"/>
    </row>
    <row r="40" spans="1:11" s="3" customFormat="1" ht="23.25" customHeight="1" x14ac:dyDescent="0.3">
      <c r="A40" s="25"/>
      <c r="B40" s="26" t="s">
        <v>71</v>
      </c>
      <c r="C40" s="419" t="s">
        <v>72</v>
      </c>
      <c r="D40" s="419"/>
      <c r="E40" s="419"/>
      <c r="F40" s="51" t="s">
        <v>70</v>
      </c>
      <c r="G40" s="49" t="s">
        <v>5524</v>
      </c>
      <c r="H40" s="58"/>
      <c r="I40" s="28"/>
      <c r="J40" s="28"/>
      <c r="K40" s="29"/>
    </row>
    <row r="41" spans="1:11" s="3" customFormat="1" ht="22.5" customHeight="1" x14ac:dyDescent="0.3">
      <c r="A41" s="25"/>
      <c r="B41" s="26" t="s">
        <v>73</v>
      </c>
      <c r="C41" s="419" t="s">
        <v>74</v>
      </c>
      <c r="D41" s="419"/>
      <c r="E41" s="419"/>
      <c r="F41" s="51" t="s">
        <v>75</v>
      </c>
      <c r="G41" s="49" t="s">
        <v>5525</v>
      </c>
      <c r="H41" s="58"/>
      <c r="I41" s="28"/>
      <c r="J41" s="28"/>
      <c r="K41" s="29"/>
    </row>
    <row r="42" spans="1:11" s="3" customFormat="1" ht="22.5" customHeight="1" x14ac:dyDescent="0.3">
      <c r="A42" s="25"/>
      <c r="B42" s="26" t="s">
        <v>76</v>
      </c>
      <c r="C42" s="419" t="s">
        <v>77</v>
      </c>
      <c r="D42" s="419"/>
      <c r="E42" s="419"/>
      <c r="F42" s="51" t="s">
        <v>70</v>
      </c>
      <c r="G42" s="49" t="s">
        <v>5526</v>
      </c>
      <c r="H42" s="58"/>
      <c r="I42" s="28"/>
      <c r="J42" s="28"/>
      <c r="K42" s="29"/>
    </row>
    <row r="43" spans="1:11" s="3" customFormat="1" ht="23.25" customHeight="1" x14ac:dyDescent="0.3">
      <c r="A43" s="37" t="s">
        <v>78</v>
      </c>
      <c r="B43" s="38" t="s">
        <v>79</v>
      </c>
      <c r="C43" s="430" t="s">
        <v>80</v>
      </c>
      <c r="D43" s="430"/>
      <c r="E43" s="430"/>
      <c r="F43" s="116" t="s">
        <v>46</v>
      </c>
      <c r="G43" s="40" t="s">
        <v>33</v>
      </c>
      <c r="H43" s="100"/>
      <c r="I43" s="41"/>
      <c r="J43" s="41"/>
      <c r="K43" s="42"/>
    </row>
    <row r="44" spans="1:11" s="3" customFormat="1" ht="23.25" customHeight="1" x14ac:dyDescent="0.3">
      <c r="A44" s="37" t="s">
        <v>78</v>
      </c>
      <c r="B44" s="38" t="s">
        <v>81</v>
      </c>
      <c r="C44" s="430" t="s">
        <v>82</v>
      </c>
      <c r="D44" s="430"/>
      <c r="E44" s="430"/>
      <c r="F44" s="116" t="s">
        <v>46</v>
      </c>
      <c r="G44" s="40" t="s">
        <v>33</v>
      </c>
      <c r="H44" s="100"/>
      <c r="I44" s="41"/>
      <c r="J44" s="41"/>
      <c r="K44" s="42"/>
    </row>
    <row r="45" spans="1:11" s="3" customFormat="1" ht="23.25" customHeight="1" x14ac:dyDescent="0.3">
      <c r="A45" s="25"/>
      <c r="B45" s="26" t="s">
        <v>83</v>
      </c>
      <c r="C45" s="419" t="s">
        <v>84</v>
      </c>
      <c r="D45" s="419"/>
      <c r="E45" s="419"/>
      <c r="F45" s="51" t="s">
        <v>46</v>
      </c>
      <c r="G45" s="49" t="s">
        <v>5527</v>
      </c>
      <c r="H45" s="58"/>
      <c r="I45" s="28"/>
      <c r="J45" s="28"/>
      <c r="K45" s="29"/>
    </row>
    <row r="46" spans="1:11" s="3" customFormat="1" ht="22.5" customHeight="1" x14ac:dyDescent="0.3">
      <c r="A46" s="37" t="s">
        <v>78</v>
      </c>
      <c r="B46" s="38" t="s">
        <v>85</v>
      </c>
      <c r="C46" s="430" t="s">
        <v>86</v>
      </c>
      <c r="D46" s="430"/>
      <c r="E46" s="430"/>
      <c r="F46" s="116" t="s">
        <v>46</v>
      </c>
      <c r="G46" s="40" t="s">
        <v>33</v>
      </c>
      <c r="H46" s="100"/>
      <c r="I46" s="41"/>
      <c r="J46" s="41"/>
      <c r="K46" s="42"/>
    </row>
    <row r="47" spans="1:11" s="3" customFormat="1" ht="34.5" customHeight="1" x14ac:dyDescent="0.3">
      <c r="A47" s="25"/>
      <c r="B47" s="26" t="s">
        <v>87</v>
      </c>
      <c r="C47" s="419" t="s">
        <v>88</v>
      </c>
      <c r="D47" s="419"/>
      <c r="E47" s="419"/>
      <c r="F47" s="51" t="s">
        <v>46</v>
      </c>
      <c r="G47" s="49" t="s">
        <v>5528</v>
      </c>
      <c r="H47" s="58"/>
      <c r="I47" s="28"/>
      <c r="J47" s="28"/>
      <c r="K47" s="29"/>
    </row>
    <row r="48" spans="1:11" s="3" customFormat="1" ht="22.5" customHeight="1" x14ac:dyDescent="0.3">
      <c r="A48" s="25"/>
      <c r="B48" s="26" t="s">
        <v>89</v>
      </c>
      <c r="C48" s="419" t="s">
        <v>90</v>
      </c>
      <c r="D48" s="419"/>
      <c r="E48" s="419"/>
      <c r="F48" s="51" t="s">
        <v>70</v>
      </c>
      <c r="G48" s="49" t="s">
        <v>5529</v>
      </c>
      <c r="H48" s="58"/>
      <c r="I48" s="28"/>
      <c r="J48" s="28"/>
      <c r="K48" s="29"/>
    </row>
    <row r="49" spans="1:11" s="3" customFormat="1" ht="23.25" customHeight="1" x14ac:dyDescent="0.3">
      <c r="A49" s="25" t="s">
        <v>129</v>
      </c>
      <c r="B49" s="26" t="s">
        <v>130</v>
      </c>
      <c r="C49" s="419" t="s">
        <v>131</v>
      </c>
      <c r="D49" s="419"/>
      <c r="E49" s="419"/>
      <c r="F49" s="51" t="s">
        <v>46</v>
      </c>
      <c r="G49" s="22" t="s">
        <v>136</v>
      </c>
      <c r="H49" s="58"/>
      <c r="I49" s="28"/>
      <c r="J49" s="28"/>
      <c r="K49" s="29"/>
    </row>
    <row r="50" spans="1:11" s="3" customFormat="1" ht="15" customHeight="1" x14ac:dyDescent="0.3">
      <c r="A50" s="437" t="s">
        <v>137</v>
      </c>
      <c r="B50" s="418"/>
      <c r="C50" s="418"/>
      <c r="D50" s="418"/>
      <c r="E50" s="418"/>
      <c r="F50" s="418"/>
      <c r="G50" s="418"/>
      <c r="H50" s="61"/>
      <c r="I50" s="61"/>
      <c r="J50" s="61"/>
      <c r="K50" s="62"/>
    </row>
    <row r="51" spans="1:11" s="3" customFormat="1" ht="34.5" customHeight="1" x14ac:dyDescent="0.3">
      <c r="A51" s="16" t="s">
        <v>27</v>
      </c>
      <c r="B51" s="17" t="s">
        <v>138</v>
      </c>
      <c r="C51" s="427" t="s">
        <v>139</v>
      </c>
      <c r="D51" s="428"/>
      <c r="E51" s="429"/>
      <c r="F51" s="114" t="s">
        <v>67</v>
      </c>
      <c r="G51" s="18">
        <v>1.1850000000000001</v>
      </c>
      <c r="H51" s="57">
        <f>I51/G51</f>
        <v>938046.16877637128</v>
      </c>
      <c r="I51" s="19">
        <f>1546372.25-K51</f>
        <v>1111584.71</v>
      </c>
      <c r="J51" s="20">
        <f>K51/G51</f>
        <v>366909.31645569619</v>
      </c>
      <c r="K51" s="19">
        <v>434787.54</v>
      </c>
    </row>
    <row r="52" spans="1:11" s="3" customFormat="1" ht="23.25" customHeight="1" x14ac:dyDescent="0.3">
      <c r="A52" s="25"/>
      <c r="B52" s="26" t="s">
        <v>68</v>
      </c>
      <c r="C52" s="419" t="s">
        <v>69</v>
      </c>
      <c r="D52" s="419"/>
      <c r="E52" s="419"/>
      <c r="F52" s="51" t="s">
        <v>70</v>
      </c>
      <c r="G52" s="49" t="s">
        <v>5530</v>
      </c>
      <c r="H52" s="58"/>
      <c r="I52" s="28"/>
      <c r="J52" s="28"/>
      <c r="K52" s="29"/>
    </row>
    <row r="53" spans="1:11" s="3" customFormat="1" ht="23.25" customHeight="1" x14ac:dyDescent="0.3">
      <c r="A53" s="25"/>
      <c r="B53" s="26" t="s">
        <v>71</v>
      </c>
      <c r="C53" s="419" t="s">
        <v>72</v>
      </c>
      <c r="D53" s="419"/>
      <c r="E53" s="419"/>
      <c r="F53" s="51" t="s">
        <v>70</v>
      </c>
      <c r="G53" s="49" t="s">
        <v>5531</v>
      </c>
      <c r="H53" s="58"/>
      <c r="I53" s="28"/>
      <c r="J53" s="28"/>
      <c r="K53" s="29"/>
    </row>
    <row r="54" spans="1:11" s="3" customFormat="1" ht="22.5" customHeight="1" x14ac:dyDescent="0.3">
      <c r="A54" s="25"/>
      <c r="B54" s="26" t="s">
        <v>73</v>
      </c>
      <c r="C54" s="419" t="s">
        <v>74</v>
      </c>
      <c r="D54" s="419"/>
      <c r="E54" s="419"/>
      <c r="F54" s="51" t="s">
        <v>75</v>
      </c>
      <c r="G54" s="49" t="s">
        <v>5532</v>
      </c>
      <c r="H54" s="58"/>
      <c r="I54" s="28"/>
      <c r="J54" s="28"/>
      <c r="K54" s="29"/>
    </row>
    <row r="55" spans="1:11" s="3" customFormat="1" ht="22.5" customHeight="1" x14ac:dyDescent="0.3">
      <c r="A55" s="25"/>
      <c r="B55" s="26" t="s">
        <v>76</v>
      </c>
      <c r="C55" s="419" t="s">
        <v>77</v>
      </c>
      <c r="D55" s="419"/>
      <c r="E55" s="419"/>
      <c r="F55" s="51" t="s">
        <v>70</v>
      </c>
      <c r="G55" s="49" t="s">
        <v>5533</v>
      </c>
      <c r="H55" s="58"/>
      <c r="I55" s="28"/>
      <c r="J55" s="28"/>
      <c r="K55" s="29"/>
    </row>
    <row r="56" spans="1:11" s="3" customFormat="1" ht="23.25" customHeight="1" x14ac:dyDescent="0.3">
      <c r="A56" s="37" t="s">
        <v>78</v>
      </c>
      <c r="B56" s="38" t="s">
        <v>79</v>
      </c>
      <c r="C56" s="430" t="s">
        <v>80</v>
      </c>
      <c r="D56" s="430"/>
      <c r="E56" s="430"/>
      <c r="F56" s="116" t="s">
        <v>46</v>
      </c>
      <c r="G56" s="40" t="s">
        <v>33</v>
      </c>
      <c r="H56" s="100"/>
      <c r="I56" s="41"/>
      <c r="J56" s="41"/>
      <c r="K56" s="42"/>
    </row>
    <row r="57" spans="1:11" s="3" customFormat="1" ht="23.25" customHeight="1" x14ac:dyDescent="0.3">
      <c r="A57" s="37" t="s">
        <v>78</v>
      </c>
      <c r="B57" s="38" t="s">
        <v>81</v>
      </c>
      <c r="C57" s="430" t="s">
        <v>82</v>
      </c>
      <c r="D57" s="430"/>
      <c r="E57" s="430"/>
      <c r="F57" s="116" t="s">
        <v>46</v>
      </c>
      <c r="G57" s="40" t="s">
        <v>33</v>
      </c>
      <c r="H57" s="100"/>
      <c r="I57" s="41"/>
      <c r="J57" s="41"/>
      <c r="K57" s="42"/>
    </row>
    <row r="58" spans="1:11" s="3" customFormat="1" ht="23.25" customHeight="1" x14ac:dyDescent="0.3">
      <c r="A58" s="25"/>
      <c r="B58" s="26" t="s">
        <v>83</v>
      </c>
      <c r="C58" s="419" t="s">
        <v>84</v>
      </c>
      <c r="D58" s="419"/>
      <c r="E58" s="419"/>
      <c r="F58" s="51" t="s">
        <v>46</v>
      </c>
      <c r="G58" s="49" t="s">
        <v>5534</v>
      </c>
      <c r="H58" s="58"/>
      <c r="I58" s="28"/>
      <c r="J58" s="28"/>
      <c r="K58" s="29"/>
    </row>
    <row r="59" spans="1:11" s="3" customFormat="1" ht="22.5" customHeight="1" x14ac:dyDescent="0.3">
      <c r="A59" s="37" t="s">
        <v>78</v>
      </c>
      <c r="B59" s="38" t="s">
        <v>85</v>
      </c>
      <c r="C59" s="430" t="s">
        <v>86</v>
      </c>
      <c r="D59" s="430"/>
      <c r="E59" s="430"/>
      <c r="F59" s="116" t="s">
        <v>46</v>
      </c>
      <c r="G59" s="40" t="s">
        <v>33</v>
      </c>
      <c r="H59" s="100"/>
      <c r="I59" s="41"/>
      <c r="J59" s="41"/>
      <c r="K59" s="42"/>
    </row>
    <row r="60" spans="1:11" s="3" customFormat="1" ht="34.5" customHeight="1" x14ac:dyDescent="0.3">
      <c r="A60" s="25"/>
      <c r="B60" s="26" t="s">
        <v>87</v>
      </c>
      <c r="C60" s="419" t="s">
        <v>88</v>
      </c>
      <c r="D60" s="419"/>
      <c r="E60" s="419"/>
      <c r="F60" s="51" t="s">
        <v>46</v>
      </c>
      <c r="G60" s="49" t="s">
        <v>5535</v>
      </c>
      <c r="H60" s="58"/>
      <c r="I60" s="28"/>
      <c r="J60" s="28"/>
      <c r="K60" s="29"/>
    </row>
    <row r="61" spans="1:11" s="3" customFormat="1" ht="22.5" customHeight="1" x14ac:dyDescent="0.3">
      <c r="A61" s="25"/>
      <c r="B61" s="26" t="s">
        <v>89</v>
      </c>
      <c r="C61" s="419" t="s">
        <v>90</v>
      </c>
      <c r="D61" s="419"/>
      <c r="E61" s="419"/>
      <c r="F61" s="51" t="s">
        <v>70</v>
      </c>
      <c r="G61" s="49" t="s">
        <v>5536</v>
      </c>
      <c r="H61" s="58"/>
      <c r="I61" s="28"/>
      <c r="J61" s="28"/>
      <c r="K61" s="29"/>
    </row>
    <row r="62" spans="1:11" s="3" customFormat="1" ht="23.25" customHeight="1" x14ac:dyDescent="0.3">
      <c r="A62" s="25" t="s">
        <v>129</v>
      </c>
      <c r="B62" s="26" t="s">
        <v>130</v>
      </c>
      <c r="C62" s="419" t="s">
        <v>131</v>
      </c>
      <c r="D62" s="419"/>
      <c r="E62" s="419"/>
      <c r="F62" s="51" t="s">
        <v>46</v>
      </c>
      <c r="G62" s="49" t="s">
        <v>5537</v>
      </c>
      <c r="H62" s="58"/>
      <c r="I62" s="28"/>
      <c r="J62" s="28"/>
      <c r="K62" s="29"/>
    </row>
    <row r="63" spans="1:11" s="3" customFormat="1" ht="15" customHeight="1" x14ac:dyDescent="0.3">
      <c r="A63" s="437" t="s">
        <v>137</v>
      </c>
      <c r="B63" s="418"/>
      <c r="C63" s="418"/>
      <c r="D63" s="418"/>
      <c r="E63" s="418"/>
      <c r="F63" s="418"/>
      <c r="G63" s="418"/>
      <c r="H63" s="61"/>
      <c r="I63" s="61"/>
      <c r="J63" s="61"/>
      <c r="K63" s="62"/>
    </row>
    <row r="64" spans="1:11" s="3" customFormat="1" ht="23.25" customHeight="1" x14ac:dyDescent="0.3">
      <c r="A64" s="16" t="s">
        <v>35</v>
      </c>
      <c r="B64" s="17" t="s">
        <v>140</v>
      </c>
      <c r="C64" s="427" t="s">
        <v>141</v>
      </c>
      <c r="D64" s="428"/>
      <c r="E64" s="429"/>
      <c r="F64" s="114" t="s">
        <v>142</v>
      </c>
      <c r="G64" s="31">
        <v>19.059999999999999</v>
      </c>
      <c r="H64" s="57">
        <f>I64/G64</f>
        <v>106720.07712486884</v>
      </c>
      <c r="I64" s="19">
        <f>2908655.17-K64</f>
        <v>2034084.67</v>
      </c>
      <c r="J64" s="20">
        <f>K64/G64</f>
        <v>45885.1259181532</v>
      </c>
      <c r="K64" s="19">
        <v>874570.5</v>
      </c>
    </row>
    <row r="65" spans="1:11" s="3" customFormat="1" ht="23.25" customHeight="1" x14ac:dyDescent="0.3">
      <c r="A65" s="25"/>
      <c r="B65" s="26" t="s">
        <v>111</v>
      </c>
      <c r="C65" s="419" t="s">
        <v>112</v>
      </c>
      <c r="D65" s="419"/>
      <c r="E65" s="419"/>
      <c r="F65" s="51" t="s">
        <v>46</v>
      </c>
      <c r="G65" s="49" t="s">
        <v>5538</v>
      </c>
      <c r="H65" s="58"/>
      <c r="I65" s="28"/>
      <c r="J65" s="28"/>
      <c r="K65" s="29"/>
    </row>
    <row r="66" spans="1:11" s="3" customFormat="1" ht="22.5" customHeight="1" x14ac:dyDescent="0.3">
      <c r="A66" s="37" t="s">
        <v>143</v>
      </c>
      <c r="B66" s="38" t="s">
        <v>144</v>
      </c>
      <c r="C66" s="430" t="s">
        <v>86</v>
      </c>
      <c r="D66" s="430"/>
      <c r="E66" s="430"/>
      <c r="F66" s="116" t="s">
        <v>38</v>
      </c>
      <c r="G66" s="107" t="s">
        <v>5539</v>
      </c>
      <c r="H66" s="100"/>
      <c r="I66" s="41"/>
      <c r="J66" s="41"/>
      <c r="K66" s="42"/>
    </row>
    <row r="67" spans="1:11" s="3" customFormat="1" ht="23.25" customHeight="1" x14ac:dyDescent="0.3">
      <c r="A67" s="25" t="s">
        <v>129</v>
      </c>
      <c r="B67" s="26" t="s">
        <v>145</v>
      </c>
      <c r="C67" s="419" t="s">
        <v>146</v>
      </c>
      <c r="D67" s="419"/>
      <c r="E67" s="419"/>
      <c r="F67" s="51" t="s">
        <v>46</v>
      </c>
      <c r="G67" s="49" t="s">
        <v>5540</v>
      </c>
      <c r="H67" s="58"/>
      <c r="I67" s="28"/>
      <c r="J67" s="28"/>
      <c r="K67" s="29"/>
    </row>
    <row r="68" spans="1:11" s="3" customFormat="1" ht="15" customHeight="1" x14ac:dyDescent="0.3">
      <c r="A68" s="437" t="s">
        <v>147</v>
      </c>
      <c r="B68" s="418"/>
      <c r="C68" s="418"/>
      <c r="D68" s="418"/>
      <c r="E68" s="418"/>
      <c r="F68" s="418"/>
      <c r="G68" s="418"/>
      <c r="H68" s="61"/>
      <c r="I68" s="61"/>
      <c r="J68" s="61"/>
      <c r="K68" s="62"/>
    </row>
    <row r="69" spans="1:11" s="3" customFormat="1" ht="23.25" customHeight="1" x14ac:dyDescent="0.3">
      <c r="A69" s="16" t="s">
        <v>40</v>
      </c>
      <c r="B69" s="17" t="s">
        <v>140</v>
      </c>
      <c r="C69" s="427" t="s">
        <v>141</v>
      </c>
      <c r="D69" s="428"/>
      <c r="E69" s="429"/>
      <c r="F69" s="114" t="s">
        <v>142</v>
      </c>
      <c r="G69" s="31">
        <v>1.58</v>
      </c>
      <c r="H69" s="57">
        <f>I69/G69</f>
        <v>106720.08860759494</v>
      </c>
      <c r="I69" s="19">
        <f>206309.48-K69</f>
        <v>168617.74000000002</v>
      </c>
      <c r="J69" s="20">
        <f>K69/G69</f>
        <v>23855.531645569619</v>
      </c>
      <c r="K69" s="19">
        <v>37691.74</v>
      </c>
    </row>
    <row r="70" spans="1:11" s="3" customFormat="1" ht="23.25" customHeight="1" x14ac:dyDescent="0.3">
      <c r="A70" s="25"/>
      <c r="B70" s="26" t="s">
        <v>111</v>
      </c>
      <c r="C70" s="419" t="s">
        <v>112</v>
      </c>
      <c r="D70" s="419"/>
      <c r="E70" s="419"/>
      <c r="F70" s="51" t="s">
        <v>46</v>
      </c>
      <c r="G70" s="49" t="s">
        <v>5541</v>
      </c>
      <c r="H70" s="58"/>
      <c r="I70" s="28"/>
      <c r="J70" s="28"/>
      <c r="K70" s="29"/>
    </row>
    <row r="71" spans="1:11" s="3" customFormat="1" ht="22.5" customHeight="1" x14ac:dyDescent="0.3">
      <c r="A71" s="37" t="s">
        <v>143</v>
      </c>
      <c r="B71" s="38" t="s">
        <v>144</v>
      </c>
      <c r="C71" s="430" t="s">
        <v>86</v>
      </c>
      <c r="D71" s="430"/>
      <c r="E71" s="430"/>
      <c r="F71" s="116" t="s">
        <v>38</v>
      </c>
      <c r="G71" s="107" t="s">
        <v>5542</v>
      </c>
      <c r="H71" s="100"/>
      <c r="I71" s="41"/>
      <c r="J71" s="41"/>
      <c r="K71" s="42"/>
    </row>
    <row r="72" spans="1:11" s="3" customFormat="1" ht="23.25" customHeight="1" x14ac:dyDescent="0.3">
      <c r="A72" s="25" t="s">
        <v>129</v>
      </c>
      <c r="B72" s="26" t="s">
        <v>145</v>
      </c>
      <c r="C72" s="419" t="s">
        <v>146</v>
      </c>
      <c r="D72" s="419"/>
      <c r="E72" s="419"/>
      <c r="F72" s="51" t="s">
        <v>46</v>
      </c>
      <c r="G72" s="49" t="s">
        <v>5543</v>
      </c>
      <c r="H72" s="58"/>
      <c r="I72" s="28"/>
      <c r="J72" s="28"/>
      <c r="K72" s="29"/>
    </row>
    <row r="73" spans="1:11" s="3" customFormat="1" ht="15" customHeight="1" x14ac:dyDescent="0.3">
      <c r="A73" s="437" t="s">
        <v>148</v>
      </c>
      <c r="B73" s="418"/>
      <c r="C73" s="418"/>
      <c r="D73" s="418"/>
      <c r="E73" s="418"/>
      <c r="F73" s="418"/>
      <c r="G73" s="418"/>
      <c r="H73" s="61"/>
      <c r="I73" s="61"/>
      <c r="J73" s="61"/>
      <c r="K73" s="62"/>
    </row>
    <row r="74" spans="1:11" s="3" customFormat="1" ht="23.25" customHeight="1" x14ac:dyDescent="0.3">
      <c r="A74" s="16" t="s">
        <v>47</v>
      </c>
      <c r="B74" s="17" t="s">
        <v>149</v>
      </c>
      <c r="C74" s="427" t="s">
        <v>45</v>
      </c>
      <c r="D74" s="428"/>
      <c r="E74" s="429"/>
      <c r="F74" s="114" t="s">
        <v>46</v>
      </c>
      <c r="G74" s="31">
        <v>2245.3200000000002</v>
      </c>
      <c r="H74" s="57"/>
      <c r="I74" s="19">
        <f>2154025.29-K74</f>
        <v>0</v>
      </c>
      <c r="J74" s="20">
        <f>K74/G74</f>
        <v>959.34000053444493</v>
      </c>
      <c r="K74" s="19">
        <v>2154025.29</v>
      </c>
    </row>
    <row r="75" spans="1:11" s="3" customFormat="1" ht="15" customHeight="1" x14ac:dyDescent="0.3">
      <c r="A75" s="437" t="s">
        <v>150</v>
      </c>
      <c r="B75" s="418"/>
      <c r="C75" s="418"/>
      <c r="D75" s="418"/>
      <c r="E75" s="418"/>
      <c r="F75" s="418"/>
      <c r="G75" s="418"/>
      <c r="H75" s="61"/>
      <c r="I75" s="61"/>
      <c r="J75" s="61"/>
      <c r="K75" s="62"/>
    </row>
    <row r="76" spans="1:11" s="3" customFormat="1" ht="23.25" customHeight="1" x14ac:dyDescent="0.3">
      <c r="A76" s="16" t="s">
        <v>52</v>
      </c>
      <c r="B76" s="17" t="s">
        <v>149</v>
      </c>
      <c r="C76" s="427" t="s">
        <v>45</v>
      </c>
      <c r="D76" s="428"/>
      <c r="E76" s="429"/>
      <c r="F76" s="114" t="s">
        <v>46</v>
      </c>
      <c r="G76" s="31">
        <v>90.72</v>
      </c>
      <c r="H76" s="57"/>
      <c r="I76" s="19">
        <f>87031.32-K76</f>
        <v>0</v>
      </c>
      <c r="J76" s="20">
        <f>K76/G76</f>
        <v>959.33994708994715</v>
      </c>
      <c r="K76" s="19">
        <v>87031.32</v>
      </c>
    </row>
    <row r="77" spans="1:11" s="3" customFormat="1" ht="15" customHeight="1" x14ac:dyDescent="0.3">
      <c r="A77" s="437" t="s">
        <v>151</v>
      </c>
      <c r="B77" s="418"/>
      <c r="C77" s="418"/>
      <c r="D77" s="418"/>
      <c r="E77" s="418"/>
      <c r="F77" s="418"/>
      <c r="G77" s="418"/>
      <c r="H77" s="61"/>
      <c r="I77" s="61"/>
      <c r="J77" s="61"/>
      <c r="K77" s="62"/>
    </row>
    <row r="78" spans="1:11" s="3" customFormat="1" ht="15" customHeight="1" x14ac:dyDescent="0.3">
      <c r="A78" s="16" t="s">
        <v>55</v>
      </c>
      <c r="B78" s="17" t="s">
        <v>152</v>
      </c>
      <c r="C78" s="427" t="s">
        <v>153</v>
      </c>
      <c r="D78" s="428"/>
      <c r="E78" s="429"/>
      <c r="F78" s="114" t="s">
        <v>125</v>
      </c>
      <c r="G78" s="18">
        <v>0.70499999999999996</v>
      </c>
      <c r="H78" s="57">
        <f>I78/G78</f>
        <v>154977.51773049642</v>
      </c>
      <c r="I78" s="19">
        <f>492166.85-K78</f>
        <v>109259.14999999997</v>
      </c>
      <c r="J78" s="20">
        <f>K78/G78</f>
        <v>543131.48936170223</v>
      </c>
      <c r="K78" s="19">
        <v>382907.7</v>
      </c>
    </row>
    <row r="79" spans="1:11" s="3" customFormat="1" ht="22.5" customHeight="1" x14ac:dyDescent="0.3">
      <c r="A79" s="25"/>
      <c r="B79" s="26" t="s">
        <v>154</v>
      </c>
      <c r="C79" s="419" t="s">
        <v>155</v>
      </c>
      <c r="D79" s="419"/>
      <c r="E79" s="419"/>
      <c r="F79" s="51" t="s">
        <v>46</v>
      </c>
      <c r="G79" s="49" t="s">
        <v>5494</v>
      </c>
      <c r="H79" s="58"/>
      <c r="I79" s="28"/>
      <c r="J79" s="28"/>
      <c r="K79" s="29"/>
    </row>
    <row r="80" spans="1:11" s="3" customFormat="1" ht="22.5" customHeight="1" x14ac:dyDescent="0.3">
      <c r="A80" s="25"/>
      <c r="B80" s="26" t="s">
        <v>156</v>
      </c>
      <c r="C80" s="419" t="s">
        <v>157</v>
      </c>
      <c r="D80" s="419"/>
      <c r="E80" s="419"/>
      <c r="F80" s="51" t="s">
        <v>158</v>
      </c>
      <c r="G80" s="49" t="s">
        <v>5495</v>
      </c>
      <c r="H80" s="58"/>
      <c r="I80" s="28"/>
      <c r="J80" s="28"/>
      <c r="K80" s="29"/>
    </row>
    <row r="81" spans="1:11" s="3" customFormat="1" ht="22.5" customHeight="1" x14ac:dyDescent="0.3">
      <c r="A81" s="37" t="s">
        <v>143</v>
      </c>
      <c r="B81" s="38" t="s">
        <v>159</v>
      </c>
      <c r="C81" s="430" t="s">
        <v>160</v>
      </c>
      <c r="D81" s="430"/>
      <c r="E81" s="430"/>
      <c r="F81" s="116" t="s">
        <v>46</v>
      </c>
      <c r="G81" s="107" t="s">
        <v>5496</v>
      </c>
      <c r="H81" s="100"/>
      <c r="I81" s="41"/>
      <c r="J81" s="41"/>
      <c r="K81" s="42"/>
    </row>
    <row r="82" spans="1:11" s="3" customFormat="1" ht="23.25" customHeight="1" x14ac:dyDescent="0.3">
      <c r="A82" s="25" t="s">
        <v>129</v>
      </c>
      <c r="B82" s="26" t="s">
        <v>161</v>
      </c>
      <c r="C82" s="419" t="s">
        <v>162</v>
      </c>
      <c r="D82" s="419"/>
      <c r="E82" s="419"/>
      <c r="F82" s="51" t="s">
        <v>46</v>
      </c>
      <c r="G82" s="49" t="s">
        <v>5496</v>
      </c>
      <c r="H82" s="58"/>
      <c r="I82" s="28"/>
      <c r="J82" s="28"/>
      <c r="K82" s="29"/>
    </row>
    <row r="83" spans="1:11" s="3" customFormat="1" ht="15" customHeight="1" x14ac:dyDescent="0.3">
      <c r="A83" s="437" t="s">
        <v>163</v>
      </c>
      <c r="B83" s="418"/>
      <c r="C83" s="418"/>
      <c r="D83" s="418"/>
      <c r="E83" s="418"/>
      <c r="F83" s="418"/>
      <c r="G83" s="418"/>
      <c r="H83" s="61"/>
      <c r="I83" s="61"/>
      <c r="J83" s="61"/>
      <c r="K83" s="62"/>
    </row>
    <row r="84" spans="1:11" s="3" customFormat="1" ht="15" customHeight="1" x14ac:dyDescent="0.3">
      <c r="A84" s="16" t="s">
        <v>56</v>
      </c>
      <c r="B84" s="17" t="s">
        <v>152</v>
      </c>
      <c r="C84" s="427" t="s">
        <v>153</v>
      </c>
      <c r="D84" s="428"/>
      <c r="E84" s="429"/>
      <c r="F84" s="114" t="s">
        <v>125</v>
      </c>
      <c r="G84" s="18">
        <v>3.4000000000000002E-2</v>
      </c>
      <c r="H84" s="57">
        <f>I84/G84</f>
        <v>154977.94117647057</v>
      </c>
      <c r="I84" s="19">
        <f>23735.72-K84</f>
        <v>5269.25</v>
      </c>
      <c r="J84" s="20">
        <f>K84/G84</f>
        <v>543131.4705882353</v>
      </c>
      <c r="K84" s="19">
        <v>18466.47</v>
      </c>
    </row>
    <row r="85" spans="1:11" s="3" customFormat="1" ht="22.5" customHeight="1" x14ac:dyDescent="0.3">
      <c r="A85" s="25"/>
      <c r="B85" s="26" t="s">
        <v>154</v>
      </c>
      <c r="C85" s="419" t="s">
        <v>155</v>
      </c>
      <c r="D85" s="419"/>
      <c r="E85" s="419"/>
      <c r="F85" s="51" t="s">
        <v>46</v>
      </c>
      <c r="G85" s="49" t="s">
        <v>5497</v>
      </c>
      <c r="H85" s="58"/>
      <c r="I85" s="28"/>
      <c r="J85" s="28"/>
      <c r="K85" s="29"/>
    </row>
    <row r="86" spans="1:11" s="3" customFormat="1" ht="22.5" customHeight="1" x14ac:dyDescent="0.3">
      <c r="A86" s="25"/>
      <c r="B86" s="26" t="s">
        <v>156</v>
      </c>
      <c r="C86" s="419" t="s">
        <v>157</v>
      </c>
      <c r="D86" s="419"/>
      <c r="E86" s="419"/>
      <c r="F86" s="51" t="s">
        <v>158</v>
      </c>
      <c r="G86" s="49" t="s">
        <v>5498</v>
      </c>
      <c r="H86" s="58"/>
      <c r="I86" s="28"/>
      <c r="J86" s="28"/>
      <c r="K86" s="29"/>
    </row>
    <row r="87" spans="1:11" s="3" customFormat="1" ht="22.5" customHeight="1" x14ac:dyDescent="0.3">
      <c r="A87" s="37" t="s">
        <v>143</v>
      </c>
      <c r="B87" s="38" t="s">
        <v>159</v>
      </c>
      <c r="C87" s="430" t="s">
        <v>160</v>
      </c>
      <c r="D87" s="430"/>
      <c r="E87" s="430"/>
      <c r="F87" s="116" t="s">
        <v>46</v>
      </c>
      <c r="G87" s="107" t="s">
        <v>5499</v>
      </c>
      <c r="H87" s="100"/>
      <c r="I87" s="41"/>
      <c r="J87" s="41"/>
      <c r="K87" s="42"/>
    </row>
    <row r="88" spans="1:11" s="3" customFormat="1" ht="23.25" customHeight="1" x14ac:dyDescent="0.3">
      <c r="A88" s="25" t="s">
        <v>129</v>
      </c>
      <c r="B88" s="26" t="s">
        <v>161</v>
      </c>
      <c r="C88" s="419" t="s">
        <v>162</v>
      </c>
      <c r="D88" s="419"/>
      <c r="E88" s="419"/>
      <c r="F88" s="51" t="s">
        <v>46</v>
      </c>
      <c r="G88" s="49" t="s">
        <v>5499</v>
      </c>
      <c r="H88" s="58"/>
      <c r="I88" s="28"/>
      <c r="J88" s="28"/>
      <c r="K88" s="29"/>
    </row>
    <row r="89" spans="1:11" s="3" customFormat="1" ht="15" customHeight="1" x14ac:dyDescent="0.3">
      <c r="A89" s="437" t="s">
        <v>164</v>
      </c>
      <c r="B89" s="418"/>
      <c r="C89" s="418"/>
      <c r="D89" s="418"/>
      <c r="E89" s="418"/>
      <c r="F89" s="418"/>
      <c r="G89" s="418"/>
      <c r="H89" s="61"/>
      <c r="I89" s="61"/>
      <c r="J89" s="61"/>
      <c r="K89" s="62"/>
    </row>
    <row r="90" spans="1:11" s="3" customFormat="1" ht="15" customHeight="1" x14ac:dyDescent="0.3">
      <c r="A90" s="437" t="s">
        <v>165</v>
      </c>
      <c r="B90" s="418"/>
      <c r="C90" s="418"/>
      <c r="D90" s="418"/>
      <c r="E90" s="418"/>
      <c r="F90" s="418"/>
      <c r="G90" s="418"/>
      <c r="H90" s="61"/>
      <c r="I90" s="61"/>
      <c r="J90" s="61"/>
      <c r="K90" s="62"/>
    </row>
    <row r="91" spans="1:11" s="3" customFormat="1" ht="45.75" customHeight="1" x14ac:dyDescent="0.3">
      <c r="A91" s="16" t="s">
        <v>166</v>
      </c>
      <c r="B91" s="17" t="s">
        <v>167</v>
      </c>
      <c r="C91" s="427" t="s">
        <v>168</v>
      </c>
      <c r="D91" s="428"/>
      <c r="E91" s="429"/>
      <c r="F91" s="114" t="s">
        <v>125</v>
      </c>
      <c r="G91" s="31">
        <v>15.09</v>
      </c>
      <c r="H91" s="57">
        <f t="shared" ref="H91:H97" si="0">I91/G91</f>
        <v>39279.430748840292</v>
      </c>
      <c r="I91" s="19">
        <v>592726.61</v>
      </c>
      <c r="J91" s="20">
        <f>K91/G91</f>
        <v>0</v>
      </c>
      <c r="K91" s="19">
        <v>0</v>
      </c>
    </row>
    <row r="92" spans="1:11" s="3" customFormat="1" ht="45.75" customHeight="1" x14ac:dyDescent="0.3">
      <c r="A92" s="16" t="s">
        <v>169</v>
      </c>
      <c r="B92" s="17" t="s">
        <v>48</v>
      </c>
      <c r="C92" s="427" t="s">
        <v>49</v>
      </c>
      <c r="D92" s="428"/>
      <c r="E92" s="429"/>
      <c r="F92" s="114" t="s">
        <v>50</v>
      </c>
      <c r="G92" s="23">
        <v>352</v>
      </c>
      <c r="H92" s="57">
        <f t="shared" si="0"/>
        <v>598.37579545454548</v>
      </c>
      <c r="I92" s="19">
        <v>210628.28</v>
      </c>
      <c r="J92" s="20">
        <f t="shared" ref="J92:J97" si="1">K92/G92</f>
        <v>0</v>
      </c>
      <c r="K92" s="19">
        <v>0</v>
      </c>
    </row>
    <row r="93" spans="1:11" s="3" customFormat="1" ht="45.75" customHeight="1" x14ac:dyDescent="0.3">
      <c r="A93" s="16" t="s">
        <v>170</v>
      </c>
      <c r="B93" s="17" t="s">
        <v>171</v>
      </c>
      <c r="C93" s="427" t="s">
        <v>172</v>
      </c>
      <c r="D93" s="428"/>
      <c r="E93" s="429"/>
      <c r="F93" s="114" t="s">
        <v>50</v>
      </c>
      <c r="G93" s="23">
        <v>2578</v>
      </c>
      <c r="H93" s="57">
        <f t="shared" si="0"/>
        <v>1056.2310007757951</v>
      </c>
      <c r="I93" s="19">
        <v>2722963.52</v>
      </c>
      <c r="J93" s="20">
        <f t="shared" si="1"/>
        <v>0</v>
      </c>
      <c r="K93" s="19">
        <v>0</v>
      </c>
    </row>
    <row r="94" spans="1:11" s="3" customFormat="1" ht="45.75" customHeight="1" x14ac:dyDescent="0.3">
      <c r="A94" s="16" t="s">
        <v>173</v>
      </c>
      <c r="B94" s="17" t="s">
        <v>174</v>
      </c>
      <c r="C94" s="427" t="s">
        <v>175</v>
      </c>
      <c r="D94" s="428"/>
      <c r="E94" s="429"/>
      <c r="F94" s="114" t="s">
        <v>125</v>
      </c>
      <c r="G94" s="31">
        <v>6.46</v>
      </c>
      <c r="H94" s="57">
        <f t="shared" si="0"/>
        <v>45322.422600619189</v>
      </c>
      <c r="I94" s="19">
        <v>292782.84999999998</v>
      </c>
      <c r="J94" s="20">
        <f t="shared" si="1"/>
        <v>0</v>
      </c>
      <c r="K94" s="19">
        <v>0</v>
      </c>
    </row>
    <row r="95" spans="1:11" s="3" customFormat="1" ht="45.75" customHeight="1" x14ac:dyDescent="0.3">
      <c r="A95" s="16" t="s">
        <v>176</v>
      </c>
      <c r="B95" s="17" t="s">
        <v>171</v>
      </c>
      <c r="C95" s="427" t="s">
        <v>172</v>
      </c>
      <c r="D95" s="428"/>
      <c r="E95" s="429"/>
      <c r="F95" s="114" t="s">
        <v>50</v>
      </c>
      <c r="G95" s="23">
        <v>1292</v>
      </c>
      <c r="H95" s="57">
        <f t="shared" si="0"/>
        <v>1056.2309984520123</v>
      </c>
      <c r="I95" s="19">
        <v>1364650.45</v>
      </c>
      <c r="J95" s="20">
        <f t="shared" si="1"/>
        <v>0</v>
      </c>
      <c r="K95" s="19">
        <v>0</v>
      </c>
    </row>
    <row r="96" spans="1:11" s="3" customFormat="1" ht="45.75" customHeight="1" x14ac:dyDescent="0.3">
      <c r="A96" s="16" t="s">
        <v>177</v>
      </c>
      <c r="B96" s="17" t="s">
        <v>178</v>
      </c>
      <c r="C96" s="427" t="s">
        <v>179</v>
      </c>
      <c r="D96" s="428"/>
      <c r="E96" s="429"/>
      <c r="F96" s="114" t="s">
        <v>125</v>
      </c>
      <c r="G96" s="31">
        <v>4.66</v>
      </c>
      <c r="H96" s="57">
        <f t="shared" si="0"/>
        <v>61185.757510729614</v>
      </c>
      <c r="I96" s="19">
        <v>285125.63</v>
      </c>
      <c r="J96" s="20">
        <f t="shared" si="1"/>
        <v>0</v>
      </c>
      <c r="K96" s="19">
        <v>0</v>
      </c>
    </row>
    <row r="97" spans="1:11" s="3" customFormat="1" ht="45.75" customHeight="1" x14ac:dyDescent="0.3">
      <c r="A97" s="16" t="s">
        <v>180</v>
      </c>
      <c r="B97" s="17" t="s">
        <v>48</v>
      </c>
      <c r="C97" s="427" t="s">
        <v>49</v>
      </c>
      <c r="D97" s="428"/>
      <c r="E97" s="429"/>
      <c r="F97" s="114" t="s">
        <v>50</v>
      </c>
      <c r="G97" s="23">
        <v>932</v>
      </c>
      <c r="H97" s="57">
        <f t="shared" si="0"/>
        <v>598.37580472103002</v>
      </c>
      <c r="I97" s="19">
        <v>557686.25</v>
      </c>
      <c r="J97" s="20">
        <f t="shared" si="1"/>
        <v>0</v>
      </c>
      <c r="K97" s="19">
        <v>0</v>
      </c>
    </row>
    <row r="98" spans="1:11" s="3" customFormat="1" ht="15" customHeight="1" x14ac:dyDescent="0.3">
      <c r="A98" s="437" t="s">
        <v>181</v>
      </c>
      <c r="B98" s="418"/>
      <c r="C98" s="418"/>
      <c r="D98" s="418"/>
      <c r="E98" s="418"/>
      <c r="F98" s="418"/>
      <c r="G98" s="418"/>
      <c r="H98" s="61"/>
      <c r="I98" s="61"/>
      <c r="J98" s="61"/>
      <c r="K98" s="62"/>
    </row>
    <row r="99" spans="1:11" s="3" customFormat="1" ht="23.25" customHeight="1" x14ac:dyDescent="0.3">
      <c r="A99" s="16" t="s">
        <v>182</v>
      </c>
      <c r="B99" s="17" t="s">
        <v>183</v>
      </c>
      <c r="C99" s="427" t="s">
        <v>184</v>
      </c>
      <c r="D99" s="428"/>
      <c r="E99" s="429"/>
      <c r="F99" s="114" t="s">
        <v>125</v>
      </c>
      <c r="G99" s="31">
        <v>0.33</v>
      </c>
      <c r="H99" s="57">
        <f>I99/G99</f>
        <v>71283.818181818177</v>
      </c>
      <c r="I99" s="19">
        <v>23523.66</v>
      </c>
      <c r="J99" s="20">
        <f>K99/G99</f>
        <v>0</v>
      </c>
      <c r="K99" s="19">
        <v>0</v>
      </c>
    </row>
    <row r="100" spans="1:11" s="3" customFormat="1" ht="15" customHeight="1" x14ac:dyDescent="0.3">
      <c r="A100" s="437" t="s">
        <v>185</v>
      </c>
      <c r="B100" s="418"/>
      <c r="C100" s="418"/>
      <c r="D100" s="418"/>
      <c r="E100" s="418"/>
      <c r="F100" s="418"/>
      <c r="G100" s="418"/>
      <c r="H100" s="61"/>
      <c r="I100" s="61"/>
      <c r="J100" s="61"/>
      <c r="K100" s="62"/>
    </row>
    <row r="101" spans="1:11" s="3" customFormat="1" ht="23.25" customHeight="1" x14ac:dyDescent="0.3">
      <c r="A101" s="16" t="s">
        <v>186</v>
      </c>
      <c r="B101" s="17" t="s">
        <v>187</v>
      </c>
      <c r="C101" s="427" t="s">
        <v>188</v>
      </c>
      <c r="D101" s="428"/>
      <c r="E101" s="429"/>
      <c r="F101" s="114" t="s">
        <v>189</v>
      </c>
      <c r="G101" s="18">
        <v>1.7709999999999999</v>
      </c>
      <c r="H101" s="57">
        <f>I101/G101</f>
        <v>431.55279503105589</v>
      </c>
      <c r="I101" s="19">
        <v>764.28</v>
      </c>
      <c r="J101" s="20">
        <f>K101/G101</f>
        <v>0</v>
      </c>
      <c r="K101" s="19">
        <v>0</v>
      </c>
    </row>
    <row r="102" spans="1:11" s="3" customFormat="1" ht="15" customHeight="1" x14ac:dyDescent="0.3">
      <c r="A102" s="435" t="s">
        <v>190</v>
      </c>
      <c r="B102" s="436"/>
      <c r="C102" s="436"/>
      <c r="D102" s="436"/>
      <c r="E102" s="436"/>
      <c r="F102" s="436"/>
      <c r="G102" s="436"/>
      <c r="H102" s="96"/>
      <c r="I102" s="96"/>
      <c r="J102" s="96"/>
      <c r="K102" s="97"/>
    </row>
    <row r="103" spans="1:11" s="3" customFormat="1" ht="15" customHeight="1" x14ac:dyDescent="0.3">
      <c r="A103" s="437" t="s">
        <v>191</v>
      </c>
      <c r="B103" s="418"/>
      <c r="C103" s="418"/>
      <c r="D103" s="418"/>
      <c r="E103" s="418"/>
      <c r="F103" s="418"/>
      <c r="G103" s="418"/>
      <c r="H103" s="61"/>
      <c r="I103" s="61"/>
      <c r="J103" s="61"/>
      <c r="K103" s="62"/>
    </row>
    <row r="104" spans="1:11" s="3" customFormat="1" ht="34.5" customHeight="1" x14ac:dyDescent="0.3">
      <c r="A104" s="16" t="s">
        <v>192</v>
      </c>
      <c r="B104" s="17" t="s">
        <v>193</v>
      </c>
      <c r="C104" s="427" t="s">
        <v>194</v>
      </c>
      <c r="D104" s="428"/>
      <c r="E104" s="429"/>
      <c r="F104" s="114" t="s">
        <v>67</v>
      </c>
      <c r="G104" s="18">
        <v>1.125</v>
      </c>
      <c r="H104" s="57">
        <f>I104/G104</f>
        <v>462317.36000000004</v>
      </c>
      <c r="I104" s="19">
        <f>707444.13-K104</f>
        <v>520107.03</v>
      </c>
      <c r="J104" s="20">
        <f>K104/G104</f>
        <v>166521.86666666667</v>
      </c>
      <c r="K104" s="19">
        <v>187337.1</v>
      </c>
    </row>
    <row r="105" spans="1:11" s="3" customFormat="1" ht="23.25" customHeight="1" x14ac:dyDescent="0.3">
      <c r="A105" s="25"/>
      <c r="B105" s="26" t="s">
        <v>68</v>
      </c>
      <c r="C105" s="419" t="s">
        <v>69</v>
      </c>
      <c r="D105" s="419"/>
      <c r="E105" s="419"/>
      <c r="F105" s="51" t="s">
        <v>70</v>
      </c>
      <c r="G105" s="49" t="s">
        <v>5544</v>
      </c>
      <c r="H105" s="58"/>
      <c r="I105" s="28"/>
      <c r="J105" s="28"/>
      <c r="K105" s="29"/>
    </row>
    <row r="106" spans="1:11" s="3" customFormat="1" ht="23.25" customHeight="1" x14ac:dyDescent="0.3">
      <c r="A106" s="25"/>
      <c r="B106" s="26" t="s">
        <v>71</v>
      </c>
      <c r="C106" s="419" t="s">
        <v>72</v>
      </c>
      <c r="D106" s="419"/>
      <c r="E106" s="419"/>
      <c r="F106" s="51" t="s">
        <v>70</v>
      </c>
      <c r="G106" s="49" t="s">
        <v>5545</v>
      </c>
      <c r="H106" s="58"/>
      <c r="I106" s="28"/>
      <c r="J106" s="28"/>
      <c r="K106" s="29"/>
    </row>
    <row r="107" spans="1:11" s="3" customFormat="1" ht="22.5" customHeight="1" x14ac:dyDescent="0.3">
      <c r="A107" s="25"/>
      <c r="B107" s="26" t="s">
        <v>73</v>
      </c>
      <c r="C107" s="419" t="s">
        <v>74</v>
      </c>
      <c r="D107" s="419"/>
      <c r="E107" s="419"/>
      <c r="F107" s="51" t="s">
        <v>75</v>
      </c>
      <c r="G107" s="49" t="s">
        <v>5546</v>
      </c>
      <c r="H107" s="58"/>
      <c r="I107" s="28"/>
      <c r="J107" s="28"/>
      <c r="K107" s="29"/>
    </row>
    <row r="108" spans="1:11" s="3" customFormat="1" ht="23.25" customHeight="1" x14ac:dyDescent="0.3">
      <c r="A108" s="37" t="s">
        <v>78</v>
      </c>
      <c r="B108" s="38" t="s">
        <v>79</v>
      </c>
      <c r="C108" s="430" t="s">
        <v>80</v>
      </c>
      <c r="D108" s="430"/>
      <c r="E108" s="430"/>
      <c r="F108" s="116" t="s">
        <v>46</v>
      </c>
      <c r="G108" s="40" t="s">
        <v>33</v>
      </c>
      <c r="H108" s="100"/>
      <c r="I108" s="41"/>
      <c r="J108" s="41"/>
      <c r="K108" s="42"/>
    </row>
    <row r="109" spans="1:11" s="3" customFormat="1" ht="23.25" customHeight="1" x14ac:dyDescent="0.3">
      <c r="A109" s="37" t="s">
        <v>78</v>
      </c>
      <c r="B109" s="38" t="s">
        <v>81</v>
      </c>
      <c r="C109" s="430" t="s">
        <v>82</v>
      </c>
      <c r="D109" s="430"/>
      <c r="E109" s="430"/>
      <c r="F109" s="116" t="s">
        <v>46</v>
      </c>
      <c r="G109" s="40" t="s">
        <v>33</v>
      </c>
      <c r="H109" s="100"/>
      <c r="I109" s="41"/>
      <c r="J109" s="41"/>
      <c r="K109" s="42"/>
    </row>
    <row r="110" spans="1:11" s="3" customFormat="1" ht="23.25" customHeight="1" x14ac:dyDescent="0.3">
      <c r="A110" s="25"/>
      <c r="B110" s="26" t="s">
        <v>83</v>
      </c>
      <c r="C110" s="419" t="s">
        <v>84</v>
      </c>
      <c r="D110" s="419"/>
      <c r="E110" s="419"/>
      <c r="F110" s="51" t="s">
        <v>46</v>
      </c>
      <c r="G110" s="49" t="s">
        <v>5547</v>
      </c>
      <c r="H110" s="58"/>
      <c r="I110" s="28"/>
      <c r="J110" s="28"/>
      <c r="K110" s="29"/>
    </row>
    <row r="111" spans="1:11" s="3" customFormat="1" ht="22.5" customHeight="1" x14ac:dyDescent="0.3">
      <c r="A111" s="37" t="s">
        <v>78</v>
      </c>
      <c r="B111" s="38" t="s">
        <v>85</v>
      </c>
      <c r="C111" s="430" t="s">
        <v>86</v>
      </c>
      <c r="D111" s="430"/>
      <c r="E111" s="430"/>
      <c r="F111" s="116" t="s">
        <v>46</v>
      </c>
      <c r="G111" s="40" t="s">
        <v>33</v>
      </c>
      <c r="H111" s="100"/>
      <c r="I111" s="41"/>
      <c r="J111" s="41"/>
      <c r="K111" s="42"/>
    </row>
    <row r="112" spans="1:11" s="3" customFormat="1" ht="22.5" customHeight="1" x14ac:dyDescent="0.3">
      <c r="A112" s="25"/>
      <c r="B112" s="26" t="s">
        <v>89</v>
      </c>
      <c r="C112" s="419" t="s">
        <v>90</v>
      </c>
      <c r="D112" s="419"/>
      <c r="E112" s="419"/>
      <c r="F112" s="51" t="s">
        <v>70</v>
      </c>
      <c r="G112" s="49" t="s">
        <v>5548</v>
      </c>
      <c r="H112" s="58"/>
      <c r="I112" s="28"/>
      <c r="J112" s="28"/>
      <c r="K112" s="29"/>
    </row>
    <row r="113" spans="1:11" s="3" customFormat="1" ht="23.25" customHeight="1" x14ac:dyDescent="0.3">
      <c r="A113" s="25" t="s">
        <v>129</v>
      </c>
      <c r="B113" s="26" t="s">
        <v>130</v>
      </c>
      <c r="C113" s="419" t="s">
        <v>131</v>
      </c>
      <c r="D113" s="419"/>
      <c r="E113" s="419"/>
      <c r="F113" s="51" t="s">
        <v>46</v>
      </c>
      <c r="G113" s="49" t="s">
        <v>5549</v>
      </c>
      <c r="H113" s="58"/>
      <c r="I113" s="28"/>
      <c r="J113" s="28"/>
      <c r="K113" s="29"/>
    </row>
    <row r="114" spans="1:11" s="3" customFormat="1" ht="15" customHeight="1" x14ac:dyDescent="0.3">
      <c r="A114" s="437" t="s">
        <v>195</v>
      </c>
      <c r="B114" s="418"/>
      <c r="C114" s="418"/>
      <c r="D114" s="418"/>
      <c r="E114" s="418"/>
      <c r="F114" s="418"/>
      <c r="G114" s="418"/>
      <c r="H114" s="61"/>
      <c r="I114" s="61"/>
      <c r="J114" s="61"/>
      <c r="K114" s="62"/>
    </row>
    <row r="115" spans="1:11" s="3" customFormat="1" ht="23.25" customHeight="1" x14ac:dyDescent="0.3">
      <c r="A115" s="16" t="s">
        <v>196</v>
      </c>
      <c r="B115" s="17" t="s">
        <v>140</v>
      </c>
      <c r="C115" s="427" t="s">
        <v>141</v>
      </c>
      <c r="D115" s="428"/>
      <c r="E115" s="429"/>
      <c r="F115" s="114" t="s">
        <v>142</v>
      </c>
      <c r="G115" s="31">
        <v>0.51</v>
      </c>
      <c r="H115" s="57">
        <f>I115/G115</f>
        <v>106720.09803921568</v>
      </c>
      <c r="I115" s="19">
        <f>77828.66-K115</f>
        <v>54427.25</v>
      </c>
      <c r="J115" s="20">
        <f>K115/G115</f>
        <v>45885.117647058825</v>
      </c>
      <c r="K115" s="19">
        <v>23401.41</v>
      </c>
    </row>
    <row r="116" spans="1:11" s="3" customFormat="1" ht="23.25" customHeight="1" x14ac:dyDescent="0.3">
      <c r="A116" s="25"/>
      <c r="B116" s="26" t="s">
        <v>111</v>
      </c>
      <c r="C116" s="419" t="s">
        <v>112</v>
      </c>
      <c r="D116" s="419"/>
      <c r="E116" s="419"/>
      <c r="F116" s="51" t="s">
        <v>46</v>
      </c>
      <c r="G116" s="49" t="s">
        <v>5550</v>
      </c>
      <c r="H116" s="58"/>
      <c r="I116" s="28"/>
      <c r="J116" s="28"/>
      <c r="K116" s="29"/>
    </row>
    <row r="117" spans="1:11" s="3" customFormat="1" ht="22.5" customHeight="1" x14ac:dyDescent="0.3">
      <c r="A117" s="37" t="s">
        <v>143</v>
      </c>
      <c r="B117" s="38" t="s">
        <v>144</v>
      </c>
      <c r="C117" s="430" t="s">
        <v>86</v>
      </c>
      <c r="D117" s="430"/>
      <c r="E117" s="430"/>
      <c r="F117" s="116" t="s">
        <v>38</v>
      </c>
      <c r="G117" s="107" t="s">
        <v>5551</v>
      </c>
      <c r="H117" s="100"/>
      <c r="I117" s="41"/>
      <c r="J117" s="41"/>
      <c r="K117" s="42"/>
    </row>
    <row r="118" spans="1:11" s="3" customFormat="1" ht="23.25" customHeight="1" x14ac:dyDescent="0.3">
      <c r="A118" s="25" t="s">
        <v>129</v>
      </c>
      <c r="B118" s="26" t="s">
        <v>145</v>
      </c>
      <c r="C118" s="419" t="s">
        <v>146</v>
      </c>
      <c r="D118" s="419"/>
      <c r="E118" s="419"/>
      <c r="F118" s="51" t="s">
        <v>46</v>
      </c>
      <c r="G118" s="49" t="s">
        <v>5515</v>
      </c>
      <c r="H118" s="58"/>
      <c r="I118" s="28"/>
      <c r="J118" s="28"/>
      <c r="K118" s="29"/>
    </row>
    <row r="119" spans="1:11" s="3" customFormat="1" ht="15" customHeight="1" x14ac:dyDescent="0.3">
      <c r="A119" s="437" t="s">
        <v>197</v>
      </c>
      <c r="B119" s="418"/>
      <c r="C119" s="418"/>
      <c r="D119" s="418"/>
      <c r="E119" s="418"/>
      <c r="F119" s="418"/>
      <c r="G119" s="418"/>
      <c r="H119" s="61"/>
      <c r="I119" s="61"/>
      <c r="J119" s="61"/>
      <c r="K119" s="62"/>
    </row>
    <row r="120" spans="1:11" s="3" customFormat="1" ht="15" customHeight="1" x14ac:dyDescent="0.3">
      <c r="A120" s="16" t="s">
        <v>198</v>
      </c>
      <c r="B120" s="17" t="s">
        <v>152</v>
      </c>
      <c r="C120" s="427" t="s">
        <v>153</v>
      </c>
      <c r="D120" s="428"/>
      <c r="E120" s="429"/>
      <c r="F120" s="114" t="s">
        <v>125</v>
      </c>
      <c r="G120" s="30">
        <v>1.6999999999999999E-3</v>
      </c>
      <c r="H120" s="57">
        <f>I120/G120</f>
        <v>154976.47058823524</v>
      </c>
      <c r="I120" s="19">
        <f>1186.78-K120</f>
        <v>263.45999999999992</v>
      </c>
      <c r="J120" s="20">
        <f>K120/G120</f>
        <v>543129.4117647059</v>
      </c>
      <c r="K120" s="19">
        <v>923.32</v>
      </c>
    </row>
    <row r="121" spans="1:11" s="3" customFormat="1" ht="22.5" customHeight="1" x14ac:dyDescent="0.3">
      <c r="A121" s="25"/>
      <c r="B121" s="26" t="s">
        <v>154</v>
      </c>
      <c r="C121" s="419" t="s">
        <v>155</v>
      </c>
      <c r="D121" s="419"/>
      <c r="E121" s="419"/>
      <c r="F121" s="51" t="s">
        <v>46</v>
      </c>
      <c r="G121" s="49" t="s">
        <v>5514</v>
      </c>
      <c r="H121" s="58"/>
      <c r="I121" s="28"/>
      <c r="J121" s="28"/>
      <c r="K121" s="29"/>
    </row>
    <row r="122" spans="1:11" s="3" customFormat="1" ht="22.5" customHeight="1" x14ac:dyDescent="0.3">
      <c r="A122" s="25"/>
      <c r="B122" s="26" t="s">
        <v>156</v>
      </c>
      <c r="C122" s="419" t="s">
        <v>157</v>
      </c>
      <c r="D122" s="419"/>
      <c r="E122" s="419"/>
      <c r="F122" s="51" t="s">
        <v>158</v>
      </c>
      <c r="G122" s="49" t="s">
        <v>5513</v>
      </c>
      <c r="H122" s="58"/>
      <c r="I122" s="28"/>
      <c r="J122" s="28"/>
      <c r="K122" s="29"/>
    </row>
    <row r="123" spans="1:11" s="3" customFormat="1" ht="22.5" customHeight="1" x14ac:dyDescent="0.3">
      <c r="A123" s="37" t="s">
        <v>143</v>
      </c>
      <c r="B123" s="38" t="s">
        <v>159</v>
      </c>
      <c r="C123" s="430" t="s">
        <v>160</v>
      </c>
      <c r="D123" s="430"/>
      <c r="E123" s="430"/>
      <c r="F123" s="116" t="s">
        <v>46</v>
      </c>
      <c r="G123" s="107" t="s">
        <v>5512</v>
      </c>
      <c r="H123" s="100"/>
      <c r="I123" s="41"/>
      <c r="J123" s="41"/>
      <c r="K123" s="42"/>
    </row>
    <row r="124" spans="1:11" s="3" customFormat="1" ht="23.25" customHeight="1" x14ac:dyDescent="0.3">
      <c r="A124" s="25" t="s">
        <v>129</v>
      </c>
      <c r="B124" s="26" t="s">
        <v>161</v>
      </c>
      <c r="C124" s="419" t="s">
        <v>162</v>
      </c>
      <c r="D124" s="419"/>
      <c r="E124" s="419"/>
      <c r="F124" s="51" t="s">
        <v>46</v>
      </c>
      <c r="G124" s="49" t="s">
        <v>5512</v>
      </c>
      <c r="H124" s="58"/>
      <c r="I124" s="28"/>
      <c r="J124" s="28"/>
      <c r="K124" s="29"/>
    </row>
    <row r="125" spans="1:11" s="3" customFormat="1" ht="15" customHeight="1" x14ac:dyDescent="0.3">
      <c r="A125" s="435" t="s">
        <v>199</v>
      </c>
      <c r="B125" s="436"/>
      <c r="C125" s="436"/>
      <c r="D125" s="436"/>
      <c r="E125" s="436"/>
      <c r="F125" s="436"/>
      <c r="G125" s="436"/>
      <c r="H125" s="96"/>
      <c r="I125" s="96"/>
      <c r="J125" s="96"/>
      <c r="K125" s="97"/>
    </row>
    <row r="126" spans="1:11" s="3" customFormat="1" ht="15" customHeight="1" x14ac:dyDescent="0.3">
      <c r="A126" s="437" t="s">
        <v>200</v>
      </c>
      <c r="B126" s="418"/>
      <c r="C126" s="418"/>
      <c r="D126" s="418"/>
      <c r="E126" s="418"/>
      <c r="F126" s="418"/>
      <c r="G126" s="418"/>
      <c r="H126" s="61"/>
      <c r="I126" s="61"/>
      <c r="J126" s="61"/>
      <c r="K126" s="62"/>
    </row>
    <row r="127" spans="1:11" s="3" customFormat="1" ht="45.75" customHeight="1" x14ac:dyDescent="0.3">
      <c r="A127" s="16" t="s">
        <v>201</v>
      </c>
      <c r="B127" s="17" t="s">
        <v>202</v>
      </c>
      <c r="C127" s="427" t="s">
        <v>203</v>
      </c>
      <c r="D127" s="428"/>
      <c r="E127" s="429"/>
      <c r="F127" s="114" t="s">
        <v>102</v>
      </c>
      <c r="G127" s="18">
        <v>0.56899999999999995</v>
      </c>
      <c r="H127" s="57">
        <f>I127/G127</f>
        <v>146247.08260105448</v>
      </c>
      <c r="I127" s="19">
        <f>175842-K127</f>
        <v>83214.59</v>
      </c>
      <c r="J127" s="20">
        <f>K127/G127</f>
        <v>162789.82425307558</v>
      </c>
      <c r="K127" s="19">
        <v>92627.41</v>
      </c>
    </row>
    <row r="128" spans="1:11" s="3" customFormat="1" ht="22.5" customHeight="1" x14ac:dyDescent="0.3">
      <c r="A128" s="25"/>
      <c r="B128" s="26" t="s">
        <v>103</v>
      </c>
      <c r="C128" s="419" t="s">
        <v>104</v>
      </c>
      <c r="D128" s="419"/>
      <c r="E128" s="419"/>
      <c r="F128" s="51" t="s">
        <v>70</v>
      </c>
      <c r="G128" s="49" t="s">
        <v>5511</v>
      </c>
      <c r="H128" s="58"/>
      <c r="I128" s="28"/>
      <c r="J128" s="28"/>
      <c r="K128" s="29"/>
    </row>
    <row r="129" spans="1:11" s="3" customFormat="1" ht="23.25" customHeight="1" x14ac:dyDescent="0.3">
      <c r="A129" s="25"/>
      <c r="B129" s="26" t="s">
        <v>81</v>
      </c>
      <c r="C129" s="419" t="s">
        <v>82</v>
      </c>
      <c r="D129" s="419"/>
      <c r="E129" s="419"/>
      <c r="F129" s="51" t="s">
        <v>46</v>
      </c>
      <c r="G129" s="49" t="s">
        <v>5506</v>
      </c>
      <c r="H129" s="58"/>
      <c r="I129" s="28"/>
      <c r="J129" s="28"/>
      <c r="K129" s="29"/>
    </row>
    <row r="130" spans="1:11" s="3" customFormat="1" ht="34.5" customHeight="1" x14ac:dyDescent="0.3">
      <c r="A130" s="25"/>
      <c r="B130" s="26" t="s">
        <v>105</v>
      </c>
      <c r="C130" s="419" t="s">
        <v>106</v>
      </c>
      <c r="D130" s="419"/>
      <c r="E130" s="419"/>
      <c r="F130" s="51" t="s">
        <v>70</v>
      </c>
      <c r="G130" s="49" t="s">
        <v>5510</v>
      </c>
      <c r="H130" s="58"/>
      <c r="I130" s="28"/>
      <c r="J130" s="28"/>
      <c r="K130" s="29"/>
    </row>
    <row r="131" spans="1:11" s="3" customFormat="1" ht="23.25" customHeight="1" x14ac:dyDescent="0.3">
      <c r="A131" s="25"/>
      <c r="B131" s="26" t="s">
        <v>107</v>
      </c>
      <c r="C131" s="419" t="s">
        <v>108</v>
      </c>
      <c r="D131" s="419"/>
      <c r="E131" s="419"/>
      <c r="F131" s="51" t="s">
        <v>46</v>
      </c>
      <c r="G131" s="49" t="s">
        <v>5509</v>
      </c>
      <c r="H131" s="58"/>
      <c r="I131" s="28"/>
      <c r="J131" s="28"/>
      <c r="K131" s="29"/>
    </row>
    <row r="132" spans="1:11" s="3" customFormat="1" ht="22.5" customHeight="1" x14ac:dyDescent="0.3">
      <c r="A132" s="25"/>
      <c r="B132" s="26" t="s">
        <v>109</v>
      </c>
      <c r="C132" s="419" t="s">
        <v>110</v>
      </c>
      <c r="D132" s="419"/>
      <c r="E132" s="419"/>
      <c r="F132" s="51" t="s">
        <v>46</v>
      </c>
      <c r="G132" s="49" t="s">
        <v>5508</v>
      </c>
      <c r="H132" s="58"/>
      <c r="I132" s="28"/>
      <c r="J132" s="28"/>
      <c r="K132" s="29"/>
    </row>
    <row r="133" spans="1:11" s="3" customFormat="1" ht="23.25" customHeight="1" x14ac:dyDescent="0.3">
      <c r="A133" s="25"/>
      <c r="B133" s="26" t="s">
        <v>111</v>
      </c>
      <c r="C133" s="419" t="s">
        <v>112</v>
      </c>
      <c r="D133" s="419"/>
      <c r="E133" s="419"/>
      <c r="F133" s="51" t="s">
        <v>46</v>
      </c>
      <c r="G133" s="49" t="s">
        <v>5507</v>
      </c>
      <c r="H133" s="58"/>
      <c r="I133" s="28"/>
      <c r="J133" s="28"/>
      <c r="K133" s="29"/>
    </row>
    <row r="134" spans="1:11" s="3" customFormat="1" ht="23.25" customHeight="1" x14ac:dyDescent="0.3">
      <c r="A134" s="37" t="s">
        <v>78</v>
      </c>
      <c r="B134" s="38" t="s">
        <v>113</v>
      </c>
      <c r="C134" s="430" t="s">
        <v>204</v>
      </c>
      <c r="D134" s="430"/>
      <c r="E134" s="430"/>
      <c r="F134" s="116" t="s">
        <v>115</v>
      </c>
      <c r="G134" s="40" t="s">
        <v>33</v>
      </c>
      <c r="H134" s="100"/>
      <c r="I134" s="41"/>
      <c r="J134" s="41"/>
      <c r="K134" s="42"/>
    </row>
    <row r="135" spans="1:11" s="3" customFormat="1" ht="22.5" customHeight="1" x14ac:dyDescent="0.3">
      <c r="A135" s="37" t="s">
        <v>78</v>
      </c>
      <c r="B135" s="38" t="s">
        <v>116</v>
      </c>
      <c r="C135" s="430" t="s">
        <v>117</v>
      </c>
      <c r="D135" s="430"/>
      <c r="E135" s="430"/>
      <c r="F135" s="116" t="s">
        <v>38</v>
      </c>
      <c r="G135" s="40" t="s">
        <v>33</v>
      </c>
      <c r="H135" s="100"/>
      <c r="I135" s="41"/>
      <c r="J135" s="41"/>
      <c r="K135" s="42"/>
    </row>
    <row r="136" spans="1:11" s="3" customFormat="1" ht="23.25" customHeight="1" x14ac:dyDescent="0.3">
      <c r="A136" s="37" t="s">
        <v>78</v>
      </c>
      <c r="B136" s="38" t="s">
        <v>118</v>
      </c>
      <c r="C136" s="430" t="s">
        <v>119</v>
      </c>
      <c r="D136" s="430"/>
      <c r="E136" s="430"/>
      <c r="F136" s="116" t="s">
        <v>70</v>
      </c>
      <c r="G136" s="40" t="s">
        <v>33</v>
      </c>
      <c r="H136" s="100"/>
      <c r="I136" s="41"/>
      <c r="J136" s="41"/>
      <c r="K136" s="42"/>
    </row>
    <row r="137" spans="1:11" s="3" customFormat="1" ht="22.5" customHeight="1" x14ac:dyDescent="0.3">
      <c r="A137" s="37" t="s">
        <v>78</v>
      </c>
      <c r="B137" s="38" t="s">
        <v>120</v>
      </c>
      <c r="C137" s="430" t="s">
        <v>121</v>
      </c>
      <c r="D137" s="430"/>
      <c r="E137" s="430"/>
      <c r="F137" s="116" t="s">
        <v>38</v>
      </c>
      <c r="G137" s="40" t="s">
        <v>33</v>
      </c>
      <c r="H137" s="100"/>
      <c r="I137" s="41"/>
      <c r="J137" s="41"/>
      <c r="K137" s="42"/>
    </row>
    <row r="138" spans="1:11" s="3" customFormat="1" ht="23.25" customHeight="1" x14ac:dyDescent="0.3">
      <c r="A138" s="25" t="s">
        <v>129</v>
      </c>
      <c r="B138" s="26" t="s">
        <v>205</v>
      </c>
      <c r="C138" s="419" t="s">
        <v>82</v>
      </c>
      <c r="D138" s="419"/>
      <c r="E138" s="419"/>
      <c r="F138" s="51" t="s">
        <v>46</v>
      </c>
      <c r="G138" s="49" t="s">
        <v>5506</v>
      </c>
      <c r="H138" s="58"/>
      <c r="I138" s="28"/>
      <c r="J138" s="28"/>
      <c r="K138" s="29"/>
    </row>
    <row r="139" spans="1:11" s="3" customFormat="1" ht="34.5" customHeight="1" x14ac:dyDescent="0.3">
      <c r="A139" s="25" t="s">
        <v>129</v>
      </c>
      <c r="B139" s="26" t="s">
        <v>206</v>
      </c>
      <c r="C139" s="419" t="s">
        <v>207</v>
      </c>
      <c r="D139" s="419"/>
      <c r="E139" s="419"/>
      <c r="F139" s="51" t="s">
        <v>38</v>
      </c>
      <c r="G139" s="49" t="s">
        <v>5505</v>
      </c>
      <c r="H139" s="58"/>
      <c r="I139" s="28"/>
      <c r="J139" s="28"/>
      <c r="K139" s="29"/>
    </row>
    <row r="140" spans="1:11" s="3" customFormat="1" ht="34.5" customHeight="1" x14ac:dyDescent="0.3">
      <c r="A140" s="25" t="s">
        <v>129</v>
      </c>
      <c r="B140" s="26" t="s">
        <v>208</v>
      </c>
      <c r="C140" s="419" t="s">
        <v>209</v>
      </c>
      <c r="D140" s="419"/>
      <c r="E140" s="419"/>
      <c r="F140" s="51" t="s">
        <v>38</v>
      </c>
      <c r="G140" s="49" t="s">
        <v>5504</v>
      </c>
      <c r="H140" s="58"/>
      <c r="I140" s="28"/>
      <c r="J140" s="28"/>
      <c r="K140" s="29"/>
    </row>
    <row r="141" spans="1:11" s="3" customFormat="1" ht="23.25" customHeight="1" x14ac:dyDescent="0.3">
      <c r="A141" s="25" t="s">
        <v>129</v>
      </c>
      <c r="B141" s="26" t="s">
        <v>210</v>
      </c>
      <c r="C141" s="419" t="s">
        <v>211</v>
      </c>
      <c r="D141" s="419"/>
      <c r="E141" s="419"/>
      <c r="F141" s="51" t="s">
        <v>38</v>
      </c>
      <c r="G141" s="49" t="s">
        <v>5503</v>
      </c>
      <c r="H141" s="58"/>
      <c r="I141" s="28"/>
      <c r="J141" s="28"/>
      <c r="K141" s="29"/>
    </row>
    <row r="142" spans="1:11" s="3" customFormat="1" ht="23.25" customHeight="1" x14ac:dyDescent="0.3">
      <c r="A142" s="25" t="s">
        <v>129</v>
      </c>
      <c r="B142" s="26" t="s">
        <v>212</v>
      </c>
      <c r="C142" s="419" t="s">
        <v>213</v>
      </c>
      <c r="D142" s="419"/>
      <c r="E142" s="419"/>
      <c r="F142" s="51" t="s">
        <v>38</v>
      </c>
      <c r="G142" s="49" t="s">
        <v>5503</v>
      </c>
      <c r="H142" s="58"/>
      <c r="I142" s="28"/>
      <c r="J142" s="28"/>
      <c r="K142" s="29"/>
    </row>
    <row r="143" spans="1:11" s="3" customFormat="1" ht="22.5" customHeight="1" x14ac:dyDescent="0.3">
      <c r="A143" s="25" t="s">
        <v>129</v>
      </c>
      <c r="B143" s="26" t="s">
        <v>214</v>
      </c>
      <c r="C143" s="419" t="s">
        <v>215</v>
      </c>
      <c r="D143" s="419"/>
      <c r="E143" s="419"/>
      <c r="F143" s="51" t="s">
        <v>38</v>
      </c>
      <c r="G143" s="49" t="s">
        <v>5503</v>
      </c>
      <c r="H143" s="58"/>
      <c r="I143" s="28"/>
      <c r="J143" s="28"/>
      <c r="K143" s="29"/>
    </row>
    <row r="144" spans="1:11" s="3" customFormat="1" ht="15" customHeight="1" x14ac:dyDescent="0.3">
      <c r="A144" s="437" t="s">
        <v>216</v>
      </c>
      <c r="B144" s="418"/>
      <c r="C144" s="418"/>
      <c r="D144" s="418"/>
      <c r="E144" s="418"/>
      <c r="F144" s="418"/>
      <c r="G144" s="418"/>
      <c r="H144" s="61"/>
      <c r="I144" s="61"/>
      <c r="J144" s="61"/>
      <c r="K144" s="62"/>
    </row>
    <row r="145" spans="1:11" s="3" customFormat="1" ht="15" customHeight="1" x14ac:dyDescent="0.3">
      <c r="A145" s="437" t="s">
        <v>217</v>
      </c>
      <c r="B145" s="418"/>
      <c r="C145" s="418"/>
      <c r="D145" s="418"/>
      <c r="E145" s="418"/>
      <c r="F145" s="418"/>
      <c r="G145" s="418"/>
      <c r="H145" s="61"/>
      <c r="I145" s="61"/>
      <c r="J145" s="61"/>
      <c r="K145" s="62"/>
    </row>
    <row r="146" spans="1:11" s="3" customFormat="1" ht="15" customHeight="1" x14ac:dyDescent="0.3">
      <c r="A146" s="437" t="s">
        <v>218</v>
      </c>
      <c r="B146" s="418"/>
      <c r="C146" s="418"/>
      <c r="D146" s="418"/>
      <c r="E146" s="418"/>
      <c r="F146" s="418"/>
      <c r="G146" s="61"/>
      <c r="H146" s="61"/>
      <c r="I146" s="61"/>
      <c r="J146" s="61"/>
      <c r="K146" s="62"/>
    </row>
    <row r="147" spans="1:11" s="3" customFormat="1" ht="34.5" customHeight="1" x14ac:dyDescent="0.3">
      <c r="A147" s="16" t="s">
        <v>219</v>
      </c>
      <c r="B147" s="17" t="s">
        <v>220</v>
      </c>
      <c r="C147" s="427" t="s">
        <v>221</v>
      </c>
      <c r="D147" s="428"/>
      <c r="E147" s="429"/>
      <c r="F147" s="114" t="s">
        <v>43</v>
      </c>
      <c r="G147" s="30">
        <v>0.2049</v>
      </c>
      <c r="H147" s="57">
        <f t="shared" ref="H147:H148" si="2">I147/G147</f>
        <v>8631.9180087847726</v>
      </c>
      <c r="I147" s="19">
        <v>1768.68</v>
      </c>
      <c r="J147" s="20">
        <f t="shared" ref="J147:J148" si="3">K147/G147</f>
        <v>0</v>
      </c>
      <c r="K147" s="19">
        <v>0</v>
      </c>
    </row>
    <row r="148" spans="1:11" s="3" customFormat="1" ht="57" customHeight="1" x14ac:dyDescent="0.3">
      <c r="A148" s="16" t="s">
        <v>222</v>
      </c>
      <c r="B148" s="17" t="s">
        <v>223</v>
      </c>
      <c r="C148" s="427" t="s">
        <v>224</v>
      </c>
      <c r="D148" s="428"/>
      <c r="E148" s="429"/>
      <c r="F148" s="114" t="s">
        <v>43</v>
      </c>
      <c r="G148" s="30">
        <v>0.2049</v>
      </c>
      <c r="H148" s="57">
        <f t="shared" si="2"/>
        <v>56854.514397266961</v>
      </c>
      <c r="I148" s="19">
        <v>11649.49</v>
      </c>
      <c r="J148" s="20">
        <f t="shared" si="3"/>
        <v>0</v>
      </c>
      <c r="K148" s="19">
        <v>0</v>
      </c>
    </row>
    <row r="149" spans="1:11" s="3" customFormat="1" ht="45.75" customHeight="1" x14ac:dyDescent="0.3">
      <c r="A149" s="16" t="s">
        <v>225</v>
      </c>
      <c r="B149" s="17" t="s">
        <v>171</v>
      </c>
      <c r="C149" s="427" t="s">
        <v>172</v>
      </c>
      <c r="D149" s="428"/>
      <c r="E149" s="429"/>
      <c r="F149" s="114" t="s">
        <v>50</v>
      </c>
      <c r="G149" s="31">
        <v>368.82</v>
      </c>
      <c r="H149" s="57">
        <f>I149/G149</f>
        <v>1056.2310069952823</v>
      </c>
      <c r="I149" s="19">
        <v>389559.12</v>
      </c>
      <c r="J149" s="20"/>
      <c r="K149" s="19">
        <v>0</v>
      </c>
    </row>
    <row r="150" spans="1:11" s="3" customFormat="1" ht="15" customHeight="1" x14ac:dyDescent="0.3">
      <c r="A150" s="437" t="s">
        <v>226</v>
      </c>
      <c r="B150" s="418"/>
      <c r="C150" s="418"/>
      <c r="D150" s="418"/>
      <c r="E150" s="418"/>
      <c r="F150" s="418"/>
      <c r="G150" s="418"/>
      <c r="H150" s="61"/>
      <c r="I150" s="61"/>
      <c r="J150" s="61"/>
      <c r="K150" s="62"/>
    </row>
    <row r="151" spans="1:11" s="3" customFormat="1" ht="34.5" customHeight="1" x14ac:dyDescent="0.3">
      <c r="A151" s="16" t="s">
        <v>227</v>
      </c>
      <c r="B151" s="17" t="s">
        <v>228</v>
      </c>
      <c r="C151" s="427" t="s">
        <v>229</v>
      </c>
      <c r="D151" s="428"/>
      <c r="E151" s="429"/>
      <c r="F151" s="114" t="s">
        <v>43</v>
      </c>
      <c r="G151" s="30">
        <v>0.1104</v>
      </c>
      <c r="H151" s="57">
        <f t="shared" ref="H151:H152" si="4">I151/G151</f>
        <v>11591.394927536232</v>
      </c>
      <c r="I151" s="19">
        <v>1279.69</v>
      </c>
      <c r="J151" s="20">
        <f t="shared" ref="J151:J152" si="5">K151/G151</f>
        <v>0</v>
      </c>
      <c r="K151" s="19">
        <v>0</v>
      </c>
    </row>
    <row r="152" spans="1:11" s="3" customFormat="1" ht="57" customHeight="1" x14ac:dyDescent="0.3">
      <c r="A152" s="16" t="s">
        <v>230</v>
      </c>
      <c r="B152" s="17" t="s">
        <v>231</v>
      </c>
      <c r="C152" s="427" t="s">
        <v>232</v>
      </c>
      <c r="D152" s="428"/>
      <c r="E152" s="429"/>
      <c r="F152" s="114" t="s">
        <v>43</v>
      </c>
      <c r="G152" s="30">
        <v>0.1104</v>
      </c>
      <c r="H152" s="57">
        <f t="shared" si="4"/>
        <v>68699.184782608703</v>
      </c>
      <c r="I152" s="19">
        <v>7584.39</v>
      </c>
      <c r="J152" s="20">
        <f t="shared" si="5"/>
        <v>0</v>
      </c>
      <c r="K152" s="19">
        <v>0</v>
      </c>
    </row>
    <row r="153" spans="1:11" s="3" customFormat="1" ht="45.75" customHeight="1" x14ac:dyDescent="0.3">
      <c r="A153" s="16" t="s">
        <v>233</v>
      </c>
      <c r="B153" s="17" t="s">
        <v>48</v>
      </c>
      <c r="C153" s="427" t="s">
        <v>49</v>
      </c>
      <c r="D153" s="428"/>
      <c r="E153" s="429"/>
      <c r="F153" s="114" t="s">
        <v>50</v>
      </c>
      <c r="G153" s="31">
        <v>198.72</v>
      </c>
      <c r="H153" s="57">
        <f>I153/G153</f>
        <v>598.37580515297907</v>
      </c>
      <c r="I153" s="19">
        <v>118909.24</v>
      </c>
      <c r="J153" s="20"/>
      <c r="K153" s="19">
        <v>0</v>
      </c>
    </row>
    <row r="154" spans="1:11" s="3" customFormat="1" ht="15" customHeight="1" x14ac:dyDescent="0.3">
      <c r="A154" s="437" t="s">
        <v>234</v>
      </c>
      <c r="B154" s="418"/>
      <c r="C154" s="418"/>
      <c r="D154" s="418"/>
      <c r="E154" s="418"/>
      <c r="F154" s="418"/>
      <c r="G154" s="418"/>
      <c r="H154" s="61"/>
      <c r="I154" s="61"/>
      <c r="J154" s="61"/>
      <c r="K154" s="62"/>
    </row>
    <row r="155" spans="1:11" s="3" customFormat="1" ht="14.4" x14ac:dyDescent="0.3">
      <c r="A155" s="16" t="s">
        <v>235</v>
      </c>
      <c r="B155" s="17" t="s">
        <v>228</v>
      </c>
      <c r="C155" s="405" t="s">
        <v>229</v>
      </c>
      <c r="D155" s="405"/>
      <c r="E155" s="405"/>
      <c r="F155" s="114" t="s">
        <v>43</v>
      </c>
      <c r="G155" s="18">
        <v>1.4999999999999999E-2</v>
      </c>
      <c r="H155" s="57">
        <f>I155/G155</f>
        <v>11591.333333333334</v>
      </c>
      <c r="I155" s="19">
        <v>173.87</v>
      </c>
      <c r="J155" s="20">
        <f>K155/G155</f>
        <v>0</v>
      </c>
      <c r="K155" s="19">
        <v>0</v>
      </c>
    </row>
    <row r="156" spans="1:11" s="3" customFormat="1" ht="15" customHeight="1" x14ac:dyDescent="0.3">
      <c r="A156" s="437" t="s">
        <v>236</v>
      </c>
      <c r="B156" s="418"/>
      <c r="C156" s="418"/>
      <c r="D156" s="418"/>
      <c r="E156" s="418"/>
      <c r="F156" s="418"/>
      <c r="G156" s="418"/>
      <c r="H156" s="61"/>
      <c r="I156" s="61"/>
      <c r="J156" s="61"/>
      <c r="K156" s="62"/>
    </row>
    <row r="157" spans="1:11" s="3" customFormat="1" ht="14.4" x14ac:dyDescent="0.3">
      <c r="A157" s="16" t="s">
        <v>237</v>
      </c>
      <c r="B157" s="17" t="s">
        <v>238</v>
      </c>
      <c r="C157" s="405" t="s">
        <v>239</v>
      </c>
      <c r="D157" s="405"/>
      <c r="E157" s="405"/>
      <c r="F157" s="114" t="s">
        <v>67</v>
      </c>
      <c r="G157" s="18">
        <v>1.165</v>
      </c>
      <c r="H157" s="57">
        <f>I157/G157</f>
        <v>26137.948497854068</v>
      </c>
      <c r="I157" s="19">
        <f>166288.25-K157</f>
        <v>30450.709999999992</v>
      </c>
      <c r="J157" s="20">
        <f>K157/G157</f>
        <v>116598.74678111589</v>
      </c>
      <c r="K157" s="19">
        <v>135837.54</v>
      </c>
    </row>
    <row r="158" spans="1:11" s="3" customFormat="1" ht="20.399999999999999" x14ac:dyDescent="0.3">
      <c r="A158" s="25"/>
      <c r="B158" s="26" t="s">
        <v>154</v>
      </c>
      <c r="C158" s="419" t="s">
        <v>155</v>
      </c>
      <c r="D158" s="419"/>
      <c r="E158" s="419"/>
      <c r="F158" s="51" t="s">
        <v>46</v>
      </c>
      <c r="G158" s="49" t="s">
        <v>5502</v>
      </c>
      <c r="H158" s="58"/>
      <c r="I158" s="28"/>
      <c r="J158" s="28"/>
      <c r="K158" s="29"/>
    </row>
    <row r="159" spans="1:11" s="3" customFormat="1" ht="20.399999999999999" x14ac:dyDescent="0.3">
      <c r="A159" s="25" t="s">
        <v>129</v>
      </c>
      <c r="B159" s="26" t="s">
        <v>240</v>
      </c>
      <c r="C159" s="419" t="s">
        <v>241</v>
      </c>
      <c r="D159" s="419"/>
      <c r="E159" s="419"/>
      <c r="F159" s="51" t="s">
        <v>115</v>
      </c>
      <c r="G159" s="49" t="s">
        <v>5501</v>
      </c>
      <c r="H159" s="58"/>
      <c r="I159" s="28"/>
      <c r="J159" s="28"/>
      <c r="K159" s="29"/>
    </row>
    <row r="160" spans="1:11" s="3" customFormat="1" ht="15" customHeight="1" x14ac:dyDescent="0.3">
      <c r="A160" s="437" t="s">
        <v>242</v>
      </c>
      <c r="B160" s="418"/>
      <c r="C160" s="418"/>
      <c r="D160" s="418"/>
      <c r="E160" s="418"/>
      <c r="F160" s="418"/>
      <c r="G160" s="418"/>
      <c r="H160" s="61"/>
      <c r="I160" s="61"/>
      <c r="J160" s="61"/>
      <c r="K160" s="62"/>
    </row>
    <row r="161" spans="1:11" s="3" customFormat="1" ht="14.4" x14ac:dyDescent="0.3">
      <c r="A161" s="16" t="s">
        <v>243</v>
      </c>
      <c r="B161" s="17" t="s">
        <v>123</v>
      </c>
      <c r="C161" s="405" t="s">
        <v>124</v>
      </c>
      <c r="D161" s="405"/>
      <c r="E161" s="405"/>
      <c r="F161" s="114" t="s">
        <v>125</v>
      </c>
      <c r="G161" s="18">
        <v>2.714</v>
      </c>
      <c r="H161" s="57">
        <f>I161/G161</f>
        <v>64903.467207074435</v>
      </c>
      <c r="I161" s="19">
        <v>176148.01</v>
      </c>
      <c r="J161" s="20">
        <f>K161/G161</f>
        <v>0</v>
      </c>
      <c r="K161" s="19">
        <v>0</v>
      </c>
    </row>
    <row r="162" spans="1:11" s="3" customFormat="1" ht="14.4" x14ac:dyDescent="0.3">
      <c r="A162" s="16" t="s">
        <v>244</v>
      </c>
      <c r="B162" s="17" t="s">
        <v>205</v>
      </c>
      <c r="C162" s="405" t="s">
        <v>82</v>
      </c>
      <c r="D162" s="405"/>
      <c r="E162" s="405"/>
      <c r="F162" s="114" t="s">
        <v>46</v>
      </c>
      <c r="G162" s="31">
        <v>298.54000000000002</v>
      </c>
      <c r="H162" s="57"/>
      <c r="I162" s="19">
        <f>158498.32-K162</f>
        <v>0</v>
      </c>
      <c r="J162" s="20">
        <f>K162/G162</f>
        <v>530.9115026462116</v>
      </c>
      <c r="K162" s="19">
        <v>158498.32</v>
      </c>
    </row>
    <row r="163" spans="1:11" s="3" customFormat="1" ht="15" customHeight="1" x14ac:dyDescent="0.3">
      <c r="A163" s="437" t="s">
        <v>245</v>
      </c>
      <c r="B163" s="418"/>
      <c r="C163" s="418"/>
      <c r="D163" s="418"/>
      <c r="E163" s="418"/>
      <c r="F163" s="418"/>
      <c r="G163" s="418"/>
      <c r="H163" s="61"/>
      <c r="I163" s="61"/>
      <c r="J163" s="61"/>
      <c r="K163" s="62"/>
    </row>
    <row r="164" spans="1:11" s="3" customFormat="1" ht="14.4" x14ac:dyDescent="0.3">
      <c r="A164" s="16" t="s">
        <v>246</v>
      </c>
      <c r="B164" s="17" t="s">
        <v>183</v>
      </c>
      <c r="C164" s="405" t="s">
        <v>184</v>
      </c>
      <c r="D164" s="405"/>
      <c r="E164" s="405"/>
      <c r="F164" s="114" t="s">
        <v>125</v>
      </c>
      <c r="G164" s="18">
        <v>0.504</v>
      </c>
      <c r="H164" s="57">
        <f>I164/G164</f>
        <v>71283.789682539675</v>
      </c>
      <c r="I164" s="19">
        <f>35927.03-K164</f>
        <v>35927.03</v>
      </c>
      <c r="J164" s="20"/>
      <c r="K164" s="19">
        <v>0</v>
      </c>
    </row>
    <row r="165" spans="1:11" s="3" customFormat="1" ht="14.4" x14ac:dyDescent="0.3">
      <c r="A165" s="16" t="s">
        <v>247</v>
      </c>
      <c r="B165" s="17" t="s">
        <v>149</v>
      </c>
      <c r="C165" s="405" t="s">
        <v>45</v>
      </c>
      <c r="D165" s="405"/>
      <c r="E165" s="405"/>
      <c r="F165" s="114" t="s">
        <v>46</v>
      </c>
      <c r="G165" s="18">
        <v>63.503999999999998</v>
      </c>
      <c r="H165" s="57"/>
      <c r="I165" s="19">
        <f>60921.93-K165</f>
        <v>0</v>
      </c>
      <c r="J165" s="20">
        <f>K165/G165</f>
        <v>959.34004157218442</v>
      </c>
      <c r="K165" s="19">
        <v>60921.93</v>
      </c>
    </row>
    <row r="166" spans="1:11" s="3" customFormat="1" ht="20.25" customHeight="1" x14ac:dyDescent="0.3">
      <c r="A166" s="406" t="s">
        <v>57</v>
      </c>
      <c r="B166" s="407"/>
      <c r="C166" s="407"/>
      <c r="D166" s="407"/>
      <c r="E166" s="407"/>
      <c r="F166" s="407"/>
      <c r="G166" s="407"/>
      <c r="H166" s="66"/>
      <c r="I166" s="67">
        <f>SUM(I12:I165)</f>
        <v>32624760.530000009</v>
      </c>
      <c r="J166" s="72"/>
      <c r="K166" s="87">
        <f>SUM(K12:K165)</f>
        <v>12030799.010000002</v>
      </c>
    </row>
    <row r="167" spans="1:11" s="53" customFormat="1" ht="20.25" customHeight="1" thickBot="1" x14ac:dyDescent="0.35">
      <c r="A167" s="408" t="s">
        <v>5461</v>
      </c>
      <c r="B167" s="409"/>
      <c r="C167" s="409"/>
      <c r="D167" s="409"/>
      <c r="E167" s="409"/>
      <c r="F167" s="409"/>
      <c r="G167" s="409"/>
      <c r="H167" s="88"/>
      <c r="I167" s="410">
        <f>I166+K166</f>
        <v>44655559.540000007</v>
      </c>
      <c r="J167" s="411"/>
      <c r="K167" s="412"/>
    </row>
    <row r="168" spans="1:11" s="3" customFormat="1" ht="14.4" x14ac:dyDescent="0.3">
      <c r="A168" s="4"/>
      <c r="B168" s="4"/>
      <c r="C168" s="4"/>
      <c r="D168" s="4"/>
      <c r="E168" s="4"/>
      <c r="F168" s="115"/>
      <c r="G168" s="4"/>
      <c r="H168" s="4"/>
      <c r="I168" s="36"/>
      <c r="J168" s="36"/>
      <c r="K168" s="4"/>
    </row>
    <row r="169" spans="1:11" s="3" customFormat="1" ht="53.25" customHeight="1" x14ac:dyDescent="0.3">
      <c r="A169" s="4"/>
      <c r="B169" s="4"/>
      <c r="C169" s="4"/>
      <c r="D169" s="4"/>
      <c r="E169" s="4"/>
      <c r="F169" s="115"/>
      <c r="G169" s="4"/>
      <c r="H169" s="54"/>
      <c r="I169" s="54"/>
      <c r="J169" s="54"/>
      <c r="K169" s="54"/>
    </row>
  </sheetData>
  <autoFilter ref="A9:K167" xr:uid="{00000000-0001-0000-0200-000000000000}">
    <filterColumn colId="2" showButton="0"/>
    <filterColumn colId="3" showButton="0"/>
  </autoFilter>
  <mergeCells count="166">
    <mergeCell ref="A103:G103"/>
    <mergeCell ref="A102:G102"/>
    <mergeCell ref="C162:E162"/>
    <mergeCell ref="C164:E164"/>
    <mergeCell ref="C165:E165"/>
    <mergeCell ref="A163:G163"/>
    <mergeCell ref="C158:E158"/>
    <mergeCell ref="C159:E159"/>
    <mergeCell ref="C161:E161"/>
    <mergeCell ref="A160:G160"/>
    <mergeCell ref="C153:E153"/>
    <mergeCell ref="C135:E135"/>
    <mergeCell ref="C136:E136"/>
    <mergeCell ref="C137:E137"/>
    <mergeCell ref="C129:E129"/>
    <mergeCell ref="C130:E130"/>
    <mergeCell ref="C131:E131"/>
    <mergeCell ref="C132:E132"/>
    <mergeCell ref="C133:E133"/>
    <mergeCell ref="C124:E124"/>
    <mergeCell ref="C127:E127"/>
    <mergeCell ref="C128:E128"/>
    <mergeCell ref="C120:E120"/>
    <mergeCell ref="C121:E121"/>
    <mergeCell ref="A166:G166"/>
    <mergeCell ref="A167:G167"/>
    <mergeCell ref="I167:K167"/>
    <mergeCell ref="A154:G154"/>
    <mergeCell ref="A150:G150"/>
    <mergeCell ref="A146:F146"/>
    <mergeCell ref="A145:G145"/>
    <mergeCell ref="A144:G144"/>
    <mergeCell ref="A126:G126"/>
    <mergeCell ref="C155:E155"/>
    <mergeCell ref="C157:E157"/>
    <mergeCell ref="A156:G156"/>
    <mergeCell ref="C148:E148"/>
    <mergeCell ref="C149:E149"/>
    <mergeCell ref="C151:E151"/>
    <mergeCell ref="C152:E152"/>
    <mergeCell ref="C143:E143"/>
    <mergeCell ref="C147:E147"/>
    <mergeCell ref="C138:E138"/>
    <mergeCell ref="C139:E139"/>
    <mergeCell ref="C140:E140"/>
    <mergeCell ref="C141:E141"/>
    <mergeCell ref="C142:E142"/>
    <mergeCell ref="C134:E134"/>
    <mergeCell ref="C122:E122"/>
    <mergeCell ref="C123:E123"/>
    <mergeCell ref="A125:G125"/>
    <mergeCell ref="C115:E115"/>
    <mergeCell ref="C116:E116"/>
    <mergeCell ref="C117:E117"/>
    <mergeCell ref="C118:E118"/>
    <mergeCell ref="A114:G114"/>
    <mergeCell ref="A119:G119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1:E101"/>
    <mergeCell ref="A100:G100"/>
    <mergeCell ref="C94:E94"/>
    <mergeCell ref="C95:E95"/>
    <mergeCell ref="C96:E96"/>
    <mergeCell ref="C97:E97"/>
    <mergeCell ref="A98:G98"/>
    <mergeCell ref="C91:E91"/>
    <mergeCell ref="C92:E92"/>
    <mergeCell ref="C93:E93"/>
    <mergeCell ref="A89:G89"/>
    <mergeCell ref="A90:G90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A83:G83"/>
    <mergeCell ref="C74:E74"/>
    <mergeCell ref="C76:E76"/>
    <mergeCell ref="C78:E78"/>
    <mergeCell ref="A77:G77"/>
    <mergeCell ref="A75:G75"/>
    <mergeCell ref="C69:E69"/>
    <mergeCell ref="C70:E70"/>
    <mergeCell ref="C71:E71"/>
    <mergeCell ref="C72:E72"/>
    <mergeCell ref="A73:G73"/>
    <mergeCell ref="C64:E64"/>
    <mergeCell ref="C65:E65"/>
    <mergeCell ref="C66:E66"/>
    <mergeCell ref="C67:E67"/>
    <mergeCell ref="A68:G68"/>
    <mergeCell ref="C59:E59"/>
    <mergeCell ref="C60:E60"/>
    <mergeCell ref="C61:E61"/>
    <mergeCell ref="C62:E62"/>
    <mergeCell ref="A63:G63"/>
    <mergeCell ref="C54:E54"/>
    <mergeCell ref="C55:E55"/>
    <mergeCell ref="C56:E56"/>
    <mergeCell ref="C57:E57"/>
    <mergeCell ref="C58:E58"/>
    <mergeCell ref="C49:E49"/>
    <mergeCell ref="C51:E51"/>
    <mergeCell ref="C52:E52"/>
    <mergeCell ref="C53:E53"/>
    <mergeCell ref="A50:G50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5:E35"/>
    <mergeCell ref="C36:E36"/>
    <mergeCell ref="C38:E38"/>
    <mergeCell ref="A37:G37"/>
    <mergeCell ref="C29:E29"/>
    <mergeCell ref="C30:E30"/>
    <mergeCell ref="C31:E31"/>
    <mergeCell ref="C32:E32"/>
    <mergeCell ref="C33:E33"/>
    <mergeCell ref="C27:E27"/>
    <mergeCell ref="C28:E28"/>
    <mergeCell ref="A24:G24"/>
    <mergeCell ref="C19:E19"/>
    <mergeCell ref="C20:E20"/>
    <mergeCell ref="C21:E21"/>
    <mergeCell ref="C22:E22"/>
    <mergeCell ref="C23:E23"/>
    <mergeCell ref="C34:E34"/>
    <mergeCell ref="C16:E16"/>
    <mergeCell ref="C17:E17"/>
    <mergeCell ref="C18:E18"/>
    <mergeCell ref="C12:E12"/>
    <mergeCell ref="C13:E13"/>
    <mergeCell ref="A11:G11"/>
    <mergeCell ref="A10:G10"/>
    <mergeCell ref="C25:E25"/>
    <mergeCell ref="C26:E26"/>
    <mergeCell ref="A5:K5"/>
    <mergeCell ref="C6:G6"/>
    <mergeCell ref="A2:K2"/>
    <mergeCell ref="A3:K3"/>
    <mergeCell ref="A4:K4"/>
    <mergeCell ref="C8:E8"/>
    <mergeCell ref="C9:E9"/>
    <mergeCell ref="C14:E14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  <pageSetUpPr fitToPage="1"/>
  </sheetPr>
  <dimension ref="A1:BG24"/>
  <sheetViews>
    <sheetView workbookViewId="0">
      <selection activeCell="N9" sqref="N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1" width="16.109375" style="54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5" width="172.5546875" style="2" hidden="1" customWidth="1"/>
    <col min="56" max="56" width="34.109375" style="2" hidden="1" customWidth="1"/>
    <col min="57" max="59" width="127.5546875" style="2" hidden="1" customWidth="1"/>
    <col min="60" max="16384" width="9.109375" style="1"/>
  </cols>
  <sheetData>
    <row r="1" spans="1:56" s="3" customFormat="1" ht="14.4" x14ac:dyDescent="0.3">
      <c r="A1" s="95" t="s">
        <v>5575</v>
      </c>
      <c r="B1" s="4"/>
      <c r="C1" s="4"/>
      <c r="D1" s="4"/>
      <c r="E1" s="4"/>
      <c r="F1" s="4"/>
      <c r="G1" s="4"/>
      <c r="H1" s="54"/>
      <c r="I1" s="54"/>
      <c r="J1" s="54"/>
      <c r="K1" s="54"/>
    </row>
    <row r="2" spans="1:56" s="3" customFormat="1" ht="28.5" customHeight="1" x14ac:dyDescent="0.3">
      <c r="A2" s="403" t="s">
        <v>1774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1774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14.4" x14ac:dyDescent="0.3">
      <c r="A5" s="404" t="s">
        <v>5145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D5" s="6" t="s">
        <v>5145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14.4" x14ac:dyDescent="0.3">
      <c r="A7" s="4"/>
      <c r="B7" s="8" t="s">
        <v>5</v>
      </c>
      <c r="C7" s="402" t="s">
        <v>5146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109"/>
      <c r="K8" s="109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1">
        <v>2</v>
      </c>
      <c r="C10" s="424">
        <v>3</v>
      </c>
      <c r="D10" s="425"/>
      <c r="E10" s="426"/>
      <c r="F10" s="92">
        <v>4</v>
      </c>
      <c r="G10" s="91">
        <v>5</v>
      </c>
      <c r="H10" s="111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4.4" x14ac:dyDescent="0.3">
      <c r="A11" s="446" t="s">
        <v>5147</v>
      </c>
      <c r="B11" s="447"/>
      <c r="C11" s="447"/>
      <c r="D11" s="447"/>
      <c r="E11" s="447"/>
      <c r="F11" s="447"/>
      <c r="G11" s="447"/>
      <c r="H11" s="447"/>
      <c r="I11" s="447"/>
      <c r="J11" s="447"/>
      <c r="K11" s="448"/>
      <c r="BC11" s="14" t="s">
        <v>5147</v>
      </c>
    </row>
    <row r="12" spans="1:56" s="3" customFormat="1" ht="20.399999999999999" x14ac:dyDescent="0.3">
      <c r="A12" s="16" t="s">
        <v>15</v>
      </c>
      <c r="B12" s="17" t="s">
        <v>5148</v>
      </c>
      <c r="C12" s="405" t="s">
        <v>5149</v>
      </c>
      <c r="D12" s="405"/>
      <c r="E12" s="405"/>
      <c r="F12" s="16" t="s">
        <v>5150</v>
      </c>
      <c r="G12" s="23">
        <v>1</v>
      </c>
      <c r="H12" s="57">
        <f>I12/G12</f>
        <v>3659488.83</v>
      </c>
      <c r="I12" s="19">
        <v>3659488.83</v>
      </c>
      <c r="J12" s="19">
        <f>K12/G12</f>
        <v>0</v>
      </c>
      <c r="K12" s="19">
        <v>0</v>
      </c>
      <c r="BC12" s="14"/>
      <c r="BD12" s="21" t="s">
        <v>5149</v>
      </c>
    </row>
    <row r="13" spans="1:56" s="3" customFormat="1" ht="20.399999999999999" x14ac:dyDescent="0.3">
      <c r="A13" s="16" t="s">
        <v>20</v>
      </c>
      <c r="B13" s="17" t="s">
        <v>5151</v>
      </c>
      <c r="C13" s="405" t="s">
        <v>5152</v>
      </c>
      <c r="D13" s="405"/>
      <c r="E13" s="405"/>
      <c r="F13" s="16" t="s">
        <v>5150</v>
      </c>
      <c r="G13" s="23">
        <v>1</v>
      </c>
      <c r="H13" s="57">
        <f t="shared" ref="H13:H14" si="0">I13/G13</f>
        <v>1997891.56</v>
      </c>
      <c r="I13" s="19">
        <v>1997891.56</v>
      </c>
      <c r="J13" s="19">
        <f t="shared" ref="J13:J14" si="1">K13/G13</f>
        <v>0</v>
      </c>
      <c r="K13" s="19">
        <v>0</v>
      </c>
      <c r="BC13" s="14"/>
      <c r="BD13" s="21" t="s">
        <v>5152</v>
      </c>
    </row>
    <row r="14" spans="1:56" s="3" customFormat="1" ht="21.6" x14ac:dyDescent="0.3">
      <c r="A14" s="16" t="s">
        <v>5153</v>
      </c>
      <c r="B14" s="17" t="s">
        <v>5154</v>
      </c>
      <c r="C14" s="405" t="s">
        <v>5155</v>
      </c>
      <c r="D14" s="405"/>
      <c r="E14" s="405"/>
      <c r="F14" s="16" t="s">
        <v>1460</v>
      </c>
      <c r="G14" s="23">
        <v>1</v>
      </c>
      <c r="H14" s="57">
        <f t="shared" si="0"/>
        <v>12920903.619999999</v>
      </c>
      <c r="I14" s="19">
        <v>12920903.619999999</v>
      </c>
      <c r="J14" s="19">
        <f t="shared" si="1"/>
        <v>0</v>
      </c>
      <c r="K14" s="19">
        <v>0</v>
      </c>
      <c r="BC14" s="14"/>
      <c r="BD14" s="21" t="s">
        <v>5155</v>
      </c>
    </row>
    <row r="15" spans="1:56" s="3" customFormat="1" ht="20.25" customHeight="1" x14ac:dyDescent="0.3">
      <c r="A15" s="406" t="s">
        <v>57</v>
      </c>
      <c r="B15" s="407"/>
      <c r="C15" s="407"/>
      <c r="D15" s="407"/>
      <c r="E15" s="407"/>
      <c r="F15" s="407"/>
      <c r="G15" s="407"/>
      <c r="H15" s="66"/>
      <c r="I15" s="67">
        <f>I12+I13+I14</f>
        <v>18578284.009999998</v>
      </c>
      <c r="J15" s="72"/>
      <c r="K15" s="87">
        <f>K12+K13+K14</f>
        <v>0</v>
      </c>
    </row>
    <row r="16" spans="1:56" s="53" customFormat="1" ht="20.25" customHeight="1" thickBot="1" x14ac:dyDescent="0.35">
      <c r="A16" s="408" t="s">
        <v>5461</v>
      </c>
      <c r="B16" s="409"/>
      <c r="C16" s="409"/>
      <c r="D16" s="409"/>
      <c r="E16" s="409"/>
      <c r="F16" s="409"/>
      <c r="G16" s="409"/>
      <c r="H16" s="88"/>
      <c r="I16" s="410">
        <f>I15+K15</f>
        <v>18578284.009999998</v>
      </c>
      <c r="J16" s="411"/>
      <c r="K16" s="412"/>
    </row>
    <row r="17" spans="1:59" s="3" customFormat="1" ht="53.25" customHeight="1" x14ac:dyDescent="0.3">
      <c r="A17" s="4"/>
      <c r="B17" s="4"/>
      <c r="C17" s="4"/>
      <c r="D17" s="4"/>
      <c r="E17" s="4"/>
      <c r="F17" s="4"/>
      <c r="G17" s="4"/>
      <c r="H17" s="54"/>
      <c r="I17" s="54"/>
      <c r="J17" s="54"/>
      <c r="K17" s="54"/>
    </row>
    <row r="18" spans="1:59" s="10" customFormat="1" ht="12.75" customHeight="1" x14ac:dyDescent="0.3">
      <c r="A18" s="441" t="s">
        <v>2235</v>
      </c>
      <c r="B18" s="441"/>
      <c r="C18" s="441"/>
      <c r="D18" s="441"/>
      <c r="E18" s="441"/>
      <c r="F18" s="441"/>
      <c r="G18" s="441"/>
      <c r="H18" s="441"/>
      <c r="I18" s="441"/>
      <c r="J18" s="441"/>
      <c r="K18" s="441"/>
      <c r="L18" s="33"/>
      <c r="M18" s="33"/>
      <c r="N18" s="33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</row>
    <row r="19" spans="1:59" s="10" customFormat="1" ht="12.75" customHeight="1" x14ac:dyDescent="0.2">
      <c r="A19" s="443" t="s">
        <v>59</v>
      </c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34"/>
      <c r="M19" s="34"/>
      <c r="N19" s="34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</row>
    <row r="20" spans="1:59" s="10" customFormat="1" ht="13.5" customHeight="1" x14ac:dyDescent="0.3">
      <c r="A20" s="8"/>
      <c r="B20" s="8"/>
      <c r="C20" s="8"/>
      <c r="D20" s="8"/>
      <c r="E20" s="8"/>
      <c r="F20" s="8"/>
      <c r="G20" s="8"/>
      <c r="H20" s="59"/>
      <c r="I20" s="147"/>
      <c r="J20" s="147"/>
      <c r="K20" s="59"/>
      <c r="L20" s="3"/>
      <c r="M20" s="3"/>
      <c r="N20" s="3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 spans="1:59" s="10" customFormat="1" ht="12.75" customHeight="1" x14ac:dyDescent="0.3">
      <c r="A21" s="441" t="s">
        <v>60</v>
      </c>
      <c r="B21" s="441"/>
      <c r="C21" s="441"/>
      <c r="D21" s="441"/>
      <c r="E21" s="441"/>
      <c r="F21" s="441"/>
      <c r="G21" s="441"/>
      <c r="H21" s="441"/>
      <c r="I21" s="441"/>
      <c r="J21" s="441"/>
      <c r="K21" s="441"/>
      <c r="L21" s="33"/>
      <c r="M21" s="33"/>
      <c r="N21" s="33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</row>
    <row r="22" spans="1:59" s="10" customFormat="1" ht="12.75" customHeight="1" x14ac:dyDescent="0.2">
      <c r="A22" s="443" t="s">
        <v>59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34"/>
      <c r="M22" s="34"/>
      <c r="N22" s="34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</row>
    <row r="23" spans="1:59" s="10" customFormat="1" ht="13.5" customHeight="1" x14ac:dyDescent="0.3">
      <c r="A23" s="8"/>
      <c r="B23" s="8"/>
      <c r="C23" s="8"/>
      <c r="D23" s="8"/>
      <c r="E23" s="8"/>
      <c r="F23" s="8"/>
      <c r="G23" s="8"/>
      <c r="H23" s="59"/>
      <c r="I23" s="147"/>
      <c r="J23" s="147"/>
      <c r="K23" s="59"/>
      <c r="L23" s="3"/>
      <c r="M23" s="3"/>
      <c r="N23" s="3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</row>
    <row r="24" spans="1:59" s="3" customFormat="1" ht="14.4" x14ac:dyDescent="0.3">
      <c r="A24" s="4"/>
      <c r="B24" s="4"/>
      <c r="C24" s="4"/>
      <c r="D24" s="4"/>
      <c r="E24" s="4"/>
      <c r="F24" s="4"/>
      <c r="G24" s="4"/>
      <c r="H24" s="54"/>
      <c r="I24" s="141"/>
      <c r="J24" s="141"/>
      <c r="K24" s="54"/>
    </row>
  </sheetData>
  <mergeCells count="18">
    <mergeCell ref="A18:K18"/>
    <mergeCell ref="A19:K19"/>
    <mergeCell ref="A21:K21"/>
    <mergeCell ref="A22:K22"/>
    <mergeCell ref="A15:G15"/>
    <mergeCell ref="A16:G16"/>
    <mergeCell ref="I16:K16"/>
    <mergeCell ref="A11:K11"/>
    <mergeCell ref="C12:E12"/>
    <mergeCell ref="C13:E13"/>
    <mergeCell ref="C14:E14"/>
    <mergeCell ref="C9:E9"/>
    <mergeCell ref="C10:E10"/>
    <mergeCell ref="A2:K2"/>
    <mergeCell ref="A3:K3"/>
    <mergeCell ref="A5:K5"/>
    <mergeCell ref="A6:K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I20"/>
  <sheetViews>
    <sheetView topLeftCell="A4" workbookViewId="0">
      <selection activeCell="N8" sqref="N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0" width="15.109375" style="1" customWidth="1"/>
    <col min="11" max="11" width="17.6640625" style="1" customWidth="1"/>
    <col min="12" max="14" width="10.6640625" style="1" customWidth="1"/>
    <col min="15" max="44" width="172.5546875" style="2" hidden="1" customWidth="1"/>
    <col min="45" max="54" width="109.33203125" style="2" hidden="1" customWidth="1"/>
    <col min="55" max="56" width="172.5546875" style="2" hidden="1" customWidth="1"/>
    <col min="57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5" t="s">
        <v>5553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58" s="3" customFormat="1" ht="29.2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O2" s="6" t="s">
        <v>0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</row>
    <row r="3" spans="1:58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8" s="3" customFormat="1" ht="14.4" x14ac:dyDescent="0.3">
      <c r="A4" s="404" t="s">
        <v>588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AD4" s="6" t="s">
        <v>588</v>
      </c>
      <c r="AE4" s="6" t="s">
        <v>1</v>
      </c>
      <c r="AF4" s="6" t="s">
        <v>1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</row>
    <row r="5" spans="1:58" s="3" customFormat="1" ht="15.75" customHeight="1" x14ac:dyDescent="0.3">
      <c r="A5" s="401" t="s">
        <v>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</row>
    <row r="6" spans="1:58" s="3" customFormat="1" ht="14.4" x14ac:dyDescent="0.3">
      <c r="A6" s="4"/>
      <c r="B6" s="8" t="s">
        <v>5</v>
      </c>
      <c r="C6" s="402" t="s">
        <v>589</v>
      </c>
      <c r="D6" s="402"/>
      <c r="E6" s="402"/>
      <c r="F6" s="402"/>
      <c r="G6" s="402"/>
      <c r="H6" s="11"/>
      <c r="I6" s="9"/>
      <c r="J6" s="9"/>
      <c r="K6" s="9"/>
    </row>
    <row r="7" spans="1:58" s="3" customFormat="1" ht="10.5" customHeight="1" thickBot="1" x14ac:dyDescent="0.35">
      <c r="A7" s="13"/>
    </row>
    <row r="8" spans="1:58" s="3" customFormat="1" ht="36" customHeight="1" x14ac:dyDescent="0.3">
      <c r="A8" s="74" t="s">
        <v>7</v>
      </c>
      <c r="B8" s="75" t="s">
        <v>8</v>
      </c>
      <c r="C8" s="414" t="s">
        <v>9</v>
      </c>
      <c r="D8" s="415"/>
      <c r="E8" s="416"/>
      <c r="F8" s="76" t="s">
        <v>10</v>
      </c>
      <c r="G8" s="77" t="s">
        <v>11</v>
      </c>
      <c r="H8" s="78" t="s">
        <v>5739</v>
      </c>
      <c r="I8" s="78" t="s">
        <v>5740</v>
      </c>
      <c r="J8" s="78" t="s">
        <v>5741</v>
      </c>
      <c r="K8" s="110" t="s">
        <v>5742</v>
      </c>
    </row>
    <row r="9" spans="1:58" s="3" customFormat="1" ht="15" thickBot="1" x14ac:dyDescent="0.35">
      <c r="A9" s="89">
        <v>1</v>
      </c>
      <c r="B9" s="90">
        <v>2</v>
      </c>
      <c r="C9" s="424">
        <v>3</v>
      </c>
      <c r="D9" s="425"/>
      <c r="E9" s="426"/>
      <c r="F9" s="92">
        <v>4</v>
      </c>
      <c r="G9" s="90">
        <v>5</v>
      </c>
      <c r="H9" s="125">
        <v>6</v>
      </c>
      <c r="I9" s="112" t="s">
        <v>47</v>
      </c>
      <c r="J9" s="112" t="s">
        <v>52</v>
      </c>
      <c r="K9" s="113" t="s">
        <v>55</v>
      </c>
    </row>
    <row r="10" spans="1:58" s="3" customFormat="1" ht="15" customHeight="1" x14ac:dyDescent="0.3">
      <c r="A10" s="433" t="s">
        <v>590</v>
      </c>
      <c r="B10" s="434"/>
      <c r="C10" s="434"/>
      <c r="D10" s="434"/>
      <c r="E10" s="434"/>
      <c r="F10" s="434"/>
      <c r="G10" s="434"/>
      <c r="H10" s="118"/>
      <c r="I10" s="118"/>
      <c r="J10" s="118"/>
      <c r="K10" s="119"/>
      <c r="BC10" s="14" t="s">
        <v>590</v>
      </c>
    </row>
    <row r="11" spans="1:58" s="3" customFormat="1" ht="15" customHeight="1" x14ac:dyDescent="0.3">
      <c r="A11" s="437" t="s">
        <v>591</v>
      </c>
      <c r="B11" s="418"/>
      <c r="C11" s="418"/>
      <c r="D11" s="418"/>
      <c r="E11" s="418"/>
      <c r="F11" s="418"/>
      <c r="G11" s="418"/>
      <c r="H11" s="63"/>
      <c r="I11" s="63"/>
      <c r="J11" s="63"/>
      <c r="K11" s="65"/>
      <c r="BC11" s="14"/>
      <c r="BD11" s="15" t="s">
        <v>591</v>
      </c>
    </row>
    <row r="12" spans="1:58" s="3" customFormat="1" ht="31.8" x14ac:dyDescent="0.3">
      <c r="A12" s="16" t="s">
        <v>15</v>
      </c>
      <c r="B12" s="17" t="s">
        <v>592</v>
      </c>
      <c r="C12" s="405" t="s">
        <v>593</v>
      </c>
      <c r="D12" s="405"/>
      <c r="E12" s="405"/>
      <c r="F12" s="16" t="s">
        <v>43</v>
      </c>
      <c r="G12" s="30">
        <v>0.26369999999999999</v>
      </c>
      <c r="H12" s="30">
        <f>I12/G12</f>
        <v>37096.321577550247</v>
      </c>
      <c r="I12" s="19">
        <v>9782.2999999999993</v>
      </c>
      <c r="J12" s="19"/>
      <c r="K12" s="19">
        <v>0</v>
      </c>
      <c r="BC12" s="14"/>
      <c r="BD12" s="15"/>
      <c r="BE12" s="21" t="s">
        <v>593</v>
      </c>
    </row>
    <row r="13" spans="1:58" s="3" customFormat="1" ht="42" x14ac:dyDescent="0.3">
      <c r="A13" s="16" t="s">
        <v>20</v>
      </c>
      <c r="B13" s="17" t="s">
        <v>594</v>
      </c>
      <c r="C13" s="405" t="s">
        <v>595</v>
      </c>
      <c r="D13" s="405"/>
      <c r="E13" s="405"/>
      <c r="F13" s="16" t="s">
        <v>43</v>
      </c>
      <c r="G13" s="30">
        <v>0.26369999999999999</v>
      </c>
      <c r="H13" s="30">
        <f t="shared" ref="H13" si="0">I13/G13</f>
        <v>7124.3079256731135</v>
      </c>
      <c r="I13" s="19">
        <v>1878.68</v>
      </c>
      <c r="J13" s="19"/>
      <c r="K13" s="19">
        <v>0</v>
      </c>
      <c r="BC13" s="14"/>
      <c r="BD13" s="15"/>
      <c r="BE13" s="21" t="s">
        <v>595</v>
      </c>
    </row>
    <row r="14" spans="1:58" s="3" customFormat="1" ht="15" customHeight="1" x14ac:dyDescent="0.3">
      <c r="A14" s="437" t="s">
        <v>596</v>
      </c>
      <c r="B14" s="418"/>
      <c r="C14" s="418"/>
      <c r="D14" s="418"/>
      <c r="E14" s="418"/>
      <c r="F14" s="418"/>
      <c r="G14" s="418"/>
      <c r="H14" s="63"/>
      <c r="I14" s="63"/>
      <c r="J14" s="63"/>
      <c r="K14" s="65"/>
      <c r="BC14" s="14"/>
      <c r="BD14" s="15" t="s">
        <v>596</v>
      </c>
      <c r="BE14" s="21"/>
    </row>
    <row r="15" spans="1:58" s="3" customFormat="1" ht="21.6" x14ac:dyDescent="0.3">
      <c r="A15" s="16" t="s">
        <v>22</v>
      </c>
      <c r="B15" s="17" t="s">
        <v>597</v>
      </c>
      <c r="C15" s="405" t="s">
        <v>598</v>
      </c>
      <c r="D15" s="405"/>
      <c r="E15" s="405"/>
      <c r="F15" s="16" t="s">
        <v>67</v>
      </c>
      <c r="G15" s="31">
        <v>5.86</v>
      </c>
      <c r="H15" s="31">
        <f>I15/G15</f>
        <v>3694.5494880546075</v>
      </c>
      <c r="I15" s="19">
        <v>21650.06</v>
      </c>
      <c r="J15" s="19"/>
      <c r="K15" s="19">
        <v>0</v>
      </c>
      <c r="BC15" s="14"/>
      <c r="BD15" s="15"/>
      <c r="BE15" s="21" t="s">
        <v>598</v>
      </c>
    </row>
    <row r="16" spans="1:58" s="3" customFormat="1" ht="15" customHeight="1" x14ac:dyDescent="0.3">
      <c r="A16" s="437" t="s">
        <v>610</v>
      </c>
      <c r="B16" s="418"/>
      <c r="C16" s="418"/>
      <c r="D16" s="418"/>
      <c r="E16" s="418"/>
      <c r="F16" s="418"/>
      <c r="G16" s="418"/>
      <c r="H16" s="63"/>
      <c r="I16" s="63"/>
      <c r="J16" s="63"/>
      <c r="K16" s="65"/>
      <c r="BC16" s="14"/>
      <c r="BD16" s="15" t="s">
        <v>610</v>
      </c>
      <c r="BE16" s="21"/>
      <c r="BF16" s="12"/>
    </row>
    <row r="17" spans="1:58" s="3" customFormat="1" ht="31.8" x14ac:dyDescent="0.3">
      <c r="A17" s="16" t="s">
        <v>27</v>
      </c>
      <c r="B17" s="17" t="s">
        <v>96</v>
      </c>
      <c r="C17" s="405" t="s">
        <v>97</v>
      </c>
      <c r="D17" s="405"/>
      <c r="E17" s="405"/>
      <c r="F17" s="16" t="s">
        <v>50</v>
      </c>
      <c r="G17" s="31">
        <v>3.98</v>
      </c>
      <c r="H17" s="31">
        <f>I17/G17</f>
        <v>44.7713567839196</v>
      </c>
      <c r="I17" s="19">
        <v>178.19</v>
      </c>
      <c r="J17" s="19"/>
      <c r="K17" s="19">
        <v>0</v>
      </c>
      <c r="BC17" s="14"/>
      <c r="BD17" s="15"/>
      <c r="BE17" s="21" t="s">
        <v>97</v>
      </c>
      <c r="BF17" s="12"/>
    </row>
    <row r="18" spans="1:58" s="3" customFormat="1" ht="42" x14ac:dyDescent="0.3">
      <c r="A18" s="16" t="s">
        <v>35</v>
      </c>
      <c r="B18" s="17" t="s">
        <v>48</v>
      </c>
      <c r="C18" s="405" t="s">
        <v>49</v>
      </c>
      <c r="D18" s="405"/>
      <c r="E18" s="405"/>
      <c r="F18" s="16" t="s">
        <v>50</v>
      </c>
      <c r="G18" s="31">
        <v>3.98</v>
      </c>
      <c r="H18" s="31">
        <f>I18/G18</f>
        <v>598.37688442211049</v>
      </c>
      <c r="I18" s="19">
        <v>2381.54</v>
      </c>
      <c r="J18" s="19"/>
      <c r="K18" s="19">
        <v>0</v>
      </c>
      <c r="BC18" s="14"/>
      <c r="BD18" s="15"/>
      <c r="BE18" s="21" t="s">
        <v>49</v>
      </c>
      <c r="BF18" s="12"/>
    </row>
    <row r="19" spans="1:58" s="3" customFormat="1" ht="20.25" customHeight="1" x14ac:dyDescent="0.3">
      <c r="A19" s="406" t="s">
        <v>57</v>
      </c>
      <c r="B19" s="407"/>
      <c r="C19" s="407"/>
      <c r="D19" s="407"/>
      <c r="E19" s="407"/>
      <c r="F19" s="407"/>
      <c r="G19" s="407"/>
      <c r="H19" s="66"/>
      <c r="I19" s="67">
        <f>SUM(I12:I18)</f>
        <v>35870.770000000004</v>
      </c>
      <c r="J19" s="72"/>
      <c r="K19" s="87">
        <f>SUM(K12:K18)</f>
        <v>0</v>
      </c>
    </row>
    <row r="20" spans="1:58" s="53" customFormat="1" ht="20.25" customHeight="1" thickBot="1" x14ac:dyDescent="0.35">
      <c r="A20" s="408" t="s">
        <v>5461</v>
      </c>
      <c r="B20" s="409"/>
      <c r="C20" s="409"/>
      <c r="D20" s="409"/>
      <c r="E20" s="409"/>
      <c r="F20" s="409"/>
      <c r="G20" s="409"/>
      <c r="H20" s="88"/>
      <c r="I20" s="410">
        <f>I19+K19</f>
        <v>35870.770000000004</v>
      </c>
      <c r="J20" s="411"/>
      <c r="K20" s="412"/>
    </row>
  </sheetData>
  <mergeCells count="19">
    <mergeCell ref="A19:G19"/>
    <mergeCell ref="A20:G20"/>
    <mergeCell ref="I20:K20"/>
    <mergeCell ref="C18:E18"/>
    <mergeCell ref="C17:E17"/>
    <mergeCell ref="A11:G11"/>
    <mergeCell ref="A10:G10"/>
    <mergeCell ref="A5:K5"/>
    <mergeCell ref="C6:G6"/>
    <mergeCell ref="A16:G16"/>
    <mergeCell ref="C15:E15"/>
    <mergeCell ref="A14:G14"/>
    <mergeCell ref="C12:E12"/>
    <mergeCell ref="C13:E13"/>
    <mergeCell ref="A2:K2"/>
    <mergeCell ref="A3:K3"/>
    <mergeCell ref="A4:K4"/>
    <mergeCell ref="C8:E8"/>
    <mergeCell ref="C9:E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BJ121"/>
  <sheetViews>
    <sheetView topLeftCell="A52" workbookViewId="0">
      <selection activeCell="G56" sqref="G5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44140625" style="1" customWidth="1"/>
    <col min="4" max="4" width="15.44140625" style="1" customWidth="1"/>
    <col min="5" max="5" width="23.88671875" style="1" customWidth="1"/>
    <col min="6" max="7" width="10.6640625" style="1" customWidth="1"/>
    <col min="8" max="10" width="15.6640625" style="54" customWidth="1"/>
    <col min="11" max="11" width="19.44140625" style="54" customWidth="1"/>
    <col min="12" max="13" width="10.6640625" style="1" customWidth="1"/>
    <col min="14" max="43" width="172.5546875" style="2" hidden="1" customWidth="1"/>
    <col min="44" max="53" width="109.33203125" style="2" hidden="1" customWidth="1"/>
    <col min="54" max="55" width="172.5546875" style="2" hidden="1" customWidth="1"/>
    <col min="56" max="59" width="34.109375" style="2" hidden="1" customWidth="1"/>
    <col min="60" max="62" width="127.5546875" style="2" hidden="1" customWidth="1"/>
    <col min="63" max="16384" width="9.109375" style="1"/>
  </cols>
  <sheetData>
    <row r="1" spans="1:56" s="3" customFormat="1" ht="14.4" x14ac:dyDescent="0.3">
      <c r="A1" s="95" t="s">
        <v>5561</v>
      </c>
      <c r="B1" s="4"/>
      <c r="C1" s="4"/>
      <c r="D1" s="4"/>
      <c r="E1" s="4"/>
      <c r="F1" s="4"/>
      <c r="G1" s="4"/>
      <c r="H1" s="54"/>
      <c r="I1" s="54"/>
      <c r="J1" s="108"/>
      <c r="K1" s="54"/>
    </row>
    <row r="2" spans="1:56" s="3" customFormat="1" ht="36.75" customHeight="1" x14ac:dyDescent="0.3">
      <c r="A2" s="403" t="s">
        <v>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N2" s="6" t="s">
        <v>0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</row>
    <row r="3" spans="1:56" s="3" customFormat="1" ht="14.4" x14ac:dyDescent="0.3">
      <c r="A3" s="401" t="s">
        <v>2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56" s="3" customFormat="1" ht="14.4" x14ac:dyDescent="0.3">
      <c r="A4" s="7"/>
      <c r="B4" s="7"/>
      <c r="C4" s="7"/>
      <c r="D4" s="7"/>
      <c r="E4" s="7"/>
      <c r="F4" s="7"/>
      <c r="G4" s="7"/>
      <c r="H4" s="126"/>
      <c r="I4" s="126"/>
      <c r="J4" s="126"/>
      <c r="K4" s="54"/>
    </row>
    <row r="5" spans="1:56" s="3" customFormat="1" ht="24" customHeight="1" x14ac:dyDescent="0.3">
      <c r="A5" s="404" t="s">
        <v>922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AC5" s="6" t="s">
        <v>922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</row>
    <row r="6" spans="1:56" s="3" customFormat="1" ht="15.75" customHeight="1" x14ac:dyDescent="0.3">
      <c r="A6" s="401" t="s">
        <v>4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</row>
    <row r="7" spans="1:56" s="3" customFormat="1" ht="30.75" customHeight="1" x14ac:dyDescent="0.3">
      <c r="A7" s="4"/>
      <c r="B7" s="8" t="s">
        <v>5</v>
      </c>
      <c r="C7" s="402" t="s">
        <v>612</v>
      </c>
      <c r="D7" s="402"/>
      <c r="E7" s="402"/>
      <c r="F7" s="402"/>
      <c r="G7" s="402"/>
      <c r="H7" s="55"/>
      <c r="I7" s="109"/>
      <c r="J7" s="109"/>
      <c r="K7" s="109"/>
    </row>
    <row r="8" spans="1:56" s="3" customFormat="1" ht="15" thickBot="1" x14ac:dyDescent="0.35">
      <c r="A8" s="13"/>
      <c r="H8" s="56"/>
      <c r="I8" s="56"/>
      <c r="J8" s="56"/>
      <c r="K8" s="56"/>
    </row>
    <row r="9" spans="1:56" s="3" customFormat="1" ht="36" customHeight="1" x14ac:dyDescent="0.3">
      <c r="A9" s="74" t="s">
        <v>7</v>
      </c>
      <c r="B9" s="75" t="s">
        <v>8</v>
      </c>
      <c r="C9" s="414" t="s">
        <v>9</v>
      </c>
      <c r="D9" s="415"/>
      <c r="E9" s="416"/>
      <c r="F9" s="76" t="s">
        <v>10</v>
      </c>
      <c r="G9" s="77" t="s">
        <v>11</v>
      </c>
      <c r="H9" s="78" t="s">
        <v>5739</v>
      </c>
      <c r="I9" s="78" t="s">
        <v>5740</v>
      </c>
      <c r="J9" s="78" t="s">
        <v>5741</v>
      </c>
      <c r="K9" s="110" t="s">
        <v>5742</v>
      </c>
    </row>
    <row r="10" spans="1:56" s="3" customFormat="1" ht="15" thickBot="1" x14ac:dyDescent="0.35">
      <c r="A10" s="89">
        <v>1</v>
      </c>
      <c r="B10" s="90">
        <v>2</v>
      </c>
      <c r="C10" s="424">
        <v>3</v>
      </c>
      <c r="D10" s="425"/>
      <c r="E10" s="426"/>
      <c r="F10" s="92">
        <v>4</v>
      </c>
      <c r="G10" s="90">
        <v>5</v>
      </c>
      <c r="H10" s="125">
        <v>6</v>
      </c>
      <c r="I10" s="112" t="s">
        <v>47</v>
      </c>
      <c r="J10" s="112" t="s">
        <v>52</v>
      </c>
      <c r="K10" s="113" t="s">
        <v>55</v>
      </c>
    </row>
    <row r="11" spans="1:56" s="3" customFormat="1" ht="15" customHeight="1" x14ac:dyDescent="0.3">
      <c r="A11" s="435" t="s">
        <v>613</v>
      </c>
      <c r="B11" s="436"/>
      <c r="C11" s="436"/>
      <c r="D11" s="436"/>
      <c r="E11" s="436"/>
      <c r="F11" s="436"/>
      <c r="G11" s="436"/>
      <c r="H11" s="103"/>
      <c r="I11" s="103"/>
      <c r="J11" s="103"/>
      <c r="K11" s="104"/>
      <c r="BB11" s="14" t="s">
        <v>613</v>
      </c>
    </row>
    <row r="12" spans="1:56" s="3" customFormat="1" ht="15" customHeight="1" x14ac:dyDescent="0.3">
      <c r="A12" s="437" t="s">
        <v>614</v>
      </c>
      <c r="B12" s="418"/>
      <c r="C12" s="418"/>
      <c r="D12" s="418"/>
      <c r="E12" s="418"/>
      <c r="F12" s="418"/>
      <c r="G12" s="418"/>
      <c r="H12" s="123"/>
      <c r="I12" s="123"/>
      <c r="J12" s="123"/>
      <c r="K12" s="124"/>
      <c r="BB12" s="14"/>
      <c r="BC12" s="15" t="s">
        <v>614</v>
      </c>
    </row>
    <row r="13" spans="1:56" s="3" customFormat="1" ht="31.8" x14ac:dyDescent="0.3">
      <c r="A13" s="16" t="s">
        <v>15</v>
      </c>
      <c r="B13" s="17" t="s">
        <v>615</v>
      </c>
      <c r="C13" s="405" t="s">
        <v>616</v>
      </c>
      <c r="D13" s="405"/>
      <c r="E13" s="405"/>
      <c r="F13" s="16" t="s">
        <v>43</v>
      </c>
      <c r="G13" s="44">
        <v>0.47875000000000001</v>
      </c>
      <c r="H13" s="57">
        <f>I13/G13</f>
        <v>7694.140992167102</v>
      </c>
      <c r="I13" s="19">
        <v>3683.57</v>
      </c>
      <c r="J13" s="20">
        <f>K13/G13</f>
        <v>0</v>
      </c>
      <c r="K13" s="19">
        <v>0</v>
      </c>
      <c r="BB13" s="14"/>
      <c r="BC13" s="15"/>
      <c r="BD13" s="21" t="s">
        <v>616</v>
      </c>
    </row>
    <row r="14" spans="1:56" s="3" customFormat="1" ht="42" x14ac:dyDescent="0.3">
      <c r="A14" s="16" t="s">
        <v>20</v>
      </c>
      <c r="B14" s="17" t="s">
        <v>617</v>
      </c>
      <c r="C14" s="405" t="s">
        <v>618</v>
      </c>
      <c r="D14" s="405"/>
      <c r="E14" s="405"/>
      <c r="F14" s="16" t="s">
        <v>43</v>
      </c>
      <c r="G14" s="44">
        <v>0.32774999999999999</v>
      </c>
      <c r="H14" s="57">
        <f t="shared" ref="H14:H74" si="0">I14/G14</f>
        <v>46988.619374523267</v>
      </c>
      <c r="I14" s="19">
        <v>15400.52</v>
      </c>
      <c r="J14" s="20">
        <f t="shared" ref="J14:J74" si="1">K14/G14</f>
        <v>0</v>
      </c>
      <c r="K14" s="19">
        <v>0</v>
      </c>
      <c r="BB14" s="14"/>
      <c r="BC14" s="15"/>
      <c r="BD14" s="21" t="s">
        <v>618</v>
      </c>
    </row>
    <row r="15" spans="1:56" s="3" customFormat="1" ht="42" x14ac:dyDescent="0.3">
      <c r="A15" s="16" t="s">
        <v>22</v>
      </c>
      <c r="B15" s="17" t="s">
        <v>48</v>
      </c>
      <c r="C15" s="405" t="s">
        <v>49</v>
      </c>
      <c r="D15" s="405"/>
      <c r="E15" s="405"/>
      <c r="F15" s="16" t="s">
        <v>50</v>
      </c>
      <c r="G15" s="24">
        <v>655.5</v>
      </c>
      <c r="H15" s="57">
        <f t="shared" si="0"/>
        <v>598.37580472921434</v>
      </c>
      <c r="I15" s="19">
        <v>392235.34</v>
      </c>
      <c r="J15" s="20">
        <f t="shared" si="1"/>
        <v>0</v>
      </c>
      <c r="K15" s="19">
        <v>0</v>
      </c>
      <c r="BB15" s="14"/>
      <c r="BC15" s="15"/>
      <c r="BD15" s="21" t="s">
        <v>49</v>
      </c>
    </row>
    <row r="16" spans="1:56" s="3" customFormat="1" ht="15" customHeight="1" x14ac:dyDescent="0.3">
      <c r="A16" s="437" t="s">
        <v>619</v>
      </c>
      <c r="B16" s="418"/>
      <c r="C16" s="418"/>
      <c r="D16" s="418"/>
      <c r="E16" s="418"/>
      <c r="F16" s="418"/>
      <c r="G16" s="418"/>
      <c r="H16" s="123"/>
      <c r="I16" s="123"/>
      <c r="J16" s="123"/>
      <c r="K16" s="124"/>
      <c r="BB16" s="14"/>
      <c r="BC16" s="15" t="s">
        <v>619</v>
      </c>
      <c r="BD16" s="21"/>
    </row>
    <row r="17" spans="1:59" s="3" customFormat="1" ht="21.6" x14ac:dyDescent="0.3">
      <c r="A17" s="16" t="s">
        <v>27</v>
      </c>
      <c r="B17" s="17" t="s">
        <v>620</v>
      </c>
      <c r="C17" s="405" t="s">
        <v>621</v>
      </c>
      <c r="D17" s="405"/>
      <c r="E17" s="405"/>
      <c r="F17" s="16" t="s">
        <v>189</v>
      </c>
      <c r="G17" s="44">
        <v>2.5054699999999999</v>
      </c>
      <c r="H17" s="57">
        <f t="shared" si="0"/>
        <v>443.61337393782406</v>
      </c>
      <c r="I17" s="19">
        <v>1111.46</v>
      </c>
      <c r="J17" s="20">
        <f t="shared" si="1"/>
        <v>0</v>
      </c>
      <c r="K17" s="19">
        <v>0</v>
      </c>
      <c r="BB17" s="14"/>
      <c r="BC17" s="15"/>
      <c r="BD17" s="21" t="s">
        <v>621</v>
      </c>
    </row>
    <row r="18" spans="1:59" s="3" customFormat="1" ht="15" customHeight="1" x14ac:dyDescent="0.3">
      <c r="A18" s="437" t="s">
        <v>622</v>
      </c>
      <c r="B18" s="418"/>
      <c r="C18" s="418"/>
      <c r="D18" s="418"/>
      <c r="E18" s="418"/>
      <c r="F18" s="418"/>
      <c r="G18" s="418"/>
      <c r="H18" s="123"/>
      <c r="I18" s="123"/>
      <c r="J18" s="123"/>
      <c r="K18" s="124"/>
      <c r="BB18" s="14"/>
      <c r="BC18" s="15" t="s">
        <v>622</v>
      </c>
      <c r="BD18" s="21"/>
    </row>
    <row r="19" spans="1:59" s="3" customFormat="1" ht="42" x14ac:dyDescent="0.3">
      <c r="A19" s="16" t="s">
        <v>35</v>
      </c>
      <c r="B19" s="17" t="s">
        <v>623</v>
      </c>
      <c r="C19" s="405" t="s">
        <v>624</v>
      </c>
      <c r="D19" s="405"/>
      <c r="E19" s="405"/>
      <c r="F19" s="16" t="s">
        <v>43</v>
      </c>
      <c r="G19" s="45">
        <v>0.62636749999999997</v>
      </c>
      <c r="H19" s="57">
        <f t="shared" si="0"/>
        <v>30270.72764790638</v>
      </c>
      <c r="I19" s="19">
        <v>18960.599999999999</v>
      </c>
      <c r="J19" s="20">
        <f t="shared" si="1"/>
        <v>0</v>
      </c>
      <c r="K19" s="19">
        <v>0</v>
      </c>
      <c r="BB19" s="14"/>
      <c r="BC19" s="15"/>
      <c r="BD19" s="21" t="s">
        <v>624</v>
      </c>
    </row>
    <row r="20" spans="1:59" s="3" customFormat="1" ht="21.6" x14ac:dyDescent="0.3">
      <c r="A20" s="16" t="s">
        <v>40</v>
      </c>
      <c r="B20" s="17" t="s">
        <v>625</v>
      </c>
      <c r="C20" s="405" t="s">
        <v>626</v>
      </c>
      <c r="D20" s="405"/>
      <c r="E20" s="405"/>
      <c r="F20" s="16" t="s">
        <v>43</v>
      </c>
      <c r="G20" s="45">
        <v>0.62636749999999997</v>
      </c>
      <c r="H20" s="57">
        <f t="shared" si="0"/>
        <v>31148.966062255786</v>
      </c>
      <c r="I20" s="19">
        <v>19510.7</v>
      </c>
      <c r="J20" s="20">
        <f t="shared" si="1"/>
        <v>0</v>
      </c>
      <c r="K20" s="19">
        <v>0</v>
      </c>
      <c r="BB20" s="14"/>
      <c r="BC20" s="15"/>
      <c r="BD20" s="21" t="s">
        <v>626</v>
      </c>
    </row>
    <row r="21" spans="1:59" s="3" customFormat="1" ht="15" customHeight="1" x14ac:dyDescent="0.3">
      <c r="A21" s="435" t="s">
        <v>627</v>
      </c>
      <c r="B21" s="436"/>
      <c r="C21" s="436"/>
      <c r="D21" s="436"/>
      <c r="E21" s="436"/>
      <c r="F21" s="436"/>
      <c r="G21" s="436"/>
      <c r="H21" s="103"/>
      <c r="I21" s="103"/>
      <c r="J21" s="103"/>
      <c r="K21" s="104"/>
      <c r="BB21" s="14" t="s">
        <v>627</v>
      </c>
      <c r="BC21" s="15"/>
      <c r="BD21" s="21"/>
    </row>
    <row r="22" spans="1:59" s="3" customFormat="1" ht="15" customHeight="1" x14ac:dyDescent="0.3">
      <c r="A22" s="437" t="s">
        <v>628</v>
      </c>
      <c r="B22" s="418"/>
      <c r="C22" s="418"/>
      <c r="D22" s="418"/>
      <c r="E22" s="418"/>
      <c r="F22" s="418"/>
      <c r="G22" s="418"/>
      <c r="H22" s="123"/>
      <c r="I22" s="123"/>
      <c r="J22" s="123"/>
      <c r="K22" s="124"/>
      <c r="BB22" s="14"/>
      <c r="BC22" s="15" t="s">
        <v>628</v>
      </c>
      <c r="BD22" s="21"/>
    </row>
    <row r="23" spans="1:59" s="3" customFormat="1" ht="42" x14ac:dyDescent="0.3">
      <c r="A23" s="16" t="s">
        <v>47</v>
      </c>
      <c r="B23" s="17" t="s">
        <v>629</v>
      </c>
      <c r="C23" s="405" t="s">
        <v>630</v>
      </c>
      <c r="D23" s="405"/>
      <c r="E23" s="405"/>
      <c r="F23" s="16" t="s">
        <v>189</v>
      </c>
      <c r="G23" s="44">
        <v>2.0107499999999998</v>
      </c>
      <c r="H23" s="57">
        <f t="shared" si="0"/>
        <v>159882.01417381581</v>
      </c>
      <c r="I23" s="19">
        <f>1188090.83-K23</f>
        <v>321482.76000000013</v>
      </c>
      <c r="J23" s="20">
        <f t="shared" si="1"/>
        <v>430987.47730946168</v>
      </c>
      <c r="K23" s="19">
        <v>866608.07</v>
      </c>
      <c r="BB23" s="14"/>
      <c r="BC23" s="15"/>
      <c r="BD23" s="21" t="s">
        <v>630</v>
      </c>
    </row>
    <row r="24" spans="1:59" s="3" customFormat="1" ht="20.399999999999999" x14ac:dyDescent="0.3">
      <c r="A24" s="25"/>
      <c r="B24" s="26" t="s">
        <v>631</v>
      </c>
      <c r="C24" s="419" t="s">
        <v>632</v>
      </c>
      <c r="D24" s="419"/>
      <c r="E24" s="419"/>
      <c r="F24" s="27" t="s">
        <v>70</v>
      </c>
      <c r="G24" s="22" t="s">
        <v>923</v>
      </c>
      <c r="H24" s="57"/>
      <c r="I24" s="28"/>
      <c r="J24" s="20"/>
      <c r="K24" s="29"/>
      <c r="BB24" s="14"/>
      <c r="BC24" s="15"/>
      <c r="BD24" s="21"/>
      <c r="BE24" s="12" t="s">
        <v>632</v>
      </c>
    </row>
    <row r="25" spans="1:59" s="3" customFormat="1" ht="20.399999999999999" x14ac:dyDescent="0.3">
      <c r="A25" s="25"/>
      <c r="B25" s="26" t="s">
        <v>634</v>
      </c>
      <c r="C25" s="419" t="s">
        <v>635</v>
      </c>
      <c r="D25" s="419"/>
      <c r="E25" s="419"/>
      <c r="F25" s="27" t="s">
        <v>46</v>
      </c>
      <c r="G25" s="22" t="s">
        <v>924</v>
      </c>
      <c r="H25" s="57"/>
      <c r="I25" s="28"/>
      <c r="J25" s="20"/>
      <c r="K25" s="29"/>
      <c r="BB25" s="14"/>
      <c r="BC25" s="15"/>
      <c r="BD25" s="21"/>
      <c r="BE25" s="12" t="s">
        <v>635</v>
      </c>
    </row>
    <row r="26" spans="1:59" s="3" customFormat="1" ht="20.399999999999999" x14ac:dyDescent="0.3">
      <c r="A26" s="25"/>
      <c r="B26" s="26" t="s">
        <v>637</v>
      </c>
      <c r="C26" s="419" t="s">
        <v>638</v>
      </c>
      <c r="D26" s="419"/>
      <c r="E26" s="419"/>
      <c r="F26" s="27" t="s">
        <v>70</v>
      </c>
      <c r="G26" s="22" t="s">
        <v>925</v>
      </c>
      <c r="H26" s="57"/>
      <c r="I26" s="28"/>
      <c r="J26" s="20"/>
      <c r="K26" s="29"/>
      <c r="BB26" s="14"/>
      <c r="BC26" s="15"/>
      <c r="BD26" s="21"/>
      <c r="BE26" s="12" t="s">
        <v>638</v>
      </c>
    </row>
    <row r="27" spans="1:59" s="3" customFormat="1" ht="20.399999999999999" x14ac:dyDescent="0.3">
      <c r="A27" s="25"/>
      <c r="B27" s="26" t="s">
        <v>640</v>
      </c>
      <c r="C27" s="419" t="s">
        <v>641</v>
      </c>
      <c r="D27" s="419"/>
      <c r="E27" s="419"/>
      <c r="F27" s="27" t="s">
        <v>70</v>
      </c>
      <c r="G27" s="22" t="s">
        <v>926</v>
      </c>
      <c r="H27" s="57"/>
      <c r="I27" s="28"/>
      <c r="J27" s="20"/>
      <c r="K27" s="29"/>
      <c r="BB27" s="14"/>
      <c r="BC27" s="15"/>
      <c r="BD27" s="21"/>
      <c r="BE27" s="12" t="s">
        <v>641</v>
      </c>
    </row>
    <row r="28" spans="1:59" s="3" customFormat="1" ht="21.6" x14ac:dyDescent="0.3">
      <c r="A28" s="25"/>
      <c r="B28" s="26" t="s">
        <v>643</v>
      </c>
      <c r="C28" s="419" t="s">
        <v>644</v>
      </c>
      <c r="D28" s="419"/>
      <c r="E28" s="419"/>
      <c r="F28" s="27" t="s">
        <v>38</v>
      </c>
      <c r="G28" s="22" t="s">
        <v>927</v>
      </c>
      <c r="H28" s="57"/>
      <c r="I28" s="28"/>
      <c r="J28" s="20"/>
      <c r="K28" s="29"/>
      <c r="BB28" s="14"/>
      <c r="BC28" s="15"/>
      <c r="BD28" s="21"/>
      <c r="BE28" s="12" t="s">
        <v>644</v>
      </c>
    </row>
    <row r="29" spans="1:59" s="3" customFormat="1" ht="20.399999999999999" x14ac:dyDescent="0.3">
      <c r="A29" s="37" t="s">
        <v>78</v>
      </c>
      <c r="B29" s="38" t="s">
        <v>646</v>
      </c>
      <c r="C29" s="430" t="s">
        <v>647</v>
      </c>
      <c r="D29" s="430"/>
      <c r="E29" s="430"/>
      <c r="F29" s="39" t="s">
        <v>70</v>
      </c>
      <c r="G29" s="40" t="s">
        <v>33</v>
      </c>
      <c r="H29" s="57"/>
      <c r="I29" s="41"/>
      <c r="J29" s="20"/>
      <c r="K29" s="42"/>
      <c r="BB29" s="14"/>
      <c r="BC29" s="15"/>
      <c r="BD29" s="21"/>
      <c r="BE29" s="12"/>
      <c r="BF29" s="43" t="s">
        <v>647</v>
      </c>
    </row>
    <row r="30" spans="1:59" s="3" customFormat="1" ht="20.399999999999999" x14ac:dyDescent="0.3">
      <c r="A30" s="25"/>
      <c r="B30" s="26" t="s">
        <v>648</v>
      </c>
      <c r="C30" s="419" t="s">
        <v>649</v>
      </c>
      <c r="D30" s="419"/>
      <c r="E30" s="419"/>
      <c r="F30" s="27" t="s">
        <v>70</v>
      </c>
      <c r="G30" s="22" t="s">
        <v>928</v>
      </c>
      <c r="H30" s="57"/>
      <c r="I30" s="28"/>
      <c r="J30" s="20"/>
      <c r="K30" s="29"/>
      <c r="BB30" s="14"/>
      <c r="BC30" s="15"/>
      <c r="BD30" s="21"/>
      <c r="BE30" s="12" t="s">
        <v>649</v>
      </c>
      <c r="BF30" s="43"/>
    </row>
    <row r="31" spans="1:59" s="3" customFormat="1" ht="21.6" x14ac:dyDescent="0.3">
      <c r="A31" s="25"/>
      <c r="B31" s="26" t="s">
        <v>651</v>
      </c>
      <c r="C31" s="419" t="s">
        <v>652</v>
      </c>
      <c r="D31" s="419"/>
      <c r="E31" s="419"/>
      <c r="F31" s="27" t="s">
        <v>70</v>
      </c>
      <c r="G31" s="22" t="s">
        <v>928</v>
      </c>
      <c r="H31" s="57"/>
      <c r="I31" s="28"/>
      <c r="J31" s="20"/>
      <c r="K31" s="29"/>
      <c r="BB31" s="14"/>
      <c r="BC31" s="15"/>
      <c r="BD31" s="21"/>
      <c r="BE31" s="12" t="s">
        <v>652</v>
      </c>
      <c r="BF31" s="43"/>
    </row>
    <row r="32" spans="1:59" s="3" customFormat="1" ht="21.6" x14ac:dyDescent="0.3">
      <c r="A32" s="25" t="s">
        <v>129</v>
      </c>
      <c r="B32" s="26" t="s">
        <v>653</v>
      </c>
      <c r="C32" s="419" t="s">
        <v>654</v>
      </c>
      <c r="D32" s="419"/>
      <c r="E32" s="419"/>
      <c r="F32" s="27" t="s">
        <v>70</v>
      </c>
      <c r="G32" s="22" t="s">
        <v>929</v>
      </c>
      <c r="H32" s="57" t="e">
        <f t="shared" si="0"/>
        <v>#VALUE!</v>
      </c>
      <c r="I32" s="28"/>
      <c r="J32" s="20" t="e">
        <f t="shared" si="1"/>
        <v>#VALUE!</v>
      </c>
      <c r="K32" s="29"/>
      <c r="BB32" s="14"/>
      <c r="BC32" s="15"/>
      <c r="BD32" s="21"/>
      <c r="BE32" s="12"/>
      <c r="BF32" s="43"/>
      <c r="BG32" s="12" t="s">
        <v>654</v>
      </c>
    </row>
    <row r="33" spans="1:59" s="3" customFormat="1" ht="31.8" x14ac:dyDescent="0.3">
      <c r="A33" s="16" t="s">
        <v>52</v>
      </c>
      <c r="B33" s="17" t="s">
        <v>656</v>
      </c>
      <c r="C33" s="405" t="s">
        <v>657</v>
      </c>
      <c r="D33" s="405"/>
      <c r="E33" s="405"/>
      <c r="F33" s="16" t="s">
        <v>189</v>
      </c>
      <c r="G33" s="44">
        <v>2.0107499999999998</v>
      </c>
      <c r="H33" s="57">
        <f t="shared" si="0"/>
        <v>9456.8146214099124</v>
      </c>
      <c r="I33" s="19">
        <f>230569.58-K33</f>
        <v>19015.289999999979</v>
      </c>
      <c r="J33" s="20">
        <f t="shared" si="1"/>
        <v>105211.63247544449</v>
      </c>
      <c r="K33" s="19">
        <v>211554.29</v>
      </c>
      <c r="BB33" s="14"/>
      <c r="BC33" s="15"/>
      <c r="BD33" s="21" t="s">
        <v>657</v>
      </c>
      <c r="BE33" s="12"/>
      <c r="BF33" s="43"/>
      <c r="BG33" s="12"/>
    </row>
    <row r="34" spans="1:59" s="3" customFormat="1" ht="20.399999999999999" x14ac:dyDescent="0.3">
      <c r="A34" s="25"/>
      <c r="B34" s="26" t="s">
        <v>631</v>
      </c>
      <c r="C34" s="419" t="s">
        <v>632</v>
      </c>
      <c r="D34" s="419"/>
      <c r="E34" s="419"/>
      <c r="F34" s="27" t="s">
        <v>70</v>
      </c>
      <c r="G34" s="22" t="s">
        <v>930</v>
      </c>
      <c r="H34" s="57"/>
      <c r="I34" s="28"/>
      <c r="J34" s="20"/>
      <c r="K34" s="29"/>
      <c r="BB34" s="14"/>
      <c r="BC34" s="15"/>
      <c r="BD34" s="21"/>
      <c r="BE34" s="12" t="s">
        <v>632</v>
      </c>
      <c r="BF34" s="43"/>
      <c r="BG34" s="12"/>
    </row>
    <row r="35" spans="1:59" s="3" customFormat="1" ht="20.399999999999999" x14ac:dyDescent="0.3">
      <c r="A35" s="25"/>
      <c r="B35" s="26" t="s">
        <v>634</v>
      </c>
      <c r="C35" s="419" t="s">
        <v>635</v>
      </c>
      <c r="D35" s="419"/>
      <c r="E35" s="419"/>
      <c r="F35" s="27" t="s">
        <v>46</v>
      </c>
      <c r="G35" s="22" t="s">
        <v>931</v>
      </c>
      <c r="H35" s="57"/>
      <c r="I35" s="28"/>
      <c r="J35" s="20"/>
      <c r="K35" s="29"/>
      <c r="BB35" s="14"/>
      <c r="BC35" s="15"/>
      <c r="BD35" s="21"/>
      <c r="BE35" s="12" t="s">
        <v>635</v>
      </c>
      <c r="BF35" s="43"/>
      <c r="BG35" s="12"/>
    </row>
    <row r="36" spans="1:59" s="3" customFormat="1" ht="20.399999999999999" x14ac:dyDescent="0.3">
      <c r="A36" s="37" t="s">
        <v>78</v>
      </c>
      <c r="B36" s="38" t="s">
        <v>646</v>
      </c>
      <c r="C36" s="430" t="s">
        <v>647</v>
      </c>
      <c r="D36" s="430"/>
      <c r="E36" s="430"/>
      <c r="F36" s="39" t="s">
        <v>70</v>
      </c>
      <c r="G36" s="40" t="s">
        <v>33</v>
      </c>
      <c r="H36" s="57"/>
      <c r="I36" s="41"/>
      <c r="J36" s="20"/>
      <c r="K36" s="42"/>
      <c r="BB36" s="14"/>
      <c r="BC36" s="15"/>
      <c r="BD36" s="21"/>
      <c r="BE36" s="12"/>
      <c r="BF36" s="43" t="s">
        <v>647</v>
      </c>
      <c r="BG36" s="12"/>
    </row>
    <row r="37" spans="1:59" s="3" customFormat="1" ht="21.6" x14ac:dyDescent="0.3">
      <c r="A37" s="25" t="s">
        <v>129</v>
      </c>
      <c r="B37" s="26" t="s">
        <v>653</v>
      </c>
      <c r="C37" s="419" t="s">
        <v>654</v>
      </c>
      <c r="D37" s="419"/>
      <c r="E37" s="419"/>
      <c r="F37" s="27" t="s">
        <v>70</v>
      </c>
      <c r="G37" s="22" t="s">
        <v>932</v>
      </c>
      <c r="H37" s="57"/>
      <c r="I37" s="28"/>
      <c r="J37" s="20"/>
      <c r="K37" s="29"/>
      <c r="BB37" s="14"/>
      <c r="BC37" s="15"/>
      <c r="BD37" s="21"/>
      <c r="BE37" s="12"/>
      <c r="BF37" s="43"/>
      <c r="BG37" s="12" t="s">
        <v>654</v>
      </c>
    </row>
    <row r="38" spans="1:59" s="3" customFormat="1" ht="15" customHeight="1" x14ac:dyDescent="0.3">
      <c r="A38" s="437" t="s">
        <v>661</v>
      </c>
      <c r="B38" s="418"/>
      <c r="C38" s="418"/>
      <c r="D38" s="418"/>
      <c r="E38" s="418"/>
      <c r="F38" s="418"/>
      <c r="G38" s="418"/>
      <c r="H38" s="123"/>
      <c r="I38" s="123"/>
      <c r="J38" s="123"/>
      <c r="K38" s="124"/>
      <c r="BB38" s="14"/>
      <c r="BC38" s="15" t="s">
        <v>661</v>
      </c>
      <c r="BD38" s="21"/>
      <c r="BE38" s="12"/>
      <c r="BF38" s="43"/>
      <c r="BG38" s="12"/>
    </row>
    <row r="39" spans="1:59" s="3" customFormat="1" ht="31.8" x14ac:dyDescent="0.3">
      <c r="A39" s="16" t="s">
        <v>55</v>
      </c>
      <c r="B39" s="17" t="s">
        <v>662</v>
      </c>
      <c r="C39" s="405" t="s">
        <v>663</v>
      </c>
      <c r="D39" s="405"/>
      <c r="E39" s="405"/>
      <c r="F39" s="16" t="s">
        <v>70</v>
      </c>
      <c r="G39" s="31">
        <v>0.83</v>
      </c>
      <c r="H39" s="57">
        <f t="shared" si="0"/>
        <v>2160.8072289156644</v>
      </c>
      <c r="I39" s="19">
        <f>13552.37-K39</f>
        <v>1793.4700000000012</v>
      </c>
      <c r="J39" s="20">
        <f t="shared" si="1"/>
        <v>14167.349397590362</v>
      </c>
      <c r="K39" s="19">
        <v>11758.9</v>
      </c>
      <c r="BB39" s="14"/>
      <c r="BC39" s="15"/>
      <c r="BD39" s="21" t="s">
        <v>663</v>
      </c>
      <c r="BE39" s="12"/>
      <c r="BF39" s="43"/>
      <c r="BG39" s="12"/>
    </row>
    <row r="40" spans="1:59" s="3" customFormat="1" ht="20.399999999999999" x14ac:dyDescent="0.3">
      <c r="A40" s="25"/>
      <c r="B40" s="26" t="s">
        <v>631</v>
      </c>
      <c r="C40" s="419" t="s">
        <v>632</v>
      </c>
      <c r="D40" s="419"/>
      <c r="E40" s="419"/>
      <c r="F40" s="27" t="s">
        <v>70</v>
      </c>
      <c r="G40" s="22" t="s">
        <v>933</v>
      </c>
      <c r="H40" s="57"/>
      <c r="I40" s="28"/>
      <c r="J40" s="20"/>
      <c r="K40" s="29"/>
      <c r="BB40" s="14"/>
      <c r="BC40" s="15"/>
      <c r="BD40" s="21"/>
      <c r="BE40" s="12" t="s">
        <v>632</v>
      </c>
      <c r="BF40" s="43"/>
      <c r="BG40" s="12"/>
    </row>
    <row r="41" spans="1:59" s="3" customFormat="1" ht="15" customHeight="1" x14ac:dyDescent="0.3">
      <c r="A41" s="437" t="s">
        <v>665</v>
      </c>
      <c r="B41" s="418"/>
      <c r="C41" s="418"/>
      <c r="D41" s="418"/>
      <c r="E41" s="418"/>
      <c r="F41" s="418"/>
      <c r="G41" s="418"/>
      <c r="H41" s="123"/>
      <c r="I41" s="123"/>
      <c r="J41" s="123"/>
      <c r="K41" s="124"/>
      <c r="BB41" s="14"/>
      <c r="BC41" s="15" t="s">
        <v>665</v>
      </c>
      <c r="BD41" s="21"/>
      <c r="BE41" s="12"/>
      <c r="BF41" s="43"/>
      <c r="BG41" s="12"/>
    </row>
    <row r="42" spans="1:59" s="3" customFormat="1" ht="42" x14ac:dyDescent="0.3">
      <c r="A42" s="16" t="s">
        <v>56</v>
      </c>
      <c r="B42" s="17" t="s">
        <v>629</v>
      </c>
      <c r="C42" s="405" t="s">
        <v>630</v>
      </c>
      <c r="D42" s="405"/>
      <c r="E42" s="405"/>
      <c r="F42" s="16" t="s">
        <v>189</v>
      </c>
      <c r="G42" s="44">
        <v>2.0107499999999998</v>
      </c>
      <c r="H42" s="57">
        <f t="shared" si="0"/>
        <v>159882.01417381575</v>
      </c>
      <c r="I42" s="19">
        <f>1068279.73-K42</f>
        <v>321482.76</v>
      </c>
      <c r="J42" s="20">
        <f t="shared" si="1"/>
        <v>371402.19818475697</v>
      </c>
      <c r="K42" s="19">
        <v>746796.97</v>
      </c>
      <c r="BB42" s="14"/>
      <c r="BC42" s="15"/>
      <c r="BD42" s="21" t="s">
        <v>630</v>
      </c>
      <c r="BE42" s="12"/>
      <c r="BF42" s="43"/>
      <c r="BG42" s="12"/>
    </row>
    <row r="43" spans="1:59" s="3" customFormat="1" ht="20.399999999999999" x14ac:dyDescent="0.3">
      <c r="A43" s="25"/>
      <c r="B43" s="26" t="s">
        <v>631</v>
      </c>
      <c r="C43" s="419" t="s">
        <v>632</v>
      </c>
      <c r="D43" s="419"/>
      <c r="E43" s="419"/>
      <c r="F43" s="27" t="s">
        <v>70</v>
      </c>
      <c r="G43" s="22" t="s">
        <v>923</v>
      </c>
      <c r="H43" s="57"/>
      <c r="I43" s="28"/>
      <c r="J43" s="20"/>
      <c r="K43" s="29"/>
      <c r="BB43" s="14"/>
      <c r="BC43" s="15"/>
      <c r="BD43" s="21"/>
      <c r="BE43" s="12" t="s">
        <v>632</v>
      </c>
      <c r="BF43" s="43"/>
      <c r="BG43" s="12"/>
    </row>
    <row r="44" spans="1:59" s="3" customFormat="1" ht="20.399999999999999" x14ac:dyDescent="0.3">
      <c r="A44" s="25"/>
      <c r="B44" s="26" t="s">
        <v>634</v>
      </c>
      <c r="C44" s="419" t="s">
        <v>635</v>
      </c>
      <c r="D44" s="419"/>
      <c r="E44" s="419"/>
      <c r="F44" s="27" t="s">
        <v>46</v>
      </c>
      <c r="G44" s="22" t="s">
        <v>924</v>
      </c>
      <c r="H44" s="57"/>
      <c r="I44" s="28"/>
      <c r="J44" s="20"/>
      <c r="K44" s="29"/>
      <c r="BB44" s="14"/>
      <c r="BC44" s="15"/>
      <c r="BD44" s="21"/>
      <c r="BE44" s="12" t="s">
        <v>635</v>
      </c>
      <c r="BF44" s="43"/>
      <c r="BG44" s="12"/>
    </row>
    <row r="45" spans="1:59" s="3" customFormat="1" ht="20.399999999999999" x14ac:dyDescent="0.3">
      <c r="A45" s="25"/>
      <c r="B45" s="26" t="s">
        <v>637</v>
      </c>
      <c r="C45" s="419" t="s">
        <v>638</v>
      </c>
      <c r="D45" s="419"/>
      <c r="E45" s="419"/>
      <c r="F45" s="27" t="s">
        <v>70</v>
      </c>
      <c r="G45" s="22" t="s">
        <v>925</v>
      </c>
      <c r="H45" s="57"/>
      <c r="I45" s="28"/>
      <c r="J45" s="20"/>
      <c r="K45" s="29"/>
      <c r="BB45" s="14"/>
      <c r="BC45" s="15"/>
      <c r="BD45" s="21"/>
      <c r="BE45" s="12" t="s">
        <v>638</v>
      </c>
      <c r="BF45" s="43"/>
      <c r="BG45" s="12"/>
    </row>
    <row r="46" spans="1:59" s="3" customFormat="1" ht="20.399999999999999" x14ac:dyDescent="0.3">
      <c r="A46" s="25"/>
      <c r="B46" s="26" t="s">
        <v>640</v>
      </c>
      <c r="C46" s="419" t="s">
        <v>641</v>
      </c>
      <c r="D46" s="419"/>
      <c r="E46" s="419"/>
      <c r="F46" s="27" t="s">
        <v>70</v>
      </c>
      <c r="G46" s="22" t="s">
        <v>926</v>
      </c>
      <c r="H46" s="57"/>
      <c r="I46" s="28"/>
      <c r="J46" s="20"/>
      <c r="K46" s="29"/>
      <c r="BB46" s="14"/>
      <c r="BC46" s="15"/>
      <c r="BD46" s="21"/>
      <c r="BE46" s="12" t="s">
        <v>641</v>
      </c>
      <c r="BF46" s="43"/>
      <c r="BG46" s="12"/>
    </row>
    <row r="47" spans="1:59" s="3" customFormat="1" ht="21.6" x14ac:dyDescent="0.3">
      <c r="A47" s="25"/>
      <c r="B47" s="26" t="s">
        <v>643</v>
      </c>
      <c r="C47" s="419" t="s">
        <v>644</v>
      </c>
      <c r="D47" s="419"/>
      <c r="E47" s="419"/>
      <c r="F47" s="27" t="s">
        <v>38</v>
      </c>
      <c r="G47" s="22" t="s">
        <v>927</v>
      </c>
      <c r="H47" s="57"/>
      <c r="I47" s="28"/>
      <c r="J47" s="20"/>
      <c r="K47" s="29"/>
      <c r="BB47" s="14"/>
      <c r="BC47" s="15"/>
      <c r="BD47" s="21"/>
      <c r="BE47" s="12" t="s">
        <v>644</v>
      </c>
      <c r="BF47" s="43"/>
      <c r="BG47" s="12"/>
    </row>
    <row r="48" spans="1:59" s="3" customFormat="1" ht="20.399999999999999" x14ac:dyDescent="0.3">
      <c r="A48" s="37" t="s">
        <v>78</v>
      </c>
      <c r="B48" s="38" t="s">
        <v>646</v>
      </c>
      <c r="C48" s="430" t="s">
        <v>647</v>
      </c>
      <c r="D48" s="430"/>
      <c r="E48" s="430"/>
      <c r="F48" s="39" t="s">
        <v>70</v>
      </c>
      <c r="G48" s="40" t="s">
        <v>33</v>
      </c>
      <c r="H48" s="57"/>
      <c r="I48" s="41"/>
      <c r="J48" s="20"/>
      <c r="K48" s="42"/>
      <c r="BB48" s="14"/>
      <c r="BC48" s="15"/>
      <c r="BD48" s="21"/>
      <c r="BE48" s="12"/>
      <c r="BF48" s="43" t="s">
        <v>647</v>
      </c>
      <c r="BG48" s="12"/>
    </row>
    <row r="49" spans="1:59" s="3" customFormat="1" ht="20.399999999999999" x14ac:dyDescent="0.3">
      <c r="A49" s="25"/>
      <c r="B49" s="26" t="s">
        <v>648</v>
      </c>
      <c r="C49" s="419" t="s">
        <v>649</v>
      </c>
      <c r="D49" s="419"/>
      <c r="E49" s="419"/>
      <c r="F49" s="27" t="s">
        <v>70</v>
      </c>
      <c r="G49" s="22" t="s">
        <v>928</v>
      </c>
      <c r="H49" s="57"/>
      <c r="I49" s="28"/>
      <c r="J49" s="20"/>
      <c r="K49" s="29"/>
      <c r="BB49" s="14"/>
      <c r="BC49" s="15"/>
      <c r="BD49" s="21"/>
      <c r="BE49" s="12" t="s">
        <v>649</v>
      </c>
      <c r="BF49" s="43"/>
      <c r="BG49" s="12"/>
    </row>
    <row r="50" spans="1:59" s="3" customFormat="1" ht="21.6" x14ac:dyDescent="0.3">
      <c r="A50" s="25"/>
      <c r="B50" s="26" t="s">
        <v>651</v>
      </c>
      <c r="C50" s="419" t="s">
        <v>652</v>
      </c>
      <c r="D50" s="419"/>
      <c r="E50" s="419"/>
      <c r="F50" s="27" t="s">
        <v>70</v>
      </c>
      <c r="G50" s="22" t="s">
        <v>928</v>
      </c>
      <c r="H50" s="57"/>
      <c r="I50" s="28"/>
      <c r="J50" s="20"/>
      <c r="K50" s="29"/>
      <c r="BB50" s="14"/>
      <c r="BC50" s="15"/>
      <c r="BD50" s="21"/>
      <c r="BE50" s="12" t="s">
        <v>652</v>
      </c>
      <c r="BF50" s="43"/>
      <c r="BG50" s="12"/>
    </row>
    <row r="51" spans="1:59" s="3" customFormat="1" ht="21.6" x14ac:dyDescent="0.3">
      <c r="A51" s="25" t="s">
        <v>129</v>
      </c>
      <c r="B51" s="26" t="s">
        <v>666</v>
      </c>
      <c r="C51" s="419" t="s">
        <v>667</v>
      </c>
      <c r="D51" s="419"/>
      <c r="E51" s="419"/>
      <c r="F51" s="27" t="s">
        <v>70</v>
      </c>
      <c r="G51" s="22" t="s">
        <v>934</v>
      </c>
      <c r="H51" s="57"/>
      <c r="I51" s="28"/>
      <c r="J51" s="20"/>
      <c r="K51" s="29"/>
      <c r="BB51" s="14"/>
      <c r="BC51" s="15"/>
      <c r="BD51" s="21"/>
      <c r="BE51" s="12"/>
      <c r="BF51" s="43"/>
      <c r="BG51" s="12" t="s">
        <v>667</v>
      </c>
    </row>
    <row r="52" spans="1:59" s="3" customFormat="1" ht="31.8" x14ac:dyDescent="0.3">
      <c r="A52" s="16" t="s">
        <v>166</v>
      </c>
      <c r="B52" s="17" t="s">
        <v>656</v>
      </c>
      <c r="C52" s="405" t="s">
        <v>657</v>
      </c>
      <c r="D52" s="405"/>
      <c r="E52" s="405"/>
      <c r="F52" s="16" t="s">
        <v>189</v>
      </c>
      <c r="G52" s="44">
        <v>2.0107499999999998</v>
      </c>
      <c r="H52" s="57">
        <f t="shared" si="0"/>
        <v>28370.473703841821</v>
      </c>
      <c r="I52" s="19">
        <f>606383.96-K52</f>
        <v>57045.929999999935</v>
      </c>
      <c r="J52" s="20">
        <f t="shared" si="1"/>
        <v>273200.56197936099</v>
      </c>
      <c r="K52" s="19">
        <v>549338.03</v>
      </c>
      <c r="BB52" s="14"/>
      <c r="BC52" s="15"/>
      <c r="BD52" s="21" t="s">
        <v>657</v>
      </c>
      <c r="BE52" s="12"/>
      <c r="BF52" s="43"/>
      <c r="BG52" s="12"/>
    </row>
    <row r="53" spans="1:59" s="3" customFormat="1" ht="20.399999999999999" x14ac:dyDescent="0.3">
      <c r="A53" s="25"/>
      <c r="B53" s="26" t="s">
        <v>631</v>
      </c>
      <c r="C53" s="419" t="s">
        <v>632</v>
      </c>
      <c r="D53" s="419"/>
      <c r="E53" s="419"/>
      <c r="F53" s="27" t="s">
        <v>70</v>
      </c>
      <c r="G53" s="22" t="s">
        <v>935</v>
      </c>
      <c r="H53" s="57"/>
      <c r="I53" s="28"/>
      <c r="J53" s="20"/>
      <c r="K53" s="29"/>
      <c r="BB53" s="14"/>
      <c r="BC53" s="15"/>
      <c r="BD53" s="21"/>
      <c r="BE53" s="12" t="s">
        <v>632</v>
      </c>
      <c r="BF53" s="43"/>
      <c r="BG53" s="12"/>
    </row>
    <row r="54" spans="1:59" s="3" customFormat="1" ht="20.399999999999999" x14ac:dyDescent="0.3">
      <c r="A54" s="25"/>
      <c r="B54" s="26" t="s">
        <v>634</v>
      </c>
      <c r="C54" s="419" t="s">
        <v>635</v>
      </c>
      <c r="D54" s="419"/>
      <c r="E54" s="419"/>
      <c r="F54" s="27" t="s">
        <v>46</v>
      </c>
      <c r="G54" s="22" t="s">
        <v>936</v>
      </c>
      <c r="H54" s="57"/>
      <c r="I54" s="28"/>
      <c r="J54" s="20"/>
      <c r="K54" s="29"/>
      <c r="BB54" s="14"/>
      <c r="BC54" s="15"/>
      <c r="BD54" s="21"/>
      <c r="BE54" s="12" t="s">
        <v>635</v>
      </c>
      <c r="BF54" s="43"/>
      <c r="BG54" s="12"/>
    </row>
    <row r="55" spans="1:59" s="3" customFormat="1" ht="20.399999999999999" x14ac:dyDescent="0.3">
      <c r="A55" s="37" t="s">
        <v>78</v>
      </c>
      <c r="B55" s="38" t="s">
        <v>646</v>
      </c>
      <c r="C55" s="430" t="s">
        <v>647</v>
      </c>
      <c r="D55" s="430"/>
      <c r="E55" s="430"/>
      <c r="F55" s="39" t="s">
        <v>70</v>
      </c>
      <c r="G55" s="40" t="s">
        <v>33</v>
      </c>
      <c r="H55" s="57"/>
      <c r="I55" s="41"/>
      <c r="J55" s="20"/>
      <c r="K55" s="42"/>
      <c r="BB55" s="14"/>
      <c r="BC55" s="15"/>
      <c r="BD55" s="21"/>
      <c r="BE55" s="12"/>
      <c r="BF55" s="43" t="s">
        <v>647</v>
      </c>
      <c r="BG55" s="12"/>
    </row>
    <row r="56" spans="1:59" s="3" customFormat="1" ht="21.6" x14ac:dyDescent="0.3">
      <c r="A56" s="25" t="s">
        <v>129</v>
      </c>
      <c r="B56" s="26" t="s">
        <v>666</v>
      </c>
      <c r="C56" s="419" t="s">
        <v>667</v>
      </c>
      <c r="D56" s="419"/>
      <c r="E56" s="419"/>
      <c r="F56" s="27" t="s">
        <v>70</v>
      </c>
      <c r="G56" s="22" t="s">
        <v>937</v>
      </c>
      <c r="H56" s="57"/>
      <c r="I56" s="28"/>
      <c r="J56" s="20"/>
      <c r="K56" s="29"/>
      <c r="BB56" s="14"/>
      <c r="BC56" s="15"/>
      <c r="BD56" s="21"/>
      <c r="BE56" s="12"/>
      <c r="BF56" s="43"/>
      <c r="BG56" s="12" t="s">
        <v>667</v>
      </c>
    </row>
    <row r="57" spans="1:59" s="3" customFormat="1" ht="15" customHeight="1" x14ac:dyDescent="0.3">
      <c r="A57" s="437" t="s">
        <v>672</v>
      </c>
      <c r="B57" s="418"/>
      <c r="C57" s="418"/>
      <c r="D57" s="418"/>
      <c r="E57" s="418"/>
      <c r="F57" s="418"/>
      <c r="G57" s="418"/>
      <c r="H57" s="123"/>
      <c r="I57" s="123"/>
      <c r="J57" s="123"/>
      <c r="K57" s="124"/>
      <c r="BB57" s="14"/>
      <c r="BC57" s="15" t="s">
        <v>672</v>
      </c>
      <c r="BD57" s="21"/>
      <c r="BE57" s="12"/>
      <c r="BF57" s="43"/>
      <c r="BG57" s="12"/>
    </row>
    <row r="58" spans="1:59" s="3" customFormat="1" ht="31.8" x14ac:dyDescent="0.3">
      <c r="A58" s="16" t="s">
        <v>169</v>
      </c>
      <c r="B58" s="17" t="s">
        <v>662</v>
      </c>
      <c r="C58" s="405" t="s">
        <v>663</v>
      </c>
      <c r="D58" s="405"/>
      <c r="E58" s="405"/>
      <c r="F58" s="16" t="s">
        <v>70</v>
      </c>
      <c r="G58" s="31">
        <v>0.83</v>
      </c>
      <c r="H58" s="57">
        <f t="shared" si="0"/>
        <v>2160.8072289156644</v>
      </c>
      <c r="I58" s="19">
        <f>13552.37-K58</f>
        <v>1793.4700000000012</v>
      </c>
      <c r="J58" s="20">
        <f t="shared" si="1"/>
        <v>14167.349397590362</v>
      </c>
      <c r="K58" s="19">
        <v>11758.9</v>
      </c>
      <c r="BB58" s="14"/>
      <c r="BC58" s="15"/>
      <c r="BD58" s="21" t="s">
        <v>663</v>
      </c>
      <c r="BE58" s="12"/>
      <c r="BF58" s="43"/>
      <c r="BG58" s="12"/>
    </row>
    <row r="59" spans="1:59" s="3" customFormat="1" ht="20.399999999999999" x14ac:dyDescent="0.3">
      <c r="A59" s="25"/>
      <c r="B59" s="26" t="s">
        <v>631</v>
      </c>
      <c r="C59" s="419" t="s">
        <v>632</v>
      </c>
      <c r="D59" s="419"/>
      <c r="E59" s="419"/>
      <c r="F59" s="27" t="s">
        <v>70</v>
      </c>
      <c r="G59" s="22" t="s">
        <v>933</v>
      </c>
      <c r="H59" s="57"/>
      <c r="I59" s="28"/>
      <c r="J59" s="20"/>
      <c r="K59" s="29"/>
      <c r="BB59" s="14"/>
      <c r="BC59" s="15"/>
      <c r="BD59" s="21"/>
      <c r="BE59" s="12" t="s">
        <v>632</v>
      </c>
      <c r="BF59" s="43"/>
      <c r="BG59" s="12"/>
    </row>
    <row r="60" spans="1:59" s="3" customFormat="1" ht="15" customHeight="1" x14ac:dyDescent="0.3">
      <c r="A60" s="437" t="s">
        <v>673</v>
      </c>
      <c r="B60" s="418"/>
      <c r="C60" s="418"/>
      <c r="D60" s="418"/>
      <c r="E60" s="418"/>
      <c r="F60" s="418"/>
      <c r="G60" s="418"/>
      <c r="H60" s="123"/>
      <c r="I60" s="123"/>
      <c r="J60" s="123"/>
      <c r="K60" s="124"/>
      <c r="BB60" s="14"/>
      <c r="BC60" s="15" t="s">
        <v>673</v>
      </c>
      <c r="BD60" s="21"/>
      <c r="BE60" s="12"/>
      <c r="BF60" s="43"/>
      <c r="BG60" s="12"/>
    </row>
    <row r="61" spans="1:59" s="3" customFormat="1" ht="62.4" x14ac:dyDescent="0.3">
      <c r="A61" s="16" t="s">
        <v>170</v>
      </c>
      <c r="B61" s="17" t="s">
        <v>674</v>
      </c>
      <c r="C61" s="405" t="s">
        <v>675</v>
      </c>
      <c r="D61" s="405"/>
      <c r="E61" s="405"/>
      <c r="F61" s="16" t="s">
        <v>189</v>
      </c>
      <c r="G61" s="44">
        <v>2.2419899999999999</v>
      </c>
      <c r="H61" s="57">
        <f t="shared" si="0"/>
        <v>205546.97389372834</v>
      </c>
      <c r="I61" s="19">
        <f>903749.62-K61</f>
        <v>460834.26</v>
      </c>
      <c r="J61" s="20">
        <f t="shared" si="1"/>
        <v>197554.56536380626</v>
      </c>
      <c r="K61" s="19">
        <v>442915.36</v>
      </c>
      <c r="BB61" s="14"/>
      <c r="BC61" s="15"/>
      <c r="BD61" s="21" t="s">
        <v>675</v>
      </c>
      <c r="BE61" s="12"/>
      <c r="BF61" s="43"/>
      <c r="BG61" s="12"/>
    </row>
    <row r="62" spans="1:59" s="3" customFormat="1" ht="20.399999999999999" x14ac:dyDescent="0.3">
      <c r="A62" s="25"/>
      <c r="B62" s="26" t="s">
        <v>154</v>
      </c>
      <c r="C62" s="419" t="s">
        <v>155</v>
      </c>
      <c r="D62" s="419"/>
      <c r="E62" s="419"/>
      <c r="F62" s="27" t="s">
        <v>46</v>
      </c>
      <c r="G62" s="22" t="s">
        <v>938</v>
      </c>
      <c r="H62" s="57"/>
      <c r="I62" s="28"/>
      <c r="J62" s="20"/>
      <c r="K62" s="29"/>
      <c r="BB62" s="14"/>
      <c r="BC62" s="15"/>
      <c r="BD62" s="21"/>
      <c r="BE62" s="12" t="s">
        <v>155</v>
      </c>
      <c r="BF62" s="43"/>
      <c r="BG62" s="12"/>
    </row>
    <row r="63" spans="1:59" s="3" customFormat="1" ht="20.399999999999999" x14ac:dyDescent="0.3">
      <c r="A63" s="25"/>
      <c r="B63" s="26" t="s">
        <v>677</v>
      </c>
      <c r="C63" s="419" t="s">
        <v>678</v>
      </c>
      <c r="D63" s="419"/>
      <c r="E63" s="419"/>
      <c r="F63" s="27" t="s">
        <v>46</v>
      </c>
      <c r="G63" s="22" t="s">
        <v>939</v>
      </c>
      <c r="H63" s="57"/>
      <c r="I63" s="28"/>
      <c r="J63" s="20"/>
      <c r="K63" s="29"/>
      <c r="BB63" s="14"/>
      <c r="BC63" s="15"/>
      <c r="BD63" s="21"/>
      <c r="BE63" s="12" t="s">
        <v>678</v>
      </c>
      <c r="BF63" s="43"/>
      <c r="BG63" s="12"/>
    </row>
    <row r="64" spans="1:59" s="3" customFormat="1" ht="20.399999999999999" x14ac:dyDescent="0.3">
      <c r="A64" s="25"/>
      <c r="B64" s="26" t="s">
        <v>680</v>
      </c>
      <c r="C64" s="419" t="s">
        <v>681</v>
      </c>
      <c r="D64" s="419"/>
      <c r="E64" s="419"/>
      <c r="F64" s="27" t="s">
        <v>46</v>
      </c>
      <c r="G64" s="22" t="s">
        <v>940</v>
      </c>
      <c r="H64" s="57"/>
      <c r="I64" s="28"/>
      <c r="J64" s="20"/>
      <c r="K64" s="29"/>
      <c r="BB64" s="14"/>
      <c r="BC64" s="15"/>
      <c r="BD64" s="21"/>
      <c r="BE64" s="12" t="s">
        <v>681</v>
      </c>
      <c r="BF64" s="43"/>
      <c r="BG64" s="12"/>
    </row>
    <row r="65" spans="1:59" s="3" customFormat="1" ht="15" customHeight="1" x14ac:dyDescent="0.3">
      <c r="A65" s="437" t="s">
        <v>683</v>
      </c>
      <c r="B65" s="418"/>
      <c r="C65" s="418"/>
      <c r="D65" s="418"/>
      <c r="E65" s="418"/>
      <c r="F65" s="418"/>
      <c r="G65" s="418"/>
      <c r="H65" s="123"/>
      <c r="I65" s="123"/>
      <c r="J65" s="123"/>
      <c r="K65" s="124"/>
      <c r="BB65" s="14"/>
      <c r="BC65" s="15" t="s">
        <v>683</v>
      </c>
      <c r="BD65" s="21"/>
      <c r="BE65" s="12"/>
      <c r="BF65" s="43"/>
      <c r="BG65" s="12"/>
    </row>
    <row r="66" spans="1:59" s="3" customFormat="1" ht="21.6" x14ac:dyDescent="0.3">
      <c r="A66" s="16" t="s">
        <v>173</v>
      </c>
      <c r="B66" s="17" t="s">
        <v>684</v>
      </c>
      <c r="C66" s="405" t="s">
        <v>685</v>
      </c>
      <c r="D66" s="405"/>
      <c r="E66" s="405"/>
      <c r="F66" s="16" t="s">
        <v>189</v>
      </c>
      <c r="G66" s="44">
        <v>2.31385</v>
      </c>
      <c r="H66" s="57">
        <f t="shared" si="0"/>
        <v>12474.097283747893</v>
      </c>
      <c r="I66" s="19">
        <f>957610.39-K66</f>
        <v>28863.190000000061</v>
      </c>
      <c r="J66" s="20">
        <f t="shared" si="1"/>
        <v>401386.08812152903</v>
      </c>
      <c r="K66" s="19">
        <v>928747.2</v>
      </c>
      <c r="BB66" s="14"/>
      <c r="BC66" s="15"/>
      <c r="BD66" s="21" t="s">
        <v>685</v>
      </c>
      <c r="BE66" s="12"/>
      <c r="BF66" s="43"/>
      <c r="BG66" s="12"/>
    </row>
    <row r="67" spans="1:59" s="3" customFormat="1" ht="20.399999999999999" x14ac:dyDescent="0.3">
      <c r="A67" s="37" t="s">
        <v>78</v>
      </c>
      <c r="B67" s="38" t="s">
        <v>686</v>
      </c>
      <c r="C67" s="430" t="s">
        <v>687</v>
      </c>
      <c r="D67" s="430"/>
      <c r="E67" s="430"/>
      <c r="F67" s="39" t="s">
        <v>158</v>
      </c>
      <c r="G67" s="40" t="s">
        <v>33</v>
      </c>
      <c r="H67" s="57"/>
      <c r="I67" s="41"/>
      <c r="J67" s="20"/>
      <c r="K67" s="42"/>
      <c r="BB67" s="14"/>
      <c r="BC67" s="15"/>
      <c r="BD67" s="21"/>
      <c r="BE67" s="12"/>
      <c r="BF67" s="43" t="s">
        <v>687</v>
      </c>
      <c r="BG67" s="12"/>
    </row>
    <row r="68" spans="1:59" s="3" customFormat="1" ht="21.6" x14ac:dyDescent="0.3">
      <c r="A68" s="25"/>
      <c r="B68" s="26" t="s">
        <v>688</v>
      </c>
      <c r="C68" s="419" t="s">
        <v>689</v>
      </c>
      <c r="D68" s="419"/>
      <c r="E68" s="419"/>
      <c r="F68" s="27" t="s">
        <v>75</v>
      </c>
      <c r="G68" s="22" t="s">
        <v>941</v>
      </c>
      <c r="H68" s="57"/>
      <c r="I68" s="28"/>
      <c r="J68" s="20"/>
      <c r="K68" s="29"/>
      <c r="BB68" s="14"/>
      <c r="BC68" s="15"/>
      <c r="BD68" s="21"/>
      <c r="BE68" s="12" t="s">
        <v>689</v>
      </c>
      <c r="BF68" s="43"/>
      <c r="BG68" s="12"/>
    </row>
    <row r="69" spans="1:59" s="3" customFormat="1" ht="21.6" x14ac:dyDescent="0.3">
      <c r="A69" s="25" t="s">
        <v>129</v>
      </c>
      <c r="B69" s="26" t="s">
        <v>691</v>
      </c>
      <c r="C69" s="419" t="s">
        <v>692</v>
      </c>
      <c r="D69" s="419"/>
      <c r="E69" s="419"/>
      <c r="F69" s="27" t="s">
        <v>158</v>
      </c>
      <c r="G69" s="22" t="s">
        <v>942</v>
      </c>
      <c r="H69" s="57"/>
      <c r="I69" s="28"/>
      <c r="J69" s="20"/>
      <c r="K69" s="29"/>
      <c r="BB69" s="14"/>
      <c r="BC69" s="15"/>
      <c r="BD69" s="21"/>
      <c r="BE69" s="12"/>
      <c r="BF69" s="43"/>
      <c r="BG69" s="12" t="s">
        <v>692</v>
      </c>
    </row>
    <row r="70" spans="1:59" s="3" customFormat="1" ht="15" customHeight="1" x14ac:dyDescent="0.3">
      <c r="A70" s="437" t="s">
        <v>693</v>
      </c>
      <c r="B70" s="418"/>
      <c r="C70" s="418"/>
      <c r="D70" s="418"/>
      <c r="E70" s="418"/>
      <c r="F70" s="418"/>
      <c r="G70" s="418"/>
      <c r="H70" s="123"/>
      <c r="I70" s="123"/>
      <c r="J70" s="123"/>
      <c r="K70" s="124"/>
      <c r="BB70" s="14"/>
      <c r="BC70" s="15" t="s">
        <v>693</v>
      </c>
      <c r="BD70" s="21"/>
      <c r="BE70" s="12"/>
      <c r="BF70" s="43"/>
      <c r="BG70" s="12"/>
    </row>
    <row r="71" spans="1:59" s="3" customFormat="1" ht="62.4" x14ac:dyDescent="0.3">
      <c r="A71" s="16" t="s">
        <v>176</v>
      </c>
      <c r="B71" s="17" t="s">
        <v>694</v>
      </c>
      <c r="C71" s="405" t="s">
        <v>695</v>
      </c>
      <c r="D71" s="405"/>
      <c r="E71" s="405"/>
      <c r="F71" s="16" t="s">
        <v>189</v>
      </c>
      <c r="G71" s="44">
        <v>2.4096600000000001</v>
      </c>
      <c r="H71" s="57">
        <f t="shared" si="0"/>
        <v>143073.18459865707</v>
      </c>
      <c r="I71" s="19">
        <f>760941.75-K71</f>
        <v>344757.73</v>
      </c>
      <c r="J71" s="20">
        <f t="shared" si="1"/>
        <v>172714.83113800286</v>
      </c>
      <c r="K71" s="19">
        <v>416184.02</v>
      </c>
      <c r="BB71" s="14"/>
      <c r="BC71" s="15"/>
      <c r="BD71" s="21" t="s">
        <v>695</v>
      </c>
      <c r="BE71" s="12"/>
      <c r="BF71" s="43"/>
      <c r="BG71" s="12"/>
    </row>
    <row r="72" spans="1:59" s="3" customFormat="1" ht="20.399999999999999" x14ac:dyDescent="0.3">
      <c r="A72" s="25"/>
      <c r="B72" s="26" t="s">
        <v>154</v>
      </c>
      <c r="C72" s="419" t="s">
        <v>155</v>
      </c>
      <c r="D72" s="419"/>
      <c r="E72" s="419"/>
      <c r="F72" s="27" t="s">
        <v>46</v>
      </c>
      <c r="G72" s="22" t="s">
        <v>943</v>
      </c>
      <c r="H72" s="57"/>
      <c r="I72" s="28"/>
      <c r="J72" s="20"/>
      <c r="K72" s="29"/>
      <c r="BB72" s="14"/>
      <c r="BC72" s="15"/>
      <c r="BD72" s="21"/>
      <c r="BE72" s="12" t="s">
        <v>155</v>
      </c>
      <c r="BF72" s="43"/>
      <c r="BG72" s="12"/>
    </row>
    <row r="73" spans="1:59" s="3" customFormat="1" ht="20.399999999999999" x14ac:dyDescent="0.3">
      <c r="A73" s="25"/>
      <c r="B73" s="26" t="s">
        <v>680</v>
      </c>
      <c r="C73" s="419" t="s">
        <v>681</v>
      </c>
      <c r="D73" s="419"/>
      <c r="E73" s="419"/>
      <c r="F73" s="27" t="s">
        <v>46</v>
      </c>
      <c r="G73" s="22" t="s">
        <v>944</v>
      </c>
      <c r="H73" s="57"/>
      <c r="I73" s="28"/>
      <c r="J73" s="20"/>
      <c r="K73" s="29"/>
      <c r="BB73" s="14"/>
      <c r="BC73" s="15"/>
      <c r="BD73" s="21"/>
      <c r="BE73" s="12" t="s">
        <v>681</v>
      </c>
      <c r="BF73" s="43"/>
      <c r="BG73" s="12"/>
    </row>
    <row r="74" spans="1:59" s="3" customFormat="1" ht="31.8" x14ac:dyDescent="0.3">
      <c r="A74" s="16" t="s">
        <v>177</v>
      </c>
      <c r="B74" s="17" t="s">
        <v>698</v>
      </c>
      <c r="C74" s="405" t="s">
        <v>699</v>
      </c>
      <c r="D74" s="405"/>
      <c r="E74" s="405"/>
      <c r="F74" s="16" t="s">
        <v>189</v>
      </c>
      <c r="G74" s="44">
        <v>2.4096600000000001</v>
      </c>
      <c r="H74" s="57">
        <f t="shared" si="0"/>
        <v>48703.929185030254</v>
      </c>
      <c r="I74" s="19">
        <f>255741.02-K74</f>
        <v>117359.91</v>
      </c>
      <c r="J74" s="20">
        <f t="shared" si="1"/>
        <v>57427.649543919048</v>
      </c>
      <c r="K74" s="19">
        <v>138381.10999999999</v>
      </c>
      <c r="BB74" s="14"/>
      <c r="BC74" s="15"/>
      <c r="BD74" s="21" t="s">
        <v>699</v>
      </c>
      <c r="BE74" s="12"/>
      <c r="BF74" s="43"/>
      <c r="BG74" s="12"/>
    </row>
    <row r="75" spans="1:59" s="3" customFormat="1" ht="20.399999999999999" x14ac:dyDescent="0.3">
      <c r="A75" s="25"/>
      <c r="B75" s="26" t="s">
        <v>680</v>
      </c>
      <c r="C75" s="419" t="s">
        <v>681</v>
      </c>
      <c r="D75" s="419"/>
      <c r="E75" s="419"/>
      <c r="F75" s="27" t="s">
        <v>46</v>
      </c>
      <c r="G75" s="22" t="s">
        <v>945</v>
      </c>
      <c r="H75" s="57"/>
      <c r="I75" s="28"/>
      <c r="J75" s="20"/>
      <c r="K75" s="29"/>
      <c r="BB75" s="14"/>
      <c r="BC75" s="15"/>
      <c r="BD75" s="21"/>
      <c r="BE75" s="12" t="s">
        <v>681</v>
      </c>
      <c r="BF75" s="43"/>
      <c r="BG75" s="12"/>
    </row>
    <row r="76" spans="1:59" s="3" customFormat="1" ht="15" customHeight="1" x14ac:dyDescent="0.3">
      <c r="A76" s="437" t="s">
        <v>701</v>
      </c>
      <c r="B76" s="418"/>
      <c r="C76" s="418"/>
      <c r="D76" s="418"/>
      <c r="E76" s="418"/>
      <c r="F76" s="418"/>
      <c r="G76" s="418"/>
      <c r="H76" s="123"/>
      <c r="I76" s="123"/>
      <c r="J76" s="123"/>
      <c r="K76" s="124"/>
      <c r="BB76" s="14"/>
      <c r="BC76" s="15" t="s">
        <v>701</v>
      </c>
      <c r="BD76" s="21"/>
      <c r="BE76" s="12"/>
      <c r="BF76" s="43"/>
      <c r="BG76" s="12"/>
    </row>
    <row r="77" spans="1:59" s="3" customFormat="1" ht="15" customHeight="1" x14ac:dyDescent="0.3">
      <c r="A77" s="437" t="s">
        <v>683</v>
      </c>
      <c r="B77" s="418"/>
      <c r="C77" s="418"/>
      <c r="D77" s="418"/>
      <c r="E77" s="418"/>
      <c r="F77" s="418"/>
      <c r="G77" s="418"/>
      <c r="H77" s="123"/>
      <c r="I77" s="123"/>
      <c r="J77" s="123"/>
      <c r="K77" s="124"/>
      <c r="BB77" s="14"/>
      <c r="BC77" s="15" t="s">
        <v>683</v>
      </c>
      <c r="BD77" s="21"/>
      <c r="BE77" s="12"/>
      <c r="BF77" s="43"/>
      <c r="BG77" s="12"/>
    </row>
    <row r="78" spans="1:59" s="3" customFormat="1" ht="21.6" x14ac:dyDescent="0.3">
      <c r="A78" s="16" t="s">
        <v>180</v>
      </c>
      <c r="B78" s="17" t="s">
        <v>684</v>
      </c>
      <c r="C78" s="405" t="s">
        <v>685</v>
      </c>
      <c r="D78" s="405"/>
      <c r="E78" s="405"/>
      <c r="F78" s="16" t="s">
        <v>189</v>
      </c>
      <c r="G78" s="44">
        <v>2.5054699999999999</v>
      </c>
      <c r="H78" s="57">
        <f t="shared" ref="H78:H112" si="2">I78/G78</f>
        <v>12474.102663372538</v>
      </c>
      <c r="I78" s="19">
        <f>1036913.4-K78</f>
        <v>31253.489999999991</v>
      </c>
      <c r="J78" s="20">
        <f t="shared" ref="J78:J112" si="3">K78/G78</f>
        <v>401385.73201834387</v>
      </c>
      <c r="K78" s="19">
        <v>1005659.91</v>
      </c>
      <c r="BB78" s="14"/>
      <c r="BC78" s="15"/>
      <c r="BD78" s="21" t="s">
        <v>685</v>
      </c>
      <c r="BE78" s="12"/>
      <c r="BF78" s="43"/>
      <c r="BG78" s="12"/>
    </row>
    <row r="79" spans="1:59" s="3" customFormat="1" ht="20.399999999999999" x14ac:dyDescent="0.3">
      <c r="A79" s="37" t="s">
        <v>78</v>
      </c>
      <c r="B79" s="38" t="s">
        <v>686</v>
      </c>
      <c r="C79" s="430" t="s">
        <v>687</v>
      </c>
      <c r="D79" s="430"/>
      <c r="E79" s="430"/>
      <c r="F79" s="39" t="s">
        <v>158</v>
      </c>
      <c r="G79" s="40" t="s">
        <v>33</v>
      </c>
      <c r="H79" s="57"/>
      <c r="I79" s="41"/>
      <c r="J79" s="20"/>
      <c r="K79" s="42"/>
      <c r="BB79" s="14"/>
      <c r="BC79" s="15"/>
      <c r="BD79" s="21"/>
      <c r="BE79" s="12"/>
      <c r="BF79" s="43" t="s">
        <v>687</v>
      </c>
      <c r="BG79" s="12"/>
    </row>
    <row r="80" spans="1:59" s="3" customFormat="1" ht="21.6" x14ac:dyDescent="0.3">
      <c r="A80" s="25"/>
      <c r="B80" s="26" t="s">
        <v>688</v>
      </c>
      <c r="C80" s="419" t="s">
        <v>689</v>
      </c>
      <c r="D80" s="419"/>
      <c r="E80" s="419"/>
      <c r="F80" s="27" t="s">
        <v>75</v>
      </c>
      <c r="G80" s="22" t="s">
        <v>946</v>
      </c>
      <c r="H80" s="57"/>
      <c r="I80" s="28"/>
      <c r="J80" s="20"/>
      <c r="K80" s="29"/>
      <c r="BB80" s="14"/>
      <c r="BC80" s="15"/>
      <c r="BD80" s="21"/>
      <c r="BE80" s="12" t="s">
        <v>689</v>
      </c>
      <c r="BF80" s="43"/>
      <c r="BG80" s="12"/>
    </row>
    <row r="81" spans="1:59" s="3" customFormat="1" ht="21.6" x14ac:dyDescent="0.3">
      <c r="A81" s="25" t="s">
        <v>129</v>
      </c>
      <c r="B81" s="26" t="s">
        <v>691</v>
      </c>
      <c r="C81" s="419" t="s">
        <v>692</v>
      </c>
      <c r="D81" s="419"/>
      <c r="E81" s="419"/>
      <c r="F81" s="27" t="s">
        <v>158</v>
      </c>
      <c r="G81" s="22" t="s">
        <v>947</v>
      </c>
      <c r="H81" s="57"/>
      <c r="I81" s="28"/>
      <c r="J81" s="20"/>
      <c r="K81" s="29"/>
      <c r="BB81" s="14"/>
      <c r="BC81" s="15"/>
      <c r="BD81" s="21"/>
      <c r="BE81" s="12"/>
      <c r="BF81" s="43"/>
      <c r="BG81" s="12" t="s">
        <v>692</v>
      </c>
    </row>
    <row r="82" spans="1:59" s="3" customFormat="1" ht="15" customHeight="1" x14ac:dyDescent="0.3">
      <c r="A82" s="437" t="s">
        <v>745</v>
      </c>
      <c r="B82" s="418"/>
      <c r="C82" s="418"/>
      <c r="D82" s="418"/>
      <c r="E82" s="418"/>
      <c r="F82" s="418"/>
      <c r="G82" s="418"/>
      <c r="H82" s="123"/>
      <c r="I82" s="123"/>
      <c r="J82" s="123"/>
      <c r="K82" s="124"/>
      <c r="BB82" s="14"/>
      <c r="BC82" s="15" t="s">
        <v>745</v>
      </c>
      <c r="BD82" s="21"/>
      <c r="BE82" s="12"/>
      <c r="BF82" s="43"/>
      <c r="BG82" s="12"/>
    </row>
    <row r="83" spans="1:59" s="3" customFormat="1" ht="21.6" x14ac:dyDescent="0.3">
      <c r="A83" s="16" t="s">
        <v>182</v>
      </c>
      <c r="B83" s="17" t="s">
        <v>746</v>
      </c>
      <c r="C83" s="405" t="s">
        <v>747</v>
      </c>
      <c r="D83" s="405"/>
      <c r="E83" s="405"/>
      <c r="F83" s="16" t="s">
        <v>189</v>
      </c>
      <c r="G83" s="30">
        <v>0.41770000000000002</v>
      </c>
      <c r="H83" s="57">
        <f t="shared" si="2"/>
        <v>148172.94709121381</v>
      </c>
      <c r="I83" s="19">
        <f>173790.73-K83</f>
        <v>61891.840000000011</v>
      </c>
      <c r="J83" s="20">
        <f t="shared" si="3"/>
        <v>267892.96145559015</v>
      </c>
      <c r="K83" s="19">
        <v>111898.89</v>
      </c>
      <c r="BB83" s="14"/>
      <c r="BC83" s="15"/>
      <c r="BD83" s="21" t="s">
        <v>747</v>
      </c>
      <c r="BE83" s="12"/>
      <c r="BF83" s="43"/>
      <c r="BG83" s="12"/>
    </row>
    <row r="84" spans="1:59" s="3" customFormat="1" ht="20.399999999999999" x14ac:dyDescent="0.3">
      <c r="A84" s="25"/>
      <c r="B84" s="26" t="s">
        <v>154</v>
      </c>
      <c r="C84" s="419" t="s">
        <v>155</v>
      </c>
      <c r="D84" s="419"/>
      <c r="E84" s="419"/>
      <c r="F84" s="27" t="s">
        <v>46</v>
      </c>
      <c r="G84" s="22" t="s">
        <v>948</v>
      </c>
      <c r="H84" s="57"/>
      <c r="I84" s="28"/>
      <c r="J84" s="20"/>
      <c r="K84" s="29"/>
      <c r="BB84" s="14"/>
      <c r="BC84" s="15"/>
      <c r="BD84" s="21"/>
      <c r="BE84" s="12" t="s">
        <v>155</v>
      </c>
      <c r="BF84" s="43"/>
      <c r="BG84" s="12"/>
    </row>
    <row r="85" spans="1:59" s="3" customFormat="1" ht="21.6" x14ac:dyDescent="0.3">
      <c r="A85" s="37" t="s">
        <v>143</v>
      </c>
      <c r="B85" s="38" t="s">
        <v>79</v>
      </c>
      <c r="C85" s="430" t="s">
        <v>749</v>
      </c>
      <c r="D85" s="430"/>
      <c r="E85" s="430"/>
      <c r="F85" s="39" t="s">
        <v>46</v>
      </c>
      <c r="G85" s="40" t="s">
        <v>949</v>
      </c>
      <c r="H85" s="57"/>
      <c r="I85" s="41"/>
      <c r="J85" s="20"/>
      <c r="K85" s="42"/>
      <c r="BB85" s="14"/>
      <c r="BC85" s="15"/>
      <c r="BD85" s="21"/>
      <c r="BE85" s="12"/>
      <c r="BF85" s="43" t="s">
        <v>749</v>
      </c>
      <c r="BG85" s="12"/>
    </row>
    <row r="86" spans="1:59" s="3" customFormat="1" ht="21.6" x14ac:dyDescent="0.3">
      <c r="A86" s="37" t="s">
        <v>143</v>
      </c>
      <c r="B86" s="38" t="s">
        <v>79</v>
      </c>
      <c r="C86" s="430" t="s">
        <v>751</v>
      </c>
      <c r="D86" s="430"/>
      <c r="E86" s="430"/>
      <c r="F86" s="39" t="s">
        <v>46</v>
      </c>
      <c r="G86" s="40" t="s">
        <v>950</v>
      </c>
      <c r="H86" s="57"/>
      <c r="I86" s="41"/>
      <c r="J86" s="20"/>
      <c r="K86" s="42"/>
      <c r="BB86" s="14"/>
      <c r="BC86" s="15"/>
      <c r="BD86" s="21"/>
      <c r="BE86" s="12"/>
      <c r="BF86" s="43" t="s">
        <v>751</v>
      </c>
      <c r="BG86" s="12"/>
    </row>
    <row r="87" spans="1:59" s="3" customFormat="1" ht="21.6" x14ac:dyDescent="0.3">
      <c r="A87" s="37" t="s">
        <v>143</v>
      </c>
      <c r="B87" s="38" t="s">
        <v>79</v>
      </c>
      <c r="C87" s="430" t="s">
        <v>753</v>
      </c>
      <c r="D87" s="430"/>
      <c r="E87" s="430"/>
      <c r="F87" s="39" t="s">
        <v>46</v>
      </c>
      <c r="G87" s="40" t="s">
        <v>951</v>
      </c>
      <c r="H87" s="57"/>
      <c r="I87" s="41"/>
      <c r="J87" s="20"/>
      <c r="K87" s="42"/>
      <c r="BB87" s="14"/>
      <c r="BC87" s="15"/>
      <c r="BD87" s="21"/>
      <c r="BE87" s="12"/>
      <c r="BF87" s="43" t="s">
        <v>753</v>
      </c>
      <c r="BG87" s="12"/>
    </row>
    <row r="88" spans="1:59" s="3" customFormat="1" ht="20.399999999999999" x14ac:dyDescent="0.3">
      <c r="A88" s="25" t="s">
        <v>129</v>
      </c>
      <c r="B88" s="26" t="s">
        <v>755</v>
      </c>
      <c r="C88" s="419" t="s">
        <v>678</v>
      </c>
      <c r="D88" s="419"/>
      <c r="E88" s="419"/>
      <c r="F88" s="27" t="s">
        <v>46</v>
      </c>
      <c r="G88" s="22" t="s">
        <v>949</v>
      </c>
      <c r="H88" s="57"/>
      <c r="I88" s="28"/>
      <c r="J88" s="20"/>
      <c r="K88" s="29"/>
      <c r="BB88" s="14"/>
      <c r="BC88" s="15"/>
      <c r="BD88" s="21"/>
      <c r="BE88" s="12"/>
      <c r="BF88" s="43"/>
      <c r="BG88" s="12" t="s">
        <v>678</v>
      </c>
    </row>
    <row r="89" spans="1:59" s="3" customFormat="1" ht="20.399999999999999" x14ac:dyDescent="0.3">
      <c r="A89" s="25" t="s">
        <v>129</v>
      </c>
      <c r="B89" s="26" t="s">
        <v>756</v>
      </c>
      <c r="C89" s="419" t="s">
        <v>681</v>
      </c>
      <c r="D89" s="419"/>
      <c r="E89" s="419"/>
      <c r="F89" s="27" t="s">
        <v>46</v>
      </c>
      <c r="G89" s="22" t="s">
        <v>950</v>
      </c>
      <c r="H89" s="57"/>
      <c r="I89" s="28"/>
      <c r="J89" s="20"/>
      <c r="K89" s="29"/>
      <c r="BB89" s="14"/>
      <c r="BC89" s="15"/>
      <c r="BD89" s="21"/>
      <c r="BE89" s="12"/>
      <c r="BF89" s="43"/>
      <c r="BG89" s="12" t="s">
        <v>681</v>
      </c>
    </row>
    <row r="90" spans="1:59" s="3" customFormat="1" ht="20.399999999999999" x14ac:dyDescent="0.3">
      <c r="A90" s="25" t="s">
        <v>129</v>
      </c>
      <c r="B90" s="26" t="s">
        <v>757</v>
      </c>
      <c r="C90" s="419" t="s">
        <v>758</v>
      </c>
      <c r="D90" s="419"/>
      <c r="E90" s="419"/>
      <c r="F90" s="27" t="s">
        <v>46</v>
      </c>
      <c r="G90" s="22" t="s">
        <v>951</v>
      </c>
      <c r="H90" s="57"/>
      <c r="I90" s="28"/>
      <c r="J90" s="20"/>
      <c r="K90" s="29"/>
      <c r="BB90" s="14"/>
      <c r="BC90" s="15"/>
      <c r="BD90" s="21"/>
      <c r="BE90" s="12"/>
      <c r="BF90" s="43"/>
      <c r="BG90" s="12" t="s">
        <v>758</v>
      </c>
    </row>
    <row r="91" spans="1:59" s="3" customFormat="1" ht="31.8" x14ac:dyDescent="0.3">
      <c r="A91" s="16" t="s">
        <v>186</v>
      </c>
      <c r="B91" s="17" t="s">
        <v>759</v>
      </c>
      <c r="C91" s="405" t="s">
        <v>760</v>
      </c>
      <c r="D91" s="405"/>
      <c r="E91" s="405"/>
      <c r="F91" s="16" t="s">
        <v>189</v>
      </c>
      <c r="G91" s="30">
        <v>-0.41770000000000002</v>
      </c>
      <c r="H91" s="57">
        <f t="shared" si="2"/>
        <v>7785.1807517357011</v>
      </c>
      <c r="I91" s="19">
        <f>-27239.4-K91</f>
        <v>-3251.8700000000026</v>
      </c>
      <c r="J91" s="20">
        <f t="shared" si="3"/>
        <v>57427.651424467316</v>
      </c>
      <c r="K91" s="19">
        <v>-23987.53</v>
      </c>
      <c r="BB91" s="14"/>
      <c r="BC91" s="15"/>
      <c r="BD91" s="21" t="s">
        <v>760</v>
      </c>
      <c r="BE91" s="12"/>
      <c r="BF91" s="43"/>
      <c r="BG91" s="12"/>
    </row>
    <row r="92" spans="1:59" s="3" customFormat="1" ht="21.6" x14ac:dyDescent="0.3">
      <c r="A92" s="37" t="s">
        <v>143</v>
      </c>
      <c r="B92" s="38" t="s">
        <v>79</v>
      </c>
      <c r="C92" s="430" t="s">
        <v>751</v>
      </c>
      <c r="D92" s="430"/>
      <c r="E92" s="430"/>
      <c r="F92" s="39" t="s">
        <v>46</v>
      </c>
      <c r="G92" s="40" t="s">
        <v>952</v>
      </c>
      <c r="H92" s="57"/>
      <c r="I92" s="41"/>
      <c r="J92" s="20"/>
      <c r="K92" s="42"/>
      <c r="BB92" s="14"/>
      <c r="BC92" s="15"/>
      <c r="BD92" s="21"/>
      <c r="BE92" s="12"/>
      <c r="BF92" s="43" t="s">
        <v>751</v>
      </c>
      <c r="BG92" s="12"/>
    </row>
    <row r="93" spans="1:59" s="3" customFormat="1" ht="20.399999999999999" x14ac:dyDescent="0.3">
      <c r="A93" s="25" t="s">
        <v>129</v>
      </c>
      <c r="B93" s="26" t="s">
        <v>756</v>
      </c>
      <c r="C93" s="419" t="s">
        <v>681</v>
      </c>
      <c r="D93" s="419"/>
      <c r="E93" s="419"/>
      <c r="F93" s="27" t="s">
        <v>46</v>
      </c>
      <c r="G93" s="22" t="s">
        <v>952</v>
      </c>
      <c r="H93" s="57"/>
      <c r="I93" s="28"/>
      <c r="J93" s="20"/>
      <c r="K93" s="29"/>
      <c r="BB93" s="14"/>
      <c r="BC93" s="15"/>
      <c r="BD93" s="21"/>
      <c r="BE93" s="12"/>
      <c r="BF93" s="43"/>
      <c r="BG93" s="12" t="s">
        <v>681</v>
      </c>
    </row>
    <row r="94" spans="1:59" s="3" customFormat="1" ht="15" customHeight="1" x14ac:dyDescent="0.3">
      <c r="A94" s="437" t="s">
        <v>762</v>
      </c>
      <c r="B94" s="418"/>
      <c r="C94" s="418"/>
      <c r="D94" s="418"/>
      <c r="E94" s="418"/>
      <c r="F94" s="418"/>
      <c r="G94" s="418"/>
      <c r="H94" s="123"/>
      <c r="I94" s="123"/>
      <c r="J94" s="123"/>
      <c r="K94" s="124"/>
      <c r="BB94" s="14"/>
      <c r="BC94" s="15" t="s">
        <v>762</v>
      </c>
      <c r="BD94" s="21"/>
      <c r="BE94" s="12"/>
      <c r="BF94" s="43"/>
      <c r="BG94" s="12"/>
    </row>
    <row r="95" spans="1:59" s="3" customFormat="1" ht="15" customHeight="1" x14ac:dyDescent="0.3">
      <c r="A95" s="437" t="s">
        <v>763</v>
      </c>
      <c r="B95" s="418"/>
      <c r="C95" s="418"/>
      <c r="D95" s="418"/>
      <c r="E95" s="418"/>
      <c r="F95" s="418"/>
      <c r="G95" s="418"/>
      <c r="H95" s="123"/>
      <c r="I95" s="123"/>
      <c r="J95" s="123"/>
      <c r="K95" s="124"/>
      <c r="BB95" s="14"/>
      <c r="BC95" s="15" t="s">
        <v>763</v>
      </c>
      <c r="BD95" s="21"/>
      <c r="BE95" s="12"/>
      <c r="BF95" s="43"/>
      <c r="BG95" s="12"/>
    </row>
    <row r="96" spans="1:59" s="3" customFormat="1" ht="31.8" x14ac:dyDescent="0.3">
      <c r="A96" s="16" t="s">
        <v>192</v>
      </c>
      <c r="B96" s="17" t="s">
        <v>764</v>
      </c>
      <c r="C96" s="405" t="s">
        <v>765</v>
      </c>
      <c r="D96" s="405"/>
      <c r="E96" s="405"/>
      <c r="F96" s="16" t="s">
        <v>125</v>
      </c>
      <c r="G96" s="30">
        <v>1.3196000000000001</v>
      </c>
      <c r="H96" s="57">
        <f t="shared" si="2"/>
        <v>83869.998484389202</v>
      </c>
      <c r="I96" s="19">
        <f>187882.32-K96</f>
        <v>110674.85</v>
      </c>
      <c r="J96" s="20">
        <f t="shared" si="3"/>
        <v>58508.23734464989</v>
      </c>
      <c r="K96" s="19">
        <v>77207.47</v>
      </c>
      <c r="BB96" s="14"/>
      <c r="BC96" s="15"/>
      <c r="BD96" s="21" t="s">
        <v>765</v>
      </c>
      <c r="BE96" s="12"/>
      <c r="BF96" s="43"/>
      <c r="BG96" s="12"/>
    </row>
    <row r="97" spans="1:59" s="3" customFormat="1" ht="20.399999999999999" x14ac:dyDescent="0.3">
      <c r="A97" s="25"/>
      <c r="B97" s="26" t="s">
        <v>154</v>
      </c>
      <c r="C97" s="419" t="s">
        <v>155</v>
      </c>
      <c r="D97" s="419"/>
      <c r="E97" s="419"/>
      <c r="F97" s="27" t="s">
        <v>46</v>
      </c>
      <c r="G97" s="22" t="s">
        <v>953</v>
      </c>
      <c r="H97" s="57"/>
      <c r="I97" s="28"/>
      <c r="J97" s="20"/>
      <c r="K97" s="29"/>
      <c r="BB97" s="14"/>
      <c r="BC97" s="15"/>
      <c r="BD97" s="21"/>
      <c r="BE97" s="12" t="s">
        <v>155</v>
      </c>
      <c r="BF97" s="43"/>
      <c r="BG97" s="12"/>
    </row>
    <row r="98" spans="1:59" s="3" customFormat="1" ht="20.399999999999999" x14ac:dyDescent="0.3">
      <c r="A98" s="37" t="s">
        <v>78</v>
      </c>
      <c r="B98" s="38" t="s">
        <v>767</v>
      </c>
      <c r="C98" s="430" t="s">
        <v>768</v>
      </c>
      <c r="D98" s="430"/>
      <c r="E98" s="430"/>
      <c r="F98" s="39" t="s">
        <v>46</v>
      </c>
      <c r="G98" s="40" t="s">
        <v>33</v>
      </c>
      <c r="H98" s="57"/>
      <c r="I98" s="41"/>
      <c r="J98" s="20"/>
      <c r="K98" s="42"/>
      <c r="BB98" s="14"/>
      <c r="BC98" s="15"/>
      <c r="BD98" s="21"/>
      <c r="BE98" s="12"/>
      <c r="BF98" s="43" t="s">
        <v>768</v>
      </c>
      <c r="BG98" s="12"/>
    </row>
    <row r="99" spans="1:59" s="3" customFormat="1" ht="21.6" x14ac:dyDescent="0.3">
      <c r="A99" s="25" t="s">
        <v>129</v>
      </c>
      <c r="B99" s="26" t="s">
        <v>205</v>
      </c>
      <c r="C99" s="419" t="s">
        <v>82</v>
      </c>
      <c r="D99" s="419"/>
      <c r="E99" s="419"/>
      <c r="F99" s="27" t="s">
        <v>46</v>
      </c>
      <c r="G99" s="22" t="s">
        <v>954</v>
      </c>
      <c r="H99" s="57"/>
      <c r="I99" s="28"/>
      <c r="J99" s="20"/>
      <c r="K99" s="29"/>
      <c r="BB99" s="14"/>
      <c r="BC99" s="15"/>
      <c r="BD99" s="21"/>
      <c r="BE99" s="12"/>
      <c r="BF99" s="43"/>
      <c r="BG99" s="12" t="s">
        <v>82</v>
      </c>
    </row>
    <row r="100" spans="1:59" s="3" customFormat="1" ht="15" customHeight="1" x14ac:dyDescent="0.3">
      <c r="A100" s="437" t="s">
        <v>770</v>
      </c>
      <c r="B100" s="418"/>
      <c r="C100" s="418"/>
      <c r="D100" s="418"/>
      <c r="E100" s="418"/>
      <c r="F100" s="418"/>
      <c r="G100" s="418"/>
      <c r="H100" s="123"/>
      <c r="I100" s="123"/>
      <c r="J100" s="123"/>
      <c r="K100" s="124"/>
      <c r="BB100" s="14"/>
      <c r="BC100" s="15" t="s">
        <v>770</v>
      </c>
      <c r="BD100" s="21"/>
      <c r="BE100" s="12"/>
      <c r="BF100" s="43"/>
      <c r="BG100" s="12"/>
    </row>
    <row r="101" spans="1:59" s="3" customFormat="1" ht="15" customHeight="1" x14ac:dyDescent="0.3">
      <c r="A101" s="437" t="s">
        <v>704</v>
      </c>
      <c r="B101" s="418"/>
      <c r="C101" s="418"/>
      <c r="D101" s="418"/>
      <c r="E101" s="418"/>
      <c r="F101" s="418"/>
      <c r="G101" s="418"/>
      <c r="H101" s="123"/>
      <c r="I101" s="123"/>
      <c r="J101" s="123"/>
      <c r="K101" s="124"/>
      <c r="BB101" s="14"/>
      <c r="BC101" s="15" t="s">
        <v>704</v>
      </c>
      <c r="BD101" s="21"/>
      <c r="BE101" s="12"/>
      <c r="BF101" s="43"/>
      <c r="BG101" s="12"/>
    </row>
    <row r="102" spans="1:59" s="3" customFormat="1" ht="21.6" x14ac:dyDescent="0.3">
      <c r="A102" s="16" t="s">
        <v>196</v>
      </c>
      <c r="B102" s="17" t="s">
        <v>705</v>
      </c>
      <c r="C102" s="405" t="s">
        <v>706</v>
      </c>
      <c r="D102" s="405"/>
      <c r="E102" s="405"/>
      <c r="F102" s="16" t="s">
        <v>67</v>
      </c>
      <c r="G102" s="18">
        <v>8.5879999999999992</v>
      </c>
      <c r="H102" s="57">
        <f t="shared" si="2"/>
        <v>98108.908942710768</v>
      </c>
      <c r="I102" s="19">
        <f>1602864.84-K102</f>
        <v>842559.31</v>
      </c>
      <c r="J102" s="20">
        <f t="shared" si="3"/>
        <v>88531.151606893356</v>
      </c>
      <c r="K102" s="19">
        <v>760305.53</v>
      </c>
      <c r="BB102" s="14"/>
      <c r="BC102" s="15"/>
      <c r="BD102" s="21" t="s">
        <v>706</v>
      </c>
      <c r="BE102" s="12"/>
      <c r="BF102" s="43"/>
      <c r="BG102" s="12"/>
    </row>
    <row r="103" spans="1:59" s="3" customFormat="1" ht="20.399999999999999" x14ac:dyDescent="0.3">
      <c r="A103" s="25"/>
      <c r="B103" s="26" t="s">
        <v>76</v>
      </c>
      <c r="C103" s="419" t="s">
        <v>77</v>
      </c>
      <c r="D103" s="419"/>
      <c r="E103" s="419"/>
      <c r="F103" s="27" t="s">
        <v>70</v>
      </c>
      <c r="G103" s="22" t="s">
        <v>955</v>
      </c>
      <c r="H103" s="57"/>
      <c r="I103" s="28"/>
      <c r="J103" s="20"/>
      <c r="K103" s="29"/>
      <c r="BB103" s="14"/>
      <c r="BC103" s="15"/>
      <c r="BD103" s="21"/>
      <c r="BE103" s="12" t="s">
        <v>77</v>
      </c>
      <c r="BF103" s="43"/>
      <c r="BG103" s="12"/>
    </row>
    <row r="104" spans="1:59" s="3" customFormat="1" ht="21.6" x14ac:dyDescent="0.3">
      <c r="A104" s="25"/>
      <c r="B104" s="26" t="s">
        <v>107</v>
      </c>
      <c r="C104" s="419" t="s">
        <v>108</v>
      </c>
      <c r="D104" s="419"/>
      <c r="E104" s="419"/>
      <c r="F104" s="27" t="s">
        <v>46</v>
      </c>
      <c r="G104" s="22" t="s">
        <v>956</v>
      </c>
      <c r="H104" s="57"/>
      <c r="I104" s="28"/>
      <c r="J104" s="20"/>
      <c r="K104" s="29"/>
      <c r="BB104" s="14"/>
      <c r="BC104" s="15"/>
      <c r="BD104" s="21"/>
      <c r="BE104" s="12" t="s">
        <v>108</v>
      </c>
      <c r="BF104" s="43"/>
      <c r="BG104" s="12"/>
    </row>
    <row r="105" spans="1:59" s="3" customFormat="1" ht="20.399999999999999" x14ac:dyDescent="0.3">
      <c r="A105" s="25"/>
      <c r="B105" s="26" t="s">
        <v>709</v>
      </c>
      <c r="C105" s="419" t="s">
        <v>710</v>
      </c>
      <c r="D105" s="419"/>
      <c r="E105" s="419"/>
      <c r="F105" s="27" t="s">
        <v>46</v>
      </c>
      <c r="G105" s="22" t="s">
        <v>957</v>
      </c>
      <c r="H105" s="57"/>
      <c r="I105" s="28"/>
      <c r="J105" s="20"/>
      <c r="K105" s="29"/>
      <c r="BB105" s="14"/>
      <c r="BC105" s="15"/>
      <c r="BD105" s="21"/>
      <c r="BE105" s="12" t="s">
        <v>710</v>
      </c>
      <c r="BF105" s="43"/>
      <c r="BG105" s="12"/>
    </row>
    <row r="106" spans="1:59" s="3" customFormat="1" ht="31.8" x14ac:dyDescent="0.3">
      <c r="A106" s="25"/>
      <c r="B106" s="26" t="s">
        <v>712</v>
      </c>
      <c r="C106" s="419" t="s">
        <v>713</v>
      </c>
      <c r="D106" s="419"/>
      <c r="E106" s="419"/>
      <c r="F106" s="27" t="s">
        <v>46</v>
      </c>
      <c r="G106" s="22" t="s">
        <v>958</v>
      </c>
      <c r="H106" s="57"/>
      <c r="I106" s="28"/>
      <c r="J106" s="20"/>
      <c r="K106" s="29"/>
      <c r="BB106" s="14"/>
      <c r="BC106" s="15"/>
      <c r="BD106" s="21"/>
      <c r="BE106" s="12" t="s">
        <v>713</v>
      </c>
      <c r="BF106" s="43"/>
      <c r="BG106" s="12"/>
    </row>
    <row r="107" spans="1:59" s="3" customFormat="1" ht="20.399999999999999" x14ac:dyDescent="0.3">
      <c r="A107" s="37" t="s">
        <v>143</v>
      </c>
      <c r="B107" s="38" t="s">
        <v>715</v>
      </c>
      <c r="C107" s="430" t="s">
        <v>716</v>
      </c>
      <c r="D107" s="430"/>
      <c r="E107" s="430"/>
      <c r="F107" s="39" t="s">
        <v>115</v>
      </c>
      <c r="G107" s="40" t="s">
        <v>959</v>
      </c>
      <c r="H107" s="57"/>
      <c r="I107" s="41"/>
      <c r="J107" s="20"/>
      <c r="K107" s="42"/>
      <c r="BB107" s="14"/>
      <c r="BC107" s="15"/>
      <c r="BD107" s="21"/>
      <c r="BE107" s="12"/>
      <c r="BF107" s="43" t="s">
        <v>716</v>
      </c>
      <c r="BG107" s="12"/>
    </row>
    <row r="108" spans="1:59" s="3" customFormat="1" ht="21.6" x14ac:dyDescent="0.3">
      <c r="A108" s="25" t="s">
        <v>129</v>
      </c>
      <c r="B108" s="26" t="s">
        <v>718</v>
      </c>
      <c r="C108" s="419" t="s">
        <v>719</v>
      </c>
      <c r="D108" s="419"/>
      <c r="E108" s="419"/>
      <c r="F108" s="27" t="s">
        <v>38</v>
      </c>
      <c r="G108" s="22" t="s">
        <v>960</v>
      </c>
      <c r="H108" s="57"/>
      <c r="I108" s="28"/>
      <c r="J108" s="20"/>
      <c r="K108" s="29"/>
      <c r="BB108" s="14"/>
      <c r="BC108" s="15"/>
      <c r="BD108" s="21"/>
      <c r="BE108" s="12"/>
      <c r="BF108" s="43"/>
      <c r="BG108" s="12" t="s">
        <v>719</v>
      </c>
    </row>
    <row r="109" spans="1:59" s="3" customFormat="1" ht="15" customHeight="1" x14ac:dyDescent="0.3">
      <c r="A109" s="437" t="s">
        <v>961</v>
      </c>
      <c r="B109" s="418"/>
      <c r="C109" s="418"/>
      <c r="D109" s="418"/>
      <c r="E109" s="418"/>
      <c r="F109" s="418"/>
      <c r="G109" s="418"/>
      <c r="H109" s="123"/>
      <c r="I109" s="123"/>
      <c r="J109" s="123"/>
      <c r="K109" s="124"/>
      <c r="BB109" s="14"/>
      <c r="BC109" s="15" t="s">
        <v>961</v>
      </c>
      <c r="BD109" s="21"/>
      <c r="BE109" s="12"/>
      <c r="BF109" s="43"/>
      <c r="BG109" s="12"/>
    </row>
    <row r="110" spans="1:59" s="3" customFormat="1" ht="21.6" x14ac:dyDescent="0.3">
      <c r="A110" s="16" t="s">
        <v>198</v>
      </c>
      <c r="B110" s="17" t="s">
        <v>123</v>
      </c>
      <c r="C110" s="405" t="s">
        <v>124</v>
      </c>
      <c r="D110" s="405"/>
      <c r="E110" s="405"/>
      <c r="F110" s="16" t="s">
        <v>125</v>
      </c>
      <c r="G110" s="31">
        <v>1.51</v>
      </c>
      <c r="H110" s="57">
        <f t="shared" si="2"/>
        <v>64903.463576158938</v>
      </c>
      <c r="I110" s="19">
        <v>98004.23</v>
      </c>
      <c r="J110" s="20">
        <f t="shared" si="3"/>
        <v>0</v>
      </c>
      <c r="K110" s="19">
        <v>0</v>
      </c>
      <c r="BB110" s="14"/>
      <c r="BC110" s="15"/>
      <c r="BD110" s="21" t="s">
        <v>124</v>
      </c>
      <c r="BE110" s="12"/>
      <c r="BF110" s="43"/>
      <c r="BG110" s="12"/>
    </row>
    <row r="111" spans="1:59" s="3" customFormat="1" ht="15" customHeight="1" x14ac:dyDescent="0.3">
      <c r="A111" s="437" t="s">
        <v>962</v>
      </c>
      <c r="B111" s="418"/>
      <c r="C111" s="418"/>
      <c r="D111" s="418"/>
      <c r="E111" s="418"/>
      <c r="F111" s="418"/>
      <c r="G111" s="418"/>
      <c r="H111" s="123"/>
      <c r="I111" s="123"/>
      <c r="J111" s="123"/>
      <c r="K111" s="124"/>
      <c r="BB111" s="14"/>
      <c r="BC111" s="15" t="s">
        <v>962</v>
      </c>
      <c r="BD111" s="21"/>
      <c r="BE111" s="12"/>
      <c r="BF111" s="43"/>
      <c r="BG111" s="12"/>
    </row>
    <row r="112" spans="1:59" s="3" customFormat="1" ht="42" x14ac:dyDescent="0.3">
      <c r="A112" s="16" t="s">
        <v>201</v>
      </c>
      <c r="B112" s="17" t="s">
        <v>963</v>
      </c>
      <c r="C112" s="405" t="s">
        <v>964</v>
      </c>
      <c r="D112" s="405"/>
      <c r="E112" s="405"/>
      <c r="F112" s="16" t="s">
        <v>189</v>
      </c>
      <c r="G112" s="45">
        <v>0.63333329999999999</v>
      </c>
      <c r="H112" s="57">
        <f t="shared" si="2"/>
        <v>230644.82792867513</v>
      </c>
      <c r="I112" s="19">
        <f>279796.61-K112</f>
        <v>146075.04999999999</v>
      </c>
      <c r="J112" s="20">
        <f t="shared" si="3"/>
        <v>211139.31637575349</v>
      </c>
      <c r="K112" s="19">
        <v>133721.56</v>
      </c>
      <c r="BB112" s="14"/>
      <c r="BC112" s="15"/>
      <c r="BD112" s="21" t="s">
        <v>964</v>
      </c>
      <c r="BE112" s="12"/>
      <c r="BF112" s="43"/>
      <c r="BG112" s="12"/>
    </row>
    <row r="113" spans="1:62" s="3" customFormat="1" ht="20.399999999999999" x14ac:dyDescent="0.3">
      <c r="A113" s="25"/>
      <c r="B113" s="26" t="s">
        <v>154</v>
      </c>
      <c r="C113" s="419" t="s">
        <v>155</v>
      </c>
      <c r="D113" s="419"/>
      <c r="E113" s="419"/>
      <c r="F113" s="27" t="s">
        <v>46</v>
      </c>
      <c r="G113" s="22" t="s">
        <v>965</v>
      </c>
      <c r="H113" s="57"/>
      <c r="I113" s="28"/>
      <c r="J113" s="20"/>
      <c r="K113" s="29"/>
      <c r="BB113" s="14"/>
      <c r="BC113" s="15"/>
      <c r="BD113" s="21"/>
      <c r="BE113" s="12" t="s">
        <v>155</v>
      </c>
      <c r="BF113" s="43"/>
      <c r="BG113" s="12"/>
    </row>
    <row r="114" spans="1:62" s="3" customFormat="1" ht="20.399999999999999" x14ac:dyDescent="0.3">
      <c r="A114" s="25"/>
      <c r="B114" s="26" t="s">
        <v>966</v>
      </c>
      <c r="C114" s="419" t="s">
        <v>758</v>
      </c>
      <c r="D114" s="419"/>
      <c r="E114" s="419"/>
      <c r="F114" s="27" t="s">
        <v>46</v>
      </c>
      <c r="G114" s="22" t="s">
        <v>967</v>
      </c>
      <c r="H114" s="57"/>
      <c r="I114" s="28"/>
      <c r="J114" s="20"/>
      <c r="K114" s="29"/>
      <c r="BB114" s="14"/>
      <c r="BC114" s="15"/>
      <c r="BD114" s="21"/>
      <c r="BE114" s="12" t="s">
        <v>758</v>
      </c>
      <c r="BF114" s="43"/>
      <c r="BG114" s="12"/>
    </row>
    <row r="115" spans="1:62" s="3" customFormat="1" ht="20.399999999999999" x14ac:dyDescent="0.3">
      <c r="A115" s="25"/>
      <c r="B115" s="26" t="s">
        <v>677</v>
      </c>
      <c r="C115" s="419" t="s">
        <v>678</v>
      </c>
      <c r="D115" s="419"/>
      <c r="E115" s="419"/>
      <c r="F115" s="27" t="s">
        <v>46</v>
      </c>
      <c r="G115" s="22" t="s">
        <v>968</v>
      </c>
      <c r="H115" s="57"/>
      <c r="I115" s="28"/>
      <c r="J115" s="20"/>
      <c r="K115" s="29"/>
      <c r="BB115" s="14"/>
      <c r="BC115" s="15"/>
      <c r="BD115" s="21"/>
      <c r="BE115" s="12" t="s">
        <v>678</v>
      </c>
      <c r="BF115" s="43"/>
      <c r="BG115" s="12"/>
    </row>
    <row r="116" spans="1:62" s="3" customFormat="1" ht="20.399999999999999" x14ac:dyDescent="0.3">
      <c r="A116" s="25"/>
      <c r="B116" s="26" t="s">
        <v>680</v>
      </c>
      <c r="C116" s="419" t="s">
        <v>681</v>
      </c>
      <c r="D116" s="419"/>
      <c r="E116" s="419"/>
      <c r="F116" s="27" t="s">
        <v>46</v>
      </c>
      <c r="G116" s="22" t="s">
        <v>969</v>
      </c>
      <c r="H116" s="57"/>
      <c r="I116" s="28"/>
      <c r="J116" s="20"/>
      <c r="K116" s="29"/>
      <c r="BB116" s="14"/>
      <c r="BC116" s="15"/>
      <c r="BD116" s="21"/>
      <c r="BE116" s="12" t="s">
        <v>681</v>
      </c>
      <c r="BF116" s="43"/>
      <c r="BG116" s="12"/>
    </row>
    <row r="117" spans="1:62" s="3" customFormat="1" ht="20.25" customHeight="1" x14ac:dyDescent="0.3">
      <c r="A117" s="406" t="s">
        <v>57</v>
      </c>
      <c r="B117" s="407"/>
      <c r="C117" s="407"/>
      <c r="D117" s="407"/>
      <c r="E117" s="407"/>
      <c r="F117" s="407"/>
      <c r="G117" s="407"/>
      <c r="H117" s="66"/>
      <c r="I117" s="67">
        <f>SUM(I13:I116)</f>
        <v>3412537.86</v>
      </c>
      <c r="J117" s="72"/>
      <c r="K117" s="67">
        <f>SUM(K13:K116)</f>
        <v>6388848.6799999988</v>
      </c>
    </row>
    <row r="118" spans="1:62" s="53" customFormat="1" ht="20.25" customHeight="1" thickBot="1" x14ac:dyDescent="0.35">
      <c r="A118" s="408" t="s">
        <v>5461</v>
      </c>
      <c r="B118" s="409"/>
      <c r="C118" s="409"/>
      <c r="D118" s="409"/>
      <c r="E118" s="409"/>
      <c r="F118" s="409"/>
      <c r="G118" s="409"/>
      <c r="H118" s="88"/>
      <c r="I118" s="410">
        <f>I117+K117</f>
        <v>9801386.5399999991</v>
      </c>
      <c r="J118" s="411"/>
      <c r="K118" s="412"/>
    </row>
    <row r="119" spans="1:62" s="3" customFormat="1" ht="53.25" customHeight="1" x14ac:dyDescent="0.3">
      <c r="A119" s="4"/>
      <c r="B119" s="4"/>
      <c r="C119" s="4"/>
      <c r="D119" s="4"/>
      <c r="E119" s="4"/>
      <c r="F119" s="4"/>
      <c r="G119" s="4"/>
      <c r="H119" s="54"/>
      <c r="I119" s="54"/>
      <c r="J119" s="54"/>
      <c r="K119" s="54"/>
    </row>
    <row r="120" spans="1:62" s="10" customFormat="1" ht="13.5" customHeight="1" x14ac:dyDescent="0.3">
      <c r="A120" s="8"/>
      <c r="B120" s="8"/>
      <c r="C120" s="8"/>
      <c r="D120" s="8"/>
      <c r="E120" s="8"/>
      <c r="F120" s="8"/>
      <c r="G120" s="8"/>
      <c r="H120" s="59"/>
      <c r="I120" s="147"/>
      <c r="J120" s="59"/>
      <c r="K120" s="59"/>
      <c r="L120" s="3"/>
      <c r="M120" s="3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</row>
    <row r="121" spans="1:62" s="3" customFormat="1" ht="14.4" x14ac:dyDescent="0.3">
      <c r="A121" s="4"/>
      <c r="B121" s="4"/>
      <c r="C121" s="4"/>
      <c r="D121" s="4"/>
      <c r="E121" s="4"/>
      <c r="F121" s="4"/>
      <c r="G121" s="4"/>
      <c r="H121" s="54"/>
      <c r="I121" s="141"/>
      <c r="J121" s="54"/>
      <c r="K121" s="54"/>
    </row>
  </sheetData>
  <autoFilter ref="A10:K10" xr:uid="{00000000-0001-0000-0A00-000000000000}">
    <filterColumn colId="2" showButton="0"/>
    <filterColumn colId="3" showButton="0"/>
  </autoFilter>
  <mergeCells count="116">
    <mergeCell ref="A117:G117"/>
    <mergeCell ref="A118:G118"/>
    <mergeCell ref="I118:K118"/>
    <mergeCell ref="A11:G11"/>
    <mergeCell ref="A111:G111"/>
    <mergeCell ref="A109:G109"/>
    <mergeCell ref="A101:G101"/>
    <mergeCell ref="A100:G100"/>
    <mergeCell ref="A95:G95"/>
    <mergeCell ref="A94:G94"/>
    <mergeCell ref="A82:G82"/>
    <mergeCell ref="C115:E115"/>
    <mergeCell ref="C116:E116"/>
    <mergeCell ref="C110:E110"/>
    <mergeCell ref="C112:E112"/>
    <mergeCell ref="C113:E113"/>
    <mergeCell ref="C114:E114"/>
    <mergeCell ref="C105:E105"/>
    <mergeCell ref="C106:E106"/>
    <mergeCell ref="C107:E107"/>
    <mergeCell ref="C108:E108"/>
    <mergeCell ref="C102:E102"/>
    <mergeCell ref="C103:E103"/>
    <mergeCell ref="C104:E104"/>
    <mergeCell ref="C96:E96"/>
    <mergeCell ref="C97:E97"/>
    <mergeCell ref="C98:E98"/>
    <mergeCell ref="C99:E99"/>
    <mergeCell ref="C90:E90"/>
    <mergeCell ref="C91:E91"/>
    <mergeCell ref="C92:E92"/>
    <mergeCell ref="C93:E93"/>
    <mergeCell ref="C85:E85"/>
    <mergeCell ref="C86:E86"/>
    <mergeCell ref="C87:E87"/>
    <mergeCell ref="C88:E88"/>
    <mergeCell ref="C89:E89"/>
    <mergeCell ref="C80:E80"/>
    <mergeCell ref="C81:E81"/>
    <mergeCell ref="C83:E83"/>
    <mergeCell ref="C84:E84"/>
    <mergeCell ref="C75:E75"/>
    <mergeCell ref="C78:E78"/>
    <mergeCell ref="C79:E79"/>
    <mergeCell ref="A77:G77"/>
    <mergeCell ref="A76:G76"/>
    <mergeCell ref="C71:E71"/>
    <mergeCell ref="C72:E72"/>
    <mergeCell ref="C73:E73"/>
    <mergeCell ref="C74:E74"/>
    <mergeCell ref="A70:G70"/>
    <mergeCell ref="C66:E66"/>
    <mergeCell ref="C67:E67"/>
    <mergeCell ref="C68:E68"/>
    <mergeCell ref="C69:E69"/>
    <mergeCell ref="A65:G65"/>
    <mergeCell ref="C61:E61"/>
    <mergeCell ref="C62:E62"/>
    <mergeCell ref="C63:E63"/>
    <mergeCell ref="C64:E64"/>
    <mergeCell ref="A60:G60"/>
    <mergeCell ref="C55:E55"/>
    <mergeCell ref="C56:E56"/>
    <mergeCell ref="C58:E58"/>
    <mergeCell ref="C59:E59"/>
    <mergeCell ref="A57:G57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2:E42"/>
    <mergeCell ref="C43:E43"/>
    <mergeCell ref="C44:E44"/>
    <mergeCell ref="A41:G41"/>
    <mergeCell ref="C35:E35"/>
    <mergeCell ref="C36:E36"/>
    <mergeCell ref="C37:E37"/>
    <mergeCell ref="C39:E39"/>
    <mergeCell ref="A38:G38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C23:E23"/>
    <mergeCell ref="C24:E24"/>
    <mergeCell ref="A22:G22"/>
    <mergeCell ref="A21:G21"/>
    <mergeCell ref="A2:K2"/>
    <mergeCell ref="A3:K3"/>
    <mergeCell ref="A5:K5"/>
    <mergeCell ref="C15:E15"/>
    <mergeCell ref="C17:E17"/>
    <mergeCell ref="C19:E19"/>
    <mergeCell ref="A18:G18"/>
    <mergeCell ref="A16:G16"/>
    <mergeCell ref="C13:E13"/>
    <mergeCell ref="C14:E14"/>
    <mergeCell ref="A12:G12"/>
    <mergeCell ref="A6:K6"/>
    <mergeCell ref="C7:G7"/>
    <mergeCell ref="C9:E9"/>
    <mergeCell ref="C10:E10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2</vt:i4>
      </vt:variant>
    </vt:vector>
  </HeadingPairs>
  <TitlesOfParts>
    <vt:vector size="45" baseType="lpstr">
      <vt:lpstr>прил.7.2</vt:lpstr>
      <vt:lpstr>01-01-01</vt:lpstr>
      <vt:lpstr>01-01-02</vt:lpstr>
      <vt:lpstr>02-01-01</vt:lpstr>
      <vt:lpstr>02-02-01</vt:lpstr>
      <vt:lpstr>02-03-01</vt:lpstr>
      <vt:lpstr>05-04-01</vt:lpstr>
      <vt:lpstr>01-02-05</vt:lpstr>
      <vt:lpstr>02-04-01</vt:lpstr>
      <vt:lpstr>02-04-02 </vt:lpstr>
      <vt:lpstr>02-04-03</vt:lpstr>
      <vt:lpstr>01-02-03</vt:lpstr>
      <vt:lpstr>03-01-06</vt:lpstr>
      <vt:lpstr>01-02-01</vt:lpstr>
      <vt:lpstr>02-05-01</vt:lpstr>
      <vt:lpstr>02-05-03</vt:lpstr>
      <vt:lpstr>02-05-02</vt:lpstr>
      <vt:lpstr>01-02-02</vt:lpstr>
      <vt:lpstr>02-06-01</vt:lpstr>
      <vt:lpstr>02-06-03</vt:lpstr>
      <vt:lpstr>02-06-02</vt:lpstr>
      <vt:lpstr>07-01-01</vt:lpstr>
      <vt:lpstr>07-01-02</vt:lpstr>
      <vt:lpstr>07-01-03</vt:lpstr>
      <vt:lpstr>05-01-01</vt:lpstr>
      <vt:lpstr>05-01-02</vt:lpstr>
      <vt:lpstr>04-01-01</vt:lpstr>
      <vt:lpstr>03-01-02</vt:lpstr>
      <vt:lpstr>04-02-01</vt:lpstr>
      <vt:lpstr>09-01-01</vt:lpstr>
      <vt:lpstr>09-01-04</vt:lpstr>
      <vt:lpstr>05-02-01</vt:lpstr>
      <vt:lpstr>03-01-01</vt:lpstr>
      <vt:lpstr>03-01-07</vt:lpstr>
      <vt:lpstr>03-01-04</vt:lpstr>
      <vt:lpstr>03-01-05</vt:lpstr>
      <vt:lpstr>03-01-03</vt:lpstr>
      <vt:lpstr>09-01-02</vt:lpstr>
      <vt:lpstr>03-02-02</vt:lpstr>
      <vt:lpstr>03-03-01</vt:lpstr>
      <vt:lpstr>04-02-03</vt:lpstr>
      <vt:lpstr>04-02-02</vt:lpstr>
      <vt:lpstr>05-02-02</vt:lpstr>
      <vt:lpstr>'01-01-01'!Заголовки_для_печати</vt:lpstr>
      <vt:lpstr>'01-01-02'!Заголовки_для_печати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2025-06-24T13:52:52Z</dcterms:modified>
</cp:coreProperties>
</file>