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13_ncr:1_{C1CD7386-D214-4312-9266-CFA2A35795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Вход-выход 11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'Вход-выход 11 путь'!$A$5:$L$78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'Вход-выход 11 путь'!$A$1:$L$76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K70" i="1" s="1"/>
  <c r="F68" i="1"/>
  <c r="K68" i="1" s="1"/>
  <c r="F65" i="1"/>
  <c r="K65" i="1" s="1"/>
  <c r="F51" i="1"/>
  <c r="K51" i="1" s="1"/>
  <c r="G70" i="1" l="1"/>
  <c r="L70" i="1" s="1"/>
  <c r="G68" i="1"/>
  <c r="L68" i="1" s="1"/>
  <c r="G65" i="1"/>
  <c r="L65" i="1" s="1"/>
  <c r="G51" i="1"/>
  <c r="L51" i="1" s="1"/>
  <c r="F7" i="1" l="1"/>
  <c r="G7" i="1" s="1"/>
  <c r="L7" i="1" s="1"/>
  <c r="F48" i="1"/>
  <c r="F46" i="1"/>
  <c r="F45" i="1"/>
  <c r="G45" i="1" s="1"/>
  <c r="L45" i="1" s="1"/>
  <c r="F44" i="1"/>
  <c r="G44" i="1" s="1"/>
  <c r="L44" i="1" s="1"/>
  <c r="F34" i="1"/>
  <c r="K34" i="1" s="1"/>
  <c r="F33" i="1"/>
  <c r="K33" i="1" s="1"/>
  <c r="F31" i="1"/>
  <c r="G31" i="1" s="1"/>
  <c r="L31" i="1" s="1"/>
  <c r="F30" i="1"/>
  <c r="K30" i="1" s="1"/>
  <c r="G34" i="1" l="1"/>
  <c r="L34" i="1" s="1"/>
  <c r="K31" i="1"/>
  <c r="K7" i="1"/>
  <c r="K45" i="1"/>
  <c r="K44" i="1"/>
  <c r="G33" i="1"/>
  <c r="L33" i="1" s="1"/>
  <c r="G30" i="1"/>
  <c r="L30" i="1" s="1"/>
  <c r="D69" i="1" l="1"/>
  <c r="I69" i="1" s="1"/>
  <c r="D25" i="1"/>
  <c r="F25" i="1" s="1"/>
  <c r="G25" i="1" s="1"/>
  <c r="K69" i="1" l="1"/>
  <c r="J69" i="1"/>
  <c r="L69" i="1" s="1"/>
  <c r="D22" i="1"/>
  <c r="I22" i="1" s="1"/>
  <c r="D23" i="1"/>
  <c r="D15" i="1"/>
  <c r="F15" i="1" s="1"/>
  <c r="D21" i="1"/>
  <c r="F21" i="1" s="1"/>
  <c r="D20" i="1"/>
  <c r="F20" i="1" s="1"/>
  <c r="D18" i="1"/>
  <c r="F18" i="1" s="1"/>
  <c r="D26" i="1"/>
  <c r="D14" i="1"/>
  <c r="D27" i="1" s="1"/>
  <c r="F77" i="1"/>
  <c r="K77" i="1" s="1"/>
  <c r="D72" i="1"/>
  <c r="D74" i="1" s="1"/>
  <c r="D71" i="1"/>
  <c r="I71" i="1" s="1"/>
  <c r="K71" i="1" s="1"/>
  <c r="F11" i="1"/>
  <c r="G11" i="1" s="1"/>
  <c r="L11" i="1" s="1"/>
  <c r="G21" i="1" l="1"/>
  <c r="L21" i="1" s="1"/>
  <c r="K21" i="1"/>
  <c r="D24" i="1"/>
  <c r="I24" i="1" s="1"/>
  <c r="F23" i="1"/>
  <c r="J22" i="1"/>
  <c r="L22" i="1" s="1"/>
  <c r="K22" i="1"/>
  <c r="G18" i="1"/>
  <c r="L18" i="1" s="1"/>
  <c r="K18" i="1"/>
  <c r="K24" i="1"/>
  <c r="J24" i="1"/>
  <c r="K20" i="1"/>
  <c r="G20" i="1"/>
  <c r="L20" i="1" s="1"/>
  <c r="K15" i="1"/>
  <c r="G15" i="1"/>
  <c r="L15" i="1" s="1"/>
  <c r="D17" i="1"/>
  <c r="F17" i="1" s="1"/>
  <c r="G77" i="1"/>
  <c r="L77" i="1" s="1"/>
  <c r="J71" i="1"/>
  <c r="L71" i="1" s="1"/>
  <c r="K11" i="1"/>
  <c r="F76" i="1"/>
  <c r="K76" i="1" s="1"/>
  <c r="D75" i="1"/>
  <c r="F74" i="1"/>
  <c r="D73" i="1"/>
  <c r="F72" i="1"/>
  <c r="K72" i="1" s="1"/>
  <c r="D50" i="1"/>
  <c r="K48" i="1"/>
  <c r="K46" i="1"/>
  <c r="I38" i="1"/>
  <c r="K38" i="1" s="1"/>
  <c r="F37" i="1"/>
  <c r="K37" i="1" s="1"/>
  <c r="F35" i="1"/>
  <c r="G35" i="1" s="1"/>
  <c r="L35" i="1" s="1"/>
  <c r="F27" i="1"/>
  <c r="K27" i="1" s="1"/>
  <c r="K25" i="1"/>
  <c r="F14" i="1"/>
  <c r="G14" i="1" s="1"/>
  <c r="L14" i="1" s="1"/>
  <c r="F12" i="1"/>
  <c r="K12" i="1" s="1"/>
  <c r="F10" i="1"/>
  <c r="G10" i="1" s="1"/>
  <c r="L10" i="1" s="1"/>
  <c r="F9" i="1"/>
  <c r="K9" i="1" s="1"/>
  <c r="A9" i="1"/>
  <c r="A10" i="1" s="1"/>
  <c r="K23" i="1" l="1"/>
  <c r="G23" i="1"/>
  <c r="L23" i="1" s="1"/>
  <c r="L24" i="1"/>
  <c r="G74" i="1"/>
  <c r="L74" i="1" s="1"/>
  <c r="K74" i="1"/>
  <c r="K17" i="1"/>
  <c r="G17" i="1"/>
  <c r="L17" i="1" s="1"/>
  <c r="A11" i="1"/>
  <c r="A12" i="1" s="1"/>
  <c r="A14" i="1" s="1"/>
  <c r="I26" i="1"/>
  <c r="J26" i="1" s="1"/>
  <c r="L26" i="1" s="1"/>
  <c r="K14" i="1"/>
  <c r="G27" i="1"/>
  <c r="L27" i="1" s="1"/>
  <c r="G37" i="1"/>
  <c r="L37" i="1" s="1"/>
  <c r="G46" i="1"/>
  <c r="L46" i="1" s="1"/>
  <c r="G12" i="1"/>
  <c r="L12" i="1" s="1"/>
  <c r="J38" i="1"/>
  <c r="L38" i="1" s="1"/>
  <c r="F8" i="1"/>
  <c r="K35" i="1"/>
  <c r="L25" i="1"/>
  <c r="K10" i="1"/>
  <c r="G9" i="1"/>
  <c r="L9" i="1" s="1"/>
  <c r="G48" i="1"/>
  <c r="L48" i="1" s="1"/>
  <c r="G72" i="1"/>
  <c r="L72" i="1" s="1"/>
  <c r="I75" i="1"/>
  <c r="G76" i="1"/>
  <c r="L76" i="1" s="1"/>
  <c r="I73" i="1"/>
  <c r="A27" i="1" l="1"/>
  <c r="A37" i="1" s="1"/>
  <c r="A48" i="1" s="1"/>
  <c r="A74" i="1" s="1"/>
  <c r="K26" i="1"/>
  <c r="K8" i="1"/>
  <c r="G8" i="1"/>
  <c r="J73" i="1"/>
  <c r="K73" i="1"/>
  <c r="K75" i="1"/>
  <c r="J75" i="1"/>
  <c r="L75" i="1" s="1"/>
  <c r="J78" i="1" l="1"/>
  <c r="L8" i="1"/>
  <c r="G78" i="1"/>
  <c r="L73" i="1"/>
  <c r="L78" i="1" l="1"/>
</calcChain>
</file>

<file path=xl/sharedStrings.xml><?xml version="1.0" encoding="utf-8"?>
<sst xmlns="http://schemas.openxmlformats.org/spreadsheetml/2006/main" count="213" uniqueCount="150">
  <si>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</si>
  <si>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</si>
  <si>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</si>
  <si>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</si>
  <si>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</si>
  <si>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</si>
  <si>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</si>
  <si>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</si>
  <si>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</si>
  <si>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</si>
  <si>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</si>
  <si>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</si>
  <si>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</si>
  <si>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Демонтаж рельсошпальной решётки </t>
  </si>
  <si>
    <t>1</t>
  </si>
  <si>
    <t>м3</t>
  </si>
  <si>
    <t>шт.</t>
  </si>
  <si>
    <t>Разборка стыков Р-50 (демонтаж стыковых накладок)</t>
  </si>
  <si>
    <t>к-т</t>
  </si>
  <si>
    <t xml:space="preserve">Демонтаж рельс Р-50 звеньями до 12,5м </t>
  </si>
  <si>
    <t>м</t>
  </si>
  <si>
    <t>Демонтаж шпал деревянных</t>
  </si>
  <si>
    <t>Щебень балластный кат.2</t>
  </si>
  <si>
    <t>м2</t>
  </si>
  <si>
    <t>Монтажные работы</t>
  </si>
  <si>
    <t>Укладка шпал ж.б., с эпюрой 1840</t>
  </si>
  <si>
    <t>11.1</t>
  </si>
  <si>
    <t>Комплект скрепления КБ 65 на шпалу (новые), в составе:</t>
  </si>
  <si>
    <t xml:space="preserve">Подкладка КБ-65 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</si>
  <si>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</si>
  <si>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</si>
  <si>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</si>
  <si>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</si>
  <si>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Рельс новый 12,5 м РП65 ДТ350</t>
  </si>
  <si>
    <t>Монтаж стыковочных накладок Р-65 (6-ти отверстных)</t>
  </si>
  <si>
    <t>Накладка 6-дырная Р65</t>
  </si>
  <si>
    <t>компл.</t>
  </si>
  <si>
    <t>Болт стыковой в сборе</t>
  </si>
  <si>
    <t>Рихтовка пути</t>
  </si>
  <si>
    <t>шт</t>
  </si>
  <si>
    <t>Итого ВСЕГО</t>
  </si>
  <si>
    <t>Ремонтно-восстановительные работы на пути 1Б</t>
  </si>
  <si>
    <t>Расшивка шпал деревянных (скрепление Д-50 -220шт.)</t>
  </si>
  <si>
    <t xml:space="preserve">Демонтаж стрелочного перевода 1/9 </t>
  </si>
  <si>
    <t>9</t>
  </si>
  <si>
    <t>Укладка стрелочного перевода 1/7 на композитных брусьях</t>
  </si>
  <si>
    <t>Монтаж скрепления КБ65 (1080шт.)</t>
  </si>
  <si>
    <t>Монтаж рельс звеньями по 12,5м (24 шт.)</t>
  </si>
  <si>
    <t>Резка рельсов</t>
  </si>
  <si>
    <t>Сверление отверстий под стыковочные накладки(Д-30мм)</t>
  </si>
  <si>
    <t>Установка упора</t>
  </si>
  <si>
    <t>12</t>
  </si>
  <si>
    <t>13</t>
  </si>
  <si>
    <t>16</t>
  </si>
  <si>
    <t>17</t>
  </si>
  <si>
    <t>18</t>
  </si>
  <si>
    <t>19.1</t>
  </si>
  <si>
    <t>20.1</t>
  </si>
  <si>
    <t>22</t>
  </si>
  <si>
    <t>Балластировка пути и стрелочного перевода</t>
  </si>
  <si>
    <t>Выправка пути и стрелочного перевода</t>
  </si>
  <si>
    <t>Рихтовка стрелочного перевода 1/7</t>
  </si>
  <si>
    <t>7</t>
  </si>
  <si>
    <t xml:space="preserve">Подготовка зем. полотна </t>
  </si>
  <si>
    <t>Сопутствующие работы</t>
  </si>
  <si>
    <t>т</t>
  </si>
  <si>
    <t>кг</t>
  </si>
  <si>
    <t>8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</si>
  <si>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</si>
  <si>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</si>
  <si>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Реконструкция стрелочного перевода и пути 1Б</t>
  </si>
  <si>
    <t>10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</si>
  <si>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</si>
  <si>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</si>
  <si>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11</t>
  </si>
  <si>
    <t>Выемка грунта загрязнённого (с включениями щебня, мусора) из основания пути и стрелочного перевода №15 на глубину 0.25м</t>
  </si>
  <si>
    <t>Разработка грунта под основание пути и стрелочного перевода на глубину 0.30м</t>
  </si>
  <si>
    <t>Устройство балластного основания из щебня h=0,35м</t>
  </si>
  <si>
    <t>Уплотнение основания балластного послойно (два слоя)</t>
  </si>
  <si>
    <t xml:space="preserve">Геотекстиль Дорнит 500 </t>
  </si>
  <si>
    <t>12.1</t>
  </si>
  <si>
    <t>Песок</t>
  </si>
  <si>
    <t>Устройство песчаного основания с уплотнением катками h=0.20м</t>
  </si>
  <si>
    <t>13.1</t>
  </si>
  <si>
    <t xml:space="preserve"> </t>
  </si>
  <si>
    <t>15</t>
  </si>
  <si>
    <t>Установка переводного механизма (флюгарки)</t>
  </si>
  <si>
    <t>Комплект шпал композитных для эпюры стрелочного перевода 1/7</t>
  </si>
  <si>
    <t>Лист стальной 3мм</t>
  </si>
  <si>
    <t>Уголок 50х50х4мм</t>
  </si>
  <si>
    <t>Окраска металического обрамления упора краской в 2слоя</t>
  </si>
  <si>
    <t>Краска ПФ-115</t>
  </si>
  <si>
    <t>15-16.1</t>
  </si>
  <si>
    <t>20.2</t>
  </si>
  <si>
    <t>20.3</t>
  </si>
  <si>
    <t>20.4</t>
  </si>
  <si>
    <t>20.5</t>
  </si>
  <si>
    <t>20.6</t>
  </si>
  <si>
    <t>21</t>
  </si>
  <si>
    <t>23</t>
  </si>
  <si>
    <t>24.1</t>
  </si>
  <si>
    <t>23.1</t>
  </si>
  <si>
    <t>24.2</t>
  </si>
  <si>
    <t>25</t>
  </si>
  <si>
    <t>26</t>
  </si>
  <si>
    <t>26.1</t>
  </si>
  <si>
    <t>26.2</t>
  </si>
  <si>
    <t>27</t>
  </si>
  <si>
    <t>27.1</t>
  </si>
  <si>
    <t>28</t>
  </si>
  <si>
    <t>28.1</t>
  </si>
  <si>
    <t>29</t>
  </si>
  <si>
    <t>29.1</t>
  </si>
  <si>
    <t>30.1</t>
  </si>
  <si>
    <t>32</t>
  </si>
  <si>
    <t>33</t>
  </si>
  <si>
    <t>Засыпка призмы упора путевого песком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</si>
  <si>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</si>
  <si>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</si>
  <si>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</si>
  <si>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</si>
  <si>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</si>
  <si>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</si>
  <si>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</si>
  <si>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</si>
  <si>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</si>
  <si>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</si>
  <si>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</si>
  <si>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</si>
  <si>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</si>
  <si>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 xml:space="preserve">Брус деревянный 220х220 L=2700 мм </t>
  </si>
  <si>
    <t xml:space="preserve">Брус деревянный 220х220 L=1400 мм </t>
  </si>
  <si>
    <t xml:space="preserve">Ударный лист 220х8 L=1050мм </t>
  </si>
  <si>
    <t>Шайба 24</t>
  </si>
  <si>
    <t xml:space="preserve">Гайка М24 </t>
  </si>
  <si>
    <t xml:space="preserve">Гайка М22х22.5 </t>
  </si>
  <si>
    <t xml:space="preserve">Лист 39х39х14 </t>
  </si>
  <si>
    <t xml:space="preserve">Болт М22х75.48 </t>
  </si>
  <si>
    <t>Болт Д24 L=720мм</t>
  </si>
  <si>
    <t xml:space="preserve">Болт Д24 L=800мм </t>
  </si>
  <si>
    <t xml:space="preserve">Заклепки Д22 L=75 </t>
  </si>
  <si>
    <t xml:space="preserve">Рельс Р-65 L=2100мм </t>
  </si>
  <si>
    <t xml:space="preserve">Рельс Р-65 L=2620мм </t>
  </si>
  <si>
    <t>км</t>
  </si>
  <si>
    <t>Укладка стрелочного перевода 1/7 со скреплениями (комплект)</t>
  </si>
  <si>
    <t>Укладка брусьев композитных., по эпюре стелочного перевода эпюрой 1/7</t>
  </si>
  <si>
    <t>Укладка брусьев композитных для переводного механизма</t>
  </si>
  <si>
    <t>Изготовление и монтаж металлического обрамления упора путевого</t>
  </si>
  <si>
    <t>Демонтаж учтён в предыдущем ВДЦ</t>
  </si>
  <si>
    <t>Шпала железобетонная, Ш1 1-й сорт, в комплекте со скреплением КБ-65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</si>
</sst>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\ ##0.00_-;\-* #\ ##0.00_-;_-* &quot;-&quot;??_-;_-@_-"/>
    <numFmt numFmtId="167" formatCode="_-* #,##0\ _₽_-;\-* #,##0\ _₽_-;_-* &quot;-&quot;??\ _₽_-;_-@_-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5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1" applyFont="1"/>
    <xf numFmtId="165" fontId="2" fillId="2" borderId="1" xfId="4" applyNumberFormat="1" applyFont="1" applyFill="1" applyBorder="1" applyAlignment="1">
      <alignment vertical="center"/>
    </xf>
    <xf numFmtId="1" fontId="2" fillId="0" borderId="1" xfId="6" applyNumberFormat="1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3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167" fontId="2" fillId="3" borderId="1" xfId="0" applyNumberFormat="1" applyFont="1" applyFill="1" applyBorder="1" applyAlignment="1">
      <alignment horizontal="left" vertical="center" wrapText="1"/>
    </xf>
    <xf numFmtId="165" fontId="2" fillId="3" borderId="1" xfId="4" applyNumberFormat="1" applyFont="1" applyFill="1" applyBorder="1" applyAlignment="1">
      <alignment horizontal="left" vertical="center" wrapText="1"/>
    </xf>
    <xf numFmtId="165" fontId="2" fillId="3" borderId="5" xfId="4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vertical="center"/>
    </xf>
    <xf numFmtId="43" fontId="7" fillId="0" borderId="1" xfId="4" applyFont="1" applyFill="1" applyBorder="1" applyAlignment="1">
      <alignment horizontal="center" vertical="center" wrapText="1"/>
    </xf>
    <xf numFmtId="43" fontId="5" fillId="4" borderId="1" xfId="4" applyFont="1" applyFill="1" applyBorder="1" applyAlignment="1">
      <alignment vertical="center"/>
    </xf>
    <xf numFmtId="43" fontId="5" fillId="4" borderId="1" xfId="4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5" fillId="0" borderId="1" xfId="4" applyFont="1" applyFill="1" applyBorder="1" applyAlignment="1">
      <alignment horizontal="center" vertical="center" wrapText="1"/>
    </xf>
    <xf numFmtId="165" fontId="3" fillId="0" borderId="0" xfId="4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3" fillId="0" borderId="0" xfId="1" applyNumberFormat="1" applyFont="1"/>
    <xf numFmtId="1" fontId="5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right" vertical="center" wrapText="1"/>
    </xf>
    <xf numFmtId="43" fontId="5" fillId="0" borderId="1" xfId="4" applyFont="1" applyFill="1" applyBorder="1" applyAlignment="1">
      <alignment vertical="center"/>
    </xf>
    <xf numFmtId="0" fontId="3" fillId="0" borderId="0" xfId="1" applyFont="1" applyFill="1"/>
    <xf numFmtId="0" fontId="5" fillId="0" borderId="1" xfId="0" applyFont="1" applyFill="1" applyBorder="1" applyAlignment="1">
      <alignment vertical="center" wrapText="1"/>
    </xf>
    <xf numFmtId="2" fontId="5" fillId="0" borderId="1" xfId="4" applyNumberFormat="1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2" fontId="5" fillId="6" borderId="1" xfId="4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 wrapText="1"/>
    </xf>
    <xf numFmtId="43" fontId="5" fillId="6" borderId="1" xfId="4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4" applyNumberFormat="1" applyFont="1" applyFill="1" applyBorder="1" applyAlignment="1">
      <alignment horizontal="right" vertical="center" wrapText="1"/>
    </xf>
    <xf numFmtId="0" fontId="3" fillId="4" borderId="0" xfId="1" applyFont="1" applyFill="1"/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2" fillId="0" borderId="1" xfId="4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vertical="center"/>
    </xf>
    <xf numFmtId="43" fontId="12" fillId="0" borderId="1" xfId="4" applyFont="1" applyFill="1" applyBorder="1" applyAlignment="1">
      <alignment horizontal="center" vertical="center" wrapText="1"/>
    </xf>
    <xf numFmtId="43" fontId="2" fillId="0" borderId="1" xfId="4" applyFont="1" applyFill="1" applyBorder="1" applyAlignment="1">
      <alignment horizontal="center" vertical="center" wrapText="1"/>
    </xf>
    <xf numFmtId="0" fontId="13" fillId="0" borderId="0" xfId="1" applyFont="1" applyFill="1"/>
    <xf numFmtId="0" fontId="5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/>
    </xf>
    <xf numFmtId="43" fontId="7" fillId="6" borderId="1" xfId="4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2" fontId="5" fillId="6" borderId="1" xfId="4" applyNumberFormat="1" applyFont="1" applyFill="1" applyBorder="1" applyAlignment="1">
      <alignment horizontal="right" vertical="center"/>
    </xf>
    <xf numFmtId="0" fontId="5" fillId="6" borderId="1" xfId="7" applyFont="1" applyFill="1" applyBorder="1" applyAlignment="1">
      <alignment horizontal="left" vertical="center" wrapText="1"/>
    </xf>
    <xf numFmtId="43" fontId="2" fillId="2" borderId="1" xfId="4" applyFont="1" applyFill="1" applyBorder="1"/>
    <xf numFmtId="165" fontId="3" fillId="2" borderId="1" xfId="4" applyNumberFormat="1" applyFont="1" applyFill="1" applyBorder="1"/>
    <xf numFmtId="43" fontId="5" fillId="7" borderId="1" xfId="4" applyFont="1" applyFill="1" applyBorder="1" applyAlignment="1">
      <alignment horizontal="center" vertical="center"/>
    </xf>
    <xf numFmtId="43" fontId="5" fillId="7" borderId="1" xfId="4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5" fillId="7" borderId="1" xfId="4" applyFont="1" applyFill="1" applyBorder="1" applyAlignment="1">
      <alignment vertical="center"/>
    </xf>
    <xf numFmtId="43" fontId="7" fillId="7" borderId="1" xfId="4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center" vertical="center"/>
    </xf>
    <xf numFmtId="43" fontId="16" fillId="4" borderId="1" xfId="8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0" fontId="3" fillId="0" borderId="0" xfId="1" applyFont="1" applyAlignment="1">
      <alignment wrapText="1"/>
    </xf>
    <xf numFmtId="0" fontId="13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3" fillId="4" borderId="0" xfId="1" applyFont="1" applyFill="1" applyAlignment="1">
      <alignment wrapText="1"/>
    </xf>
    <xf numFmtId="164" fontId="3" fillId="0" borderId="0" xfId="1" applyNumberFormat="1" applyFont="1" applyAlignment="1">
      <alignment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2" fontId="5" fillId="7" borderId="1" xfId="4" applyNumberFormat="1" applyFont="1" applyFill="1" applyBorder="1" applyAlignment="1">
      <alignment horizontal="right" vertical="center" wrapText="1"/>
    </xf>
    <xf numFmtId="0" fontId="5" fillId="7" borderId="1" xfId="7" applyFont="1" applyFill="1" applyBorder="1" applyAlignment="1">
      <alignment horizontal="left" vertical="center" wrapText="1"/>
    </xf>
    <xf numFmtId="43" fontId="7" fillId="7" borderId="1" xfId="4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2" fillId="2" borderId="1" xfId="7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right" vertical="center" wrapText="1"/>
    </xf>
    <xf numFmtId="43" fontId="17" fillId="6" borderId="1" xfId="4" applyFont="1" applyFill="1" applyBorder="1" applyAlignment="1">
      <alignment horizontal="center" vertical="center" wrapText="1"/>
    </xf>
  </cellXfs>
  <cellStyles count="9">
    <cellStyle name="ЛокСмМТСН" xfId="6" xr:uid="{00000000-0005-0000-0000-000000000000}"/>
    <cellStyle name="Обычный" xfId="0" builtinId="0"/>
    <cellStyle name="Обычный 2 2" xfId="7" xr:uid="{00000000-0005-0000-0000-000002000000}"/>
    <cellStyle name="Обычный 5" xfId="3" xr:uid="{00000000-0005-0000-0000-000003000000}"/>
    <cellStyle name="Обычный 6" xfId="2" xr:uid="{00000000-0005-0000-0000-000004000000}"/>
    <cellStyle name="Обычный 9" xfId="1" xr:uid="{00000000-0005-0000-0000-000005000000}"/>
    <cellStyle name="Финансовый" xfId="8" builtinId="3"/>
    <cellStyle name="Финансовый 3" xfId="5" xr:uid="{00000000-0005-0000-0000-000006000000}"/>
    <cellStyle name="Финансовый 5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N85"/>
  <sheetViews>
    <sheetView tabSelected="1" zoomScale="90" zoomScaleNormal="90" zoomScaleSheetLayoutView="40" workbookViewId="0">
      <pane xSplit="2" ySplit="5" topLeftCell="C39" activePane="bottomRight" state="frozen"/>
      <selection pane="topRight" activeCell="C1" sqref="C1"/>
      <selection pane="bottomLeft" activeCell="A6" sqref="A6"/>
      <selection pane="bottomRight" activeCell="D50" sqref="D50"/>
    </sheetView>
  </sheetViews>
  <sheetFormatPr defaultColWidth="8.88671875" defaultRowHeight="14.4" outlineLevelCol="1" x14ac:dyDescent="0.3"/>
  <cols>
    <col min="1" max="1" width="12" style="1" bestFit="1" customWidth="1"/>
    <col min="2" max="2" width="78.33203125" style="1" customWidth="1"/>
    <col min="3" max="3" width="9.33203125" style="26" customWidth="1"/>
    <col min="4" max="4" width="10.109375" style="27" bestFit="1" customWidth="1"/>
    <col min="5" max="5" width="15.109375" style="1" customWidth="1" outlineLevel="1"/>
    <col min="6" max="6" width="16" style="1" customWidth="1" outlineLevel="1"/>
    <col min="7" max="7" width="17.109375" style="25" customWidth="1" outlineLevel="1"/>
    <col min="8" max="8" width="16.109375" style="25" customWidth="1" outlineLevel="1"/>
    <col min="9" max="12" width="16.109375" style="1" customWidth="1" outlineLevel="1"/>
    <col min="13" max="13" width="20.33203125" style="83" customWidth="1"/>
    <col min="14" max="16384" width="8.88671875" style="1"/>
  </cols>
  <sheetData>
    <row r="1" spans="1:13" ht="14.4" customHeight="1" x14ac:dyDescent="0.3">
      <c r="A1" s="98" t="s">
        <v>0</v>
      </c>
      <c r="B1" s="96" t="s">
        <v>1</v>
      </c>
      <c r="C1" s="96" t="s">
        <v>2</v>
      </c>
      <c r="D1" s="99" t="s">
        <v>3</v>
      </c>
      <c r="E1" s="96" t="s">
        <v>4</v>
      </c>
      <c r="F1" s="96"/>
      <c r="G1" s="96"/>
      <c r="H1" s="96"/>
      <c r="I1" s="96"/>
      <c r="J1" s="96"/>
      <c r="K1" s="96"/>
      <c r="L1" s="96"/>
    </row>
    <row r="2" spans="1:13" ht="14.4" customHeight="1" x14ac:dyDescent="0.3">
      <c r="A2" s="98"/>
      <c r="B2" s="96"/>
      <c r="C2" s="96"/>
      <c r="D2" s="99"/>
      <c r="E2" s="96"/>
      <c r="F2" s="96"/>
      <c r="G2" s="96"/>
      <c r="H2" s="96"/>
      <c r="I2" s="96"/>
      <c r="J2" s="96"/>
      <c r="K2" s="96"/>
      <c r="L2" s="96"/>
    </row>
    <row r="3" spans="1:13" ht="27.75" customHeight="1" x14ac:dyDescent="0.3">
      <c r="A3" s="98"/>
      <c r="B3" s="96"/>
      <c r="C3" s="96"/>
      <c r="D3" s="99"/>
      <c r="E3" s="96" t="s">
        <v>5</v>
      </c>
      <c r="F3" s="96"/>
      <c r="G3" s="96"/>
      <c r="H3" s="96" t="s">
        <v>6</v>
      </c>
      <c r="I3" s="96"/>
      <c r="J3" s="96"/>
      <c r="K3" s="97" t="s">
        <v>7</v>
      </c>
      <c r="L3" s="97"/>
    </row>
    <row r="4" spans="1:13" ht="56.1" customHeight="1" x14ac:dyDescent="0.3">
      <c r="A4" s="98"/>
      <c r="B4" s="96"/>
      <c r="C4" s="96"/>
      <c r="D4" s="99"/>
      <c r="E4" s="38" t="s">
        <v>8</v>
      </c>
      <c r="F4" s="38" t="s">
        <v>9</v>
      </c>
      <c r="G4" s="2" t="s">
        <v>10</v>
      </c>
      <c r="H4" s="38" t="s">
        <v>8</v>
      </c>
      <c r="I4" s="38" t="s">
        <v>9</v>
      </c>
      <c r="J4" s="2" t="s">
        <v>10</v>
      </c>
      <c r="K4" s="38" t="s">
        <v>11</v>
      </c>
      <c r="L4" s="38" t="s">
        <v>12</v>
      </c>
    </row>
    <row r="5" spans="1:13" x14ac:dyDescent="0.3">
      <c r="A5" s="3">
        <v>1</v>
      </c>
      <c r="B5" s="4">
        <v>2</v>
      </c>
      <c r="C5" s="4">
        <v>3</v>
      </c>
      <c r="D5" s="5">
        <v>4</v>
      </c>
      <c r="E5" s="4">
        <v>5</v>
      </c>
      <c r="F5" s="4">
        <v>6</v>
      </c>
      <c r="G5" s="4">
        <v>7</v>
      </c>
      <c r="H5" s="6">
        <v>8</v>
      </c>
      <c r="I5" s="6">
        <v>9</v>
      </c>
      <c r="J5" s="6">
        <v>10</v>
      </c>
      <c r="K5" s="6">
        <v>11</v>
      </c>
      <c r="L5" s="7">
        <v>12</v>
      </c>
    </row>
    <row r="6" spans="1:13" ht="20.25" customHeight="1" x14ac:dyDescent="0.3">
      <c r="A6" s="8" t="s">
        <v>41</v>
      </c>
      <c r="B6" s="9"/>
      <c r="C6" s="10"/>
      <c r="D6" s="10"/>
      <c r="E6" s="11"/>
      <c r="F6" s="12"/>
      <c r="G6" s="13"/>
      <c r="H6" s="13"/>
      <c r="I6" s="13"/>
      <c r="J6" s="13"/>
      <c r="K6" s="13"/>
      <c r="L6" s="14"/>
    </row>
    <row r="7" spans="1:13" ht="20.25" customHeight="1" x14ac:dyDescent="0.3">
      <c r="A7" s="15"/>
      <c r="B7" s="53" t="s">
        <v>13</v>
      </c>
      <c r="C7" s="76" t="s">
        <v>143</v>
      </c>
      <c r="D7" s="77">
        <v>0.79</v>
      </c>
      <c r="E7" s="74"/>
      <c r="F7" s="78">
        <f t="shared" ref="F7:F12" si="0">ROUND(E7*D7,2)</f>
        <v>0</v>
      </c>
      <c r="G7" s="78">
        <f t="shared" ref="G7" si="1">ROUND(F7*1.2,2)</f>
        <v>0</v>
      </c>
      <c r="H7" s="79"/>
      <c r="I7" s="78"/>
      <c r="J7" s="78"/>
      <c r="K7" s="75">
        <f t="shared" ref="K7" si="2">F7+I7</f>
        <v>0</v>
      </c>
      <c r="L7" s="78">
        <f t="shared" ref="L7" si="3">G7+J7</f>
        <v>0</v>
      </c>
      <c r="M7" s="94" t="s">
        <v>148</v>
      </c>
    </row>
    <row r="8" spans="1:13" ht="19.5" customHeight="1" x14ac:dyDescent="0.3">
      <c r="A8" s="15" t="s">
        <v>14</v>
      </c>
      <c r="B8" s="22" t="s">
        <v>17</v>
      </c>
      <c r="C8" s="76" t="s">
        <v>16</v>
      </c>
      <c r="D8" s="77">
        <v>12</v>
      </c>
      <c r="E8" s="74"/>
      <c r="F8" s="78">
        <f t="shared" si="0"/>
        <v>0</v>
      </c>
      <c r="G8" s="78">
        <f t="shared" ref="G8:G10" si="4">ROUND(F8*1.2,2)</f>
        <v>0</v>
      </c>
      <c r="H8" s="79"/>
      <c r="I8" s="78"/>
      <c r="J8" s="78"/>
      <c r="K8" s="75">
        <f t="shared" ref="K8:L10" si="5">F8+I8</f>
        <v>0</v>
      </c>
      <c r="L8" s="78">
        <f t="shared" si="5"/>
        <v>0</v>
      </c>
      <c r="M8" s="94"/>
    </row>
    <row r="9" spans="1:13" ht="19.5" customHeight="1" x14ac:dyDescent="0.3">
      <c r="A9" s="15">
        <f t="shared" ref="A9:A12" si="6">A8+1</f>
        <v>2</v>
      </c>
      <c r="B9" s="22" t="s">
        <v>42</v>
      </c>
      <c r="C9" s="76" t="s">
        <v>18</v>
      </c>
      <c r="D9" s="77">
        <v>110</v>
      </c>
      <c r="E9" s="74"/>
      <c r="F9" s="78">
        <f t="shared" si="0"/>
        <v>0</v>
      </c>
      <c r="G9" s="78">
        <f t="shared" si="4"/>
        <v>0</v>
      </c>
      <c r="H9" s="79"/>
      <c r="I9" s="78"/>
      <c r="J9" s="78"/>
      <c r="K9" s="75">
        <f t="shared" si="5"/>
        <v>0</v>
      </c>
      <c r="L9" s="78">
        <f t="shared" si="5"/>
        <v>0</v>
      </c>
      <c r="M9" s="94"/>
    </row>
    <row r="10" spans="1:13" ht="19.95" customHeight="1" x14ac:dyDescent="0.3">
      <c r="A10" s="15">
        <f t="shared" si="6"/>
        <v>3</v>
      </c>
      <c r="B10" s="22" t="s">
        <v>43</v>
      </c>
      <c r="C10" s="76" t="s">
        <v>18</v>
      </c>
      <c r="D10" s="77">
        <v>1</v>
      </c>
      <c r="E10" s="74"/>
      <c r="F10" s="78">
        <f t="shared" si="0"/>
        <v>0</v>
      </c>
      <c r="G10" s="78">
        <f t="shared" si="4"/>
        <v>0</v>
      </c>
      <c r="H10" s="79"/>
      <c r="I10" s="78"/>
      <c r="J10" s="78"/>
      <c r="K10" s="75">
        <f t="shared" si="5"/>
        <v>0</v>
      </c>
      <c r="L10" s="78">
        <f t="shared" si="5"/>
        <v>0</v>
      </c>
      <c r="M10" s="94"/>
    </row>
    <row r="11" spans="1:13" ht="19.95" customHeight="1" x14ac:dyDescent="0.3">
      <c r="A11" s="15">
        <f t="shared" si="6"/>
        <v>4</v>
      </c>
      <c r="B11" s="22" t="s">
        <v>19</v>
      </c>
      <c r="C11" s="76" t="s">
        <v>20</v>
      </c>
      <c r="D11" s="77">
        <v>16</v>
      </c>
      <c r="E11" s="74"/>
      <c r="F11" s="78">
        <f t="shared" si="0"/>
        <v>0</v>
      </c>
      <c r="G11" s="78">
        <f t="shared" ref="G11" si="7">ROUND(F11*1.2,2)</f>
        <v>0</v>
      </c>
      <c r="H11" s="79"/>
      <c r="I11" s="78"/>
      <c r="J11" s="78"/>
      <c r="K11" s="75">
        <f t="shared" ref="K11" si="8">F11+I11</f>
        <v>0</v>
      </c>
      <c r="L11" s="78">
        <f t="shared" ref="L11" si="9">G11+J11</f>
        <v>0</v>
      </c>
      <c r="M11" s="94"/>
    </row>
    <row r="12" spans="1:13" ht="19.5" customHeight="1" x14ac:dyDescent="0.3">
      <c r="A12" s="15">
        <f t="shared" si="6"/>
        <v>5</v>
      </c>
      <c r="B12" s="22" t="s">
        <v>21</v>
      </c>
      <c r="C12" s="76" t="s">
        <v>16</v>
      </c>
      <c r="D12" s="77">
        <v>110</v>
      </c>
      <c r="E12" s="74"/>
      <c r="F12" s="78">
        <f t="shared" si="0"/>
        <v>0</v>
      </c>
      <c r="G12" s="78">
        <f>ROUND(F12*1.2,2)</f>
        <v>0</v>
      </c>
      <c r="H12" s="79"/>
      <c r="I12" s="78"/>
      <c r="J12" s="78"/>
      <c r="K12" s="75">
        <f>F12+I12</f>
        <v>0</v>
      </c>
      <c r="L12" s="78">
        <f>G12+J12</f>
        <v>0</v>
      </c>
      <c r="M12" s="94"/>
    </row>
    <row r="13" spans="1:13" ht="22.5" customHeight="1" x14ac:dyDescent="0.3">
      <c r="A13" s="15"/>
      <c r="B13" s="53" t="s">
        <v>63</v>
      </c>
      <c r="C13" s="16"/>
      <c r="D13" s="23"/>
      <c r="E13" s="17"/>
      <c r="F13" s="18"/>
      <c r="G13" s="18"/>
      <c r="H13" s="19"/>
      <c r="I13" s="20"/>
      <c r="J13" s="20"/>
      <c r="K13" s="21"/>
      <c r="L13" s="18"/>
    </row>
    <row r="14" spans="1:13" ht="33" customHeight="1" x14ac:dyDescent="0.3">
      <c r="A14" s="15">
        <f>A12+1</f>
        <v>6</v>
      </c>
      <c r="B14" s="22" t="s">
        <v>75</v>
      </c>
      <c r="C14" s="16" t="s">
        <v>15</v>
      </c>
      <c r="D14" s="23">
        <f>(182.42+133*4)*0.25</f>
        <v>178.60499999999999</v>
      </c>
      <c r="E14" s="17">
        <v>1630</v>
      </c>
      <c r="F14" s="18">
        <f>ROUND(E14*D14,2)</f>
        <v>291126.15000000002</v>
      </c>
      <c r="G14" s="18">
        <f t="shared" ref="G14:G25" si="10">ROUND(F14*1.2,2)</f>
        <v>349351.38</v>
      </c>
      <c r="H14" s="19"/>
      <c r="I14" s="20"/>
      <c r="J14" s="20"/>
      <c r="K14" s="21">
        <f t="shared" ref="K14:L25" si="11">F14+I14</f>
        <v>291126.15000000002</v>
      </c>
      <c r="L14" s="18">
        <f t="shared" si="11"/>
        <v>349351.38</v>
      </c>
    </row>
    <row r="15" spans="1:13" ht="25.5" customHeight="1" x14ac:dyDescent="0.3">
      <c r="A15" s="15" t="s">
        <v>62</v>
      </c>
      <c r="B15" s="22" t="s">
        <v>76</v>
      </c>
      <c r="C15" s="16" t="s">
        <v>15</v>
      </c>
      <c r="D15" s="23">
        <f>(182.42+133*4)*0.3</f>
        <v>214.32599999999999</v>
      </c>
      <c r="E15" s="17">
        <v>1630</v>
      </c>
      <c r="F15" s="18">
        <f>ROUND(E15*D15,2)</f>
        <v>349351.38</v>
      </c>
      <c r="G15" s="18">
        <f t="shared" ref="G15" si="12">ROUND(F15*1.2,2)</f>
        <v>419221.66</v>
      </c>
      <c r="H15" s="19"/>
      <c r="I15" s="20"/>
      <c r="J15" s="20"/>
      <c r="K15" s="21">
        <f t="shared" ref="K15" si="13">F15+I15</f>
        <v>349351.38</v>
      </c>
      <c r="L15" s="18">
        <f t="shared" ref="L15" si="14">G15+J15</f>
        <v>419221.66</v>
      </c>
    </row>
    <row r="16" spans="1:13" ht="19.5" customHeight="1" x14ac:dyDescent="0.3">
      <c r="A16" s="15"/>
      <c r="B16" s="39" t="s">
        <v>64</v>
      </c>
      <c r="C16" s="16"/>
      <c r="D16" s="23"/>
      <c r="E16" s="17"/>
      <c r="F16" s="18"/>
      <c r="G16" s="18"/>
      <c r="H16" s="19"/>
      <c r="I16" s="20"/>
      <c r="J16" s="20"/>
      <c r="K16" s="21"/>
      <c r="L16" s="18"/>
    </row>
    <row r="17" spans="1:13" ht="33" customHeight="1" x14ac:dyDescent="0.3">
      <c r="A17" s="15" t="s">
        <v>67</v>
      </c>
      <c r="B17" s="40" t="s">
        <v>68</v>
      </c>
      <c r="C17" s="16" t="s">
        <v>65</v>
      </c>
      <c r="D17" s="23">
        <f>(D14+D15)*1.75</f>
        <v>687.62924999999996</v>
      </c>
      <c r="E17" s="17">
        <v>700</v>
      </c>
      <c r="F17" s="18">
        <f>ROUND(E17*D17,2)</f>
        <v>481340.48</v>
      </c>
      <c r="G17" s="18">
        <f t="shared" ref="G17" si="15">ROUND(F17*1.2,2)</f>
        <v>577608.57999999996</v>
      </c>
      <c r="H17" s="19"/>
      <c r="I17" s="20"/>
      <c r="J17" s="20"/>
      <c r="K17" s="21">
        <f t="shared" ref="K17" si="16">F17+I17</f>
        <v>481340.48</v>
      </c>
      <c r="L17" s="18">
        <f t="shared" ref="L17" si="17">G17+J17</f>
        <v>577608.57999999996</v>
      </c>
    </row>
    <row r="18" spans="1:13" ht="33" customHeight="1" x14ac:dyDescent="0.3">
      <c r="A18" s="15" t="s">
        <v>44</v>
      </c>
      <c r="B18" s="40" t="s">
        <v>69</v>
      </c>
      <c r="C18" s="16" t="s">
        <v>65</v>
      </c>
      <c r="D18" s="23">
        <f>13.3+0.012*65+110*0.08</f>
        <v>22.880000000000003</v>
      </c>
      <c r="E18" s="17">
        <v>1140</v>
      </c>
      <c r="F18" s="18">
        <f>ROUND(E18*D18,2)</f>
        <v>26083.200000000001</v>
      </c>
      <c r="G18" s="18">
        <f t="shared" ref="G18" si="18">ROUND(F18*1.2,2)</f>
        <v>31299.84</v>
      </c>
      <c r="H18" s="19"/>
      <c r="I18" s="20"/>
      <c r="J18" s="20"/>
      <c r="K18" s="21">
        <f t="shared" ref="K18" si="19">F18+I18</f>
        <v>26083.200000000001</v>
      </c>
      <c r="L18" s="18">
        <f t="shared" ref="L18" si="20">G18+J18</f>
        <v>31299.84</v>
      </c>
    </row>
    <row r="19" spans="1:13" s="62" customFormat="1" ht="24.75" customHeight="1" x14ac:dyDescent="0.3">
      <c r="A19" s="54"/>
      <c r="B19" s="55" t="s">
        <v>70</v>
      </c>
      <c r="C19" s="56"/>
      <c r="D19" s="57"/>
      <c r="E19" s="58"/>
      <c r="F19" s="59"/>
      <c r="G19" s="59"/>
      <c r="H19" s="60"/>
      <c r="I19" s="59"/>
      <c r="J19" s="59"/>
      <c r="K19" s="61"/>
      <c r="L19" s="59"/>
      <c r="M19" s="84"/>
    </row>
    <row r="20" spans="1:13" ht="33" customHeight="1" x14ac:dyDescent="0.3">
      <c r="A20" s="15" t="s">
        <v>71</v>
      </c>
      <c r="B20" s="40" t="s">
        <v>72</v>
      </c>
      <c r="C20" s="16" t="s">
        <v>15</v>
      </c>
      <c r="D20" s="23">
        <f>(182.42+133*4)*0.1</f>
        <v>71.441999999999993</v>
      </c>
      <c r="E20" s="17">
        <v>101.5</v>
      </c>
      <c r="F20" s="18">
        <f>ROUND(E20*D20,2)</f>
        <v>7251.36</v>
      </c>
      <c r="G20" s="18">
        <f t="shared" ref="G20" si="21">ROUND(F20*1.2,2)</f>
        <v>8701.6299999999992</v>
      </c>
      <c r="H20" s="19"/>
      <c r="I20" s="20"/>
      <c r="J20" s="20"/>
      <c r="K20" s="21">
        <f t="shared" ref="K20" si="22">F20+I20</f>
        <v>7251.36</v>
      </c>
      <c r="L20" s="18">
        <f t="shared" ref="L20" si="23">G20+J20</f>
        <v>8701.6299999999992</v>
      </c>
    </row>
    <row r="21" spans="1:13" ht="21.75" customHeight="1" x14ac:dyDescent="0.3">
      <c r="A21" s="15" t="s">
        <v>74</v>
      </c>
      <c r="B21" s="41" t="s">
        <v>73</v>
      </c>
      <c r="C21" s="16" t="s">
        <v>23</v>
      </c>
      <c r="D21" s="23">
        <f>(182.42+133*4)</f>
        <v>714.42</v>
      </c>
      <c r="E21" s="80">
        <v>52.98</v>
      </c>
      <c r="F21" s="18">
        <f>ROUND(E21*D21,2)</f>
        <v>37849.97</v>
      </c>
      <c r="G21" s="18">
        <f t="shared" ref="G21" si="24">ROUND(F21*1.2,2)</f>
        <v>45419.96</v>
      </c>
      <c r="H21" s="19"/>
      <c r="I21" s="20"/>
      <c r="J21" s="20"/>
      <c r="K21" s="21">
        <f t="shared" ref="K21" si="25">F21+I21</f>
        <v>37849.97</v>
      </c>
      <c r="L21" s="18">
        <f t="shared" ref="L21" si="26">G21+J21</f>
        <v>45419.96</v>
      </c>
    </row>
    <row r="22" spans="1:13" s="35" customFormat="1" ht="21.75" customHeight="1" x14ac:dyDescent="0.3">
      <c r="A22" s="43" t="s">
        <v>26</v>
      </c>
      <c r="B22" s="64" t="s">
        <v>79</v>
      </c>
      <c r="C22" s="65" t="s">
        <v>23</v>
      </c>
      <c r="D22" s="66">
        <f>(182.42+133*4)</f>
        <v>714.42</v>
      </c>
      <c r="E22" s="67"/>
      <c r="F22" s="48"/>
      <c r="G22" s="48"/>
      <c r="H22" s="68">
        <v>72</v>
      </c>
      <c r="I22" s="48">
        <f>ROUND(H22*D22,2)</f>
        <v>51438.239999999998</v>
      </c>
      <c r="J22" s="48">
        <f>ROUND(I22*1.2,2)</f>
        <v>61725.89</v>
      </c>
      <c r="K22" s="47">
        <f>F22+I22</f>
        <v>51438.239999999998</v>
      </c>
      <c r="L22" s="48">
        <f>G22+J22</f>
        <v>61725.89</v>
      </c>
      <c r="M22" s="85"/>
    </row>
    <row r="23" spans="1:13" ht="21.75" customHeight="1" x14ac:dyDescent="0.3">
      <c r="A23" s="15" t="s">
        <v>51</v>
      </c>
      <c r="B23" s="42" t="s">
        <v>82</v>
      </c>
      <c r="C23" s="16" t="s">
        <v>15</v>
      </c>
      <c r="D23" s="23">
        <f>(182.42+133*4)*0.2</f>
        <v>142.88399999999999</v>
      </c>
      <c r="E23" s="81">
        <v>1310.05</v>
      </c>
      <c r="F23" s="18">
        <f>ROUND(E23*D23,2)</f>
        <v>187185.18</v>
      </c>
      <c r="G23" s="18">
        <f t="shared" ref="G23" si="27">ROUND(F23*1.2,2)</f>
        <v>224622.22</v>
      </c>
      <c r="H23" s="19"/>
      <c r="I23" s="20"/>
      <c r="J23" s="20"/>
      <c r="K23" s="21">
        <f t="shared" ref="K23" si="28">F23+I23</f>
        <v>187185.18</v>
      </c>
      <c r="L23" s="18">
        <f t="shared" ref="L23" si="29">G23+J23</f>
        <v>224622.22</v>
      </c>
    </row>
    <row r="24" spans="1:13" s="35" customFormat="1" ht="21.75" customHeight="1" x14ac:dyDescent="0.3">
      <c r="A24" s="43" t="s">
        <v>80</v>
      </c>
      <c r="B24" s="69" t="s">
        <v>81</v>
      </c>
      <c r="C24" s="65" t="s">
        <v>15</v>
      </c>
      <c r="D24" s="66">
        <f>ROUND(D23*1.1,2)</f>
        <v>157.16999999999999</v>
      </c>
      <c r="E24" s="67"/>
      <c r="F24" s="48"/>
      <c r="G24" s="48"/>
      <c r="H24" s="48">
        <v>980</v>
      </c>
      <c r="I24" s="48">
        <f>ROUND(H24*D24,2)</f>
        <v>154026.6</v>
      </c>
      <c r="J24" s="48">
        <f>ROUND(I24*1.2,2)</f>
        <v>184831.92</v>
      </c>
      <c r="K24" s="47">
        <f>F24+I24</f>
        <v>154026.6</v>
      </c>
      <c r="L24" s="48">
        <f>G24+J24</f>
        <v>184831.92</v>
      </c>
      <c r="M24" s="85"/>
    </row>
    <row r="25" spans="1:13" ht="22.5" customHeight="1" x14ac:dyDescent="0.3">
      <c r="A25" s="15" t="s">
        <v>52</v>
      </c>
      <c r="B25" s="40" t="s">
        <v>77</v>
      </c>
      <c r="C25" s="16" t="s">
        <v>15</v>
      </c>
      <c r="D25" s="23">
        <f>(182.42+133*4)*0.35</f>
        <v>250.04699999999997</v>
      </c>
      <c r="E25" s="24">
        <v>2573.7399999999998</v>
      </c>
      <c r="F25" s="18">
        <f>ROUND(E25*D25,2)</f>
        <v>643555.97</v>
      </c>
      <c r="G25" s="18">
        <f t="shared" si="10"/>
        <v>772267.16</v>
      </c>
      <c r="H25" s="19"/>
      <c r="I25" s="20"/>
      <c r="J25" s="20"/>
      <c r="K25" s="21">
        <f t="shared" si="11"/>
        <v>643555.97</v>
      </c>
      <c r="L25" s="18">
        <f t="shared" si="11"/>
        <v>772267.16</v>
      </c>
    </row>
    <row r="26" spans="1:13" s="35" customFormat="1" ht="18" customHeight="1" x14ac:dyDescent="0.3">
      <c r="A26" s="43" t="s">
        <v>83</v>
      </c>
      <c r="B26" s="44" t="s">
        <v>22</v>
      </c>
      <c r="C26" s="45" t="s">
        <v>15</v>
      </c>
      <c r="D26" s="70">
        <f>D25*1.26</f>
        <v>315.05921999999998</v>
      </c>
      <c r="E26" s="47"/>
      <c r="F26" s="48"/>
      <c r="G26" s="48"/>
      <c r="H26" s="48">
        <v>4800</v>
      </c>
      <c r="I26" s="48">
        <f>ROUND(H26*D26,2)</f>
        <v>1512284.26</v>
      </c>
      <c r="J26" s="48">
        <f>ROUND(I26*1.2,2)</f>
        <v>1814741.11</v>
      </c>
      <c r="K26" s="47">
        <f>F26+I26</f>
        <v>1512284.26</v>
      </c>
      <c r="L26" s="48">
        <f>G26+J26</f>
        <v>1814741.11</v>
      </c>
      <c r="M26" s="85"/>
    </row>
    <row r="27" spans="1:13" ht="21" customHeight="1" x14ac:dyDescent="0.3">
      <c r="A27" s="15">
        <f>A25+1</f>
        <v>14</v>
      </c>
      <c r="B27" s="40" t="s">
        <v>78</v>
      </c>
      <c r="C27" s="16" t="s">
        <v>23</v>
      </c>
      <c r="D27" s="23">
        <f>D14/0.25</f>
        <v>714.42</v>
      </c>
      <c r="E27" s="17">
        <v>203</v>
      </c>
      <c r="F27" s="18">
        <f>ROUND(E27*D27,2)</f>
        <v>145027.26</v>
      </c>
      <c r="G27" s="18">
        <f t="shared" ref="G27" si="30">ROUND(F27*1.2,2)</f>
        <v>174032.71</v>
      </c>
      <c r="H27" s="19"/>
      <c r="I27" s="20"/>
      <c r="J27" s="20"/>
      <c r="K27" s="21">
        <f t="shared" ref="K27:L27" si="31">F27+I27</f>
        <v>145027.26</v>
      </c>
      <c r="L27" s="18">
        <f t="shared" si="31"/>
        <v>174032.71</v>
      </c>
    </row>
    <row r="28" spans="1:13" ht="19.5" customHeight="1" x14ac:dyDescent="0.3">
      <c r="A28" s="15"/>
      <c r="B28" s="53" t="s">
        <v>24</v>
      </c>
      <c r="C28" s="16"/>
      <c r="D28" s="23"/>
      <c r="E28" s="17"/>
      <c r="F28" s="18"/>
      <c r="G28" s="18"/>
      <c r="H28" s="19"/>
      <c r="I28" s="20"/>
      <c r="J28" s="20"/>
      <c r="K28" s="21"/>
      <c r="L28" s="18"/>
    </row>
    <row r="29" spans="1:13" ht="19.5" customHeight="1" x14ac:dyDescent="0.3">
      <c r="A29" s="15" t="s">
        <v>84</v>
      </c>
      <c r="B29" s="53" t="s">
        <v>45</v>
      </c>
      <c r="C29" s="16" t="s">
        <v>36</v>
      </c>
      <c r="D29" s="23">
        <v>1</v>
      </c>
      <c r="E29" s="17"/>
      <c r="F29" s="18"/>
      <c r="G29" s="18"/>
      <c r="H29" s="19"/>
      <c r="I29" s="20"/>
      <c r="J29" s="20"/>
      <c r="K29" s="21"/>
      <c r="L29" s="18"/>
    </row>
    <row r="30" spans="1:13" ht="19.5" customHeight="1" x14ac:dyDescent="0.3">
      <c r="A30" s="15" t="s">
        <v>85</v>
      </c>
      <c r="B30" s="22" t="s">
        <v>145</v>
      </c>
      <c r="C30" s="16" t="s">
        <v>39</v>
      </c>
      <c r="D30" s="23">
        <v>44</v>
      </c>
      <c r="E30" s="17">
        <v>2952.96</v>
      </c>
      <c r="F30" s="18">
        <f>ROUND(E30*D30,2)</f>
        <v>129930.24000000001</v>
      </c>
      <c r="G30" s="18">
        <f t="shared" ref="G30" si="32">ROUND(F30*1.2,2)</f>
        <v>155916.29</v>
      </c>
      <c r="H30" s="19"/>
      <c r="I30" s="20"/>
      <c r="J30" s="20"/>
      <c r="K30" s="21">
        <f t="shared" ref="K30" si="33">F30+I30</f>
        <v>129930.24000000001</v>
      </c>
      <c r="L30" s="18">
        <f t="shared" ref="L30" si="34">G30+J30</f>
        <v>155916.29</v>
      </c>
    </row>
    <row r="31" spans="1:13" ht="19.5" customHeight="1" x14ac:dyDescent="0.3">
      <c r="A31" s="15" t="s">
        <v>53</v>
      </c>
      <c r="B31" s="22" t="s">
        <v>146</v>
      </c>
      <c r="C31" s="16" t="s">
        <v>39</v>
      </c>
      <c r="D31" s="23">
        <v>2</v>
      </c>
      <c r="E31" s="17">
        <v>2510.02</v>
      </c>
      <c r="F31" s="18">
        <f>ROUND(E31*D31,2)</f>
        <v>5020.04</v>
      </c>
      <c r="G31" s="18">
        <f t="shared" ref="G31" si="35">ROUND(F31*1.2,2)</f>
        <v>6024.05</v>
      </c>
      <c r="H31" s="19"/>
      <c r="I31" s="20"/>
      <c r="J31" s="20"/>
      <c r="K31" s="21">
        <f t="shared" ref="K31" si="36">F31+I31</f>
        <v>5020.04</v>
      </c>
      <c r="L31" s="18">
        <f t="shared" ref="L31" si="37">G31+J31</f>
        <v>6024.05</v>
      </c>
    </row>
    <row r="32" spans="1:13" s="35" customFormat="1" ht="19.2" customHeight="1" x14ac:dyDescent="0.3">
      <c r="A32" s="43" t="s">
        <v>92</v>
      </c>
      <c r="B32" s="71" t="s">
        <v>87</v>
      </c>
      <c r="C32" s="100" t="s">
        <v>36</v>
      </c>
      <c r="D32" s="101">
        <v>1</v>
      </c>
      <c r="E32" s="67"/>
      <c r="F32" s="48"/>
      <c r="G32" s="48"/>
      <c r="H32" s="68">
        <v>1195500</v>
      </c>
      <c r="I32" s="48"/>
      <c r="J32" s="48"/>
      <c r="K32" s="47"/>
      <c r="L32" s="48"/>
      <c r="M32" s="85"/>
    </row>
    <row r="33" spans="1:13" ht="19.5" customHeight="1" x14ac:dyDescent="0.3">
      <c r="A33" s="43" t="s">
        <v>54</v>
      </c>
      <c r="B33" s="71" t="s">
        <v>144</v>
      </c>
      <c r="C33" s="100" t="s">
        <v>36</v>
      </c>
      <c r="D33" s="101">
        <v>1</v>
      </c>
      <c r="E33" s="102">
        <v>10921.25</v>
      </c>
      <c r="F33" s="48">
        <f>ROUND(E33*D33,2)</f>
        <v>10921.25</v>
      </c>
      <c r="G33" s="48">
        <f t="shared" ref="G33" si="38">ROUND(F33*1.2,2)</f>
        <v>13105.5</v>
      </c>
      <c r="H33" s="68">
        <v>2650000</v>
      </c>
      <c r="I33" s="48"/>
      <c r="J33" s="48"/>
      <c r="K33" s="47">
        <f t="shared" ref="K33" si="39">F33+I33</f>
        <v>10921.25</v>
      </c>
      <c r="L33" s="48">
        <f t="shared" ref="L33" si="40">G33+J33</f>
        <v>13105.5</v>
      </c>
    </row>
    <row r="34" spans="1:13" ht="19.5" customHeight="1" x14ac:dyDescent="0.3">
      <c r="A34" s="43" t="s">
        <v>55</v>
      </c>
      <c r="B34" s="71" t="s">
        <v>86</v>
      </c>
      <c r="C34" s="65" t="s">
        <v>36</v>
      </c>
      <c r="D34" s="66">
        <v>1</v>
      </c>
      <c r="E34" s="102">
        <v>12480</v>
      </c>
      <c r="F34" s="48">
        <f>ROUND(E34*D34,2)</f>
        <v>12480</v>
      </c>
      <c r="G34" s="48">
        <f>ROUND(F34*1.2,2)</f>
        <v>14976</v>
      </c>
      <c r="H34" s="68">
        <v>112000</v>
      </c>
      <c r="I34" s="48"/>
      <c r="J34" s="48"/>
      <c r="K34" s="47">
        <f t="shared" ref="K34" si="41">F34+I34</f>
        <v>12480</v>
      </c>
      <c r="L34" s="48">
        <f t="shared" ref="L34" si="42">G34+J34</f>
        <v>14976</v>
      </c>
    </row>
    <row r="35" spans="1:13" ht="22.5" customHeight="1" x14ac:dyDescent="0.3">
      <c r="A35" s="29">
        <v>19</v>
      </c>
      <c r="B35" s="22" t="s">
        <v>25</v>
      </c>
      <c r="C35" s="16" t="s">
        <v>16</v>
      </c>
      <c r="D35" s="23">
        <v>270</v>
      </c>
      <c r="E35" s="24">
        <v>2160</v>
      </c>
      <c r="F35" s="18">
        <f>ROUND(E35*D35,2)</f>
        <v>583200</v>
      </c>
      <c r="G35" s="18">
        <f t="shared" ref="G35" si="43">ROUND(F35*1.2,2)</f>
        <v>699840</v>
      </c>
      <c r="H35" s="19"/>
      <c r="I35" s="20"/>
      <c r="J35" s="20"/>
      <c r="K35" s="21">
        <f t="shared" ref="K35:L48" si="44">F35+I35</f>
        <v>583200</v>
      </c>
      <c r="L35" s="18">
        <f t="shared" si="44"/>
        <v>699840</v>
      </c>
    </row>
    <row r="36" spans="1:13" ht="18" customHeight="1" x14ac:dyDescent="0.3">
      <c r="A36" s="43" t="s">
        <v>56</v>
      </c>
      <c r="B36" s="44" t="s">
        <v>149</v>
      </c>
      <c r="C36" s="45" t="s">
        <v>16</v>
      </c>
      <c r="D36" s="46">
        <v>270</v>
      </c>
      <c r="E36" s="47"/>
      <c r="F36" s="48"/>
      <c r="G36" s="48"/>
      <c r="H36" s="48">
        <v>11500</v>
      </c>
      <c r="I36" s="48"/>
      <c r="J36" s="48"/>
      <c r="K36" s="47"/>
      <c r="L36" s="48"/>
    </row>
    <row r="37" spans="1:13" ht="22.5" customHeight="1" x14ac:dyDescent="0.3">
      <c r="A37" s="15">
        <f>A35+1</f>
        <v>20</v>
      </c>
      <c r="B37" s="22" t="s">
        <v>46</v>
      </c>
      <c r="C37" s="16" t="s">
        <v>18</v>
      </c>
      <c r="D37" s="23">
        <v>540</v>
      </c>
      <c r="E37" s="17">
        <v>1324</v>
      </c>
      <c r="F37" s="18">
        <f>ROUND(E37*D37,2)</f>
        <v>714960</v>
      </c>
      <c r="G37" s="18">
        <f t="shared" ref="G37" si="45">ROUND(F37*1.2,2)</f>
        <v>857952</v>
      </c>
      <c r="H37" s="19"/>
      <c r="I37" s="20"/>
      <c r="J37" s="20"/>
      <c r="K37" s="21">
        <f t="shared" si="44"/>
        <v>714960</v>
      </c>
      <c r="L37" s="18">
        <f t="shared" si="44"/>
        <v>857952</v>
      </c>
    </row>
    <row r="38" spans="1:13" ht="18" customHeight="1" x14ac:dyDescent="0.3">
      <c r="A38" s="88" t="s">
        <v>57</v>
      </c>
      <c r="B38" s="89" t="s">
        <v>27</v>
      </c>
      <c r="C38" s="90" t="s">
        <v>18</v>
      </c>
      <c r="D38" s="91">
        <v>540</v>
      </c>
      <c r="E38" s="75"/>
      <c r="F38" s="78"/>
      <c r="G38" s="78"/>
      <c r="H38" s="78"/>
      <c r="I38" s="78">
        <f>ROUND(H38*D38,2)</f>
        <v>0</v>
      </c>
      <c r="J38" s="78">
        <f t="shared" ref="J38" si="46">ROUND(I38*1.2,2)</f>
        <v>0</v>
      </c>
      <c r="K38" s="75">
        <f t="shared" si="44"/>
        <v>0</v>
      </c>
      <c r="L38" s="78">
        <f t="shared" si="44"/>
        <v>0</v>
      </c>
    </row>
    <row r="39" spans="1:13" ht="18" customHeight="1" x14ac:dyDescent="0.3">
      <c r="A39" s="88" t="s">
        <v>93</v>
      </c>
      <c r="B39" s="92" t="s">
        <v>28</v>
      </c>
      <c r="C39" s="90" t="s">
        <v>16</v>
      </c>
      <c r="D39" s="77">
        <v>1080</v>
      </c>
      <c r="E39" s="93"/>
      <c r="F39" s="78"/>
      <c r="G39" s="78"/>
      <c r="H39" s="78"/>
      <c r="I39" s="78"/>
      <c r="J39" s="78"/>
      <c r="K39" s="75"/>
      <c r="L39" s="78"/>
    </row>
    <row r="40" spans="1:13" ht="18" customHeight="1" x14ac:dyDescent="0.3">
      <c r="A40" s="88" t="s">
        <v>94</v>
      </c>
      <c r="B40" s="92" t="s">
        <v>29</v>
      </c>
      <c r="C40" s="90" t="s">
        <v>16</v>
      </c>
      <c r="D40" s="77">
        <v>2160</v>
      </c>
      <c r="E40" s="93"/>
      <c r="F40" s="78"/>
      <c r="G40" s="78"/>
      <c r="H40" s="78"/>
      <c r="I40" s="78"/>
      <c r="J40" s="78"/>
      <c r="K40" s="75"/>
      <c r="L40" s="78"/>
    </row>
    <row r="41" spans="1:13" ht="18" customHeight="1" x14ac:dyDescent="0.3">
      <c r="A41" s="88" t="s">
        <v>95</v>
      </c>
      <c r="B41" s="92" t="s">
        <v>30</v>
      </c>
      <c r="C41" s="90" t="s">
        <v>16</v>
      </c>
      <c r="D41" s="77">
        <v>2160</v>
      </c>
      <c r="E41" s="93"/>
      <c r="F41" s="78"/>
      <c r="G41" s="78"/>
      <c r="H41" s="78"/>
      <c r="I41" s="78"/>
      <c r="J41" s="78"/>
      <c r="K41" s="75"/>
      <c r="L41" s="78"/>
    </row>
    <row r="42" spans="1:13" ht="18" customHeight="1" x14ac:dyDescent="0.3">
      <c r="A42" s="88" t="s">
        <v>96</v>
      </c>
      <c r="B42" s="92" t="s">
        <v>31</v>
      </c>
      <c r="C42" s="90" t="s">
        <v>16</v>
      </c>
      <c r="D42" s="77">
        <v>1080</v>
      </c>
      <c r="E42" s="93"/>
      <c r="F42" s="78"/>
      <c r="G42" s="78"/>
      <c r="H42" s="78"/>
      <c r="I42" s="78"/>
      <c r="J42" s="78"/>
      <c r="K42" s="75"/>
      <c r="L42" s="78"/>
    </row>
    <row r="43" spans="1:13" ht="18" customHeight="1" x14ac:dyDescent="0.3">
      <c r="A43" s="88" t="s">
        <v>97</v>
      </c>
      <c r="B43" s="92" t="s">
        <v>32</v>
      </c>
      <c r="C43" s="90" t="s">
        <v>16</v>
      </c>
      <c r="D43" s="77">
        <v>1080</v>
      </c>
      <c r="E43" s="93"/>
      <c r="F43" s="78"/>
      <c r="G43" s="78"/>
      <c r="H43" s="78"/>
      <c r="I43" s="78"/>
      <c r="J43" s="78"/>
      <c r="K43" s="75"/>
      <c r="L43" s="78"/>
    </row>
    <row r="44" spans="1:13" s="35" customFormat="1" ht="18" customHeight="1" x14ac:dyDescent="0.3">
      <c r="A44" s="30" t="s">
        <v>98</v>
      </c>
      <c r="B44" s="31" t="s">
        <v>48</v>
      </c>
      <c r="C44" s="32" t="s">
        <v>39</v>
      </c>
      <c r="D44" s="33">
        <v>6</v>
      </c>
      <c r="E44" s="17">
        <v>1120</v>
      </c>
      <c r="F44" s="18">
        <f>ROUND(E44*D44,2)</f>
        <v>6720</v>
      </c>
      <c r="G44" s="18">
        <f t="shared" ref="G44" si="47">ROUND(F44*1.2,2)</f>
        <v>8064</v>
      </c>
      <c r="H44" s="19"/>
      <c r="I44" s="20"/>
      <c r="J44" s="20"/>
      <c r="K44" s="21">
        <f t="shared" ref="K44" si="48">F44+I44</f>
        <v>6720</v>
      </c>
      <c r="L44" s="18">
        <f t="shared" ref="L44" si="49">G44+J44</f>
        <v>8064</v>
      </c>
      <c r="M44" s="85"/>
    </row>
    <row r="45" spans="1:13" s="35" customFormat="1" ht="18" customHeight="1" x14ac:dyDescent="0.3">
      <c r="A45" s="30" t="s">
        <v>58</v>
      </c>
      <c r="B45" s="31" t="s">
        <v>49</v>
      </c>
      <c r="C45" s="32" t="s">
        <v>39</v>
      </c>
      <c r="D45" s="33">
        <v>18</v>
      </c>
      <c r="E45" s="17">
        <v>500</v>
      </c>
      <c r="F45" s="18">
        <f>ROUND(E45*D45,2)</f>
        <v>9000</v>
      </c>
      <c r="G45" s="18">
        <f t="shared" ref="G45" si="50">ROUND(F45*1.2,2)</f>
        <v>10800</v>
      </c>
      <c r="H45" s="19"/>
      <c r="I45" s="20"/>
      <c r="J45" s="20"/>
      <c r="K45" s="21">
        <f t="shared" ref="K45" si="51">F45+I45</f>
        <v>9000</v>
      </c>
      <c r="L45" s="18">
        <f t="shared" ref="L45" si="52">G45+J45</f>
        <v>10800</v>
      </c>
      <c r="M45" s="85"/>
    </row>
    <row r="46" spans="1:13" ht="22.5" customHeight="1" x14ac:dyDescent="0.3">
      <c r="A46" s="15" t="s">
        <v>99</v>
      </c>
      <c r="B46" s="22" t="s">
        <v>47</v>
      </c>
      <c r="C46" s="16" t="s">
        <v>20</v>
      </c>
      <c r="D46" s="23">
        <v>293</v>
      </c>
      <c r="E46" s="24">
        <v>1920</v>
      </c>
      <c r="F46" s="18">
        <f>ROUND(E46*D46,2)</f>
        <v>562560</v>
      </c>
      <c r="G46" s="18">
        <f t="shared" ref="G46" si="53">ROUND(F46*1.2,2)</f>
        <v>675072</v>
      </c>
      <c r="H46" s="19"/>
      <c r="I46" s="20"/>
      <c r="J46" s="20"/>
      <c r="K46" s="21">
        <f t="shared" si="44"/>
        <v>562560</v>
      </c>
      <c r="L46" s="18">
        <f t="shared" si="44"/>
        <v>675072</v>
      </c>
    </row>
    <row r="47" spans="1:13" ht="18" customHeight="1" x14ac:dyDescent="0.3">
      <c r="A47" s="43" t="s">
        <v>101</v>
      </c>
      <c r="B47" s="44" t="s">
        <v>33</v>
      </c>
      <c r="C47" s="45" t="s">
        <v>16</v>
      </c>
      <c r="D47" s="46">
        <v>24</v>
      </c>
      <c r="E47" s="47"/>
      <c r="F47" s="48"/>
      <c r="G47" s="48"/>
      <c r="H47" s="48">
        <v>132000</v>
      </c>
      <c r="I47" s="48"/>
      <c r="J47" s="48"/>
      <c r="K47" s="47"/>
      <c r="L47" s="48"/>
    </row>
    <row r="48" spans="1:13" ht="22.5" customHeight="1" x14ac:dyDescent="0.3">
      <c r="A48" s="15">
        <f>A46+1</f>
        <v>24</v>
      </c>
      <c r="B48" s="22" t="s">
        <v>34</v>
      </c>
      <c r="C48" s="16" t="s">
        <v>18</v>
      </c>
      <c r="D48" s="23">
        <v>32</v>
      </c>
      <c r="E48" s="17">
        <v>1324</v>
      </c>
      <c r="F48" s="18">
        <f>ROUND(E48*D48,2)</f>
        <v>42368</v>
      </c>
      <c r="G48" s="18">
        <f t="shared" ref="G48" si="54">ROUND(F48*1.2,2)</f>
        <v>50841.599999999999</v>
      </c>
      <c r="H48" s="19"/>
      <c r="I48" s="20"/>
      <c r="J48" s="20"/>
      <c r="K48" s="21">
        <f t="shared" si="44"/>
        <v>42368</v>
      </c>
      <c r="L48" s="18">
        <f t="shared" si="44"/>
        <v>50841.599999999999</v>
      </c>
    </row>
    <row r="49" spans="1:13" ht="18" customHeight="1" x14ac:dyDescent="0.3">
      <c r="A49" s="43" t="s">
        <v>100</v>
      </c>
      <c r="B49" s="71" t="s">
        <v>35</v>
      </c>
      <c r="C49" s="65" t="s">
        <v>36</v>
      </c>
      <c r="D49" s="66">
        <v>32</v>
      </c>
      <c r="E49" s="67"/>
      <c r="F49" s="48"/>
      <c r="G49" s="48"/>
      <c r="H49" s="47">
        <v>11070</v>
      </c>
      <c r="I49" s="48"/>
      <c r="J49" s="48"/>
      <c r="K49" s="47"/>
      <c r="L49" s="48"/>
    </row>
    <row r="50" spans="1:13" ht="17.399999999999999" customHeight="1" x14ac:dyDescent="0.3">
      <c r="A50" s="43" t="s">
        <v>102</v>
      </c>
      <c r="B50" s="44" t="s">
        <v>37</v>
      </c>
      <c r="C50" s="45" t="s">
        <v>16</v>
      </c>
      <c r="D50" s="46">
        <f>D49*6</f>
        <v>192</v>
      </c>
      <c r="E50" s="47"/>
      <c r="F50" s="48"/>
      <c r="G50" s="48"/>
      <c r="H50" s="48">
        <v>138</v>
      </c>
      <c r="I50" s="48"/>
      <c r="J50" s="48"/>
      <c r="K50" s="47"/>
      <c r="L50" s="48"/>
    </row>
    <row r="51" spans="1:13" s="35" customFormat="1" ht="18" customHeight="1" x14ac:dyDescent="0.3">
      <c r="A51" s="43" t="s">
        <v>103</v>
      </c>
      <c r="B51" s="44" t="s">
        <v>50</v>
      </c>
      <c r="C51" s="45" t="s">
        <v>36</v>
      </c>
      <c r="D51" s="46">
        <v>1</v>
      </c>
      <c r="E51" s="47">
        <v>105598.29</v>
      </c>
      <c r="F51" s="48">
        <f>ROUND(E51*D51,2)</f>
        <v>105598.29</v>
      </c>
      <c r="G51" s="48">
        <f t="shared" ref="G51" si="55">ROUND(F51*1.2,2)</f>
        <v>126717.95</v>
      </c>
      <c r="H51" s="68">
        <v>125000</v>
      </c>
      <c r="I51" s="48"/>
      <c r="J51" s="48"/>
      <c r="K51" s="47">
        <f t="shared" ref="K51" si="56">F51+I51</f>
        <v>105598.29</v>
      </c>
      <c r="L51" s="48">
        <f t="shared" ref="L51" si="57">G51+J51</f>
        <v>126717.95</v>
      </c>
      <c r="M51" s="85"/>
    </row>
    <row r="52" spans="1:13" s="35" customFormat="1" ht="18" customHeight="1" x14ac:dyDescent="0.3">
      <c r="A52" s="88" t="s">
        <v>117</v>
      </c>
      <c r="B52" s="89" t="s">
        <v>142</v>
      </c>
      <c r="C52" s="90" t="s">
        <v>39</v>
      </c>
      <c r="D52" s="91">
        <v>8</v>
      </c>
      <c r="E52" s="75"/>
      <c r="F52" s="78"/>
      <c r="G52" s="78"/>
      <c r="H52" s="78"/>
      <c r="I52" s="78"/>
      <c r="J52" s="78"/>
      <c r="K52" s="75"/>
      <c r="L52" s="78"/>
      <c r="M52" s="85"/>
    </row>
    <row r="53" spans="1:13" s="35" customFormat="1" ht="18" customHeight="1" x14ac:dyDescent="0.3">
      <c r="A53" s="88" t="s">
        <v>118</v>
      </c>
      <c r="B53" s="89" t="s">
        <v>141</v>
      </c>
      <c r="C53" s="90" t="s">
        <v>39</v>
      </c>
      <c r="D53" s="91">
        <v>4</v>
      </c>
      <c r="E53" s="75"/>
      <c r="F53" s="78"/>
      <c r="G53" s="78"/>
      <c r="H53" s="78"/>
      <c r="I53" s="78"/>
      <c r="J53" s="78"/>
      <c r="K53" s="75"/>
      <c r="L53" s="78"/>
      <c r="M53" s="85"/>
    </row>
    <row r="54" spans="1:13" s="35" customFormat="1" ht="18" customHeight="1" x14ac:dyDescent="0.3">
      <c r="A54" s="88" t="s">
        <v>119</v>
      </c>
      <c r="B54" s="89" t="s">
        <v>140</v>
      </c>
      <c r="C54" s="90" t="s">
        <v>39</v>
      </c>
      <c r="D54" s="91">
        <v>40</v>
      </c>
      <c r="E54" s="75"/>
      <c r="F54" s="78"/>
      <c r="G54" s="78"/>
      <c r="H54" s="78"/>
      <c r="I54" s="78"/>
      <c r="J54" s="78"/>
      <c r="K54" s="75"/>
      <c r="L54" s="78"/>
      <c r="M54" s="85"/>
    </row>
    <row r="55" spans="1:13" s="35" customFormat="1" ht="18" customHeight="1" x14ac:dyDescent="0.3">
      <c r="A55" s="88" t="s">
        <v>120</v>
      </c>
      <c r="B55" s="89" t="s">
        <v>139</v>
      </c>
      <c r="C55" s="90" t="s">
        <v>39</v>
      </c>
      <c r="D55" s="91">
        <v>4</v>
      </c>
      <c r="E55" s="75"/>
      <c r="F55" s="78"/>
      <c r="G55" s="78"/>
      <c r="H55" s="78"/>
      <c r="I55" s="78"/>
      <c r="J55" s="78"/>
      <c r="K55" s="75"/>
      <c r="L55" s="78"/>
      <c r="M55" s="85"/>
    </row>
    <row r="56" spans="1:13" s="35" customFormat="1" ht="18" customHeight="1" x14ac:dyDescent="0.3">
      <c r="A56" s="88" t="s">
        <v>121</v>
      </c>
      <c r="B56" s="89" t="s">
        <v>138</v>
      </c>
      <c r="C56" s="90" t="s">
        <v>39</v>
      </c>
      <c r="D56" s="91">
        <v>4</v>
      </c>
      <c r="E56" s="75"/>
      <c r="F56" s="78"/>
      <c r="G56" s="78"/>
      <c r="H56" s="78"/>
      <c r="I56" s="78"/>
      <c r="J56" s="78"/>
      <c r="K56" s="75"/>
      <c r="L56" s="78"/>
      <c r="M56" s="85"/>
    </row>
    <row r="57" spans="1:13" s="35" customFormat="1" ht="18" customHeight="1" x14ac:dyDescent="0.3">
      <c r="A57" s="88" t="s">
        <v>122</v>
      </c>
      <c r="B57" s="89" t="s">
        <v>137</v>
      </c>
      <c r="C57" s="90" t="s">
        <v>39</v>
      </c>
      <c r="D57" s="91">
        <v>48</v>
      </c>
      <c r="E57" s="75"/>
      <c r="F57" s="78"/>
      <c r="G57" s="78"/>
      <c r="H57" s="78"/>
      <c r="I57" s="78"/>
      <c r="J57" s="78"/>
      <c r="K57" s="75"/>
      <c r="L57" s="78"/>
      <c r="M57" s="85"/>
    </row>
    <row r="58" spans="1:13" s="35" customFormat="1" ht="18" customHeight="1" x14ac:dyDescent="0.3">
      <c r="A58" s="88" t="s">
        <v>123</v>
      </c>
      <c r="B58" s="89" t="s">
        <v>136</v>
      </c>
      <c r="C58" s="90" t="s">
        <v>39</v>
      </c>
      <c r="D58" s="91">
        <v>96</v>
      </c>
      <c r="E58" s="75"/>
      <c r="F58" s="78"/>
      <c r="G58" s="78"/>
      <c r="H58" s="78"/>
      <c r="I58" s="78"/>
      <c r="J58" s="78"/>
      <c r="K58" s="75"/>
      <c r="L58" s="78"/>
      <c r="M58" s="85"/>
    </row>
    <row r="59" spans="1:13" s="35" customFormat="1" ht="18" customHeight="1" x14ac:dyDescent="0.3">
      <c r="A59" s="88" t="s">
        <v>124</v>
      </c>
      <c r="B59" s="89" t="s">
        <v>135</v>
      </c>
      <c r="C59" s="90" t="s">
        <v>39</v>
      </c>
      <c r="D59" s="91">
        <v>48</v>
      </c>
      <c r="E59" s="75"/>
      <c r="F59" s="78"/>
      <c r="G59" s="78"/>
      <c r="H59" s="78"/>
      <c r="I59" s="78"/>
      <c r="J59" s="78"/>
      <c r="K59" s="75"/>
      <c r="L59" s="78"/>
      <c r="M59" s="85"/>
    </row>
    <row r="60" spans="1:13" s="35" customFormat="1" ht="18" customHeight="1" x14ac:dyDescent="0.3">
      <c r="A60" s="88" t="s">
        <v>125</v>
      </c>
      <c r="B60" s="89" t="s">
        <v>134</v>
      </c>
      <c r="C60" s="90" t="s">
        <v>39</v>
      </c>
      <c r="D60" s="91">
        <v>8</v>
      </c>
      <c r="E60" s="75"/>
      <c r="F60" s="78"/>
      <c r="G60" s="78"/>
      <c r="H60" s="78"/>
      <c r="I60" s="78"/>
      <c r="J60" s="78"/>
      <c r="K60" s="75"/>
      <c r="L60" s="78"/>
      <c r="M60" s="85"/>
    </row>
    <row r="61" spans="1:13" s="35" customFormat="1" ht="18" customHeight="1" x14ac:dyDescent="0.3">
      <c r="A61" s="88" t="s">
        <v>126</v>
      </c>
      <c r="B61" s="89" t="s">
        <v>133</v>
      </c>
      <c r="C61" s="90" t="s">
        <v>39</v>
      </c>
      <c r="D61" s="91">
        <v>8</v>
      </c>
      <c r="E61" s="75"/>
      <c r="F61" s="78"/>
      <c r="G61" s="78"/>
      <c r="H61" s="78"/>
      <c r="I61" s="78"/>
      <c r="J61" s="78"/>
      <c r="K61" s="75"/>
      <c r="L61" s="78"/>
      <c r="M61" s="85"/>
    </row>
    <row r="62" spans="1:13" s="35" customFormat="1" ht="18" customHeight="1" x14ac:dyDescent="0.3">
      <c r="A62" s="88" t="s">
        <v>127</v>
      </c>
      <c r="B62" s="89" t="s">
        <v>132</v>
      </c>
      <c r="C62" s="90" t="s">
        <v>39</v>
      </c>
      <c r="D62" s="91">
        <v>2</v>
      </c>
      <c r="E62" s="75"/>
      <c r="F62" s="78"/>
      <c r="G62" s="78"/>
      <c r="H62" s="78"/>
      <c r="I62" s="78"/>
      <c r="J62" s="78"/>
      <c r="K62" s="75"/>
      <c r="L62" s="78"/>
      <c r="M62" s="85"/>
    </row>
    <row r="63" spans="1:13" s="35" customFormat="1" ht="18" customHeight="1" x14ac:dyDescent="0.3">
      <c r="A63" s="88" t="s">
        <v>128</v>
      </c>
      <c r="B63" s="89" t="s">
        <v>131</v>
      </c>
      <c r="C63" s="90" t="s">
        <v>39</v>
      </c>
      <c r="D63" s="91">
        <v>2</v>
      </c>
      <c r="E63" s="75"/>
      <c r="F63" s="78"/>
      <c r="G63" s="78"/>
      <c r="H63" s="78"/>
      <c r="I63" s="78"/>
      <c r="J63" s="78"/>
      <c r="K63" s="75"/>
      <c r="L63" s="78"/>
      <c r="M63" s="85"/>
    </row>
    <row r="64" spans="1:13" s="35" customFormat="1" ht="18" customHeight="1" x14ac:dyDescent="0.3">
      <c r="A64" s="88" t="s">
        <v>129</v>
      </c>
      <c r="B64" s="89" t="s">
        <v>130</v>
      </c>
      <c r="C64" s="90" t="s">
        <v>39</v>
      </c>
      <c r="D64" s="91">
        <v>6</v>
      </c>
      <c r="E64" s="75"/>
      <c r="F64" s="78"/>
      <c r="G64" s="78"/>
      <c r="H64" s="78"/>
      <c r="I64" s="78"/>
      <c r="J64" s="78"/>
      <c r="K64" s="75"/>
      <c r="L64" s="78"/>
      <c r="M64" s="85"/>
    </row>
    <row r="65" spans="1:14" s="35" customFormat="1" ht="18" customHeight="1" x14ac:dyDescent="0.3">
      <c r="A65" s="30" t="s">
        <v>104</v>
      </c>
      <c r="B65" s="36" t="s">
        <v>147</v>
      </c>
      <c r="C65" s="32" t="s">
        <v>36</v>
      </c>
      <c r="D65" s="37">
        <v>1</v>
      </c>
      <c r="E65" s="24">
        <v>79200</v>
      </c>
      <c r="F65" s="18">
        <f>ROUND(E65*D65,2)</f>
        <v>79200</v>
      </c>
      <c r="G65" s="18">
        <f t="shared" ref="G65" si="58">ROUND(F65*1.2,2)</f>
        <v>95040</v>
      </c>
      <c r="H65" s="19"/>
      <c r="I65" s="20"/>
      <c r="J65" s="20"/>
      <c r="K65" s="21">
        <f t="shared" ref="K65" si="59">F65+I65</f>
        <v>79200</v>
      </c>
      <c r="L65" s="18">
        <f t="shared" ref="L65" si="60">G65+J65</f>
        <v>95040</v>
      </c>
      <c r="M65" s="85"/>
    </row>
    <row r="66" spans="1:14" s="35" customFormat="1" ht="18" customHeight="1" x14ac:dyDescent="0.3">
      <c r="A66" s="43" t="s">
        <v>105</v>
      </c>
      <c r="B66" s="44" t="s">
        <v>88</v>
      </c>
      <c r="C66" s="45" t="s">
        <v>66</v>
      </c>
      <c r="D66" s="46">
        <v>749.5</v>
      </c>
      <c r="E66" s="47"/>
      <c r="F66" s="48"/>
      <c r="G66" s="48"/>
      <c r="H66" s="48">
        <v>68</v>
      </c>
      <c r="I66" s="48"/>
      <c r="J66" s="48"/>
      <c r="K66" s="47"/>
      <c r="L66" s="48"/>
      <c r="M66" s="85"/>
      <c r="N66" s="82"/>
    </row>
    <row r="67" spans="1:14" s="35" customFormat="1" ht="18" customHeight="1" x14ac:dyDescent="0.3">
      <c r="A67" s="43" t="s">
        <v>106</v>
      </c>
      <c r="B67" s="44" t="s">
        <v>89</v>
      </c>
      <c r="C67" s="45" t="s">
        <v>66</v>
      </c>
      <c r="D67" s="46">
        <v>571</v>
      </c>
      <c r="E67" s="47"/>
      <c r="F67" s="48"/>
      <c r="G67" s="48"/>
      <c r="H67" s="48">
        <v>59</v>
      </c>
      <c r="I67" s="48"/>
      <c r="J67" s="48"/>
      <c r="K67" s="47"/>
      <c r="L67" s="48"/>
      <c r="M67" s="85"/>
    </row>
    <row r="68" spans="1:14" s="52" customFormat="1" ht="18" customHeight="1" x14ac:dyDescent="0.3">
      <c r="A68" s="15" t="s">
        <v>107</v>
      </c>
      <c r="B68" s="49" t="s">
        <v>90</v>
      </c>
      <c r="C68" s="50" t="s">
        <v>23</v>
      </c>
      <c r="D68" s="51">
        <v>31.8</v>
      </c>
      <c r="E68" s="24">
        <v>320</v>
      </c>
      <c r="F68" s="18">
        <f>ROUND(E68*D68,2)</f>
        <v>10176</v>
      </c>
      <c r="G68" s="18">
        <f t="shared" ref="G68" si="61">ROUND(F68*1.2,2)</f>
        <v>12211.2</v>
      </c>
      <c r="H68" s="19"/>
      <c r="I68" s="20"/>
      <c r="J68" s="20"/>
      <c r="K68" s="21">
        <f t="shared" ref="K68" si="62">F68+I68</f>
        <v>10176</v>
      </c>
      <c r="L68" s="18">
        <f t="shared" ref="L68" si="63">G68+J68</f>
        <v>12211.2</v>
      </c>
      <c r="M68" s="86"/>
    </row>
    <row r="69" spans="1:14" s="35" customFormat="1" ht="18" customHeight="1" x14ac:dyDescent="0.3">
      <c r="A69" s="43" t="s">
        <v>108</v>
      </c>
      <c r="B69" s="44" t="s">
        <v>91</v>
      </c>
      <c r="C69" s="45" t="s">
        <v>66</v>
      </c>
      <c r="D69" s="46">
        <f>D68*0.2</f>
        <v>6.36</v>
      </c>
      <c r="E69" s="47"/>
      <c r="F69" s="48"/>
      <c r="G69" s="48"/>
      <c r="H69" s="48">
        <v>367.43</v>
      </c>
      <c r="I69" s="48">
        <f>ROUND(H69*D69,2)</f>
        <v>2336.85</v>
      </c>
      <c r="J69" s="48">
        <f>ROUND(I69*1.2,2)</f>
        <v>2804.22</v>
      </c>
      <c r="K69" s="47">
        <f>F69+I69</f>
        <v>2336.85</v>
      </c>
      <c r="L69" s="48">
        <f>G69+J69</f>
        <v>2804.22</v>
      </c>
      <c r="M69" s="85"/>
    </row>
    <row r="70" spans="1:14" s="35" customFormat="1" ht="18" customHeight="1" x14ac:dyDescent="0.3">
      <c r="A70" s="30" t="s">
        <v>109</v>
      </c>
      <c r="B70" s="36" t="s">
        <v>116</v>
      </c>
      <c r="C70" s="32" t="s">
        <v>15</v>
      </c>
      <c r="D70" s="37">
        <v>26.8</v>
      </c>
      <c r="E70" s="24">
        <v>830</v>
      </c>
      <c r="F70" s="18">
        <f>ROUND(E70*D70,2)</f>
        <v>22244</v>
      </c>
      <c r="G70" s="18">
        <f t="shared" ref="G70" si="64">ROUND(F70*1.2,2)</f>
        <v>26692.799999999999</v>
      </c>
      <c r="H70" s="19"/>
      <c r="I70" s="20"/>
      <c r="J70" s="20"/>
      <c r="K70" s="21">
        <f t="shared" ref="K70" si="65">F70+I70</f>
        <v>22244</v>
      </c>
      <c r="L70" s="18">
        <f t="shared" ref="L70" si="66">G70+J70</f>
        <v>26692.799999999999</v>
      </c>
      <c r="M70" s="85"/>
    </row>
    <row r="71" spans="1:14" s="35" customFormat="1" ht="18" customHeight="1" x14ac:dyDescent="0.3">
      <c r="A71" s="43" t="s">
        <v>110</v>
      </c>
      <c r="B71" s="44" t="s">
        <v>81</v>
      </c>
      <c r="C71" s="45" t="s">
        <v>15</v>
      </c>
      <c r="D71" s="70">
        <f>D70*1.26</f>
        <v>33.768000000000001</v>
      </c>
      <c r="E71" s="47"/>
      <c r="F71" s="48"/>
      <c r="G71" s="48"/>
      <c r="H71" s="48">
        <v>980</v>
      </c>
      <c r="I71" s="48">
        <f>ROUND(H71*D71,2)</f>
        <v>33092.639999999999</v>
      </c>
      <c r="J71" s="48">
        <f>ROUND(I71*1.2,2)</f>
        <v>39711.17</v>
      </c>
      <c r="K71" s="47">
        <f t="shared" ref="K71:L75" si="67">F71+I71</f>
        <v>33092.639999999999</v>
      </c>
      <c r="L71" s="48">
        <f t="shared" si="67"/>
        <v>39711.17</v>
      </c>
      <c r="M71" s="85"/>
    </row>
    <row r="72" spans="1:14" s="35" customFormat="1" ht="18" customHeight="1" x14ac:dyDescent="0.3">
      <c r="A72" s="30" t="s">
        <v>111</v>
      </c>
      <c r="B72" s="31" t="s">
        <v>59</v>
      </c>
      <c r="C72" s="63" t="s">
        <v>15</v>
      </c>
      <c r="D72" s="33">
        <f>191*4*0.15-270*0.3*0.15-45*0.3*0.15</f>
        <v>100.42499999999998</v>
      </c>
      <c r="E72" s="17">
        <v>2416.5</v>
      </c>
      <c r="F72" s="34">
        <f>ROUND(E72*D72,2)</f>
        <v>242677.01</v>
      </c>
      <c r="G72" s="34">
        <f t="shared" ref="G72" si="68">ROUND(F72*1.2,2)</f>
        <v>291212.40999999997</v>
      </c>
      <c r="H72" s="19"/>
      <c r="I72" s="34"/>
      <c r="J72" s="34"/>
      <c r="K72" s="24">
        <f t="shared" si="67"/>
        <v>242677.01</v>
      </c>
      <c r="L72" s="34">
        <f t="shared" si="67"/>
        <v>291212.40999999997</v>
      </c>
      <c r="M72" s="85"/>
    </row>
    <row r="73" spans="1:14" s="35" customFormat="1" ht="18" customHeight="1" x14ac:dyDescent="0.3">
      <c r="A73" s="43" t="s">
        <v>112</v>
      </c>
      <c r="B73" s="44" t="s">
        <v>22</v>
      </c>
      <c r="C73" s="45" t="s">
        <v>15</v>
      </c>
      <c r="D73" s="70">
        <f>D72*1.26</f>
        <v>126.53549999999998</v>
      </c>
      <c r="E73" s="47"/>
      <c r="F73" s="48"/>
      <c r="G73" s="48"/>
      <c r="H73" s="48">
        <v>4800</v>
      </c>
      <c r="I73" s="48">
        <f>ROUND(H73*D73,2)</f>
        <v>607370.4</v>
      </c>
      <c r="J73" s="48">
        <f>ROUND(I73*1.2,2)</f>
        <v>728844.48</v>
      </c>
      <c r="K73" s="47">
        <f t="shared" si="67"/>
        <v>607370.4</v>
      </c>
      <c r="L73" s="48">
        <f t="shared" si="67"/>
        <v>728844.48</v>
      </c>
      <c r="M73" s="85"/>
    </row>
    <row r="74" spans="1:14" s="35" customFormat="1" ht="18" customHeight="1" x14ac:dyDescent="0.3">
      <c r="A74" s="30">
        <f>A72+1</f>
        <v>30</v>
      </c>
      <c r="B74" s="31" t="s">
        <v>60</v>
      </c>
      <c r="C74" s="63" t="s">
        <v>15</v>
      </c>
      <c r="D74" s="33">
        <f>D72*0.1</f>
        <v>10.042499999999999</v>
      </c>
      <c r="E74" s="24">
        <v>2102.36</v>
      </c>
      <c r="F74" s="34">
        <f>ROUND(E74*D74,2)</f>
        <v>21112.95</v>
      </c>
      <c r="G74" s="34">
        <f t="shared" ref="G74" si="69">ROUND(F74*1.2,2)</f>
        <v>25335.54</v>
      </c>
      <c r="H74" s="19"/>
      <c r="I74" s="34"/>
      <c r="J74" s="34"/>
      <c r="K74" s="24">
        <f t="shared" si="67"/>
        <v>21112.95</v>
      </c>
      <c r="L74" s="34">
        <f t="shared" si="67"/>
        <v>25335.54</v>
      </c>
      <c r="M74" s="85"/>
    </row>
    <row r="75" spans="1:14" s="35" customFormat="1" ht="18" customHeight="1" x14ac:dyDescent="0.3">
      <c r="A75" s="43" t="s">
        <v>113</v>
      </c>
      <c r="B75" s="44" t="s">
        <v>22</v>
      </c>
      <c r="C75" s="45" t="s">
        <v>15</v>
      </c>
      <c r="D75" s="70">
        <f>D74*1.26</f>
        <v>12.653549999999999</v>
      </c>
      <c r="E75" s="47"/>
      <c r="F75" s="48"/>
      <c r="G75" s="48"/>
      <c r="H75" s="48">
        <v>4800</v>
      </c>
      <c r="I75" s="48">
        <f>ROUND(H75*D75,2)</f>
        <v>60737.04</v>
      </c>
      <c r="J75" s="48">
        <f>ROUND(I75*1.2,2)</f>
        <v>72884.45</v>
      </c>
      <c r="K75" s="47">
        <f t="shared" si="67"/>
        <v>60737.04</v>
      </c>
      <c r="L75" s="48">
        <f t="shared" si="67"/>
        <v>72884.45</v>
      </c>
      <c r="M75" s="85"/>
    </row>
    <row r="76" spans="1:14" ht="21" customHeight="1" x14ac:dyDescent="0.3">
      <c r="A76" s="15" t="s">
        <v>114</v>
      </c>
      <c r="B76" s="22" t="s">
        <v>38</v>
      </c>
      <c r="C76" s="16" t="s">
        <v>20</v>
      </c>
      <c r="D76" s="23">
        <v>146.5</v>
      </c>
      <c r="E76" s="17">
        <v>945.3</v>
      </c>
      <c r="F76" s="18">
        <f>ROUND(E76*D76,2)</f>
        <v>138486.45000000001</v>
      </c>
      <c r="G76" s="18">
        <f t="shared" ref="G76" si="70">ROUND(F76*1.2,2)</f>
        <v>166183.74</v>
      </c>
      <c r="H76" s="19"/>
      <c r="I76" s="20"/>
      <c r="J76" s="20"/>
      <c r="K76" s="21">
        <f t="shared" ref="K76:L76" si="71">F76+I76</f>
        <v>138486.45000000001</v>
      </c>
      <c r="L76" s="18">
        <f t="shared" si="71"/>
        <v>166183.74</v>
      </c>
    </row>
    <row r="77" spans="1:14" ht="21" customHeight="1" x14ac:dyDescent="0.3">
      <c r="A77" s="15" t="s">
        <v>115</v>
      </c>
      <c r="B77" s="22" t="s">
        <v>61</v>
      </c>
      <c r="C77" s="16" t="s">
        <v>20</v>
      </c>
      <c r="D77" s="23">
        <v>22.42</v>
      </c>
      <c r="E77" s="17">
        <v>1181.6300000000001</v>
      </c>
      <c r="F77" s="34">
        <f>ROUND(E77*D77,2)</f>
        <v>26492.14</v>
      </c>
      <c r="G77" s="18">
        <f t="shared" ref="G77" si="72">ROUND(F77*1.2,2)</f>
        <v>31790.57</v>
      </c>
      <c r="H77" s="19"/>
      <c r="I77" s="20"/>
      <c r="J77" s="20"/>
      <c r="K77" s="21">
        <f t="shared" ref="K77" si="73">F77+I77</f>
        <v>26492.14</v>
      </c>
      <c r="L77" s="18">
        <f t="shared" ref="L77" si="74">G77+J77</f>
        <v>31790.57</v>
      </c>
    </row>
    <row r="78" spans="1:14" x14ac:dyDescent="0.3">
      <c r="A78" s="95" t="s">
        <v>40</v>
      </c>
      <c r="B78" s="95"/>
      <c r="C78" s="95"/>
      <c r="D78" s="95"/>
      <c r="E78" s="95"/>
      <c r="F78" s="72"/>
      <c r="G78" s="72">
        <f>SUM(G8:G77)</f>
        <v>5870300.790000001</v>
      </c>
      <c r="H78" s="73"/>
      <c r="I78" s="72"/>
      <c r="J78" s="72">
        <f>SUM(J8:J77)</f>
        <v>2905543.24</v>
      </c>
      <c r="K78" s="72"/>
      <c r="L78" s="72">
        <f>SUM(L8:L77)</f>
        <v>8775844.0299999975</v>
      </c>
    </row>
    <row r="79" spans="1:14" x14ac:dyDescent="0.3">
      <c r="L79" s="28"/>
    </row>
    <row r="81" spans="12:14" x14ac:dyDescent="0.3">
      <c r="M81" s="87"/>
      <c r="N81" s="28"/>
    </row>
    <row r="82" spans="12:14" x14ac:dyDescent="0.3">
      <c r="L82" s="28"/>
      <c r="M82" s="87"/>
      <c r="N82" s="28"/>
    </row>
    <row r="83" spans="12:14" x14ac:dyDescent="0.3">
      <c r="L83" s="28"/>
      <c r="M83" s="87"/>
      <c r="N83" s="28"/>
    </row>
    <row r="84" spans="12:14" x14ac:dyDescent="0.3">
      <c r="L84" s="28"/>
      <c r="M84" s="87"/>
      <c r="N84" s="28"/>
    </row>
    <row r="85" spans="12:14" x14ac:dyDescent="0.3">
      <c r="L85" s="28"/>
      <c r="M85" s="87"/>
      <c r="N85" s="28"/>
    </row>
  </sheetData>
  <autoFilter ref="A5:L78" xr:uid="{00000000-0009-0000-0000-000000000000}"/>
  <mergeCells count="10">
    <mergeCell ref="M7:M12"/>
    <mergeCell ref="A78:E78"/>
    <mergeCell ref="E3:G3"/>
    <mergeCell ref="H3:J3"/>
    <mergeCell ref="K3:L3"/>
    <mergeCell ref="A1:A4"/>
    <mergeCell ref="B1:B4"/>
    <mergeCell ref="C1:C4"/>
    <mergeCell ref="D1:D4"/>
    <mergeCell ref="E1:L2"/>
  </mergeCells>
  <phoneticPr fontId="8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Вход-выход 11 путь</vt:lpstr>
      <vt:lpstr>'Вход-выход 11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2024-07-17T18:15:35Z</dcterms:created>
  <dcterms:modified xsi:type="dcterms:W3CDTF">2025-10-29T06:24:15Z</dcterms:modified>
</cp:coreProperties>
</file>