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КОЛОМНА ТМХ\100метровка\"/>
    </mc:Choice>
  </mc:AlternateContent>
  <xr:revisionPtr revIDLastSave="0" documentId="13_ncr:1_{4B301F7C-6468-4E67-818B-D790A9824E24}" xr6:coauthVersionLast="47" xr6:coauthVersionMax="47" xr10:uidLastSave="{00000000-0000-0000-0000-000000000000}"/>
  <bookViews>
    <workbookView xWindow="-108" yWindow="-108" windowWidth="23256" windowHeight="13176" firstSheet="2" activeTab="4" xr2:uid="{00000000-000D-0000-FFFF-FFFF00000000}"/>
  </bookViews>
  <sheets>
    <sheet name="Свод" sheetId="3" state="hidden" r:id="rId1"/>
    <sheet name="СМР+мат пред " sheetId="1" state="hidden" r:id="rId2"/>
    <sheet name="новый рельс" sheetId="4" r:id="rId3"/>
    <sheet name="старый рельс" sheetId="6" r:id="rId4"/>
    <sheet name="сводная" sheetId="7" r:id="rId5"/>
    <sheet name="сводная для КЗ" sheetId="8" r:id="rId6"/>
    <sheet name="Лист1" sheetId="5" state="hidden" r:id="rId7"/>
  </sheets>
  <definedNames>
    <definedName name="_xlnm.Print_Area" localSheetId="2">'новый рельс'!$A$1:$U$85</definedName>
    <definedName name="_xlnm.Print_Area" localSheetId="0">Свод!$A$1:$H$5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7" l="1"/>
  <c r="L7" i="7"/>
  <c r="M6" i="7"/>
  <c r="L6" i="7"/>
  <c r="M5" i="7"/>
  <c r="G7" i="7"/>
  <c r="F7" i="7"/>
  <c r="F6" i="7"/>
  <c r="G6" i="7"/>
  <c r="G5" i="7"/>
  <c r="K12" i="7"/>
  <c r="J12" i="7"/>
  <c r="K11" i="7"/>
  <c r="J11" i="7"/>
  <c r="K10" i="7"/>
  <c r="J10" i="7"/>
  <c r="K9" i="7"/>
  <c r="J9" i="7"/>
  <c r="C11" i="7"/>
  <c r="C10" i="7"/>
  <c r="C9" i="7"/>
  <c r="B11" i="7"/>
  <c r="B10" i="7"/>
  <c r="D10" i="7" s="1"/>
  <c r="B9" i="7"/>
  <c r="D9" i="7" s="1"/>
  <c r="I6" i="7"/>
  <c r="H6" i="7"/>
  <c r="H4" i="7"/>
  <c r="C6" i="7"/>
  <c r="C5" i="7"/>
  <c r="C4" i="7"/>
  <c r="I4" i="7" s="1"/>
  <c r="B6" i="7"/>
  <c r="D6" i="7" s="1"/>
  <c r="B5" i="7"/>
  <c r="F5" i="7" s="1"/>
  <c r="B4" i="7"/>
  <c r="H33" i="6"/>
  <c r="I33" i="6" s="1"/>
  <c r="J33" i="6" s="1"/>
  <c r="L33" i="6" s="1"/>
  <c r="G106" i="4"/>
  <c r="E105" i="4"/>
  <c r="E104" i="4"/>
  <c r="H33" i="4"/>
  <c r="R88" i="4"/>
  <c r="S88" i="4" s="1"/>
  <c r="Q88" i="4"/>
  <c r="P88" i="4"/>
  <c r="H100" i="6"/>
  <c r="H99" i="6"/>
  <c r="G94" i="6"/>
  <c r="G95" i="6" s="1"/>
  <c r="G96" i="6" s="1"/>
  <c r="N83" i="6"/>
  <c r="O83" i="6" s="1"/>
  <c r="L83" i="6"/>
  <c r="G83" i="6"/>
  <c r="F83" i="6"/>
  <c r="K83" i="6" s="1"/>
  <c r="R82" i="6"/>
  <c r="S82" i="6" s="1"/>
  <c r="Q82" i="6"/>
  <c r="P82" i="6"/>
  <c r="O82" i="6"/>
  <c r="N82" i="6"/>
  <c r="I82" i="6"/>
  <c r="K82" i="6" s="1"/>
  <c r="D82" i="6"/>
  <c r="N81" i="6"/>
  <c r="O81" i="6" s="1"/>
  <c r="K81" i="6"/>
  <c r="F81" i="6"/>
  <c r="G81" i="6" s="1"/>
  <c r="L81" i="6" s="1"/>
  <c r="Q80" i="6"/>
  <c r="R80" i="6" s="1"/>
  <c r="S80" i="6" s="1"/>
  <c r="N80" i="6"/>
  <c r="D80" i="6"/>
  <c r="O80" i="6" s="1"/>
  <c r="N79" i="6"/>
  <c r="O79" i="6" s="1"/>
  <c r="K79" i="6"/>
  <c r="G79" i="6"/>
  <c r="L79" i="6" s="1"/>
  <c r="F79" i="6"/>
  <c r="N78" i="6"/>
  <c r="O78" i="6" s="1"/>
  <c r="L78" i="6"/>
  <c r="G78" i="6"/>
  <c r="F78" i="6"/>
  <c r="K78" i="6" s="1"/>
  <c r="E78" i="6"/>
  <c r="N77" i="6"/>
  <c r="O77" i="6" s="1"/>
  <c r="P77" i="6" s="1"/>
  <c r="K77" i="6"/>
  <c r="J77" i="6"/>
  <c r="L77" i="6" s="1"/>
  <c r="H77" i="6"/>
  <c r="I77" i="6" s="1"/>
  <c r="N76" i="6"/>
  <c r="O76" i="6" s="1"/>
  <c r="L76" i="6"/>
  <c r="G76" i="6"/>
  <c r="F76" i="6"/>
  <c r="K76" i="6" s="1"/>
  <c r="R75" i="6"/>
  <c r="S75" i="6" s="1"/>
  <c r="P75" i="6"/>
  <c r="O75" i="6"/>
  <c r="N75" i="6"/>
  <c r="I75" i="6"/>
  <c r="K75" i="6" s="1"/>
  <c r="H75" i="6"/>
  <c r="Q75" i="6" s="1"/>
  <c r="O74" i="6"/>
  <c r="T74" i="6" s="1"/>
  <c r="N74" i="6"/>
  <c r="K74" i="6"/>
  <c r="I74" i="6"/>
  <c r="J74" i="6" s="1"/>
  <c r="L74" i="6" s="1"/>
  <c r="H74" i="6"/>
  <c r="Q74" i="6" s="1"/>
  <c r="R74" i="6" s="1"/>
  <c r="S74" i="6" s="1"/>
  <c r="H73" i="6"/>
  <c r="Q73" i="6" s="1"/>
  <c r="R73" i="6" s="1"/>
  <c r="S73" i="6" s="1"/>
  <c r="U73" i="6" s="1"/>
  <c r="O72" i="6"/>
  <c r="N72" i="6"/>
  <c r="H72" i="6"/>
  <c r="I72" i="6" s="1"/>
  <c r="N71" i="6"/>
  <c r="O71" i="6" s="1"/>
  <c r="T71" i="6" s="1"/>
  <c r="G71" i="6"/>
  <c r="L71" i="6" s="1"/>
  <c r="F71" i="6"/>
  <c r="K71" i="6" s="1"/>
  <c r="A71" i="6"/>
  <c r="A76" i="6" s="1"/>
  <c r="A78" i="6" s="1"/>
  <c r="A79" i="6" s="1"/>
  <c r="A81" i="6" s="1"/>
  <c r="A83" i="6" s="1"/>
  <c r="N70" i="6"/>
  <c r="O70" i="6" s="1"/>
  <c r="L70" i="6"/>
  <c r="J70" i="6"/>
  <c r="I70" i="6"/>
  <c r="K70" i="6" s="1"/>
  <c r="H70" i="6"/>
  <c r="Q70" i="6" s="1"/>
  <c r="R70" i="6" s="1"/>
  <c r="S70" i="6" s="1"/>
  <c r="O69" i="6"/>
  <c r="T69" i="6" s="1"/>
  <c r="N69" i="6"/>
  <c r="F69" i="6"/>
  <c r="K69" i="6" s="1"/>
  <c r="N68" i="6"/>
  <c r="O68" i="6" s="1"/>
  <c r="T68" i="6" s="1"/>
  <c r="G68" i="6"/>
  <c r="L68" i="6" s="1"/>
  <c r="F68" i="6"/>
  <c r="K68" i="6" s="1"/>
  <c r="U67" i="6"/>
  <c r="P67" i="6"/>
  <c r="O67" i="6"/>
  <c r="T67" i="6" s="1"/>
  <c r="N67" i="6"/>
  <c r="G67" i="6"/>
  <c r="L67" i="6" s="1"/>
  <c r="F67" i="6"/>
  <c r="K67" i="6" s="1"/>
  <c r="O66" i="6"/>
  <c r="T66" i="6" s="1"/>
  <c r="N66" i="6"/>
  <c r="K66" i="6"/>
  <c r="F66" i="6"/>
  <c r="G66" i="6" s="1"/>
  <c r="L66" i="6" s="1"/>
  <c r="N65" i="6"/>
  <c r="O65" i="6" s="1"/>
  <c r="K65" i="6"/>
  <c r="G65" i="6"/>
  <c r="L65" i="6" s="1"/>
  <c r="F65" i="6"/>
  <c r="P64" i="6"/>
  <c r="U64" i="6" s="1"/>
  <c r="N64" i="6"/>
  <c r="O64" i="6" s="1"/>
  <c r="T64" i="6" s="1"/>
  <c r="N63" i="6"/>
  <c r="O63" i="6" s="1"/>
  <c r="L63" i="6"/>
  <c r="G63" i="6"/>
  <c r="F63" i="6"/>
  <c r="K63" i="6" s="1"/>
  <c r="S62" i="6"/>
  <c r="R62" i="6"/>
  <c r="Q62" i="6"/>
  <c r="P62" i="6"/>
  <c r="O62" i="6"/>
  <c r="N62" i="6"/>
  <c r="I62" i="6"/>
  <c r="K62" i="6" s="1"/>
  <c r="D62" i="6"/>
  <c r="O61" i="6"/>
  <c r="T61" i="6" s="1"/>
  <c r="N61" i="6"/>
  <c r="K61" i="6"/>
  <c r="F61" i="6"/>
  <c r="G61" i="6" s="1"/>
  <c r="L61" i="6" s="1"/>
  <c r="Q60" i="6"/>
  <c r="R60" i="6" s="1"/>
  <c r="S60" i="6" s="1"/>
  <c r="N60" i="6"/>
  <c r="D60" i="6"/>
  <c r="O60" i="6" s="1"/>
  <c r="N59" i="6"/>
  <c r="O59" i="6" s="1"/>
  <c r="P59" i="6" s="1"/>
  <c r="U59" i="6" s="1"/>
  <c r="K59" i="6"/>
  <c r="G59" i="6"/>
  <c r="L59" i="6" s="1"/>
  <c r="F59" i="6"/>
  <c r="N58" i="6"/>
  <c r="O58" i="6" s="1"/>
  <c r="L58" i="6"/>
  <c r="G58" i="6"/>
  <c r="F58" i="6"/>
  <c r="K58" i="6" s="1"/>
  <c r="E58" i="6"/>
  <c r="Q57" i="6"/>
  <c r="R57" i="6" s="1"/>
  <c r="S57" i="6" s="1"/>
  <c r="N57" i="6"/>
  <c r="O57" i="6" s="1"/>
  <c r="P57" i="6" s="1"/>
  <c r="K57" i="6"/>
  <c r="H57" i="6"/>
  <c r="I57" i="6" s="1"/>
  <c r="J57" i="6" s="1"/>
  <c r="L57" i="6" s="1"/>
  <c r="N56" i="6"/>
  <c r="O56" i="6" s="1"/>
  <c r="K56" i="6"/>
  <c r="G56" i="6"/>
  <c r="L56" i="6" s="1"/>
  <c r="F56" i="6"/>
  <c r="P55" i="6"/>
  <c r="O55" i="6"/>
  <c r="N55" i="6"/>
  <c r="I55" i="6"/>
  <c r="K55" i="6" s="1"/>
  <c r="H55" i="6"/>
  <c r="Q55" i="6" s="1"/>
  <c r="R55" i="6" s="1"/>
  <c r="S55" i="6" s="1"/>
  <c r="O54" i="6"/>
  <c r="N54" i="6"/>
  <c r="I54" i="6"/>
  <c r="K54" i="6" s="1"/>
  <c r="H54" i="6"/>
  <c r="Q54" i="6" s="1"/>
  <c r="R54" i="6" s="1"/>
  <c r="S54" i="6" s="1"/>
  <c r="H53" i="6"/>
  <c r="Q53" i="6" s="1"/>
  <c r="R53" i="6" s="1"/>
  <c r="N52" i="6"/>
  <c r="O52" i="6" s="1"/>
  <c r="H52" i="6"/>
  <c r="I52" i="6" s="1"/>
  <c r="J52" i="6" s="1"/>
  <c r="L52" i="6" s="1"/>
  <c r="N51" i="6"/>
  <c r="O51" i="6" s="1"/>
  <c r="T51" i="6" s="1"/>
  <c r="G51" i="6"/>
  <c r="L51" i="6" s="1"/>
  <c r="F51" i="6"/>
  <c r="K51" i="6" s="1"/>
  <c r="N50" i="6"/>
  <c r="O50" i="6" s="1"/>
  <c r="J50" i="6"/>
  <c r="I50" i="6"/>
  <c r="K50" i="6" s="1"/>
  <c r="H50" i="6"/>
  <c r="Q50" i="6" s="1"/>
  <c r="R50" i="6" s="1"/>
  <c r="S50" i="6" s="1"/>
  <c r="P49" i="6"/>
  <c r="U49" i="6" s="1"/>
  <c r="O49" i="6"/>
  <c r="T49" i="6" s="1"/>
  <c r="N49" i="6"/>
  <c r="F49" i="6"/>
  <c r="K49" i="6" s="1"/>
  <c r="O48" i="6"/>
  <c r="P48" i="6" s="1"/>
  <c r="U48" i="6" s="1"/>
  <c r="N48" i="6"/>
  <c r="F48" i="6"/>
  <c r="N47" i="6"/>
  <c r="O47" i="6" s="1"/>
  <c r="P47" i="6" s="1"/>
  <c r="U47" i="6" s="1"/>
  <c r="K47" i="6"/>
  <c r="G47" i="6"/>
  <c r="L47" i="6" s="1"/>
  <c r="F47" i="6"/>
  <c r="A47" i="6"/>
  <c r="A48" i="6" s="1"/>
  <c r="A49" i="6" s="1"/>
  <c r="A51" i="6" s="1"/>
  <c r="A56" i="6" s="1"/>
  <c r="A58" i="6" s="1"/>
  <c r="A59" i="6" s="1"/>
  <c r="A61" i="6" s="1"/>
  <c r="A63" i="6" s="1"/>
  <c r="A65" i="6" s="1"/>
  <c r="A66" i="6" s="1"/>
  <c r="A67" i="6" s="1"/>
  <c r="A68" i="6" s="1"/>
  <c r="N46" i="6"/>
  <c r="O46" i="6" s="1"/>
  <c r="L46" i="6"/>
  <c r="G46" i="6"/>
  <c r="F46" i="6"/>
  <c r="K46" i="6" s="1"/>
  <c r="A46" i="6"/>
  <c r="O45" i="6"/>
  <c r="N45" i="6"/>
  <c r="L45" i="6"/>
  <c r="G45" i="6"/>
  <c r="F45" i="6"/>
  <c r="K45" i="6" s="1"/>
  <c r="P44" i="6"/>
  <c r="U44" i="6" s="1"/>
  <c r="N44" i="6"/>
  <c r="O44" i="6" s="1"/>
  <c r="T44" i="6" s="1"/>
  <c r="U42" i="6"/>
  <c r="O42" i="6"/>
  <c r="P42" i="6" s="1"/>
  <c r="N42" i="6"/>
  <c r="F42" i="6"/>
  <c r="T41" i="6"/>
  <c r="O41" i="6"/>
  <c r="P41" i="6" s="1"/>
  <c r="U41" i="6" s="1"/>
  <c r="N41" i="6"/>
  <c r="K41" i="6"/>
  <c r="G41" i="6"/>
  <c r="L41" i="6" s="1"/>
  <c r="F41" i="6"/>
  <c r="Q40" i="6"/>
  <c r="R40" i="6" s="1"/>
  <c r="S40" i="6" s="1"/>
  <c r="N40" i="6"/>
  <c r="D40" i="6"/>
  <c r="I40" i="6" s="1"/>
  <c r="N39" i="6"/>
  <c r="O39" i="6" s="1"/>
  <c r="T39" i="6" s="1"/>
  <c r="F39" i="6"/>
  <c r="K39" i="6" s="1"/>
  <c r="S38" i="6"/>
  <c r="R38" i="6"/>
  <c r="Q38" i="6"/>
  <c r="O38" i="6"/>
  <c r="T38" i="6" s="1"/>
  <c r="N38" i="6"/>
  <c r="J38" i="6"/>
  <c r="L38" i="6" s="1"/>
  <c r="I38" i="6"/>
  <c r="K38" i="6" s="1"/>
  <c r="D38" i="6"/>
  <c r="O37" i="6"/>
  <c r="P37" i="6" s="1"/>
  <c r="U37" i="6" s="1"/>
  <c r="N37" i="6"/>
  <c r="F37" i="6"/>
  <c r="N36" i="6"/>
  <c r="O36" i="6" s="1"/>
  <c r="I36" i="6"/>
  <c r="J36" i="6" s="1"/>
  <c r="L36" i="6" s="1"/>
  <c r="H36" i="6"/>
  <c r="Q36" i="6" s="1"/>
  <c r="R36" i="6" s="1"/>
  <c r="S36" i="6" s="1"/>
  <c r="D36" i="6"/>
  <c r="P35" i="6"/>
  <c r="N35" i="6"/>
  <c r="L35" i="6"/>
  <c r="K35" i="6"/>
  <c r="I35" i="6"/>
  <c r="J35" i="6" s="1"/>
  <c r="H35" i="6"/>
  <c r="Q35" i="6" s="1"/>
  <c r="R35" i="6" s="1"/>
  <c r="S35" i="6" s="1"/>
  <c r="U35" i="6" s="1"/>
  <c r="D35" i="6"/>
  <c r="O35" i="6" s="1"/>
  <c r="O34" i="6"/>
  <c r="T34" i="6" s="1"/>
  <c r="N34" i="6"/>
  <c r="G34" i="6"/>
  <c r="L34" i="6" s="1"/>
  <c r="F34" i="6"/>
  <c r="K34" i="6" s="1"/>
  <c r="O33" i="6"/>
  <c r="P33" i="6" s="1"/>
  <c r="N33" i="6"/>
  <c r="Q33" i="6"/>
  <c r="R33" i="6" s="1"/>
  <c r="S33" i="6" s="1"/>
  <c r="O32" i="6"/>
  <c r="N32" i="6"/>
  <c r="F32" i="6"/>
  <c r="G32" i="6" s="1"/>
  <c r="L32" i="6" s="1"/>
  <c r="O31" i="6"/>
  <c r="P31" i="6" s="1"/>
  <c r="N31" i="6"/>
  <c r="H31" i="6"/>
  <c r="I31" i="6" s="1"/>
  <c r="J31" i="6" s="1"/>
  <c r="L31" i="6" s="1"/>
  <c r="Q30" i="6"/>
  <c r="R30" i="6" s="1"/>
  <c r="S30" i="6" s="1"/>
  <c r="N30" i="6"/>
  <c r="O30" i="6" s="1"/>
  <c r="P30" i="6" s="1"/>
  <c r="U30" i="6" s="1"/>
  <c r="K30" i="6"/>
  <c r="H30" i="6"/>
  <c r="I30" i="6" s="1"/>
  <c r="J30" i="6" s="1"/>
  <c r="L30" i="6" s="1"/>
  <c r="N29" i="6"/>
  <c r="O29" i="6" s="1"/>
  <c r="H29" i="6"/>
  <c r="I29" i="6" s="1"/>
  <c r="K29" i="6" s="1"/>
  <c r="R28" i="6"/>
  <c r="S28" i="6" s="1"/>
  <c r="P28" i="6"/>
  <c r="N28" i="6"/>
  <c r="O28" i="6" s="1"/>
  <c r="J28" i="6"/>
  <c r="L28" i="6" s="1"/>
  <c r="I28" i="6"/>
  <c r="K28" i="6" s="1"/>
  <c r="H28" i="6"/>
  <c r="Q28" i="6" s="1"/>
  <c r="O27" i="6"/>
  <c r="T27" i="6" s="1"/>
  <c r="N27" i="6"/>
  <c r="L27" i="6"/>
  <c r="J27" i="6"/>
  <c r="I27" i="6"/>
  <c r="K27" i="6" s="1"/>
  <c r="H27" i="6"/>
  <c r="Q27" i="6" s="1"/>
  <c r="R27" i="6" s="1"/>
  <c r="S27" i="6" s="1"/>
  <c r="R26" i="6"/>
  <c r="S26" i="6" s="1"/>
  <c r="U26" i="6" s="1"/>
  <c r="P26" i="6"/>
  <c r="O26" i="6"/>
  <c r="N26" i="6"/>
  <c r="K26" i="6"/>
  <c r="I26" i="6"/>
  <c r="J26" i="6" s="1"/>
  <c r="L26" i="6" s="1"/>
  <c r="H26" i="6"/>
  <c r="Q26" i="6" s="1"/>
  <c r="Q25" i="6"/>
  <c r="R25" i="6" s="1"/>
  <c r="S25" i="6" s="1"/>
  <c r="O25" i="6"/>
  <c r="N25" i="6"/>
  <c r="I25" i="6"/>
  <c r="K25" i="6" s="1"/>
  <c r="N24" i="6"/>
  <c r="O24" i="6" s="1"/>
  <c r="T24" i="6" s="1"/>
  <c r="F24" i="6"/>
  <c r="K24" i="6" s="1"/>
  <c r="Q23" i="6"/>
  <c r="R23" i="6" s="1"/>
  <c r="S23" i="6" s="1"/>
  <c r="O23" i="6"/>
  <c r="N23" i="6"/>
  <c r="J23" i="6"/>
  <c r="L23" i="6" s="1"/>
  <c r="H23" i="6"/>
  <c r="I23" i="6" s="1"/>
  <c r="K23" i="6" s="1"/>
  <c r="U22" i="6"/>
  <c r="T22" i="6"/>
  <c r="O22" i="6"/>
  <c r="P22" i="6" s="1"/>
  <c r="N22" i="6"/>
  <c r="F22" i="6"/>
  <c r="K22" i="6" s="1"/>
  <c r="O21" i="6"/>
  <c r="P21" i="6" s="1"/>
  <c r="U21" i="6" s="1"/>
  <c r="N21" i="6"/>
  <c r="N20" i="6"/>
  <c r="O20" i="6" s="1"/>
  <c r="T20" i="6" s="1"/>
  <c r="F20" i="6"/>
  <c r="G20" i="6" s="1"/>
  <c r="L20" i="6" s="1"/>
  <c r="Q19" i="6"/>
  <c r="N19" i="6"/>
  <c r="O19" i="6" s="1"/>
  <c r="D19" i="6"/>
  <c r="I19" i="6" s="1"/>
  <c r="T18" i="6"/>
  <c r="P18" i="6"/>
  <c r="U18" i="6" s="1"/>
  <c r="O18" i="6"/>
  <c r="N18" i="6"/>
  <c r="L18" i="6"/>
  <c r="G18" i="6"/>
  <c r="F18" i="6"/>
  <c r="K18" i="6" s="1"/>
  <c r="T17" i="6"/>
  <c r="O17" i="6"/>
  <c r="P17" i="6" s="1"/>
  <c r="U17" i="6" s="1"/>
  <c r="N17" i="6"/>
  <c r="F17" i="6"/>
  <c r="K17" i="6" s="1"/>
  <c r="T16" i="6"/>
  <c r="O16" i="6"/>
  <c r="P16" i="6" s="1"/>
  <c r="U16" i="6" s="1"/>
  <c r="N16" i="6"/>
  <c r="N15" i="6"/>
  <c r="O15" i="6" s="1"/>
  <c r="P15" i="6" s="1"/>
  <c r="U15" i="6" s="1"/>
  <c r="G15" i="6"/>
  <c r="L15" i="6" s="1"/>
  <c r="F15" i="6"/>
  <c r="K15" i="6" s="1"/>
  <c r="N14" i="6"/>
  <c r="O14" i="6" s="1"/>
  <c r="T14" i="6" s="1"/>
  <c r="L14" i="6"/>
  <c r="G14" i="6"/>
  <c r="F14" i="6"/>
  <c r="K14" i="6" s="1"/>
  <c r="N13" i="6"/>
  <c r="O13" i="6" s="1"/>
  <c r="L13" i="6"/>
  <c r="F13" i="6"/>
  <c r="G13" i="6" s="1"/>
  <c r="E12" i="6"/>
  <c r="N12" i="6" s="1"/>
  <c r="O12" i="6" s="1"/>
  <c r="A12" i="6"/>
  <c r="A13" i="6" s="1"/>
  <c r="A14" i="6" s="1"/>
  <c r="A15" i="6" s="1"/>
  <c r="A17" i="6" s="1"/>
  <c r="A18" i="6" s="1"/>
  <c r="A20" i="6" s="1"/>
  <c r="A22" i="6" s="1"/>
  <c r="A24" i="6" s="1"/>
  <c r="A32" i="6" s="1"/>
  <c r="A34" i="6" s="1"/>
  <c r="A37" i="6" s="1"/>
  <c r="A39" i="6" s="1"/>
  <c r="A41" i="6" s="1"/>
  <c r="A42" i="6" s="1"/>
  <c r="T11" i="6"/>
  <c r="O11" i="6"/>
  <c r="P11" i="6" s="1"/>
  <c r="U11" i="6" s="1"/>
  <c r="N11" i="6"/>
  <c r="L11" i="6"/>
  <c r="G11" i="6"/>
  <c r="F11" i="6"/>
  <c r="K11" i="6" s="1"/>
  <c r="A11" i="6"/>
  <c r="N10" i="6"/>
  <c r="O10" i="6" s="1"/>
  <c r="L10" i="6"/>
  <c r="K10" i="6"/>
  <c r="G10" i="6"/>
  <c r="F10" i="6"/>
  <c r="Q31" i="4"/>
  <c r="R31" i="4" s="1"/>
  <c r="Q30" i="4"/>
  <c r="R30" i="4" s="1"/>
  <c r="Q29" i="4"/>
  <c r="R29" i="4" s="1"/>
  <c r="Q28" i="4"/>
  <c r="R28" i="4" s="1"/>
  <c r="R27" i="4"/>
  <c r="T27" i="4" s="1"/>
  <c r="Q27" i="4"/>
  <c r="Q26" i="4"/>
  <c r="R26" i="4" s="1"/>
  <c r="G89" i="4"/>
  <c r="G88" i="4"/>
  <c r="G87" i="4"/>
  <c r="H73" i="4"/>
  <c r="Q73" i="4" s="1"/>
  <c r="R73" i="4" s="1"/>
  <c r="Q53" i="4"/>
  <c r="R53" i="4" s="1"/>
  <c r="I53" i="4"/>
  <c r="K53" i="4" s="1"/>
  <c r="H53" i="4"/>
  <c r="H57" i="4"/>
  <c r="I57" i="4" s="1"/>
  <c r="I77" i="4"/>
  <c r="K77" i="4" s="1"/>
  <c r="H77" i="4"/>
  <c r="H31" i="4"/>
  <c r="H30" i="4"/>
  <c r="H29" i="4"/>
  <c r="H28" i="4"/>
  <c r="H27" i="4"/>
  <c r="H26" i="4"/>
  <c r="H52" i="4"/>
  <c r="H75" i="4"/>
  <c r="H55" i="4"/>
  <c r="H74" i="4"/>
  <c r="H54" i="4"/>
  <c r="H36" i="4"/>
  <c r="H72" i="4"/>
  <c r="H100" i="4"/>
  <c r="H99" i="4"/>
  <c r="I70" i="4"/>
  <c r="K70" i="4" s="1"/>
  <c r="H70" i="4"/>
  <c r="H50" i="4"/>
  <c r="H35" i="4"/>
  <c r="G96" i="4"/>
  <c r="G95" i="4"/>
  <c r="G94" i="4"/>
  <c r="H23" i="4"/>
  <c r="O84" i="4"/>
  <c r="F84" i="4"/>
  <c r="F43" i="4"/>
  <c r="P84" i="4"/>
  <c r="F45" i="4"/>
  <c r="G45" i="4" s="1"/>
  <c r="F46" i="4"/>
  <c r="G46" i="4" s="1"/>
  <c r="F47" i="4"/>
  <c r="F48" i="4"/>
  <c r="G48" i="4" s="1"/>
  <c r="F49" i="4"/>
  <c r="G49" i="4" s="1"/>
  <c r="F51" i="4"/>
  <c r="G51" i="4" s="1"/>
  <c r="F56" i="4"/>
  <c r="G56" i="4" s="1"/>
  <c r="F59" i="4"/>
  <c r="G59" i="4" s="1"/>
  <c r="F61" i="4"/>
  <c r="G61" i="4" s="1"/>
  <c r="F63" i="4"/>
  <c r="G63" i="4" s="1"/>
  <c r="F65" i="4"/>
  <c r="F66" i="4"/>
  <c r="G66" i="4" s="1"/>
  <c r="F67" i="4"/>
  <c r="G67" i="4" s="1"/>
  <c r="F68" i="4"/>
  <c r="G68" i="4" s="1"/>
  <c r="F69" i="4"/>
  <c r="G69" i="4" s="1"/>
  <c r="F71" i="4"/>
  <c r="G71" i="4" s="1"/>
  <c r="F76" i="4"/>
  <c r="G76" i="4" s="1"/>
  <c r="F79" i="4"/>
  <c r="G79" i="4" s="1"/>
  <c r="F81" i="4"/>
  <c r="G81" i="4" s="1"/>
  <c r="F83" i="4"/>
  <c r="G83" i="4" s="1"/>
  <c r="G47" i="4"/>
  <c r="G65" i="4"/>
  <c r="E10" i="7" l="1"/>
  <c r="J4" i="7"/>
  <c r="E11" i="7"/>
  <c r="J6" i="7"/>
  <c r="K4" i="7"/>
  <c r="D11" i="7"/>
  <c r="E9" i="7"/>
  <c r="E6" i="7"/>
  <c r="K6" i="7"/>
  <c r="C7" i="7"/>
  <c r="D4" i="7"/>
  <c r="E4" i="7"/>
  <c r="D5" i="7"/>
  <c r="E5" i="7"/>
  <c r="I5" i="7"/>
  <c r="K5" i="7" s="1"/>
  <c r="B12" i="7"/>
  <c r="B7" i="7"/>
  <c r="H5" i="7"/>
  <c r="L5" i="7" s="1"/>
  <c r="C12" i="7"/>
  <c r="U33" i="6"/>
  <c r="T13" i="6"/>
  <c r="P13" i="6"/>
  <c r="U13" i="6" s="1"/>
  <c r="T35" i="6"/>
  <c r="P19" i="6"/>
  <c r="T19" i="6"/>
  <c r="T65" i="6"/>
  <c r="P65" i="6"/>
  <c r="U65" i="6" s="1"/>
  <c r="P36" i="6"/>
  <c r="U36" i="6" s="1"/>
  <c r="T36" i="6"/>
  <c r="T12" i="6"/>
  <c r="P12" i="6"/>
  <c r="U12" i="6" s="1"/>
  <c r="P52" i="6"/>
  <c r="P10" i="6"/>
  <c r="T10" i="6"/>
  <c r="S53" i="6"/>
  <c r="U53" i="6" s="1"/>
  <c r="T53" i="6"/>
  <c r="T23" i="6"/>
  <c r="P29" i="6"/>
  <c r="U29" i="6" s="1"/>
  <c r="K40" i="6"/>
  <c r="J40" i="6"/>
  <c r="L40" i="6" s="1"/>
  <c r="T60" i="6"/>
  <c r="P60" i="6"/>
  <c r="U60" i="6" s="1"/>
  <c r="P70" i="6"/>
  <c r="U70" i="6" s="1"/>
  <c r="T70" i="6"/>
  <c r="J72" i="6"/>
  <c r="L72" i="6" s="1"/>
  <c r="K72" i="6"/>
  <c r="T76" i="6"/>
  <c r="P76" i="6"/>
  <c r="U76" i="6" s="1"/>
  <c r="T80" i="6"/>
  <c r="P80" i="6"/>
  <c r="U80" i="6" s="1"/>
  <c r="T81" i="6"/>
  <c r="P81" i="6"/>
  <c r="U81" i="6" s="1"/>
  <c r="F12" i="6"/>
  <c r="K13" i="6"/>
  <c r="P23" i="6"/>
  <c r="U23" i="6" s="1"/>
  <c r="P24" i="6"/>
  <c r="U24" i="6" s="1"/>
  <c r="T28" i="6"/>
  <c r="Q29" i="6"/>
  <c r="R29" i="6" s="1"/>
  <c r="S29" i="6" s="1"/>
  <c r="T30" i="6"/>
  <c r="T31" i="6"/>
  <c r="K33" i="6"/>
  <c r="O40" i="6"/>
  <c r="O43" i="6" s="1"/>
  <c r="O85" i="6" s="1"/>
  <c r="T46" i="6"/>
  <c r="P46" i="6"/>
  <c r="U46" i="6" s="1"/>
  <c r="K48" i="6"/>
  <c r="G48" i="6"/>
  <c r="L48" i="6" s="1"/>
  <c r="F84" i="6"/>
  <c r="K52" i="6"/>
  <c r="U57" i="6"/>
  <c r="T58" i="6"/>
  <c r="P58" i="6"/>
  <c r="U58" i="6" s="1"/>
  <c r="I60" i="6"/>
  <c r="T75" i="6"/>
  <c r="I80" i="6"/>
  <c r="P72" i="6"/>
  <c r="U75" i="6"/>
  <c r="G17" i="6"/>
  <c r="L17" i="6" s="1"/>
  <c r="K32" i="6"/>
  <c r="O84" i="6"/>
  <c r="T45" i="6"/>
  <c r="T78" i="6"/>
  <c r="P78" i="6"/>
  <c r="U78" i="6" s="1"/>
  <c r="P14" i="6"/>
  <c r="U14" i="6" s="1"/>
  <c r="T15" i="6"/>
  <c r="K20" i="6"/>
  <c r="J25" i="6"/>
  <c r="L25" i="6" s="1"/>
  <c r="K31" i="6"/>
  <c r="K36" i="6"/>
  <c r="G39" i="6"/>
  <c r="L39" i="6" s="1"/>
  <c r="K42" i="6"/>
  <c r="G42" i="6"/>
  <c r="L42" i="6" s="1"/>
  <c r="P45" i="6"/>
  <c r="T48" i="6"/>
  <c r="T57" i="6"/>
  <c r="J62" i="6"/>
  <c r="L62" i="6" s="1"/>
  <c r="I73" i="6"/>
  <c r="P74" i="6"/>
  <c r="U74" i="6" s="1"/>
  <c r="T55" i="6"/>
  <c r="T56" i="6"/>
  <c r="P56" i="6"/>
  <c r="U56" i="6" s="1"/>
  <c r="T73" i="6"/>
  <c r="T82" i="6"/>
  <c r="T83" i="6"/>
  <c r="P83" i="6"/>
  <c r="U83" i="6" s="1"/>
  <c r="I43" i="6"/>
  <c r="K19" i="6"/>
  <c r="U28" i="6"/>
  <c r="J19" i="6"/>
  <c r="P27" i="6"/>
  <c r="U27" i="6" s="1"/>
  <c r="P69" i="6"/>
  <c r="U69" i="6" s="1"/>
  <c r="T32" i="6"/>
  <c r="P32" i="6"/>
  <c r="U32" i="6" s="1"/>
  <c r="P20" i="6"/>
  <c r="U20" i="6" s="1"/>
  <c r="G22" i="6"/>
  <c r="L22" i="6" s="1"/>
  <c r="G24" i="6"/>
  <c r="L24" i="6" s="1"/>
  <c r="J29" i="6"/>
  <c r="L29" i="6" s="1"/>
  <c r="U31" i="6"/>
  <c r="P34" i="6"/>
  <c r="U34" i="6" s="1"/>
  <c r="T37" i="6"/>
  <c r="P38" i="6"/>
  <c r="U38" i="6" s="1"/>
  <c r="P39" i="6"/>
  <c r="U39" i="6" s="1"/>
  <c r="L50" i="6"/>
  <c r="P51" i="6"/>
  <c r="U51" i="6" s="1"/>
  <c r="I53" i="6"/>
  <c r="I84" i="6" s="1"/>
  <c r="T54" i="6"/>
  <c r="U55" i="6"/>
  <c r="T62" i="6"/>
  <c r="T63" i="6"/>
  <c r="P63" i="6"/>
  <c r="U63" i="6" s="1"/>
  <c r="P68" i="6"/>
  <c r="U68" i="6" s="1"/>
  <c r="P71" i="6"/>
  <c r="U71" i="6" s="1"/>
  <c r="T77" i="6"/>
  <c r="U82" i="6"/>
  <c r="K37" i="6"/>
  <c r="G37" i="6"/>
  <c r="L37" i="6" s="1"/>
  <c r="T21" i="6"/>
  <c r="T26" i="6"/>
  <c r="J55" i="6"/>
  <c r="L55" i="6" s="1"/>
  <c r="J82" i="6"/>
  <c r="L82" i="6" s="1"/>
  <c r="F43" i="6"/>
  <c r="R19" i="6"/>
  <c r="T25" i="6"/>
  <c r="P25" i="6"/>
  <c r="U25" i="6" s="1"/>
  <c r="Q31" i="6"/>
  <c r="R31" i="6" s="1"/>
  <c r="S31" i="6" s="1"/>
  <c r="T33" i="6"/>
  <c r="T42" i="6"/>
  <c r="T47" i="6"/>
  <c r="P50" i="6"/>
  <c r="U50" i="6" s="1"/>
  <c r="T50" i="6"/>
  <c r="P54" i="6"/>
  <c r="U54" i="6" s="1"/>
  <c r="T59" i="6"/>
  <c r="U62" i="6"/>
  <c r="J75" i="6"/>
  <c r="L75" i="6" s="1"/>
  <c r="P79" i="6"/>
  <c r="U79" i="6" s="1"/>
  <c r="T79" i="6"/>
  <c r="Q77" i="6"/>
  <c r="R77" i="6" s="1"/>
  <c r="S77" i="6" s="1"/>
  <c r="U77" i="6" s="1"/>
  <c r="Q52" i="6"/>
  <c r="R52" i="6" s="1"/>
  <c r="S52" i="6" s="1"/>
  <c r="S84" i="6" s="1"/>
  <c r="Q72" i="6"/>
  <c r="R72" i="6" s="1"/>
  <c r="S72" i="6" s="1"/>
  <c r="G49" i="6"/>
  <c r="L49" i="6" s="1"/>
  <c r="J54" i="6"/>
  <c r="L54" i="6" s="1"/>
  <c r="P61" i="6"/>
  <c r="U61" i="6" s="1"/>
  <c r="P66" i="6"/>
  <c r="U66" i="6" s="1"/>
  <c r="G69" i="6"/>
  <c r="L69" i="6" s="1"/>
  <c r="T26" i="4"/>
  <c r="S26" i="4"/>
  <c r="U26" i="4" s="1"/>
  <c r="T28" i="4"/>
  <c r="S28" i="4"/>
  <c r="U28" i="4" s="1"/>
  <c r="T29" i="4"/>
  <c r="S29" i="4"/>
  <c r="U29" i="4" s="1"/>
  <c r="T30" i="4"/>
  <c r="S30" i="4"/>
  <c r="U30" i="4" s="1"/>
  <c r="T31" i="4"/>
  <c r="S31" i="4"/>
  <c r="U31" i="4" s="1"/>
  <c r="S27" i="4"/>
  <c r="U27" i="4" s="1"/>
  <c r="I73" i="4"/>
  <c r="K73" i="4" s="1"/>
  <c r="T53" i="4"/>
  <c r="S53" i="4"/>
  <c r="U53" i="4" s="1"/>
  <c r="J53" i="4"/>
  <c r="L53" i="4" s="1"/>
  <c r="K57" i="4"/>
  <c r="J57" i="4"/>
  <c r="L57" i="4" s="1"/>
  <c r="J77" i="4"/>
  <c r="L77" i="4" s="1"/>
  <c r="T73" i="4"/>
  <c r="S73" i="4"/>
  <c r="U73" i="4" s="1"/>
  <c r="J70" i="4"/>
  <c r="L70" i="4" s="1"/>
  <c r="F85" i="4"/>
  <c r="Q82" i="4"/>
  <c r="Q80" i="4"/>
  <c r="Q77" i="4"/>
  <c r="R77" i="4" s="1"/>
  <c r="Q75" i="4"/>
  <c r="R75" i="4" s="1"/>
  <c r="Q74" i="4"/>
  <c r="R74" i="4" s="1"/>
  <c r="S74" i="4" s="1"/>
  <c r="Q72" i="4"/>
  <c r="R72" i="4" s="1"/>
  <c r="Q70" i="4"/>
  <c r="R70" i="4" s="1"/>
  <c r="Q62" i="4"/>
  <c r="Q60" i="4"/>
  <c r="Q57" i="4"/>
  <c r="R57" i="4" s="1"/>
  <c r="Q55" i="4"/>
  <c r="R55" i="4" s="1"/>
  <c r="Q54" i="4"/>
  <c r="R54" i="4" s="1"/>
  <c r="Q52" i="4"/>
  <c r="R52" i="4" s="1"/>
  <c r="Q50" i="4"/>
  <c r="R50" i="4" s="1"/>
  <c r="Q40" i="4"/>
  <c r="Q38" i="4"/>
  <c r="Q36" i="4"/>
  <c r="Q35" i="4"/>
  <c r="Q33" i="4"/>
  <c r="R33" i="4" s="1"/>
  <c r="Q25" i="4"/>
  <c r="R25" i="4" s="1"/>
  <c r="Q23" i="4"/>
  <c r="R23" i="4" s="1"/>
  <c r="Q19" i="4"/>
  <c r="N11" i="4"/>
  <c r="O11" i="4" s="1"/>
  <c r="P11" i="4" s="1"/>
  <c r="U11" i="4" s="1"/>
  <c r="N13" i="4"/>
  <c r="O13" i="4" s="1"/>
  <c r="P13" i="4" s="1"/>
  <c r="U13" i="4" s="1"/>
  <c r="N14" i="4"/>
  <c r="O14" i="4" s="1"/>
  <c r="P14" i="4" s="1"/>
  <c r="U14" i="4" s="1"/>
  <c r="N15" i="4"/>
  <c r="O15" i="4" s="1"/>
  <c r="P15" i="4" s="1"/>
  <c r="U15" i="4" s="1"/>
  <c r="N16" i="4"/>
  <c r="O16" i="4" s="1"/>
  <c r="P16" i="4" s="1"/>
  <c r="U16" i="4" s="1"/>
  <c r="N17" i="4"/>
  <c r="O17" i="4" s="1"/>
  <c r="P17" i="4" s="1"/>
  <c r="U17" i="4" s="1"/>
  <c r="N18" i="4"/>
  <c r="O18" i="4" s="1"/>
  <c r="P18" i="4" s="1"/>
  <c r="U18" i="4" s="1"/>
  <c r="N19" i="4"/>
  <c r="N20" i="4"/>
  <c r="O20" i="4" s="1"/>
  <c r="P20" i="4" s="1"/>
  <c r="U20" i="4" s="1"/>
  <c r="N21" i="4"/>
  <c r="O21" i="4" s="1"/>
  <c r="P21" i="4" s="1"/>
  <c r="U21" i="4" s="1"/>
  <c r="N22" i="4"/>
  <c r="O22" i="4" s="1"/>
  <c r="P22" i="4" s="1"/>
  <c r="U22" i="4" s="1"/>
  <c r="N23" i="4"/>
  <c r="O23" i="4" s="1"/>
  <c r="N24" i="4"/>
  <c r="O24" i="4" s="1"/>
  <c r="P24" i="4" s="1"/>
  <c r="U24" i="4" s="1"/>
  <c r="N25" i="4"/>
  <c r="O25" i="4" s="1"/>
  <c r="P25" i="4" s="1"/>
  <c r="N26" i="4"/>
  <c r="O26" i="4" s="1"/>
  <c r="P26" i="4" s="1"/>
  <c r="N27" i="4"/>
  <c r="O27" i="4" s="1"/>
  <c r="P27" i="4" s="1"/>
  <c r="N28" i="4"/>
  <c r="O28" i="4" s="1"/>
  <c r="P28" i="4" s="1"/>
  <c r="N29" i="4"/>
  <c r="O29" i="4" s="1"/>
  <c r="P29" i="4" s="1"/>
  <c r="N30" i="4"/>
  <c r="O30" i="4" s="1"/>
  <c r="P30" i="4" s="1"/>
  <c r="N31" i="4"/>
  <c r="O31" i="4" s="1"/>
  <c r="P31" i="4" s="1"/>
  <c r="N32" i="4"/>
  <c r="O32" i="4" s="1"/>
  <c r="P32" i="4" s="1"/>
  <c r="U32" i="4" s="1"/>
  <c r="N33" i="4"/>
  <c r="O33" i="4" s="1"/>
  <c r="P33" i="4" s="1"/>
  <c r="N34" i="4"/>
  <c r="O34" i="4" s="1"/>
  <c r="P34" i="4" s="1"/>
  <c r="U34" i="4" s="1"/>
  <c r="N35" i="4"/>
  <c r="N36" i="4"/>
  <c r="N37" i="4"/>
  <c r="O37" i="4" s="1"/>
  <c r="P37" i="4" s="1"/>
  <c r="U37" i="4" s="1"/>
  <c r="N38" i="4"/>
  <c r="N39" i="4"/>
  <c r="O39" i="4" s="1"/>
  <c r="P39" i="4" s="1"/>
  <c r="U39" i="4" s="1"/>
  <c r="N40" i="4"/>
  <c r="N41" i="4"/>
  <c r="O41" i="4" s="1"/>
  <c r="P41" i="4" s="1"/>
  <c r="U41" i="4" s="1"/>
  <c r="N42" i="4"/>
  <c r="O42" i="4" s="1"/>
  <c r="P42" i="4" s="1"/>
  <c r="U42" i="4" s="1"/>
  <c r="N44" i="4"/>
  <c r="O44" i="4" s="1"/>
  <c r="P44" i="4" s="1"/>
  <c r="U44" i="4" s="1"/>
  <c r="N45" i="4"/>
  <c r="N46" i="4"/>
  <c r="N47" i="4"/>
  <c r="N48" i="4"/>
  <c r="N49" i="4"/>
  <c r="N50" i="4"/>
  <c r="N51" i="4"/>
  <c r="N52" i="4"/>
  <c r="N54" i="4"/>
  <c r="N55" i="4"/>
  <c r="N56" i="4"/>
  <c r="N57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4" i="4"/>
  <c r="N75" i="4"/>
  <c r="N76" i="4"/>
  <c r="N77" i="4"/>
  <c r="N79" i="4"/>
  <c r="N80" i="4"/>
  <c r="N81" i="4"/>
  <c r="N82" i="4"/>
  <c r="N83" i="4"/>
  <c r="N10" i="4"/>
  <c r="O10" i="4" s="1"/>
  <c r="T10" i="4" s="1"/>
  <c r="D12" i="7" l="1"/>
  <c r="B13" i="7"/>
  <c r="D7" i="7"/>
  <c r="C13" i="7"/>
  <c r="E13" i="7" s="1"/>
  <c r="E12" i="7"/>
  <c r="H7" i="7"/>
  <c r="J5" i="7"/>
  <c r="I7" i="7"/>
  <c r="E7" i="7"/>
  <c r="K84" i="6"/>
  <c r="T52" i="6"/>
  <c r="R43" i="6"/>
  <c r="S19" i="6"/>
  <c r="S43" i="6" s="1"/>
  <c r="S85" i="6" s="1"/>
  <c r="K73" i="6"/>
  <c r="J73" i="6"/>
  <c r="L73" i="6" s="1"/>
  <c r="K80" i="6"/>
  <c r="J80" i="6"/>
  <c r="L80" i="6" s="1"/>
  <c r="U52" i="6"/>
  <c r="K60" i="6"/>
  <c r="J60" i="6"/>
  <c r="L60" i="6" s="1"/>
  <c r="J43" i="6"/>
  <c r="L19" i="6"/>
  <c r="G84" i="6"/>
  <c r="K53" i="6"/>
  <c r="J53" i="6"/>
  <c r="P84" i="6"/>
  <c r="U45" i="6"/>
  <c r="U84" i="6" s="1"/>
  <c r="F85" i="6"/>
  <c r="R84" i="6"/>
  <c r="T72" i="6"/>
  <c r="T84" i="6" s="1"/>
  <c r="T40" i="6"/>
  <c r="P40" i="6"/>
  <c r="U40" i="6" s="1"/>
  <c r="I85" i="6"/>
  <c r="U72" i="6"/>
  <c r="G12" i="6"/>
  <c r="K12" i="6"/>
  <c r="K43" i="6" s="1"/>
  <c r="T29" i="6"/>
  <c r="T43" i="6" s="1"/>
  <c r="U10" i="6"/>
  <c r="P43" i="6"/>
  <c r="P85" i="6" s="1"/>
  <c r="J73" i="4"/>
  <c r="L73" i="4" s="1"/>
  <c r="R84" i="4"/>
  <c r="P23" i="4"/>
  <c r="O43" i="4"/>
  <c r="O85" i="4" s="1"/>
  <c r="O81" i="4"/>
  <c r="P81" i="4" s="1"/>
  <c r="U81" i="4" s="1"/>
  <c r="O71" i="4"/>
  <c r="P71" i="4" s="1"/>
  <c r="U71" i="4" s="1"/>
  <c r="O63" i="4"/>
  <c r="T63" i="4" s="1"/>
  <c r="O54" i="4"/>
  <c r="T54" i="4" s="1"/>
  <c r="O45" i="4"/>
  <c r="P45" i="4" s="1"/>
  <c r="U45" i="4" s="1"/>
  <c r="O79" i="4"/>
  <c r="P79" i="4" s="1"/>
  <c r="U79" i="4" s="1"/>
  <c r="O69" i="4"/>
  <c r="P69" i="4" s="1"/>
  <c r="U69" i="4" s="1"/>
  <c r="O61" i="4"/>
  <c r="P61" i="4" s="1"/>
  <c r="U61" i="4" s="1"/>
  <c r="O51" i="4"/>
  <c r="P51" i="4" s="1"/>
  <c r="U51" i="4" s="1"/>
  <c r="O64" i="4"/>
  <c r="P64" i="4" s="1"/>
  <c r="U64" i="4" s="1"/>
  <c r="O46" i="4"/>
  <c r="T46" i="4" s="1"/>
  <c r="O52" i="4"/>
  <c r="P52" i="4" s="1"/>
  <c r="O68" i="4"/>
  <c r="P68" i="4" s="1"/>
  <c r="U68" i="4" s="1"/>
  <c r="O50" i="4"/>
  <c r="P50" i="4" s="1"/>
  <c r="O55" i="4"/>
  <c r="P55" i="4" s="1"/>
  <c r="O70" i="4"/>
  <c r="P70" i="4" s="1"/>
  <c r="O76" i="4"/>
  <c r="P76" i="4" s="1"/>
  <c r="U76" i="4" s="1"/>
  <c r="O59" i="4"/>
  <c r="T59" i="4" s="1"/>
  <c r="O77" i="4"/>
  <c r="P77" i="4" s="1"/>
  <c r="O67" i="4"/>
  <c r="P67" i="4" s="1"/>
  <c r="U67" i="4" s="1"/>
  <c r="O49" i="4"/>
  <c r="P49" i="4" s="1"/>
  <c r="U49" i="4" s="1"/>
  <c r="O72" i="4"/>
  <c r="P72" i="4" s="1"/>
  <c r="O75" i="4"/>
  <c r="T75" i="4" s="1"/>
  <c r="O66" i="4"/>
  <c r="P66" i="4" s="1"/>
  <c r="U66" i="4" s="1"/>
  <c r="O57" i="4"/>
  <c r="P57" i="4" s="1"/>
  <c r="O48" i="4"/>
  <c r="T48" i="4" s="1"/>
  <c r="O83" i="4"/>
  <c r="P83" i="4" s="1"/>
  <c r="U83" i="4" s="1"/>
  <c r="O74" i="4"/>
  <c r="P74" i="4" s="1"/>
  <c r="U74" i="4" s="1"/>
  <c r="O65" i="4"/>
  <c r="T65" i="4" s="1"/>
  <c r="O56" i="4"/>
  <c r="T56" i="4" s="1"/>
  <c r="O47" i="4"/>
  <c r="P47" i="4" s="1"/>
  <c r="U47" i="4" s="1"/>
  <c r="T77" i="4"/>
  <c r="S77" i="4"/>
  <c r="S75" i="4"/>
  <c r="S72" i="4"/>
  <c r="S70" i="4"/>
  <c r="S57" i="4"/>
  <c r="T52" i="4"/>
  <c r="S52" i="4"/>
  <c r="S54" i="4"/>
  <c r="S55" i="4"/>
  <c r="S50" i="4"/>
  <c r="S33" i="4"/>
  <c r="U33" i="4" s="1"/>
  <c r="T33" i="4"/>
  <c r="T25" i="4"/>
  <c r="S25" i="4"/>
  <c r="U25" i="4" s="1"/>
  <c r="T23" i="4"/>
  <c r="S23" i="4"/>
  <c r="T71" i="4"/>
  <c r="T44" i="4"/>
  <c r="T42" i="4"/>
  <c r="T34" i="4"/>
  <c r="T32" i="4"/>
  <c r="T24" i="4"/>
  <c r="T22" i="4"/>
  <c r="T20" i="4"/>
  <c r="T18" i="4"/>
  <c r="T16" i="4"/>
  <c r="T14" i="4"/>
  <c r="T81" i="4"/>
  <c r="T68" i="4"/>
  <c r="T64" i="4"/>
  <c r="T45" i="4"/>
  <c r="T41" i="4"/>
  <c r="T39" i="4"/>
  <c r="T37" i="4"/>
  <c r="T21" i="4"/>
  <c r="T17" i="4"/>
  <c r="T15" i="4"/>
  <c r="T13" i="4"/>
  <c r="T11" i="4"/>
  <c r="P10" i="4"/>
  <c r="I55" i="4"/>
  <c r="K55" i="4" s="1"/>
  <c r="I54" i="4"/>
  <c r="K54" i="4" s="1"/>
  <c r="I52" i="4"/>
  <c r="K52" i="4" s="1"/>
  <c r="H13" i="7" l="1"/>
  <c r="J7" i="7"/>
  <c r="I13" i="7"/>
  <c r="K13" i="7" s="1"/>
  <c r="K7" i="7"/>
  <c r="D13" i="7"/>
  <c r="T85" i="6"/>
  <c r="L53" i="6"/>
  <c r="L84" i="6" s="1"/>
  <c r="J84" i="6"/>
  <c r="K85" i="6"/>
  <c r="U43" i="6"/>
  <c r="U85" i="6" s="1"/>
  <c r="J85" i="6"/>
  <c r="R85" i="6"/>
  <c r="L12" i="6"/>
  <c r="L43" i="6" s="1"/>
  <c r="L85" i="6" s="1"/>
  <c r="G43" i="6"/>
  <c r="U19" i="6"/>
  <c r="S84" i="4"/>
  <c r="U23" i="4"/>
  <c r="T66" i="4"/>
  <c r="T47" i="4"/>
  <c r="T67" i="4"/>
  <c r="T69" i="4"/>
  <c r="U10" i="4"/>
  <c r="T70" i="4"/>
  <c r="T49" i="4"/>
  <c r="T74" i="4"/>
  <c r="T55" i="4"/>
  <c r="T51" i="4"/>
  <c r="T61" i="4"/>
  <c r="T83" i="4"/>
  <c r="P75" i="4"/>
  <c r="U75" i="4" s="1"/>
  <c r="P59" i="4"/>
  <c r="U59" i="4" s="1"/>
  <c r="T72" i="4"/>
  <c r="P46" i="4"/>
  <c r="U46" i="4" s="1"/>
  <c r="T76" i="4"/>
  <c r="T79" i="4"/>
  <c r="U52" i="4"/>
  <c r="U77" i="4"/>
  <c r="P56" i="4"/>
  <c r="U56" i="4" s="1"/>
  <c r="P48" i="4"/>
  <c r="U48" i="4" s="1"/>
  <c r="P54" i="4"/>
  <c r="U54" i="4" s="1"/>
  <c r="U50" i="4"/>
  <c r="T50" i="4"/>
  <c r="T57" i="4"/>
  <c r="P65" i="4"/>
  <c r="U65" i="4" s="1"/>
  <c r="P63" i="4"/>
  <c r="U63" i="4" s="1"/>
  <c r="U57" i="4"/>
  <c r="U55" i="4"/>
  <c r="U70" i="4"/>
  <c r="U72" i="4"/>
  <c r="J54" i="4"/>
  <c r="L54" i="4" s="1"/>
  <c r="J52" i="4"/>
  <c r="L52" i="4" s="1"/>
  <c r="J55" i="4"/>
  <c r="L55" i="4" s="1"/>
  <c r="J13" i="7" l="1"/>
  <c r="G85" i="6"/>
  <c r="G87" i="6"/>
  <c r="T84" i="4"/>
  <c r="U84" i="4"/>
  <c r="D35" i="4"/>
  <c r="D36" i="4"/>
  <c r="G88" i="6" l="1"/>
  <c r="G89" i="6"/>
  <c r="O36" i="4"/>
  <c r="R36" i="4"/>
  <c r="S36" i="4" s="1"/>
  <c r="O35" i="4"/>
  <c r="R35" i="4"/>
  <c r="I35" i="4"/>
  <c r="K35" i="4" s="1"/>
  <c r="S35" i="4" l="1"/>
  <c r="R43" i="4"/>
  <c r="R85" i="4" s="1"/>
  <c r="P35" i="4"/>
  <c r="T35" i="4"/>
  <c r="P36" i="4"/>
  <c r="U36" i="4" s="1"/>
  <c r="T36" i="4"/>
  <c r="J35" i="4"/>
  <c r="L35" i="4" s="1"/>
  <c r="T43" i="4" l="1"/>
  <c r="T85" i="4" s="1"/>
  <c r="U35" i="4"/>
  <c r="I50" i="4"/>
  <c r="K67" i="4"/>
  <c r="K83" i="4"/>
  <c r="D82" i="4"/>
  <c r="O82" i="4" s="1"/>
  <c r="L81" i="4"/>
  <c r="D80" i="4"/>
  <c r="O80" i="4" s="1"/>
  <c r="L79" i="4"/>
  <c r="E78" i="4"/>
  <c r="F78" i="4" s="1"/>
  <c r="G78" i="4" s="1"/>
  <c r="K76" i="4"/>
  <c r="L71" i="4"/>
  <c r="I75" i="4"/>
  <c r="I74" i="4"/>
  <c r="J74" i="4" s="1"/>
  <c r="L74" i="4" s="1"/>
  <c r="I72" i="4"/>
  <c r="L69" i="4"/>
  <c r="K68" i="4"/>
  <c r="K66" i="4"/>
  <c r="L65" i="4"/>
  <c r="D62" i="4"/>
  <c r="O62" i="4" s="1"/>
  <c r="K61" i="4"/>
  <c r="D60" i="4"/>
  <c r="O60" i="4" s="1"/>
  <c r="K59" i="4"/>
  <c r="K63" i="4"/>
  <c r="L56" i="4"/>
  <c r="K51" i="4"/>
  <c r="K49" i="4"/>
  <c r="K48" i="4"/>
  <c r="K47" i="4"/>
  <c r="E58" i="4"/>
  <c r="F58" i="4" s="1"/>
  <c r="G58" i="4" s="1"/>
  <c r="L46" i="4"/>
  <c r="K45" i="4"/>
  <c r="F42" i="4"/>
  <c r="F41" i="4"/>
  <c r="K41" i="4" s="1"/>
  <c r="D40" i="4"/>
  <c r="F39" i="4"/>
  <c r="G39" i="4" s="1"/>
  <c r="L39" i="4" s="1"/>
  <c r="D38" i="4"/>
  <c r="F37" i="4"/>
  <c r="G37" i="4" s="1"/>
  <c r="L37" i="4" s="1"/>
  <c r="I36" i="4"/>
  <c r="J36" i="4" s="1"/>
  <c r="L36" i="4" s="1"/>
  <c r="I33" i="4"/>
  <c r="F34" i="4"/>
  <c r="G34" i="4" s="1"/>
  <c r="L34" i="4" s="1"/>
  <c r="F32" i="4"/>
  <c r="G32" i="4" s="1"/>
  <c r="L32" i="4" s="1"/>
  <c r="I23" i="4"/>
  <c r="I31" i="4"/>
  <c r="I30" i="4"/>
  <c r="I29" i="4"/>
  <c r="I28" i="4"/>
  <c r="I27" i="4"/>
  <c r="I26" i="4"/>
  <c r="I25" i="4"/>
  <c r="F24" i="4"/>
  <c r="K24" i="4" s="1"/>
  <c r="F22" i="4"/>
  <c r="K22" i="4" s="1"/>
  <c r="F20" i="4"/>
  <c r="K20" i="4" s="1"/>
  <c r="F18" i="4"/>
  <c r="K18" i="4" s="1"/>
  <c r="D19" i="4"/>
  <c r="F17" i="4"/>
  <c r="G17" i="4" s="1"/>
  <c r="L17" i="4" s="1"/>
  <c r="F15" i="4"/>
  <c r="K15" i="4" s="1"/>
  <c r="F14" i="4"/>
  <c r="K14" i="4" s="1"/>
  <c r="F13" i="4"/>
  <c r="K13" i="4" s="1"/>
  <c r="A11" i="4"/>
  <c r="A12" i="4" s="1"/>
  <c r="A13" i="4" s="1"/>
  <c r="A14" i="4" s="1"/>
  <c r="A15" i="4" s="1"/>
  <c r="A17" i="4" s="1"/>
  <c r="A18" i="4" s="1"/>
  <c r="A20" i="4" s="1"/>
  <c r="A22" i="4" s="1"/>
  <c r="A24" i="4" s="1"/>
  <c r="A32" i="4" s="1"/>
  <c r="A34" i="4" s="1"/>
  <c r="A37" i="4" s="1"/>
  <c r="A39" i="4" s="1"/>
  <c r="A41" i="4" s="1"/>
  <c r="A42" i="4" s="1"/>
  <c r="A46" i="4" s="1"/>
  <c r="A47" i="4" s="1"/>
  <c r="A48" i="4" s="1"/>
  <c r="A49" i="4" s="1"/>
  <c r="A51" i="4" s="1"/>
  <c r="A56" i="4" s="1"/>
  <c r="A58" i="4" s="1"/>
  <c r="A59" i="4" s="1"/>
  <c r="A61" i="4" s="1"/>
  <c r="A63" i="4" s="1"/>
  <c r="A65" i="4" s="1"/>
  <c r="A66" i="4" s="1"/>
  <c r="A67" i="4" s="1"/>
  <c r="A68" i="4" s="1"/>
  <c r="E12" i="4"/>
  <c r="F11" i="4"/>
  <c r="K11" i="4" s="1"/>
  <c r="K50" i="4" l="1"/>
  <c r="I84" i="4"/>
  <c r="J23" i="4"/>
  <c r="L23" i="4" s="1"/>
  <c r="I43" i="4"/>
  <c r="G84" i="4"/>
  <c r="I82" i="4"/>
  <c r="R82" i="4"/>
  <c r="S82" i="4" s="1"/>
  <c r="I60" i="4"/>
  <c r="R60" i="4"/>
  <c r="S60" i="4" s="1"/>
  <c r="I40" i="4"/>
  <c r="J40" i="4" s="1"/>
  <c r="L40" i="4" s="1"/>
  <c r="O40" i="4"/>
  <c r="R40" i="4"/>
  <c r="S40" i="4" s="1"/>
  <c r="I62" i="4"/>
  <c r="K62" i="4" s="1"/>
  <c r="R62" i="4"/>
  <c r="S62" i="4" s="1"/>
  <c r="I38" i="4"/>
  <c r="K38" i="4" s="1"/>
  <c r="R38" i="4"/>
  <c r="S38" i="4" s="1"/>
  <c r="O38" i="4"/>
  <c r="K58" i="4"/>
  <c r="N58" i="4"/>
  <c r="O58" i="4" s="1"/>
  <c r="L78" i="4"/>
  <c r="N78" i="4"/>
  <c r="O78" i="4" s="1"/>
  <c r="I80" i="4"/>
  <c r="K80" i="4" s="1"/>
  <c r="R80" i="4"/>
  <c r="S80" i="4" s="1"/>
  <c r="F12" i="4"/>
  <c r="G12" i="4" s="1"/>
  <c r="L12" i="4" s="1"/>
  <c r="N12" i="4"/>
  <c r="O12" i="4" s="1"/>
  <c r="I19" i="4"/>
  <c r="K19" i="4" s="1"/>
  <c r="O19" i="4"/>
  <c r="P19" i="4" s="1"/>
  <c r="R19" i="4"/>
  <c r="K82" i="4"/>
  <c r="J82" i="4"/>
  <c r="L82" i="4" s="1"/>
  <c r="J50" i="4"/>
  <c r="L76" i="4"/>
  <c r="A71" i="4"/>
  <c r="A76" i="4" s="1"/>
  <c r="A78" i="4" s="1"/>
  <c r="A79" i="4" s="1"/>
  <c r="A81" i="4" s="1"/>
  <c r="A83" i="4" s="1"/>
  <c r="L66" i="4"/>
  <c r="L67" i="4"/>
  <c r="K81" i="4"/>
  <c r="K71" i="4"/>
  <c r="K65" i="4"/>
  <c r="J75" i="4"/>
  <c r="L75" i="4" s="1"/>
  <c r="K75" i="4"/>
  <c r="K72" i="4"/>
  <c r="J72" i="4"/>
  <c r="L72" i="4" s="1"/>
  <c r="K78" i="4"/>
  <c r="L68" i="4"/>
  <c r="K69" i="4"/>
  <c r="K74" i="4"/>
  <c r="K79" i="4"/>
  <c r="L83" i="4"/>
  <c r="L59" i="4"/>
  <c r="J60" i="4"/>
  <c r="L60" i="4" s="1"/>
  <c r="K60" i="4"/>
  <c r="L61" i="4"/>
  <c r="L63" i="4"/>
  <c r="K56" i="4"/>
  <c r="L51" i="4"/>
  <c r="L49" i="4"/>
  <c r="L48" i="4"/>
  <c r="L47" i="4"/>
  <c r="K46" i="4"/>
  <c r="L45" i="4"/>
  <c r="K39" i="4"/>
  <c r="K42" i="4"/>
  <c r="G42" i="4"/>
  <c r="L42" i="4" s="1"/>
  <c r="K37" i="4"/>
  <c r="G41" i="4"/>
  <c r="L41" i="4" s="1"/>
  <c r="K36" i="4"/>
  <c r="K33" i="4"/>
  <c r="J33" i="4"/>
  <c r="L33" i="4" s="1"/>
  <c r="K34" i="4"/>
  <c r="K32" i="4"/>
  <c r="K23" i="4"/>
  <c r="K28" i="4"/>
  <c r="J28" i="4"/>
  <c r="L28" i="4" s="1"/>
  <c r="K29" i="4"/>
  <c r="J29" i="4"/>
  <c r="L29" i="4" s="1"/>
  <c r="K25" i="4"/>
  <c r="J25" i="4"/>
  <c r="L25" i="4" s="1"/>
  <c r="K26" i="4"/>
  <c r="J26" i="4"/>
  <c r="L26" i="4" s="1"/>
  <c r="K27" i="4"/>
  <c r="J27" i="4"/>
  <c r="L27" i="4" s="1"/>
  <c r="K30" i="4"/>
  <c r="J30" i="4"/>
  <c r="L30" i="4" s="1"/>
  <c r="K31" i="4"/>
  <c r="J31" i="4"/>
  <c r="L31" i="4" s="1"/>
  <c r="G24" i="4"/>
  <c r="L24" i="4" s="1"/>
  <c r="G22" i="4"/>
  <c r="L22" i="4" s="1"/>
  <c r="G20" i="4"/>
  <c r="L20" i="4" s="1"/>
  <c r="G18" i="4"/>
  <c r="L18" i="4" s="1"/>
  <c r="K17" i="4"/>
  <c r="G15" i="4"/>
  <c r="L15" i="4" s="1"/>
  <c r="G14" i="4"/>
  <c r="L14" i="4" s="1"/>
  <c r="G13" i="4"/>
  <c r="L13" i="4" s="1"/>
  <c r="K12" i="4"/>
  <c r="G11" i="4"/>
  <c r="L11" i="4" s="1"/>
  <c r="K43" i="4" l="1"/>
  <c r="K84" i="4"/>
  <c r="I85" i="4"/>
  <c r="L50" i="4"/>
  <c r="L84" i="4" s="1"/>
  <c r="J84" i="4"/>
  <c r="J19" i="4"/>
  <c r="L19" i="4" s="1"/>
  <c r="K40" i="4"/>
  <c r="J80" i="4"/>
  <c r="L80" i="4" s="1"/>
  <c r="J62" i="4"/>
  <c r="L62" i="4" s="1"/>
  <c r="J38" i="4"/>
  <c r="L38" i="4" s="1"/>
  <c r="P12" i="4"/>
  <c r="T12" i="4"/>
  <c r="L58" i="4"/>
  <c r="P80" i="4"/>
  <c r="U80" i="4" s="1"/>
  <c r="T80" i="4"/>
  <c r="P60" i="4"/>
  <c r="U60" i="4" s="1"/>
  <c r="T60" i="4"/>
  <c r="P40" i="4"/>
  <c r="U40" i="4" s="1"/>
  <c r="T40" i="4"/>
  <c r="P62" i="4"/>
  <c r="U62" i="4" s="1"/>
  <c r="T62" i="4"/>
  <c r="T19" i="4"/>
  <c r="S19" i="4"/>
  <c r="P78" i="4"/>
  <c r="U78" i="4" s="1"/>
  <c r="T78" i="4"/>
  <c r="P82" i="4"/>
  <c r="U82" i="4" s="1"/>
  <c r="T82" i="4"/>
  <c r="P38" i="4"/>
  <c r="U38" i="4" s="1"/>
  <c r="T38" i="4"/>
  <c r="P58" i="4"/>
  <c r="U58" i="4" s="1"/>
  <c r="T58" i="4"/>
  <c r="F10" i="4"/>
  <c r="K85" i="4" l="1"/>
  <c r="U19" i="4"/>
  <c r="S43" i="4"/>
  <c r="S85" i="4" s="1"/>
  <c r="J43" i="4"/>
  <c r="J85" i="4" s="1"/>
  <c r="U12" i="4"/>
  <c r="U43" i="4" s="1"/>
  <c r="U85" i="4" s="1"/>
  <c r="P43" i="4"/>
  <c r="P85" i="4" s="1"/>
  <c r="K10" i="4"/>
  <c r="G10" i="4"/>
  <c r="L10" i="4" l="1"/>
  <c r="L43" i="4" s="1"/>
  <c r="L85" i="4" s="1"/>
  <c r="G43" i="4"/>
  <c r="G85" i="4" s="1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<sst xmlns="http://schemas.openxmlformats.org/spreadsheetml/2006/main" count="839" uniqueCount="344">
  <si>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</si>
  <si>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</si>
  <si>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</si>
  <si>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</si>
  <si>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</si>
  <si>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</si>
  <si>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</si>
  <si>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</si>
  <si>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</si>
  <si>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</si>
  <si>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</si>
  <si>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</si>
  <si>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</si>
  <si>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</si>
  <si>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</si>
  <si>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</si>
  <si>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</si>
  <si>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</si>
  <si>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</si>
  <si>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</si>
  <si>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</si>
  <si>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</si>
  <si>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</si>
  <si>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</si>
  <si>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</si>
  <si>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</si>
  <si>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</si>
  <si>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</si>
  <si>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</si>
  <si>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</si>
  <si>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</si>
  <si>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</si>
  <si>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</si>
  <si>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</si>
  <si>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</si>
  <si>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</si>
  <si>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</si>
  <si>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</si>
  <si>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</si>
  <si>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</si>
  <si>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</si>
  <si>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</si>
  <si>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</si>
  <si>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</si>
  <si>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</si>
  <si>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</si>
  <si>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</si>
  <si>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</si>
  <si>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</si>
  <si>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</si>
  <si>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</si>
  <si>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</si>
  <si>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</si>
  <si>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</si>
  <si>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</si>
  <si>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</si>
  <si>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</si>
  <si>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</si>
  <si>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</si>
  <si>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</si>
  <si>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</si>
  <si>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</si>
  <si>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</si>
  <si>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</si>
  <si>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</si>
  <si>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</si>
  <si>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</si>
  <si>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</si>
  <si>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</si>
  <si>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</si>
  <si>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</si>
  <si>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</si>
  <si>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</si>
  <si>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</si>
  <si>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</si>
  <si>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</si>
  <si>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</si>
  <si>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</si>
  <si>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</si>
  <si>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</si>
  <si>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</si>
  <si>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</si>
  <si>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</si>
  <si>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</si>
  <si>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</si>
  <si>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</si>
  <si>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</si>
  <si>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</si>
  <si>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</si>
  <si>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</si>
  <si>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</si>
  <si>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</si>
  <si>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</si>
  <si>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</si>
  <si>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</si>
  <si>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</si>
  <si>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</si>
  <si>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</si>
  <si>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</si>
  <si>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</si>
  <si>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</si>
  <si>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</si>
  <si>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</si>
  <si>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</si>
  <si>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</si>
  <si>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</si>
  <si>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</si>
  <si>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</si>
  <si>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</si>
  <si>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</si>
  <si>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</si>
  <si>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</si>
  <si>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</si>
  <si>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</si>
  <si>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</si>
  <si>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</si>
  <si>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</si>
  <si>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</si>
  <si>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</si>
  <si>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</si>
  <si>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</si>
  <si>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</si>
  <si>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</si>
  <si>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</si>
  <si>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</si>
  <si>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</si>
  <si>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</si>
  <si>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</si>
  <si>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</si>
  <si>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</si>
  <si>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</si>
  <si>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</si>
  <si>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</si>
  <si>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</si>
  <si>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</si>
  <si>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</si>
  <si>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</si>
  <si>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</si>
  <si>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</si>
  <si>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</si>
  <si>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</si>
  <si>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</si>
  <si>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</si>
  <si>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</si>
  <si>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</si>
  <si>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</si>
  <si>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</si>
  <si>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</si>
  <si>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</si>
  <si>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</si>
  <si>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</si>
  <si>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</si>
  <si>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</si>
  <si>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</si>
  <si>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</si>
  <si>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</si>
  <si>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</si>
  <si>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</si>
  <si>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</si>
  <si>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</si>
  <si>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</si>
  <si>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</si>
  <si>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</si>
  <si>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</si>
  <si>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</si>
  <si>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</si>
  <si>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</si>
  <si>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</si>
  <si>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</si>
  <si>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</si>
  <si>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</si>
  <si>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</si>
  <si>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</si>
  <si>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</si>
  <si>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</si>
  <si>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</si>
  <si>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</si>
  <si>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</si>
  <si>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</si>
  <si>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</si>
  <si>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</si>
  <si>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</si>
  <si>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</si>
  <si>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</si>
  <si>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</si>
  <si>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</si>
  <si>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</si>
  <si>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</si>
  <si>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</si>
  <si>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</si>
  <si>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</si>
  <si>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</si>
  <si>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</si>
  <si>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</si>
  <si>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</si>
  <si>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</si>
  <si>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</si>
  <si>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</si>
  <si>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</si>
  <si>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</si>
  <si>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</si>
  <si>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</si>
  <si>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</si>
  <si>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</si>
  <si>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</si>
  <si>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</si>
  <si>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</si>
  <si>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</si>
  <si>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</si>
  <si>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</si>
  <si>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</si>
  <si>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</si>
  <si>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</si>
  <si>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</si>
  <si>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</si>
  <si>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</si>
  <si>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</si>
  <si>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</si>
  <si>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</si>
  <si>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</si>
  <si>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</si>
  <si>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</si>
  <si>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</si>
  <si>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</si>
  <si>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</si>
  <si>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</si>
  <si>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</si>
  <si>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</si>
  <si>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</si>
  <si>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</si>
  <si>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</si>
  <si>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1</t>
  </si>
  <si>
    <t>компл.</t>
  </si>
  <si>
    <t>Выправка пути</t>
  </si>
  <si>
    <t>Рихтовка пути</t>
  </si>
  <si>
    <t>Очистка межшпальных ящиков от грунта, боя и мусора</t>
  </si>
  <si>
    <t>Балластировка  стрелочного перевода</t>
  </si>
  <si>
    <t>Выправка и рихтовка стрелочного перевода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</si>
  <si>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</si>
  <si>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</si>
  <si>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</si>
  <si>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</si>
  <si>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Болт стыковой М27х160 в сборе</t>
  </si>
  <si>
    <t>Болт стыковой в сборе</t>
  </si>
  <si>
    <t>Погрузка отходов бруса деревянного в автомобили</t>
  </si>
  <si>
    <t>Монтаж стыковочных накладок Р-65 (6-ти отверстных)</t>
  </si>
  <si>
    <t>Балластировка путей</t>
  </si>
  <si>
    <t>Ж/д пути, расположенные по адресу: Московская область, г. Коломна». Пути железнодорожные</t>
  </si>
  <si>
    <t>Ремонтно-восстановительные работы на пути 11</t>
  </si>
  <si>
    <t>Очистка  шпал от мусора, бетонного боя, грунта и пр.</t>
  </si>
  <si>
    <t xml:space="preserve">Демонтаж рельсошпальной решётки 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</si>
  <si>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</si>
  <si>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</si>
  <si>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Д-50 -742шт.)</t>
  </si>
  <si>
    <t xml:space="preserve">Демонтаж рельс Р-50 звеньями до 12,5м </t>
  </si>
  <si>
    <t>Демонтаж шпал деревянных</t>
  </si>
  <si>
    <t>Подготовка зем. полотна (уборка старого)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</si>
  <si>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</si>
  <si>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</si>
  <si>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 </t>
  </si>
  <si>
    <t>Монтажные работы</t>
  </si>
  <si>
    <t>Укладка шпал ж.б., с эпюрой 1840</t>
  </si>
  <si>
    <t>Монтаж скрепления КБ65 (796шт.)</t>
  </si>
  <si>
    <t>11.6</t>
  </si>
  <si>
    <t>11.7</t>
  </si>
  <si>
    <t>Монтаж рельс звеньями по 12,5м (35 шт.)</t>
  </si>
  <si>
    <t>Замена деревянного бруса на стрелочном переводе 126 (1/9)</t>
  </si>
  <si>
    <t>Монтаж ранее демонтированного переводного механизма (флюгарки)</t>
  </si>
  <si>
    <t>Демонтаж скреплений (расшивка костылей, шурупов)</t>
  </si>
  <si>
    <t>Закрепление шпал/ брусьев (монтаж скреплений)</t>
  </si>
  <si>
    <t>23.1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</si>
  <si>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</si>
  <si>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</si>
  <si>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25.1</t>
  </si>
  <si>
    <t>27.1</t>
  </si>
  <si>
    <t>28.1</t>
  </si>
  <si>
    <t>Замена деревянного бруса на стрелочном переводе 12 (1/9)</t>
  </si>
  <si>
    <t>37.1</t>
  </si>
  <si>
    <t>39.1</t>
  </si>
  <si>
    <t>40.1</t>
  </si>
  <si>
    <t>34.1</t>
  </si>
  <si>
    <t>Рельс новый 12,5 м</t>
  </si>
  <si>
    <t xml:space="preserve">Брус деревянный для стрелочных переводов </t>
  </si>
  <si>
    <t>Накладка 6-дырная Р65</t>
  </si>
  <si>
    <t>36.3</t>
  </si>
  <si>
    <t>24.1</t>
  </si>
  <si>
    <t>24.2</t>
  </si>
  <si>
    <t>24.3</t>
  </si>
  <si>
    <t xml:space="preserve">Шпала ж.б </t>
  </si>
  <si>
    <t>Костыли</t>
  </si>
  <si>
    <t>Шурупы</t>
  </si>
  <si>
    <t>24.4</t>
  </si>
  <si>
    <t>36.4</t>
  </si>
  <si>
    <t>36.5</t>
  </si>
  <si>
    <t>Ксмр</t>
  </si>
  <si>
    <t>Кмтр</t>
  </si>
  <si>
    <t xml:space="preserve">Подкладка СД50 </t>
  </si>
  <si>
    <t>19</t>
  </si>
  <si>
    <t>Погрузка  балансодержателю демонтированных элементов (шпалы, рельсы, скрепления, болты)</t>
  </si>
  <si>
    <t>ИТОГО</t>
  </si>
  <si>
    <t>ИТОГО путь</t>
  </si>
  <si>
    <t>ИТОГО СТРЕЛКИ</t>
  </si>
  <si>
    <t>Итого ВСЕГО</t>
  </si>
  <si>
    <t>ООО "КиКГЕОСТРОЙ" рельс новый шпала новая</t>
  </si>
  <si>
    <t>СД50</t>
  </si>
  <si>
    <t>1т</t>
  </si>
  <si>
    <t>154шт</t>
  </si>
  <si>
    <t>Подкладка СД65</t>
  </si>
  <si>
    <t xml:space="preserve">Подкладка КБ-65 </t>
  </si>
  <si>
    <t>Комплект скрепления КБ 65 на шпалу (новые), в составе:</t>
  </si>
  <si>
    <t>Прокладка резиновая ЦП-362</t>
  </si>
  <si>
    <t>Прокладка резиновая ОП 68-74</t>
  </si>
  <si>
    <t>монтаж</t>
  </si>
  <si>
    <t>демонтаж</t>
  </si>
  <si>
    <t>монтаж/демонтаж за км пути</t>
  </si>
  <si>
    <t>анализ рынка по устройству жд путей</t>
  </si>
  <si>
    <t>новый рельс</t>
  </si>
  <si>
    <t>тонн</t>
  </si>
  <si>
    <t>цена всего</t>
  </si>
  <si>
    <t>цена за тонну</t>
  </si>
  <si>
    <t>цена за рельс 12,5м</t>
  </si>
  <si>
    <t xml:space="preserve">старый рельс </t>
  </si>
  <si>
    <t>вес рельса Р65, тонн</t>
  </si>
  <si>
    <t>Рельс шт.</t>
  </si>
  <si>
    <t>Рельс новый 12,5 м РП65 ДТ350</t>
  </si>
  <si>
    <t>длина пути</t>
  </si>
  <si>
    <t>кол-во рельс</t>
  </si>
  <si>
    <t>округл</t>
  </si>
  <si>
    <t>всего рельс на путь</t>
  </si>
  <si>
    <t>ремонт пути</t>
  </si>
  <si>
    <t xml:space="preserve">демонтаж </t>
  </si>
  <si>
    <t xml:space="preserve">монтаж </t>
  </si>
  <si>
    <t>материалы</t>
  </si>
  <si>
    <t>стрелки</t>
  </si>
  <si>
    <t>ЭЭ</t>
  </si>
  <si>
    <t>КиК</t>
  </si>
  <si>
    <t>старый рельс</t>
  </si>
  <si>
    <t>ИТОГО ВСЕГО</t>
  </si>
  <si>
    <t>gross profit</t>
  </si>
  <si>
    <t>монтаж за КМ пути ЭЭ</t>
  </si>
  <si>
    <t>монтаж за КМ пути КиК</t>
  </si>
  <si>
    <t>1/2 шпалы</t>
  </si>
  <si>
    <t>проверить обьем инертных</t>
  </si>
  <si>
    <t>аванс НТПК, либо отложенный платеж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</si>
</sst>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72" formatCode="_-* #,##0.000_-;\-* #,##0.000_-;_-* &quot;-&quot;??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9" fontId="1" fillId="0" borderId="0" applyFont="0" applyFill="0" applyBorder="0" applyAlignment="0" applyProtection="0"/>
  </cellStyleXfs>
  <cellXfs count="236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67" fontId="6" fillId="0" borderId="3" xfId="0" applyNumberFormat="1" applyFont="1" applyBorder="1" applyAlignment="1">
      <alignment horizontal="right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 vertical="center" wrapText="1"/>
    </xf>
    <xf numFmtId="168" fontId="6" fillId="0" borderId="3" xfId="0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1" fontId="6" fillId="6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165" fontId="6" fillId="6" borderId="3" xfId="1" applyNumberFormat="1" applyFont="1" applyFill="1" applyBorder="1" applyAlignment="1">
      <alignment horizontal="right" vertical="center" wrapText="1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horizontal="right" vertical="center"/>
    </xf>
    <xf numFmtId="0" fontId="6" fillId="6" borderId="3" xfId="0" applyFont="1" applyFill="1" applyBorder="1" applyAlignment="1">
      <alignment horizontal="center" vertical="center"/>
    </xf>
    <xf numFmtId="2" fontId="6" fillId="6" borderId="3" xfId="1" applyNumberFormat="1" applyFont="1" applyFill="1" applyBorder="1" applyAlignment="1">
      <alignment horizontal="right" vertical="center" wrapText="1"/>
    </xf>
    <xf numFmtId="0" fontId="17" fillId="0" borderId="0" xfId="0" applyFont="1"/>
    <xf numFmtId="165" fontId="2" fillId="0" borderId="3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3" fontId="6" fillId="0" borderId="3" xfId="1" applyFont="1" applyBorder="1" applyAlignment="1">
      <alignment vertic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vertical="center"/>
    </xf>
    <xf numFmtId="43" fontId="7" fillId="6" borderId="3" xfId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2" fillId="0" borderId="3" xfId="1" applyFont="1" applyBorder="1"/>
    <xf numFmtId="165" fontId="17" fillId="0" borderId="0" xfId="1" applyNumberFormat="1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7" fillId="0" borderId="3" xfId="0" applyFont="1" applyBorder="1"/>
    <xf numFmtId="165" fontId="6" fillId="7" borderId="3" xfId="1" applyNumberFormat="1" applyFont="1" applyFill="1" applyBorder="1" applyAlignment="1">
      <alignment horizontal="right" vertical="center" wrapText="1"/>
    </xf>
    <xf numFmtId="0" fontId="17" fillId="7" borderId="0" xfId="0" applyFont="1" applyFill="1"/>
    <xf numFmtId="4" fontId="2" fillId="7" borderId="0" xfId="0" applyNumberFormat="1" applyFont="1" applyFill="1" applyAlignment="1">
      <alignment horizontal="center" vertical="center" wrapText="1"/>
    </xf>
    <xf numFmtId="4" fontId="2" fillId="7" borderId="13" xfId="0" applyNumberFormat="1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4" fontId="2" fillId="7" borderId="3" xfId="0" applyNumberFormat="1" applyFont="1" applyFill="1" applyBorder="1" applyAlignment="1">
      <alignment horizontal="center" vertical="center" wrapText="1"/>
    </xf>
    <xf numFmtId="0" fontId="2" fillId="7" borderId="5" xfId="2" applyFont="1" applyFill="1" applyBorder="1" applyAlignment="1">
      <alignment horizontal="center" vertical="center"/>
    </xf>
    <xf numFmtId="165" fontId="2" fillId="7" borderId="3" xfId="1" applyNumberFormat="1" applyFont="1" applyFill="1" applyBorder="1" applyAlignment="1">
      <alignment horizontal="left" vertical="center" wrapText="1"/>
    </xf>
    <xf numFmtId="43" fontId="6" fillId="7" borderId="3" xfId="1" applyFont="1" applyFill="1" applyBorder="1" applyAlignment="1">
      <alignment vertical="center"/>
    </xf>
    <xf numFmtId="43" fontId="2" fillId="7" borderId="3" xfId="1" applyFont="1" applyFill="1" applyBorder="1"/>
    <xf numFmtId="0" fontId="6" fillId="0" borderId="10" xfId="0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right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right" vertical="center" wrapText="1"/>
    </xf>
    <xf numFmtId="43" fontId="6" fillId="3" borderId="3" xfId="1" applyFont="1" applyFill="1" applyBorder="1" applyAlignment="1">
      <alignment horizontal="center" vertical="center"/>
    </xf>
    <xf numFmtId="0" fontId="17" fillId="3" borderId="0" xfId="0" applyFont="1" applyFill="1"/>
    <xf numFmtId="0" fontId="6" fillId="8" borderId="9" xfId="3" applyFont="1" applyFill="1" applyBorder="1" applyAlignment="1">
      <alignment horizontal="left" vertical="center" wrapText="1"/>
    </xf>
    <xf numFmtId="43" fontId="6" fillId="8" borderId="3" xfId="1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 wrapText="1"/>
    </xf>
    <xf numFmtId="0" fontId="6" fillId="8" borderId="10" xfId="3" applyFont="1" applyFill="1" applyBorder="1" applyAlignment="1">
      <alignment horizontal="left" vertical="center" wrapText="1"/>
    </xf>
    <xf numFmtId="0" fontId="2" fillId="8" borderId="9" xfId="3" applyFont="1" applyFill="1" applyBorder="1" applyAlignment="1">
      <alignment horizontal="right" vertical="center" wrapText="1"/>
    </xf>
    <xf numFmtId="0" fontId="2" fillId="8" borderId="10" xfId="3" applyFont="1" applyFill="1" applyBorder="1" applyAlignment="1">
      <alignment horizontal="right" vertical="center" wrapText="1"/>
    </xf>
    <xf numFmtId="0" fontId="2" fillId="8" borderId="11" xfId="3" applyFont="1" applyFill="1" applyBorder="1" applyAlignment="1">
      <alignment horizontal="right" vertical="center" wrapText="1"/>
    </xf>
    <xf numFmtId="43" fontId="2" fillId="8" borderId="3" xfId="1" applyFont="1" applyFill="1" applyBorder="1"/>
    <xf numFmtId="43" fontId="2" fillId="3" borderId="3" xfId="1" applyFont="1" applyFill="1" applyBorder="1"/>
    <xf numFmtId="172" fontId="17" fillId="0" borderId="0" xfId="1" applyNumberFormat="1" applyFont="1"/>
    <xf numFmtId="0" fontId="20" fillId="0" borderId="0" xfId="0" applyFont="1" applyAlignment="1">
      <alignment wrapText="1"/>
    </xf>
    <xf numFmtId="165" fontId="20" fillId="0" borderId="0" xfId="1" applyNumberFormat="1" applyFont="1"/>
    <xf numFmtId="0" fontId="20" fillId="0" borderId="0" xfId="0" applyFont="1"/>
    <xf numFmtId="165" fontId="17" fillId="0" borderId="3" xfId="1" applyNumberFormat="1" applyFont="1" applyBorder="1"/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65" fontId="17" fillId="0" borderId="3" xfId="1" applyNumberFormat="1" applyFont="1" applyBorder="1" applyAlignment="1">
      <alignment horizontal="center" vertical="center"/>
    </xf>
    <xf numFmtId="0" fontId="0" fillId="0" borderId="3" xfId="0" applyBorder="1"/>
    <xf numFmtId="0" fontId="0" fillId="0" borderId="0" xfId="0" applyFont="1"/>
    <xf numFmtId="43" fontId="19" fillId="3" borderId="3" xfId="0" applyNumberFormat="1" applyFont="1" applyFill="1" applyBorder="1" applyAlignment="1">
      <alignment horizontal="center" vertical="center"/>
    </xf>
    <xf numFmtId="0" fontId="0" fillId="3" borderId="0" xfId="0" applyFill="1"/>
    <xf numFmtId="0" fontId="20" fillId="0" borderId="0" xfId="0" applyFont="1" applyAlignment="1">
      <alignment vertical="center" wrapText="1"/>
    </xf>
    <xf numFmtId="0" fontId="11" fillId="9" borderId="14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43" fontId="19" fillId="3" borderId="17" xfId="0" applyNumberFormat="1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4" xfId="0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0" borderId="26" xfId="0" applyFont="1" applyBorder="1"/>
    <xf numFmtId="0" fontId="11" fillId="8" borderId="14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164" fontId="21" fillId="3" borderId="29" xfId="0" applyNumberFormat="1" applyFont="1" applyFill="1" applyBorder="1" applyAlignment="1">
      <alignment horizontal="center" vertical="center"/>
    </xf>
    <xf numFmtId="164" fontId="21" fillId="3" borderId="30" xfId="0" applyNumberFormat="1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43" fontId="21" fillId="3" borderId="19" xfId="0" applyNumberFormat="1" applyFont="1" applyFill="1" applyBorder="1" applyAlignment="1">
      <alignment horizontal="center" vertical="center"/>
    </xf>
    <xf numFmtId="43" fontId="21" fillId="3" borderId="20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9" fontId="22" fillId="0" borderId="3" xfId="4" applyFont="1" applyBorder="1" applyAlignment="1">
      <alignment horizontal="center" vertical="center"/>
    </xf>
    <xf numFmtId="43" fontId="22" fillId="0" borderId="3" xfId="0" applyNumberFormat="1" applyFont="1" applyBorder="1" applyAlignment="1">
      <alignment horizontal="center" vertical="center"/>
    </xf>
    <xf numFmtId="43" fontId="22" fillId="3" borderId="3" xfId="0" applyNumberFormat="1" applyFont="1" applyFill="1" applyBorder="1" applyAlignment="1">
      <alignment horizontal="center" vertical="center"/>
    </xf>
    <xf numFmtId="43" fontId="22" fillId="3" borderId="17" xfId="0" applyNumberFormat="1" applyFont="1" applyFill="1" applyBorder="1" applyAlignment="1">
      <alignment horizontal="center" vertical="center"/>
    </xf>
    <xf numFmtId="9" fontId="23" fillId="0" borderId="19" xfId="4" applyFont="1" applyBorder="1" applyAlignment="1">
      <alignment horizontal="center" vertical="center"/>
    </xf>
    <xf numFmtId="43" fontId="23" fillId="0" borderId="19" xfId="0" applyNumberFormat="1" applyFont="1" applyBorder="1" applyAlignment="1">
      <alignment horizontal="center" vertical="center"/>
    </xf>
    <xf numFmtId="43" fontId="24" fillId="0" borderId="19" xfId="0" applyNumberFormat="1" applyFont="1" applyBorder="1" applyAlignment="1">
      <alignment horizontal="center" vertical="center"/>
    </xf>
    <xf numFmtId="43" fontId="24" fillId="0" borderId="20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165" fontId="26" fillId="0" borderId="17" xfId="1" applyNumberFormat="1" applyFont="1" applyBorder="1"/>
    <xf numFmtId="9" fontId="23" fillId="10" borderId="29" xfId="4" applyFont="1" applyFill="1" applyBorder="1" applyAlignment="1">
      <alignment horizontal="center" vertical="center"/>
    </xf>
    <xf numFmtId="164" fontId="24" fillId="10" borderId="29" xfId="0" applyNumberFormat="1" applyFont="1" applyFill="1" applyBorder="1" applyAlignment="1">
      <alignment horizontal="center" vertical="center"/>
    </xf>
    <xf numFmtId="9" fontId="23" fillId="9" borderId="29" xfId="4" applyFont="1" applyFill="1" applyBorder="1" applyAlignment="1">
      <alignment horizontal="center" vertical="center"/>
    </xf>
    <xf numFmtId="164" fontId="23" fillId="9" borderId="29" xfId="0" applyNumberFormat="1" applyFont="1" applyFill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165" fontId="27" fillId="0" borderId="3" xfId="0" applyNumberFormat="1" applyFont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19" xfId="0" applyNumberFormat="1" applyFont="1" applyBorder="1" applyAlignment="1">
      <alignment horizontal="center" vertical="center"/>
    </xf>
    <xf numFmtId="165" fontId="28" fillId="9" borderId="28" xfId="0" applyNumberFormat="1" applyFont="1" applyFill="1" applyBorder="1" applyAlignment="1">
      <alignment horizontal="center" vertical="center"/>
    </xf>
    <xf numFmtId="165" fontId="28" fillId="9" borderId="29" xfId="0" applyNumberFormat="1" applyFont="1" applyFill="1" applyBorder="1" applyAlignment="1">
      <alignment horizontal="center" vertical="center"/>
    </xf>
    <xf numFmtId="165" fontId="27" fillId="0" borderId="16" xfId="0" applyNumberFormat="1" applyFont="1" applyBorder="1" applyAlignment="1">
      <alignment horizontal="center" vertical="center"/>
    </xf>
    <xf numFmtId="165" fontId="28" fillId="0" borderId="18" xfId="0" applyNumberFormat="1" applyFont="1" applyBorder="1" applyAlignment="1">
      <alignment horizontal="center" vertical="center"/>
    </xf>
    <xf numFmtId="165" fontId="28" fillId="10" borderId="29" xfId="0" applyNumberFormat="1" applyFont="1" applyFill="1" applyBorder="1" applyAlignment="1">
      <alignment horizontal="center" vertical="center"/>
    </xf>
    <xf numFmtId="165" fontId="28" fillId="10" borderId="31" xfId="0" applyNumberFormat="1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</cellXfs>
  <cellStyles count="5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17" t="s">
        <v>0</v>
      </c>
      <c r="B1" s="117" t="s">
        <v>16</v>
      </c>
      <c r="C1" s="118" t="s">
        <v>17</v>
      </c>
      <c r="D1" s="118"/>
      <c r="E1" s="118"/>
      <c r="F1" s="119" t="s">
        <v>18</v>
      </c>
      <c r="G1" s="119"/>
      <c r="H1" s="119"/>
    </row>
    <row r="2" spans="1:9" ht="28.5" x14ac:dyDescent="0.25">
      <c r="A2" s="117"/>
      <c r="B2" s="117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28" t="s">
        <v>0</v>
      </c>
      <c r="B1" s="131" t="s">
        <v>1</v>
      </c>
      <c r="C1" s="120" t="s">
        <v>2</v>
      </c>
      <c r="D1" s="134" t="s">
        <v>3</v>
      </c>
      <c r="E1" s="121" t="s">
        <v>14</v>
      </c>
      <c r="F1" s="122"/>
      <c r="G1" s="122"/>
      <c r="H1" s="122"/>
      <c r="I1" s="122"/>
      <c r="J1" s="122"/>
      <c r="K1" s="122"/>
      <c r="L1" s="122"/>
    </row>
    <row r="2" spans="1:12" ht="14.45" customHeight="1" x14ac:dyDescent="0.25">
      <c r="A2" s="129"/>
      <c r="B2" s="132"/>
      <c r="C2" s="120"/>
      <c r="D2" s="134"/>
      <c r="E2" s="123"/>
      <c r="F2" s="124"/>
      <c r="G2" s="124"/>
      <c r="H2" s="124"/>
      <c r="I2" s="124"/>
      <c r="J2" s="124"/>
      <c r="K2" s="124"/>
      <c r="L2" s="124"/>
    </row>
    <row r="3" spans="1:12" ht="27.75" customHeight="1" x14ac:dyDescent="0.25">
      <c r="A3" s="129"/>
      <c r="B3" s="132"/>
      <c r="C3" s="120"/>
      <c r="D3" s="134"/>
      <c r="E3" s="120" t="s">
        <v>25</v>
      </c>
      <c r="F3" s="120"/>
      <c r="G3" s="120"/>
      <c r="H3" s="120" t="s">
        <v>26</v>
      </c>
      <c r="I3" s="120"/>
      <c r="J3" s="120"/>
      <c r="K3" s="117" t="s">
        <v>36</v>
      </c>
      <c r="L3" s="117"/>
    </row>
    <row r="4" spans="1:12" ht="56.1" customHeight="1" x14ac:dyDescent="0.25">
      <c r="A4" s="130"/>
      <c r="B4" s="133"/>
      <c r="C4" s="120"/>
      <c r="D4" s="134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35" t="s">
        <v>230</v>
      </c>
      <c r="C6" s="136"/>
      <c r="D6" s="136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35" t="s">
        <v>56</v>
      </c>
      <c r="C75" s="136"/>
      <c r="D75" s="136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25" t="s">
        <v>11</v>
      </c>
      <c r="B123" s="126"/>
      <c r="C123" s="126"/>
      <c r="D123" s="126"/>
      <c r="E123" s="127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6"/>
  <sheetViews>
    <sheetView view="pageBreakPreview" zoomScale="70" zoomScaleNormal="100" zoomScaleSheetLayoutView="70" workbookViewId="0">
      <pane ySplit="6" topLeftCell="A16" activePane="bottomLeft" state="frozen"/>
      <selection pane="bottomLeft" activeCell="A38" sqref="A38:XFD38"/>
    </sheetView>
  </sheetViews>
  <sheetFormatPr defaultColWidth="8.85546875" defaultRowHeight="15" x14ac:dyDescent="0.25"/>
  <cols>
    <col min="1" max="1" width="12" style="102" bestFit="1" customWidth="1"/>
    <col min="2" max="2" width="65.140625" style="102" customWidth="1"/>
    <col min="3" max="3" width="9.28515625" style="115" customWidth="1"/>
    <col min="4" max="4" width="10.140625" style="116" bestFit="1" customWidth="1"/>
    <col min="5" max="5" width="15.140625" style="102" customWidth="1"/>
    <col min="6" max="6" width="16" style="102" customWidth="1"/>
    <col min="7" max="7" width="17.140625" style="114" customWidth="1"/>
    <col min="8" max="8" width="16.140625" style="114" customWidth="1"/>
    <col min="9" max="12" width="16.140625" style="102" customWidth="1"/>
    <col min="13" max="13" width="1.85546875" style="140" customWidth="1"/>
    <col min="14" max="14" width="13" style="102" bestFit="1" customWidth="1"/>
    <col min="15" max="15" width="16.7109375" style="102" bestFit="1" customWidth="1"/>
    <col min="16" max="16" width="17.5703125" style="102" bestFit="1" customWidth="1"/>
    <col min="17" max="17" width="11.42578125" style="102" bestFit="1" customWidth="1"/>
    <col min="18" max="18" width="15.7109375" style="102" bestFit="1" customWidth="1"/>
    <col min="19" max="19" width="17.5703125" style="102" bestFit="1" customWidth="1"/>
    <col min="20" max="20" width="16.42578125" style="102" bestFit="1" customWidth="1"/>
    <col min="21" max="21" width="16.7109375" style="102" bestFit="1" customWidth="1"/>
    <col min="22" max="16384" width="8.85546875" style="102"/>
  </cols>
  <sheetData>
    <row r="1" spans="1:21" x14ac:dyDescent="0.25">
      <c r="N1" s="102" t="s">
        <v>294</v>
      </c>
      <c r="O1" s="102">
        <v>1.4</v>
      </c>
      <c r="P1" s="102" t="s">
        <v>295</v>
      </c>
      <c r="Q1" s="102">
        <v>1.25</v>
      </c>
    </row>
    <row r="2" spans="1:21" ht="14.45" customHeight="1" x14ac:dyDescent="0.25">
      <c r="A2" s="128" t="s">
        <v>0</v>
      </c>
      <c r="B2" s="131" t="s">
        <v>1</v>
      </c>
      <c r="C2" s="120" t="s">
        <v>2</v>
      </c>
      <c r="D2" s="134" t="s">
        <v>3</v>
      </c>
      <c r="E2" s="121" t="s">
        <v>14</v>
      </c>
      <c r="F2" s="122"/>
      <c r="G2" s="122"/>
      <c r="H2" s="122"/>
      <c r="I2" s="122"/>
      <c r="J2" s="122"/>
      <c r="K2" s="122"/>
      <c r="L2" s="122"/>
      <c r="M2" s="141"/>
      <c r="N2" s="121" t="s">
        <v>303</v>
      </c>
      <c r="O2" s="122"/>
      <c r="P2" s="122"/>
      <c r="Q2" s="122"/>
      <c r="R2" s="122"/>
      <c r="S2" s="122"/>
      <c r="T2" s="122"/>
      <c r="U2" s="122"/>
    </row>
    <row r="3" spans="1:21" ht="14.45" customHeight="1" x14ac:dyDescent="0.25">
      <c r="A3" s="129"/>
      <c r="B3" s="132"/>
      <c r="C3" s="120"/>
      <c r="D3" s="134"/>
      <c r="E3" s="123"/>
      <c r="F3" s="124"/>
      <c r="G3" s="124"/>
      <c r="H3" s="124"/>
      <c r="I3" s="124"/>
      <c r="J3" s="124"/>
      <c r="K3" s="124"/>
      <c r="L3" s="124"/>
      <c r="M3" s="142"/>
      <c r="N3" s="123"/>
      <c r="O3" s="124"/>
      <c r="P3" s="124"/>
      <c r="Q3" s="124"/>
      <c r="R3" s="124"/>
      <c r="S3" s="124"/>
      <c r="T3" s="124"/>
      <c r="U3" s="124"/>
    </row>
    <row r="4" spans="1:21" ht="27.75" customHeight="1" x14ac:dyDescent="0.25">
      <c r="A4" s="129"/>
      <c r="B4" s="132"/>
      <c r="C4" s="120"/>
      <c r="D4" s="134"/>
      <c r="E4" s="120" t="s">
        <v>25</v>
      </c>
      <c r="F4" s="120"/>
      <c r="G4" s="120"/>
      <c r="H4" s="120" t="s">
        <v>26</v>
      </c>
      <c r="I4" s="120"/>
      <c r="J4" s="120"/>
      <c r="K4" s="137" t="s">
        <v>36</v>
      </c>
      <c r="L4" s="137"/>
      <c r="M4" s="143"/>
      <c r="N4" s="120" t="s">
        <v>25</v>
      </c>
      <c r="O4" s="120"/>
      <c r="P4" s="120"/>
      <c r="Q4" s="120" t="s">
        <v>26</v>
      </c>
      <c r="R4" s="120"/>
      <c r="S4" s="120"/>
      <c r="T4" s="137" t="s">
        <v>36</v>
      </c>
      <c r="U4" s="137"/>
    </row>
    <row r="5" spans="1:21" ht="56.1" customHeight="1" x14ac:dyDescent="0.25">
      <c r="A5" s="130"/>
      <c r="B5" s="133"/>
      <c r="C5" s="120"/>
      <c r="D5" s="134"/>
      <c r="E5" s="2" t="s">
        <v>4</v>
      </c>
      <c r="F5" s="2" t="s">
        <v>5</v>
      </c>
      <c r="G5" s="103" t="s">
        <v>6</v>
      </c>
      <c r="H5" s="2" t="s">
        <v>4</v>
      </c>
      <c r="I5" s="2" t="s">
        <v>5</v>
      </c>
      <c r="J5" s="103" t="s">
        <v>6</v>
      </c>
      <c r="K5" s="2" t="s">
        <v>27</v>
      </c>
      <c r="L5" s="2" t="s">
        <v>18</v>
      </c>
      <c r="M5" s="144"/>
      <c r="N5" s="2" t="s">
        <v>4</v>
      </c>
      <c r="O5" s="2" t="s">
        <v>5</v>
      </c>
      <c r="P5" s="103" t="s">
        <v>6</v>
      </c>
      <c r="Q5" s="2" t="s">
        <v>4</v>
      </c>
      <c r="R5" s="2" t="s">
        <v>5</v>
      </c>
      <c r="S5" s="103" t="s">
        <v>6</v>
      </c>
      <c r="T5" s="2" t="s">
        <v>27</v>
      </c>
      <c r="U5" s="2" t="s">
        <v>18</v>
      </c>
    </row>
    <row r="6" spans="1:21" x14ac:dyDescent="0.25">
      <c r="A6" s="4">
        <v>1</v>
      </c>
      <c r="B6" s="5">
        <v>2</v>
      </c>
      <c r="C6" s="5">
        <v>3</v>
      </c>
      <c r="D6" s="58">
        <v>4</v>
      </c>
      <c r="E6" s="5">
        <v>5</v>
      </c>
      <c r="F6" s="5">
        <v>6</v>
      </c>
      <c r="G6" s="5">
        <v>7</v>
      </c>
      <c r="H6" s="90">
        <v>8</v>
      </c>
      <c r="I6" s="90">
        <v>9</v>
      </c>
      <c r="J6" s="90">
        <v>10</v>
      </c>
      <c r="K6" s="90">
        <v>11</v>
      </c>
      <c r="L6" s="90">
        <v>12</v>
      </c>
      <c r="M6" s="145"/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</row>
    <row r="7" spans="1:21" x14ac:dyDescent="0.25">
      <c r="A7" s="6"/>
      <c r="B7" s="135" t="s">
        <v>247</v>
      </c>
      <c r="C7" s="136"/>
      <c r="D7" s="136"/>
      <c r="E7" s="7"/>
      <c r="F7" s="8"/>
      <c r="G7" s="9"/>
      <c r="H7" s="9"/>
      <c r="I7" s="9"/>
      <c r="J7" s="9"/>
      <c r="K7" s="9"/>
      <c r="L7" s="9"/>
      <c r="M7" s="146"/>
      <c r="N7" s="9"/>
      <c r="O7" s="9"/>
      <c r="P7" s="9"/>
      <c r="Q7" s="9"/>
      <c r="R7" s="9"/>
      <c r="S7" s="9"/>
      <c r="T7" s="9"/>
      <c r="U7" s="9"/>
    </row>
    <row r="8" spans="1:21" ht="20.25" customHeight="1" x14ac:dyDescent="0.25">
      <c r="A8" s="6"/>
      <c r="B8" s="135" t="s">
        <v>248</v>
      </c>
      <c r="C8" s="136"/>
      <c r="D8" s="136"/>
      <c r="E8" s="7"/>
      <c r="F8" s="8"/>
      <c r="G8" s="9"/>
      <c r="H8" s="9"/>
      <c r="I8" s="9"/>
      <c r="J8" s="9"/>
      <c r="K8" s="9"/>
      <c r="L8" s="9"/>
      <c r="M8" s="146"/>
      <c r="N8" s="9"/>
      <c r="O8" s="9"/>
      <c r="P8" s="9"/>
      <c r="Q8" s="9"/>
      <c r="R8" s="9"/>
      <c r="S8" s="9"/>
      <c r="T8" s="9"/>
      <c r="U8" s="9"/>
    </row>
    <row r="9" spans="1:21" ht="20.25" customHeight="1" x14ac:dyDescent="0.25">
      <c r="A9" s="55"/>
      <c r="B9" s="104" t="s">
        <v>250</v>
      </c>
      <c r="C9" s="13"/>
      <c r="D9" s="86"/>
      <c r="E9" s="97"/>
      <c r="F9" s="105"/>
      <c r="G9" s="105"/>
      <c r="H9" s="11"/>
      <c r="I9" s="106"/>
      <c r="J9" s="106"/>
      <c r="K9" s="107"/>
      <c r="L9" s="105"/>
      <c r="M9" s="147"/>
      <c r="N9" s="105"/>
      <c r="O9" s="105"/>
      <c r="P9" s="105"/>
      <c r="Q9" s="105"/>
      <c r="R9" s="105"/>
      <c r="S9" s="105"/>
      <c r="T9" s="105"/>
      <c r="U9" s="105"/>
    </row>
    <row r="10" spans="1:21" ht="20.25" customHeight="1" x14ac:dyDescent="0.25">
      <c r="A10" s="55" t="s">
        <v>231</v>
      </c>
      <c r="B10" s="10" t="s">
        <v>249</v>
      </c>
      <c r="C10" s="13" t="s">
        <v>7</v>
      </c>
      <c r="D10" s="88">
        <v>69.22</v>
      </c>
      <c r="E10" s="97">
        <v>3800</v>
      </c>
      <c r="F10" s="105">
        <f t="shared" ref="F10" si="0">ROUND(E10*D10,2)</f>
        <v>263036</v>
      </c>
      <c r="G10" s="105">
        <f t="shared" ref="G10" si="1">ROUND(F10*1.2,2)</f>
        <v>315643.2</v>
      </c>
      <c r="H10" s="11"/>
      <c r="I10" s="106"/>
      <c r="J10" s="106"/>
      <c r="K10" s="107">
        <f t="shared" ref="K10:L10" si="2">F10+I10</f>
        <v>263036</v>
      </c>
      <c r="L10" s="105">
        <f t="shared" si="2"/>
        <v>315643.2</v>
      </c>
      <c r="M10" s="147"/>
      <c r="N10" s="105">
        <f>E10*$O$1</f>
        <v>5320</v>
      </c>
      <c r="O10" s="105">
        <f>ROUND(N10*D10,2)</f>
        <v>368250.4</v>
      </c>
      <c r="P10" s="105">
        <f t="shared" ref="P10" si="3">ROUND(O10*1.2,2)</f>
        <v>441900.48</v>
      </c>
      <c r="Q10" s="105"/>
      <c r="R10" s="105"/>
      <c r="S10" s="105"/>
      <c r="T10" s="105">
        <f t="shared" ref="T10" si="4">O10+R10</f>
        <v>368250.4</v>
      </c>
      <c r="U10" s="105">
        <f t="shared" ref="U10" si="5">P10+S10</f>
        <v>441900.48</v>
      </c>
    </row>
    <row r="11" spans="1:21" ht="19.5" customHeight="1" x14ac:dyDescent="0.25">
      <c r="A11" s="55">
        <f>A10+1</f>
        <v>2</v>
      </c>
      <c r="B11" s="10" t="s">
        <v>251</v>
      </c>
      <c r="C11" s="13" t="s">
        <v>10</v>
      </c>
      <c r="D11" s="60">
        <v>18</v>
      </c>
      <c r="E11" s="97">
        <v>1240</v>
      </c>
      <c r="F11" s="105">
        <f t="shared" ref="F11:F12" si="6">ROUND(E11*D11,2)</f>
        <v>22320</v>
      </c>
      <c r="G11" s="105">
        <f t="shared" ref="G11:G12" si="7">ROUND(F11*1.2,2)</f>
        <v>26784</v>
      </c>
      <c r="H11" s="11"/>
      <c r="I11" s="106"/>
      <c r="J11" s="106"/>
      <c r="K11" s="107">
        <f t="shared" ref="K11:K12" si="8">F11+I11</f>
        <v>22320</v>
      </c>
      <c r="L11" s="105">
        <f t="shared" ref="L11:L12" si="9">G11+J11</f>
        <v>26784</v>
      </c>
      <c r="M11" s="147"/>
      <c r="N11" s="105">
        <f t="shared" ref="N11:N71" si="10">E11*$O$1</f>
        <v>1736</v>
      </c>
      <c r="O11" s="105">
        <f t="shared" ref="O11:O71" si="11">ROUND(N11*D11,2)</f>
        <v>31248</v>
      </c>
      <c r="P11" s="105">
        <f t="shared" ref="P11:P71" si="12">ROUND(O11*1.2,2)</f>
        <v>37497.599999999999</v>
      </c>
      <c r="Q11" s="105"/>
      <c r="R11" s="105"/>
      <c r="S11" s="105"/>
      <c r="T11" s="105">
        <f t="shared" ref="T11:T71" si="13">O11+R11</f>
        <v>31248</v>
      </c>
      <c r="U11" s="105">
        <f t="shared" ref="U11:U71" si="14">P11+S11</f>
        <v>37497.599999999999</v>
      </c>
    </row>
    <row r="12" spans="1:21" ht="19.5" customHeight="1" x14ac:dyDescent="0.25">
      <c r="A12" s="55">
        <f t="shared" ref="A12:A15" si="15">A11+1</f>
        <v>3</v>
      </c>
      <c r="B12" s="10" t="s">
        <v>252</v>
      </c>
      <c r="C12" s="13" t="s">
        <v>10</v>
      </c>
      <c r="D12" s="60">
        <v>45</v>
      </c>
      <c r="E12" s="97">
        <f>1324*0.7</f>
        <v>926.8</v>
      </c>
      <c r="F12" s="105">
        <f t="shared" si="6"/>
        <v>41706</v>
      </c>
      <c r="G12" s="105">
        <f t="shared" si="7"/>
        <v>50047.199999999997</v>
      </c>
      <c r="H12" s="11"/>
      <c r="I12" s="106"/>
      <c r="J12" s="106"/>
      <c r="K12" s="107">
        <f t="shared" si="8"/>
        <v>41706</v>
      </c>
      <c r="L12" s="105">
        <f t="shared" si="9"/>
        <v>50047.199999999997</v>
      </c>
      <c r="M12" s="147"/>
      <c r="N12" s="105">
        <f t="shared" si="10"/>
        <v>1297.5199999999998</v>
      </c>
      <c r="O12" s="105">
        <f t="shared" si="11"/>
        <v>58388.4</v>
      </c>
      <c r="P12" s="105">
        <f t="shared" si="12"/>
        <v>70066.080000000002</v>
      </c>
      <c r="Q12" s="105"/>
      <c r="R12" s="105"/>
      <c r="S12" s="105"/>
      <c r="T12" s="105">
        <f t="shared" si="13"/>
        <v>58388.4</v>
      </c>
      <c r="U12" s="105">
        <f t="shared" si="14"/>
        <v>70066.080000000002</v>
      </c>
    </row>
    <row r="13" spans="1:21" ht="19.5" customHeight="1" x14ac:dyDescent="0.25">
      <c r="A13" s="55">
        <f t="shared" si="15"/>
        <v>4</v>
      </c>
      <c r="B13" s="10" t="s">
        <v>253</v>
      </c>
      <c r="C13" s="13" t="s">
        <v>24</v>
      </c>
      <c r="D13" s="60">
        <v>371</v>
      </c>
      <c r="E13" s="97">
        <v>640.96</v>
      </c>
      <c r="F13" s="105">
        <f t="shared" ref="F13" si="16">ROUND(E13*D13,2)</f>
        <v>237796.16</v>
      </c>
      <c r="G13" s="105">
        <f t="shared" ref="G13" si="17">ROUND(F13*1.2,2)</f>
        <v>285355.39</v>
      </c>
      <c r="H13" s="11"/>
      <c r="I13" s="106"/>
      <c r="J13" s="106"/>
      <c r="K13" s="107">
        <f t="shared" ref="K13" si="18">F13+I13</f>
        <v>237796.16</v>
      </c>
      <c r="L13" s="105">
        <f t="shared" ref="L13" si="19">G13+J13</f>
        <v>285355.39</v>
      </c>
      <c r="M13" s="147"/>
      <c r="N13" s="105">
        <f t="shared" si="10"/>
        <v>897.34399999999994</v>
      </c>
      <c r="O13" s="105">
        <f t="shared" si="11"/>
        <v>332914.62</v>
      </c>
      <c r="P13" s="105">
        <f t="shared" si="12"/>
        <v>399497.54</v>
      </c>
      <c r="Q13" s="105"/>
      <c r="R13" s="105"/>
      <c r="S13" s="105"/>
      <c r="T13" s="105">
        <f t="shared" si="13"/>
        <v>332914.62</v>
      </c>
      <c r="U13" s="105">
        <f t="shared" si="14"/>
        <v>399497.54</v>
      </c>
    </row>
    <row r="14" spans="1:21" ht="19.5" customHeight="1" x14ac:dyDescent="0.25">
      <c r="A14" s="55">
        <f t="shared" si="15"/>
        <v>5</v>
      </c>
      <c r="B14" s="10" t="s">
        <v>254</v>
      </c>
      <c r="C14" s="13" t="s">
        <v>9</v>
      </c>
      <c r="D14" s="88">
        <v>432.62</v>
      </c>
      <c r="E14" s="97">
        <v>1000</v>
      </c>
      <c r="F14" s="105">
        <f t="shared" ref="F14" si="20">ROUND(E14*D14,2)</f>
        <v>432620</v>
      </c>
      <c r="G14" s="105">
        <f t="shared" ref="G14" si="21">ROUND(F14*1.2,2)</f>
        <v>519144</v>
      </c>
      <c r="H14" s="11"/>
      <c r="I14" s="106"/>
      <c r="J14" s="106"/>
      <c r="K14" s="107">
        <f t="shared" ref="K14" si="22">F14+I14</f>
        <v>432620</v>
      </c>
      <c r="L14" s="105">
        <f t="shared" ref="L14" si="23">G14+J14</f>
        <v>519144</v>
      </c>
      <c r="M14" s="147"/>
      <c r="N14" s="105">
        <f t="shared" si="10"/>
        <v>1400</v>
      </c>
      <c r="O14" s="105">
        <f t="shared" si="11"/>
        <v>605668</v>
      </c>
      <c r="P14" s="105">
        <f t="shared" si="12"/>
        <v>726801.6</v>
      </c>
      <c r="Q14" s="105"/>
      <c r="R14" s="105"/>
      <c r="S14" s="105"/>
      <c r="T14" s="105">
        <f t="shared" si="13"/>
        <v>605668</v>
      </c>
      <c r="U14" s="105">
        <f t="shared" si="14"/>
        <v>726801.6</v>
      </c>
    </row>
    <row r="15" spans="1:21" ht="19.5" customHeight="1" x14ac:dyDescent="0.25">
      <c r="A15" s="55">
        <f t="shared" si="15"/>
        <v>6</v>
      </c>
      <c r="B15" s="10" t="s">
        <v>255</v>
      </c>
      <c r="C15" s="13" t="s">
        <v>10</v>
      </c>
      <c r="D15" s="60">
        <v>371</v>
      </c>
      <c r="E15" s="97">
        <v>750</v>
      </c>
      <c r="F15" s="105">
        <f t="shared" ref="F15" si="24">ROUND(E15*D15,2)</f>
        <v>278250</v>
      </c>
      <c r="G15" s="105">
        <f t="shared" ref="G15" si="25">ROUND(F15*1.2,2)</f>
        <v>333900</v>
      </c>
      <c r="H15" s="11"/>
      <c r="I15" s="106"/>
      <c r="J15" s="106"/>
      <c r="K15" s="107">
        <f t="shared" ref="K15" si="26">F15+I15</f>
        <v>278250</v>
      </c>
      <c r="L15" s="105">
        <f t="shared" ref="L15" si="27">G15+J15</f>
        <v>333900</v>
      </c>
      <c r="M15" s="147"/>
      <c r="N15" s="105">
        <f t="shared" si="10"/>
        <v>1050</v>
      </c>
      <c r="O15" s="105">
        <f t="shared" si="11"/>
        <v>389550</v>
      </c>
      <c r="P15" s="105">
        <f t="shared" si="12"/>
        <v>467460</v>
      </c>
      <c r="Q15" s="105"/>
      <c r="R15" s="105"/>
      <c r="S15" s="105"/>
      <c r="T15" s="105">
        <f t="shared" si="13"/>
        <v>389550</v>
      </c>
      <c r="U15" s="105">
        <f t="shared" si="14"/>
        <v>467460</v>
      </c>
    </row>
    <row r="16" spans="1:21" ht="22.5" customHeight="1" x14ac:dyDescent="0.25">
      <c r="A16" s="55"/>
      <c r="B16" s="104" t="s">
        <v>256</v>
      </c>
      <c r="C16" s="13"/>
      <c r="D16" s="86"/>
      <c r="E16" s="97"/>
      <c r="F16" s="105"/>
      <c r="G16" s="105"/>
      <c r="H16" s="11"/>
      <c r="I16" s="106"/>
      <c r="J16" s="106"/>
      <c r="K16" s="107"/>
      <c r="L16" s="105"/>
      <c r="M16" s="147"/>
      <c r="N16" s="105">
        <f t="shared" si="10"/>
        <v>0</v>
      </c>
      <c r="O16" s="105">
        <f t="shared" si="11"/>
        <v>0</v>
      </c>
      <c r="P16" s="105">
        <f t="shared" si="12"/>
        <v>0</v>
      </c>
      <c r="Q16" s="105"/>
      <c r="R16" s="105"/>
      <c r="S16" s="105"/>
      <c r="T16" s="105">
        <f t="shared" si="13"/>
        <v>0</v>
      </c>
      <c r="U16" s="105">
        <f t="shared" si="14"/>
        <v>0</v>
      </c>
    </row>
    <row r="17" spans="1:21" ht="33" customHeight="1" x14ac:dyDescent="0.25">
      <c r="A17" s="55">
        <f>A15+1</f>
        <v>7</v>
      </c>
      <c r="B17" s="10" t="s">
        <v>257</v>
      </c>
      <c r="C17" s="13" t="s">
        <v>7</v>
      </c>
      <c r="D17" s="88">
        <v>103.83</v>
      </c>
      <c r="E17" s="97">
        <v>3800</v>
      </c>
      <c r="F17" s="105">
        <f t="shared" ref="F17" si="28">ROUND(E17*D17,2)</f>
        <v>394554</v>
      </c>
      <c r="G17" s="105">
        <f t="shared" ref="G17" si="29">ROUND(F17*1.2,2)</f>
        <v>473464.8</v>
      </c>
      <c r="H17" s="11"/>
      <c r="I17" s="106"/>
      <c r="J17" s="106"/>
      <c r="K17" s="107">
        <f t="shared" ref="K17" si="30">F17+I17</f>
        <v>394554</v>
      </c>
      <c r="L17" s="105">
        <f t="shared" ref="L17" si="31">G17+J17</f>
        <v>473464.8</v>
      </c>
      <c r="M17" s="147"/>
      <c r="N17" s="105">
        <f t="shared" si="10"/>
        <v>5320</v>
      </c>
      <c r="O17" s="105">
        <f t="shared" si="11"/>
        <v>552375.6</v>
      </c>
      <c r="P17" s="105">
        <f t="shared" si="12"/>
        <v>662850.72</v>
      </c>
      <c r="Q17" s="105"/>
      <c r="R17" s="105"/>
      <c r="S17" s="105"/>
      <c r="T17" s="105">
        <f t="shared" si="13"/>
        <v>552375.6</v>
      </c>
      <c r="U17" s="105">
        <f t="shared" si="14"/>
        <v>662850.72</v>
      </c>
    </row>
    <row r="18" spans="1:21" ht="22.5" customHeight="1" x14ac:dyDescent="0.25">
      <c r="A18" s="55">
        <f>A17+1</f>
        <v>8</v>
      </c>
      <c r="B18" s="10" t="s">
        <v>258</v>
      </c>
      <c r="C18" s="13" t="s">
        <v>7</v>
      </c>
      <c r="D18" s="88">
        <v>69.22</v>
      </c>
      <c r="E18" s="91">
        <v>2573.7399999999998</v>
      </c>
      <c r="F18" s="105">
        <f t="shared" ref="F18" si="32">ROUND(E18*D18,2)</f>
        <v>178154.28</v>
      </c>
      <c r="G18" s="105">
        <f t="shared" ref="G18" si="33">ROUND(F18*1.2,2)</f>
        <v>213785.14</v>
      </c>
      <c r="H18" s="11"/>
      <c r="I18" s="106"/>
      <c r="J18" s="106"/>
      <c r="K18" s="107">
        <f t="shared" ref="K18" si="34">F18+I18</f>
        <v>178154.28</v>
      </c>
      <c r="L18" s="105">
        <f t="shared" ref="L18" si="35">G18+J18</f>
        <v>213785.14</v>
      </c>
      <c r="M18" s="147"/>
      <c r="N18" s="105">
        <f t="shared" si="10"/>
        <v>3603.2359999999994</v>
      </c>
      <c r="O18" s="105">
        <f t="shared" si="11"/>
        <v>249416</v>
      </c>
      <c r="P18" s="105">
        <f t="shared" si="12"/>
        <v>299299.20000000001</v>
      </c>
      <c r="Q18" s="105"/>
      <c r="R18" s="105"/>
      <c r="S18" s="105"/>
      <c r="T18" s="105">
        <f t="shared" si="13"/>
        <v>249416</v>
      </c>
      <c r="U18" s="105">
        <f t="shared" si="14"/>
        <v>299299.20000000001</v>
      </c>
    </row>
    <row r="19" spans="1:21" ht="18" customHeight="1" x14ac:dyDescent="0.25">
      <c r="A19" s="87" t="s">
        <v>31</v>
      </c>
      <c r="B19" s="95" t="s">
        <v>12</v>
      </c>
      <c r="C19" s="100" t="s">
        <v>7</v>
      </c>
      <c r="D19" s="99">
        <f>D18*1.26</f>
        <v>87.217200000000005</v>
      </c>
      <c r="E19" s="98"/>
      <c r="F19" s="108"/>
      <c r="G19" s="108"/>
      <c r="H19" s="108">
        <v>3720</v>
      </c>
      <c r="I19" s="108">
        <f>ROUND(H19*D19,2)</f>
        <v>324447.98</v>
      </c>
      <c r="J19" s="108">
        <f>ROUND(I19*1.2,2)</f>
        <v>389337.58</v>
      </c>
      <c r="K19" s="98">
        <f>F19+I19</f>
        <v>324447.98</v>
      </c>
      <c r="L19" s="108">
        <f>G19+J19</f>
        <v>389337.58</v>
      </c>
      <c r="M19" s="147"/>
      <c r="N19" s="108">
        <f t="shared" si="10"/>
        <v>0</v>
      </c>
      <c r="O19" s="108">
        <f t="shared" si="11"/>
        <v>0</v>
      </c>
      <c r="P19" s="108">
        <f t="shared" si="12"/>
        <v>0</v>
      </c>
      <c r="Q19" s="108">
        <f>H19*$Q$1</f>
        <v>4650</v>
      </c>
      <c r="R19" s="108">
        <f>ROUND(Q19*D19,2)</f>
        <v>405559.98</v>
      </c>
      <c r="S19" s="108">
        <f>ROUND(R19*1.2,2)</f>
        <v>486671.98</v>
      </c>
      <c r="T19" s="108">
        <f>O19+R19</f>
        <v>405559.98</v>
      </c>
      <c r="U19" s="108">
        <f>P19+S19</f>
        <v>486671.98</v>
      </c>
    </row>
    <row r="20" spans="1:21" ht="21" customHeight="1" x14ac:dyDescent="0.25">
      <c r="A20" s="55">
        <f>A18+1</f>
        <v>9</v>
      </c>
      <c r="B20" s="10" t="s">
        <v>259</v>
      </c>
      <c r="C20" s="13" t="s">
        <v>8</v>
      </c>
      <c r="D20" s="88">
        <v>692.19</v>
      </c>
      <c r="E20" s="97">
        <v>203</v>
      </c>
      <c r="F20" s="105">
        <f t="shared" ref="F20" si="36">ROUND(E20*D20,2)</f>
        <v>140514.57</v>
      </c>
      <c r="G20" s="105">
        <f t="shared" ref="G20" si="37">ROUND(F20*1.2,2)</f>
        <v>168617.48</v>
      </c>
      <c r="H20" s="11"/>
      <c r="I20" s="106"/>
      <c r="J20" s="106"/>
      <c r="K20" s="107">
        <f t="shared" ref="K20" si="38">F20+I20</f>
        <v>140514.57</v>
      </c>
      <c r="L20" s="105">
        <f t="shared" ref="L20" si="39">G20+J20</f>
        <v>168617.48</v>
      </c>
      <c r="M20" s="147"/>
      <c r="N20" s="105">
        <f t="shared" si="10"/>
        <v>284.2</v>
      </c>
      <c r="O20" s="105">
        <f t="shared" si="11"/>
        <v>196720.4</v>
      </c>
      <c r="P20" s="105">
        <f t="shared" si="12"/>
        <v>236064.48</v>
      </c>
      <c r="Q20" s="105"/>
      <c r="R20" s="105"/>
      <c r="S20" s="105"/>
      <c r="T20" s="105">
        <f t="shared" si="13"/>
        <v>196720.4</v>
      </c>
      <c r="U20" s="105">
        <f t="shared" si="14"/>
        <v>236064.48</v>
      </c>
    </row>
    <row r="21" spans="1:21" ht="19.5" customHeight="1" x14ac:dyDescent="0.25">
      <c r="A21" s="55"/>
      <c r="B21" s="104" t="s">
        <v>260</v>
      </c>
      <c r="C21" s="13"/>
      <c r="D21" s="86"/>
      <c r="E21" s="97"/>
      <c r="F21" s="105"/>
      <c r="G21" s="105"/>
      <c r="H21" s="11"/>
      <c r="I21" s="106"/>
      <c r="J21" s="106"/>
      <c r="K21" s="107"/>
      <c r="L21" s="105"/>
      <c r="M21" s="147"/>
      <c r="N21" s="105">
        <f t="shared" si="10"/>
        <v>0</v>
      </c>
      <c r="O21" s="105">
        <f t="shared" si="11"/>
        <v>0</v>
      </c>
      <c r="P21" s="105">
        <f t="shared" si="12"/>
        <v>0</v>
      </c>
      <c r="Q21" s="105"/>
      <c r="R21" s="105"/>
      <c r="S21" s="105"/>
      <c r="T21" s="105">
        <f t="shared" si="13"/>
        <v>0</v>
      </c>
      <c r="U21" s="105">
        <f t="shared" si="14"/>
        <v>0</v>
      </c>
    </row>
    <row r="22" spans="1:21" ht="22.5" customHeight="1" x14ac:dyDescent="0.25">
      <c r="A22" s="55">
        <f>A20+1</f>
        <v>10</v>
      </c>
      <c r="B22" s="10" t="s">
        <v>261</v>
      </c>
      <c r="C22" s="13" t="s">
        <v>10</v>
      </c>
      <c r="D22" s="60">
        <v>398</v>
      </c>
      <c r="E22" s="91">
        <v>2160</v>
      </c>
      <c r="F22" s="105">
        <f t="shared" ref="F22" si="40">ROUND(E22*D22,2)</f>
        <v>859680</v>
      </c>
      <c r="G22" s="105">
        <f t="shared" ref="G22" si="41">ROUND(F22*1.2,2)</f>
        <v>1031616</v>
      </c>
      <c r="H22" s="11"/>
      <c r="I22" s="106"/>
      <c r="J22" s="106"/>
      <c r="K22" s="107">
        <f t="shared" ref="K22:K23" si="42">F22+I22</f>
        <v>859680</v>
      </c>
      <c r="L22" s="105">
        <f t="shared" ref="L22:L23" si="43">G22+J22</f>
        <v>1031616</v>
      </c>
      <c r="M22" s="147"/>
      <c r="N22" s="105">
        <f t="shared" si="10"/>
        <v>3024</v>
      </c>
      <c r="O22" s="105">
        <f t="shared" si="11"/>
        <v>1203552</v>
      </c>
      <c r="P22" s="105">
        <f t="shared" si="12"/>
        <v>1444262.4</v>
      </c>
      <c r="Q22" s="105"/>
      <c r="R22" s="105"/>
      <c r="S22" s="105"/>
      <c r="T22" s="105">
        <f t="shared" si="13"/>
        <v>1203552</v>
      </c>
      <c r="U22" s="105">
        <f t="shared" si="14"/>
        <v>1444262.4</v>
      </c>
    </row>
    <row r="23" spans="1:21" ht="18" customHeight="1" x14ac:dyDescent="0.25">
      <c r="A23" s="87" t="s">
        <v>33</v>
      </c>
      <c r="B23" s="95" t="s">
        <v>288</v>
      </c>
      <c r="C23" s="100" t="s">
        <v>10</v>
      </c>
      <c r="D23" s="96">
        <v>398</v>
      </c>
      <c r="E23" s="98"/>
      <c r="F23" s="108"/>
      <c r="G23" s="108"/>
      <c r="H23" s="108">
        <f>5950/1.2</f>
        <v>4958.3333333333339</v>
      </c>
      <c r="I23" s="108">
        <f t="shared" ref="I23" si="44">ROUND(H23*D23,2)</f>
        <v>1973416.67</v>
      </c>
      <c r="J23" s="108">
        <f t="shared" ref="J23" si="45">ROUND(I23*1.2,2)</f>
        <v>2368100</v>
      </c>
      <c r="K23" s="98">
        <f t="shared" si="42"/>
        <v>1973416.67</v>
      </c>
      <c r="L23" s="108">
        <f t="shared" si="43"/>
        <v>2368100</v>
      </c>
      <c r="M23" s="147"/>
      <c r="N23" s="108">
        <f t="shared" si="10"/>
        <v>0</v>
      </c>
      <c r="O23" s="108">
        <f t="shared" si="11"/>
        <v>0</v>
      </c>
      <c r="P23" s="108">
        <f t="shared" si="12"/>
        <v>0</v>
      </c>
      <c r="Q23" s="108">
        <f>H23*$Q$1</f>
        <v>6197.9166666666679</v>
      </c>
      <c r="R23" s="108">
        <f>ROUND(Q23*D23,2)</f>
        <v>2466770.83</v>
      </c>
      <c r="S23" s="108">
        <f>ROUND(R23*1.2,2)</f>
        <v>2960125</v>
      </c>
      <c r="T23" s="108">
        <f>O23+R23</f>
        <v>2466770.83</v>
      </c>
      <c r="U23" s="108">
        <f>P23+S23</f>
        <v>2960125</v>
      </c>
    </row>
    <row r="24" spans="1:21" ht="22.5" customHeight="1" x14ac:dyDescent="0.25">
      <c r="A24" s="55">
        <f>A22+1</f>
        <v>11</v>
      </c>
      <c r="B24" s="10" t="s">
        <v>262</v>
      </c>
      <c r="C24" s="13" t="s">
        <v>24</v>
      </c>
      <c r="D24" s="60">
        <v>398</v>
      </c>
      <c r="E24" s="97">
        <v>833.25</v>
      </c>
      <c r="F24" s="105">
        <f t="shared" ref="F24" si="46">ROUND(E24*D24,2)</f>
        <v>331633.5</v>
      </c>
      <c r="G24" s="105">
        <f t="shared" ref="G24" si="47">ROUND(F24*1.2,2)</f>
        <v>397960.2</v>
      </c>
      <c r="H24" s="11"/>
      <c r="I24" s="106"/>
      <c r="J24" s="106"/>
      <c r="K24" s="107">
        <f t="shared" ref="K24:K31" si="48">F24+I24</f>
        <v>331633.5</v>
      </c>
      <c r="L24" s="105">
        <f t="shared" ref="L24:L31" si="49">G24+J24</f>
        <v>397960.2</v>
      </c>
      <c r="M24" s="147"/>
      <c r="N24" s="105">
        <f t="shared" si="10"/>
        <v>1166.55</v>
      </c>
      <c r="O24" s="105">
        <f t="shared" si="11"/>
        <v>464286.9</v>
      </c>
      <c r="P24" s="105">
        <f t="shared" si="12"/>
        <v>557144.28</v>
      </c>
      <c r="Q24" s="105"/>
      <c r="R24" s="105"/>
      <c r="S24" s="105"/>
      <c r="T24" s="105">
        <f t="shared" si="13"/>
        <v>464286.9</v>
      </c>
      <c r="U24" s="105">
        <f t="shared" si="14"/>
        <v>557144.28</v>
      </c>
    </row>
    <row r="25" spans="1:21" x14ac:dyDescent="0.25">
      <c r="A25" s="87" t="s">
        <v>34</v>
      </c>
      <c r="B25" s="95" t="s">
        <v>309</v>
      </c>
      <c r="C25" s="100" t="s">
        <v>24</v>
      </c>
      <c r="D25" s="96">
        <v>398</v>
      </c>
      <c r="E25" s="98"/>
      <c r="F25" s="108"/>
      <c r="G25" s="108"/>
      <c r="H25" s="108"/>
      <c r="I25" s="108">
        <f t="shared" ref="I25:I31" si="50">ROUND(H25*D25,2)</f>
        <v>0</v>
      </c>
      <c r="J25" s="108">
        <f t="shared" ref="J25:J31" si="51">ROUND(I25*1.2,2)</f>
        <v>0</v>
      </c>
      <c r="K25" s="98">
        <f t="shared" si="48"/>
        <v>0</v>
      </c>
      <c r="L25" s="108">
        <f t="shared" si="49"/>
        <v>0</v>
      </c>
      <c r="M25" s="147"/>
      <c r="N25" s="108">
        <f t="shared" si="10"/>
        <v>0</v>
      </c>
      <c r="O25" s="108">
        <f t="shared" si="11"/>
        <v>0</v>
      </c>
      <c r="P25" s="108">
        <f t="shared" si="12"/>
        <v>0</v>
      </c>
      <c r="Q25" s="108">
        <f>H25*$Q$1</f>
        <v>0</v>
      </c>
      <c r="R25" s="108">
        <f>ROUND(Q25*D25,2)</f>
        <v>0</v>
      </c>
      <c r="S25" s="108">
        <f>ROUND(R25*1.2,2)</f>
        <v>0</v>
      </c>
      <c r="T25" s="108">
        <f>O25+R25</f>
        <v>0</v>
      </c>
      <c r="U25" s="108">
        <f>P25+S25</f>
        <v>0</v>
      </c>
    </row>
    <row r="26" spans="1:21" ht="15.75" x14ac:dyDescent="0.25">
      <c r="A26" s="87" t="s">
        <v>113</v>
      </c>
      <c r="B26" s="92" t="s">
        <v>308</v>
      </c>
      <c r="C26" s="100" t="s">
        <v>10</v>
      </c>
      <c r="D26" s="93">
        <v>796</v>
      </c>
      <c r="E26" s="109"/>
      <c r="F26" s="108"/>
      <c r="G26" s="108"/>
      <c r="H26" s="108">
        <f>1727320/1.2/796</f>
        <v>1808.3333333333335</v>
      </c>
      <c r="I26" s="108">
        <f t="shared" si="50"/>
        <v>1439433.33</v>
      </c>
      <c r="J26" s="108">
        <f t="shared" si="51"/>
        <v>1727320</v>
      </c>
      <c r="K26" s="98">
        <f t="shared" si="48"/>
        <v>1439433.33</v>
      </c>
      <c r="L26" s="108">
        <f t="shared" si="49"/>
        <v>1727320</v>
      </c>
      <c r="M26" s="147"/>
      <c r="N26" s="108">
        <f t="shared" si="10"/>
        <v>0</v>
      </c>
      <c r="O26" s="108">
        <f t="shared" si="11"/>
        <v>0</v>
      </c>
      <c r="P26" s="108">
        <f t="shared" si="12"/>
        <v>0</v>
      </c>
      <c r="Q26" s="108">
        <f t="shared" ref="Q26:Q31" si="52">H26*$Q$1</f>
        <v>2260.416666666667</v>
      </c>
      <c r="R26" s="108">
        <f t="shared" ref="R26:R31" si="53">ROUND(Q26*D26,2)</f>
        <v>1799291.67</v>
      </c>
      <c r="S26" s="108">
        <f t="shared" ref="S26:S31" si="54">ROUND(R26*1.2,2)</f>
        <v>2159150</v>
      </c>
      <c r="T26" s="108">
        <f t="shared" ref="T26:T31" si="55">O26+R26</f>
        <v>1799291.67</v>
      </c>
      <c r="U26" s="108">
        <f t="shared" ref="U26:U31" si="56">P26+S26</f>
        <v>2159150</v>
      </c>
    </row>
    <row r="27" spans="1:21" ht="15.75" x14ac:dyDescent="0.25">
      <c r="A27" s="87" t="s">
        <v>117</v>
      </c>
      <c r="B27" s="92" t="s">
        <v>238</v>
      </c>
      <c r="C27" s="100" t="s">
        <v>10</v>
      </c>
      <c r="D27" s="93">
        <v>1592</v>
      </c>
      <c r="E27" s="109"/>
      <c r="F27" s="108"/>
      <c r="G27" s="108"/>
      <c r="H27" s="108">
        <f>317803/1.2/D27</f>
        <v>166.35416666666669</v>
      </c>
      <c r="I27" s="108">
        <f t="shared" si="50"/>
        <v>264835.83</v>
      </c>
      <c r="J27" s="108">
        <f t="shared" si="51"/>
        <v>317803</v>
      </c>
      <c r="K27" s="98">
        <f t="shared" si="48"/>
        <v>264835.83</v>
      </c>
      <c r="L27" s="108">
        <f t="shared" si="49"/>
        <v>317803</v>
      </c>
      <c r="M27" s="147"/>
      <c r="N27" s="108">
        <f t="shared" si="10"/>
        <v>0</v>
      </c>
      <c r="O27" s="108">
        <f t="shared" si="11"/>
        <v>0</v>
      </c>
      <c r="P27" s="108">
        <f t="shared" si="12"/>
        <v>0</v>
      </c>
      <c r="Q27" s="108">
        <f t="shared" si="52"/>
        <v>207.94270833333337</v>
      </c>
      <c r="R27" s="108">
        <f t="shared" si="53"/>
        <v>331044.78999999998</v>
      </c>
      <c r="S27" s="108">
        <f t="shared" si="54"/>
        <v>397253.75</v>
      </c>
      <c r="T27" s="108">
        <f t="shared" si="55"/>
        <v>331044.78999999998</v>
      </c>
      <c r="U27" s="108">
        <f t="shared" si="56"/>
        <v>397253.75</v>
      </c>
    </row>
    <row r="28" spans="1:21" ht="15.75" x14ac:dyDescent="0.25">
      <c r="A28" s="87" t="s">
        <v>118</v>
      </c>
      <c r="B28" s="92" t="s">
        <v>239</v>
      </c>
      <c r="C28" s="100" t="s">
        <v>10</v>
      </c>
      <c r="D28" s="93">
        <v>1592</v>
      </c>
      <c r="E28" s="109"/>
      <c r="F28" s="108"/>
      <c r="G28" s="108"/>
      <c r="H28" s="108">
        <f>510000/1.2/D28</f>
        <v>266.95979899497485</v>
      </c>
      <c r="I28" s="108">
        <f t="shared" si="50"/>
        <v>425000</v>
      </c>
      <c r="J28" s="108">
        <f t="shared" si="51"/>
        <v>510000</v>
      </c>
      <c r="K28" s="98">
        <f t="shared" si="48"/>
        <v>425000</v>
      </c>
      <c r="L28" s="108">
        <f t="shared" si="49"/>
        <v>510000</v>
      </c>
      <c r="M28" s="147"/>
      <c r="N28" s="108">
        <f t="shared" si="10"/>
        <v>0</v>
      </c>
      <c r="O28" s="108">
        <f t="shared" si="11"/>
        <v>0</v>
      </c>
      <c r="P28" s="108">
        <f t="shared" si="12"/>
        <v>0</v>
      </c>
      <c r="Q28" s="108">
        <f t="shared" si="52"/>
        <v>333.69974874371854</v>
      </c>
      <c r="R28" s="108">
        <f t="shared" si="53"/>
        <v>531250</v>
      </c>
      <c r="S28" s="108">
        <f t="shared" si="54"/>
        <v>637500</v>
      </c>
      <c r="T28" s="108">
        <f t="shared" si="55"/>
        <v>531250</v>
      </c>
      <c r="U28" s="108">
        <f t="shared" si="56"/>
        <v>637500</v>
      </c>
    </row>
    <row r="29" spans="1:21" ht="15.75" x14ac:dyDescent="0.25">
      <c r="A29" s="87" t="s">
        <v>215</v>
      </c>
      <c r="B29" s="92" t="s">
        <v>240</v>
      </c>
      <c r="C29" s="100" t="s">
        <v>10</v>
      </c>
      <c r="D29" s="93">
        <v>796</v>
      </c>
      <c r="E29" s="109"/>
      <c r="F29" s="108"/>
      <c r="G29" s="108"/>
      <c r="H29" s="108">
        <f>85/1.2</f>
        <v>70.833333333333343</v>
      </c>
      <c r="I29" s="108">
        <f t="shared" si="50"/>
        <v>56383.33</v>
      </c>
      <c r="J29" s="108">
        <f t="shared" si="51"/>
        <v>67660</v>
      </c>
      <c r="K29" s="98">
        <f t="shared" si="48"/>
        <v>56383.33</v>
      </c>
      <c r="L29" s="108">
        <f t="shared" si="49"/>
        <v>67660</v>
      </c>
      <c r="M29" s="147"/>
      <c r="N29" s="108">
        <f t="shared" si="10"/>
        <v>0</v>
      </c>
      <c r="O29" s="108">
        <f t="shared" si="11"/>
        <v>0</v>
      </c>
      <c r="P29" s="108">
        <f t="shared" si="12"/>
        <v>0</v>
      </c>
      <c r="Q29" s="108">
        <f t="shared" si="52"/>
        <v>88.541666666666686</v>
      </c>
      <c r="R29" s="108">
        <f t="shared" si="53"/>
        <v>70479.17</v>
      </c>
      <c r="S29" s="108">
        <f t="shared" si="54"/>
        <v>84575</v>
      </c>
      <c r="T29" s="108">
        <f t="shared" si="55"/>
        <v>70479.17</v>
      </c>
      <c r="U29" s="108">
        <f t="shared" si="56"/>
        <v>84575</v>
      </c>
    </row>
    <row r="30" spans="1:21" ht="15.75" x14ac:dyDescent="0.25">
      <c r="A30" s="87" t="s">
        <v>263</v>
      </c>
      <c r="B30" s="92" t="s">
        <v>241</v>
      </c>
      <c r="C30" s="100" t="s">
        <v>10</v>
      </c>
      <c r="D30" s="93">
        <v>796</v>
      </c>
      <c r="E30" s="109"/>
      <c r="F30" s="108"/>
      <c r="G30" s="108"/>
      <c r="H30" s="108">
        <f>96/1.2</f>
        <v>80</v>
      </c>
      <c r="I30" s="108">
        <f t="shared" si="50"/>
        <v>63680</v>
      </c>
      <c r="J30" s="108">
        <f t="shared" si="51"/>
        <v>76416</v>
      </c>
      <c r="K30" s="98">
        <f t="shared" si="48"/>
        <v>63680</v>
      </c>
      <c r="L30" s="108">
        <f t="shared" si="49"/>
        <v>76416</v>
      </c>
      <c r="M30" s="147"/>
      <c r="N30" s="108">
        <f t="shared" si="10"/>
        <v>0</v>
      </c>
      <c r="O30" s="108">
        <f t="shared" si="11"/>
        <v>0</v>
      </c>
      <c r="P30" s="108">
        <f t="shared" si="12"/>
        <v>0</v>
      </c>
      <c r="Q30" s="108">
        <f t="shared" si="52"/>
        <v>100</v>
      </c>
      <c r="R30" s="108">
        <f t="shared" si="53"/>
        <v>79600</v>
      </c>
      <c r="S30" s="108">
        <f t="shared" si="54"/>
        <v>95520</v>
      </c>
      <c r="T30" s="108">
        <f t="shared" si="55"/>
        <v>79600</v>
      </c>
      <c r="U30" s="108">
        <f t="shared" si="56"/>
        <v>95520</v>
      </c>
    </row>
    <row r="31" spans="1:21" ht="15.75" x14ac:dyDescent="0.25">
      <c r="A31" s="87" t="s">
        <v>264</v>
      </c>
      <c r="B31" s="92" t="s">
        <v>242</v>
      </c>
      <c r="C31" s="100" t="s">
        <v>10</v>
      </c>
      <c r="D31" s="93">
        <v>210</v>
      </c>
      <c r="E31" s="109"/>
      <c r="F31" s="108"/>
      <c r="G31" s="108"/>
      <c r="H31" s="108">
        <f>47362/1.2/D31</f>
        <v>187.94444444444446</v>
      </c>
      <c r="I31" s="108">
        <f t="shared" si="50"/>
        <v>39468.33</v>
      </c>
      <c r="J31" s="108">
        <f t="shared" si="51"/>
        <v>47362</v>
      </c>
      <c r="K31" s="98">
        <f t="shared" si="48"/>
        <v>39468.33</v>
      </c>
      <c r="L31" s="108">
        <f t="shared" si="49"/>
        <v>47362</v>
      </c>
      <c r="M31" s="147"/>
      <c r="N31" s="108">
        <f t="shared" si="10"/>
        <v>0</v>
      </c>
      <c r="O31" s="108">
        <f t="shared" si="11"/>
        <v>0</v>
      </c>
      <c r="P31" s="108">
        <f t="shared" si="12"/>
        <v>0</v>
      </c>
      <c r="Q31" s="108">
        <f t="shared" si="52"/>
        <v>234.93055555555557</v>
      </c>
      <c r="R31" s="108">
        <f t="shared" si="53"/>
        <v>49335.42</v>
      </c>
      <c r="S31" s="108">
        <f t="shared" si="54"/>
        <v>59202.5</v>
      </c>
      <c r="T31" s="108">
        <f t="shared" si="55"/>
        <v>49335.42</v>
      </c>
      <c r="U31" s="108">
        <f t="shared" si="56"/>
        <v>59202.5</v>
      </c>
    </row>
    <row r="32" spans="1:21" ht="22.5" customHeight="1" x14ac:dyDescent="0.25">
      <c r="A32" s="55">
        <f>A24+1</f>
        <v>12</v>
      </c>
      <c r="B32" s="10" t="s">
        <v>265</v>
      </c>
      <c r="C32" s="13" t="s">
        <v>9</v>
      </c>
      <c r="D32" s="88">
        <v>432.62</v>
      </c>
      <c r="E32" s="91">
        <v>1920</v>
      </c>
      <c r="F32" s="105">
        <f t="shared" ref="F32" si="57">ROUND(E32*D32,2)</f>
        <v>830630.40000000002</v>
      </c>
      <c r="G32" s="105">
        <f t="shared" ref="G32" si="58">ROUND(F32*1.2,2)</f>
        <v>996756.47999999998</v>
      </c>
      <c r="H32" s="11"/>
      <c r="I32" s="106"/>
      <c r="J32" s="106"/>
      <c r="K32" s="107">
        <f t="shared" ref="K32:K33" si="59">F32+I32</f>
        <v>830630.40000000002</v>
      </c>
      <c r="L32" s="105">
        <f t="shared" ref="L32:L33" si="60">G32+J32</f>
        <v>996756.47999999998</v>
      </c>
      <c r="M32" s="147"/>
      <c r="N32" s="105">
        <f t="shared" si="10"/>
        <v>2688</v>
      </c>
      <c r="O32" s="105">
        <f t="shared" si="11"/>
        <v>1162882.5600000001</v>
      </c>
      <c r="P32" s="105">
        <f t="shared" si="12"/>
        <v>1395459.07</v>
      </c>
      <c r="Q32" s="105"/>
      <c r="R32" s="105"/>
      <c r="S32" s="105"/>
      <c r="T32" s="105">
        <f t="shared" si="13"/>
        <v>1162882.5600000001</v>
      </c>
      <c r="U32" s="105">
        <f t="shared" si="14"/>
        <v>1395459.07</v>
      </c>
    </row>
    <row r="33" spans="1:21" ht="18" customHeight="1" x14ac:dyDescent="0.25">
      <c r="A33" s="87" t="s">
        <v>35</v>
      </c>
      <c r="B33" s="95" t="s">
        <v>324</v>
      </c>
      <c r="C33" s="100" t="s">
        <v>10</v>
      </c>
      <c r="D33" s="96">
        <v>35</v>
      </c>
      <c r="E33" s="98"/>
      <c r="F33" s="108"/>
      <c r="G33" s="108"/>
      <c r="H33" s="108">
        <f>145169/1.2</f>
        <v>120974.16666666667</v>
      </c>
      <c r="I33" s="108">
        <f t="shared" ref="I33" si="61">ROUND(H33*D33,2)</f>
        <v>4234095.83</v>
      </c>
      <c r="J33" s="108">
        <f t="shared" ref="J33" si="62">ROUND(I33*1.2,2)</f>
        <v>5080915</v>
      </c>
      <c r="K33" s="98">
        <f t="shared" si="59"/>
        <v>4234095.83</v>
      </c>
      <c r="L33" s="108">
        <f t="shared" si="60"/>
        <v>5080915</v>
      </c>
      <c r="M33" s="147"/>
      <c r="N33" s="108">
        <f t="shared" si="10"/>
        <v>0</v>
      </c>
      <c r="O33" s="108">
        <f t="shared" si="11"/>
        <v>0</v>
      </c>
      <c r="P33" s="108">
        <f t="shared" si="12"/>
        <v>0</v>
      </c>
      <c r="Q33" s="108">
        <f>H33*$Q$1</f>
        <v>151217.70833333334</v>
      </c>
      <c r="R33" s="108">
        <f>ROUND(Q33*D33,2)</f>
        <v>5292619.79</v>
      </c>
      <c r="S33" s="108">
        <f>ROUND(R33*1.2,2)</f>
        <v>6351143.75</v>
      </c>
      <c r="T33" s="108">
        <f>O33+R33</f>
        <v>5292619.79</v>
      </c>
      <c r="U33" s="108">
        <f>P33+S33</f>
        <v>6351143.75</v>
      </c>
    </row>
    <row r="34" spans="1:21" ht="22.5" customHeight="1" x14ac:dyDescent="0.25">
      <c r="A34" s="55">
        <f>A32+1</f>
        <v>13</v>
      </c>
      <c r="B34" s="10" t="s">
        <v>245</v>
      </c>
      <c r="C34" s="13" t="s">
        <v>24</v>
      </c>
      <c r="D34" s="60">
        <v>40</v>
      </c>
      <c r="E34" s="97">
        <v>1924</v>
      </c>
      <c r="F34" s="105">
        <f t="shared" ref="F34" si="63">ROUND(E34*D34,2)</f>
        <v>76960</v>
      </c>
      <c r="G34" s="105">
        <f t="shared" ref="G34" si="64">ROUND(F34*1.2,2)</f>
        <v>92352</v>
      </c>
      <c r="H34" s="11"/>
      <c r="I34" s="106"/>
      <c r="J34" s="106"/>
      <c r="K34" s="107">
        <f t="shared" ref="K34:K37" si="65">F34+I34</f>
        <v>76960</v>
      </c>
      <c r="L34" s="105">
        <f t="shared" ref="L34:L37" si="66">G34+J34</f>
        <v>92352</v>
      </c>
      <c r="M34" s="147"/>
      <c r="N34" s="105">
        <f t="shared" si="10"/>
        <v>2693.6</v>
      </c>
      <c r="O34" s="105">
        <f t="shared" si="11"/>
        <v>107744</v>
      </c>
      <c r="P34" s="105">
        <f t="shared" si="12"/>
        <v>129292.8</v>
      </c>
      <c r="Q34" s="105"/>
      <c r="R34" s="105"/>
      <c r="S34" s="105"/>
      <c r="T34" s="105">
        <f t="shared" si="13"/>
        <v>107744</v>
      </c>
      <c r="U34" s="105">
        <f t="shared" si="14"/>
        <v>129292.8</v>
      </c>
    </row>
    <row r="35" spans="1:21" ht="18" customHeight="1" x14ac:dyDescent="0.25">
      <c r="A35" s="87" t="s">
        <v>40</v>
      </c>
      <c r="B35" s="92" t="s">
        <v>283</v>
      </c>
      <c r="C35" s="110" t="s">
        <v>232</v>
      </c>
      <c r="D35" s="93">
        <f>40</f>
        <v>40</v>
      </c>
      <c r="E35" s="111"/>
      <c r="F35" s="108"/>
      <c r="G35" s="108"/>
      <c r="H35" s="98">
        <f>19824/1.2</f>
        <v>16520</v>
      </c>
      <c r="I35" s="108">
        <f t="shared" ref="I35" si="67">ROUND(H35*D35,2)</f>
        <v>660800</v>
      </c>
      <c r="J35" s="108">
        <f t="shared" ref="J35" si="68">ROUND(I35*1.2,2)</f>
        <v>792960</v>
      </c>
      <c r="K35" s="98">
        <f t="shared" si="65"/>
        <v>660800</v>
      </c>
      <c r="L35" s="108">
        <f t="shared" si="66"/>
        <v>792960</v>
      </c>
      <c r="M35" s="147"/>
      <c r="N35" s="108">
        <f t="shared" si="10"/>
        <v>0</v>
      </c>
      <c r="O35" s="108">
        <f t="shared" si="11"/>
        <v>0</v>
      </c>
      <c r="P35" s="108">
        <f t="shared" si="12"/>
        <v>0</v>
      </c>
      <c r="Q35" s="108">
        <f>H35*$Q$1</f>
        <v>20650</v>
      </c>
      <c r="R35" s="108">
        <f>ROUND(Q35*D35,2)</f>
        <v>826000</v>
      </c>
      <c r="S35" s="108">
        <f>ROUND(R35*1.2,2)</f>
        <v>991200</v>
      </c>
      <c r="T35" s="108">
        <f>O35+R35</f>
        <v>826000</v>
      </c>
      <c r="U35" s="108">
        <f>P35+S35</f>
        <v>991200</v>
      </c>
    </row>
    <row r="36" spans="1:21" ht="18" customHeight="1" x14ac:dyDescent="0.25">
      <c r="A36" s="87" t="s">
        <v>127</v>
      </c>
      <c r="B36" s="95" t="s">
        <v>243</v>
      </c>
      <c r="C36" s="100" t="s">
        <v>10</v>
      </c>
      <c r="D36" s="96">
        <f>6*40</f>
        <v>240</v>
      </c>
      <c r="E36" s="98"/>
      <c r="F36" s="108"/>
      <c r="G36" s="108"/>
      <c r="H36" s="108">
        <f>47362/1.2/210</f>
        <v>187.94444444444446</v>
      </c>
      <c r="I36" s="108">
        <f t="shared" ref="I36" si="69">ROUND(H36*D36,2)</f>
        <v>45106.67</v>
      </c>
      <c r="J36" s="108">
        <f t="shared" ref="J36" si="70">ROUND(I36*1.2,2)</f>
        <v>54128</v>
      </c>
      <c r="K36" s="98">
        <f t="shared" si="65"/>
        <v>45106.67</v>
      </c>
      <c r="L36" s="108">
        <f t="shared" si="66"/>
        <v>54128</v>
      </c>
      <c r="M36" s="147"/>
      <c r="N36" s="108">
        <f t="shared" si="10"/>
        <v>0</v>
      </c>
      <c r="O36" s="108">
        <f t="shared" si="11"/>
        <v>0</v>
      </c>
      <c r="P36" s="108">
        <f t="shared" si="12"/>
        <v>0</v>
      </c>
      <c r="Q36" s="108">
        <f>H36*$Q$1</f>
        <v>234.93055555555557</v>
      </c>
      <c r="R36" s="108">
        <f>ROUND(Q36*D36,2)</f>
        <v>56383.33</v>
      </c>
      <c r="S36" s="108">
        <f>ROUND(R36*1.2,2)</f>
        <v>67660</v>
      </c>
      <c r="T36" s="108">
        <f>O36+R36</f>
        <v>56383.33</v>
      </c>
      <c r="U36" s="108">
        <f>P36+S36</f>
        <v>67660</v>
      </c>
    </row>
    <row r="37" spans="1:21" ht="18" customHeight="1" x14ac:dyDescent="0.25">
      <c r="A37" s="55">
        <f>A34+1</f>
        <v>14</v>
      </c>
      <c r="B37" s="10" t="s">
        <v>246</v>
      </c>
      <c r="C37" s="13" t="s">
        <v>7</v>
      </c>
      <c r="D37" s="60">
        <v>93</v>
      </c>
      <c r="E37" s="97">
        <v>1933.2</v>
      </c>
      <c r="F37" s="105">
        <f t="shared" ref="F37" si="71">ROUND(E37*D37,2)</f>
        <v>179787.6</v>
      </c>
      <c r="G37" s="105">
        <f t="shared" ref="G37" si="72">ROUND(F37*1.2,2)</f>
        <v>215745.12</v>
      </c>
      <c r="H37" s="11"/>
      <c r="I37" s="106"/>
      <c r="J37" s="106"/>
      <c r="K37" s="107">
        <f t="shared" si="65"/>
        <v>179787.6</v>
      </c>
      <c r="L37" s="105">
        <f t="shared" si="66"/>
        <v>215745.12</v>
      </c>
      <c r="M37" s="147"/>
      <c r="N37" s="105">
        <f t="shared" si="10"/>
        <v>2706.48</v>
      </c>
      <c r="O37" s="105">
        <f t="shared" si="11"/>
        <v>251702.64</v>
      </c>
      <c r="P37" s="105">
        <f t="shared" si="12"/>
        <v>302043.17</v>
      </c>
      <c r="Q37" s="105"/>
      <c r="R37" s="105"/>
      <c r="S37" s="105"/>
      <c r="T37" s="105">
        <f t="shared" si="13"/>
        <v>251702.64</v>
      </c>
      <c r="U37" s="105">
        <f t="shared" si="14"/>
        <v>302043.17</v>
      </c>
    </row>
    <row r="38" spans="1:21" ht="18" customHeight="1" x14ac:dyDescent="0.25">
      <c r="A38" s="87" t="s">
        <v>39</v>
      </c>
      <c r="B38" s="95" t="s">
        <v>12</v>
      </c>
      <c r="C38" s="100" t="s">
        <v>7</v>
      </c>
      <c r="D38" s="99">
        <f>D37*1.26</f>
        <v>117.18</v>
      </c>
      <c r="E38" s="98"/>
      <c r="F38" s="108"/>
      <c r="G38" s="108"/>
      <c r="H38" s="108">
        <v>3720</v>
      </c>
      <c r="I38" s="108">
        <f>ROUND(H38*D38,2)</f>
        <v>435909.6</v>
      </c>
      <c r="J38" s="108">
        <f>ROUND(I38*1.2,2)</f>
        <v>523091.52</v>
      </c>
      <c r="K38" s="98">
        <f>F38+I38</f>
        <v>435909.6</v>
      </c>
      <c r="L38" s="108">
        <f>G38+J38</f>
        <v>523091.52</v>
      </c>
      <c r="M38" s="147"/>
      <c r="N38" s="108">
        <f t="shared" si="10"/>
        <v>0</v>
      </c>
      <c r="O38" s="108">
        <f t="shared" si="11"/>
        <v>0</v>
      </c>
      <c r="P38" s="108">
        <f t="shared" si="12"/>
        <v>0</v>
      </c>
      <c r="Q38" s="108">
        <f>H38*$Q$1</f>
        <v>4650</v>
      </c>
      <c r="R38" s="108">
        <f>ROUND(Q38*D38,2)</f>
        <v>544887</v>
      </c>
      <c r="S38" s="108">
        <f>ROUND(R38*1.2,2)</f>
        <v>653864.4</v>
      </c>
      <c r="T38" s="108">
        <f>O38+R38</f>
        <v>544887</v>
      </c>
      <c r="U38" s="108">
        <f>P38+S38</f>
        <v>653864.4</v>
      </c>
    </row>
    <row r="39" spans="1:21" ht="18" customHeight="1" x14ac:dyDescent="0.25">
      <c r="A39" s="55">
        <f>A37+1</f>
        <v>15</v>
      </c>
      <c r="B39" s="10" t="s">
        <v>233</v>
      </c>
      <c r="C39" s="13" t="s">
        <v>7</v>
      </c>
      <c r="D39" s="86">
        <v>18.600000000000001</v>
      </c>
      <c r="E39" s="91">
        <v>1449.9</v>
      </c>
      <c r="F39" s="105">
        <f t="shared" ref="F39" si="73">ROUND(E39*D39,2)</f>
        <v>26968.14</v>
      </c>
      <c r="G39" s="105">
        <f t="shared" ref="G39" si="74">ROUND(F39*1.2,2)</f>
        <v>32361.77</v>
      </c>
      <c r="H39" s="11"/>
      <c r="I39" s="106"/>
      <c r="J39" s="106"/>
      <c r="K39" s="107">
        <f t="shared" ref="K39" si="75">F39+I39</f>
        <v>26968.14</v>
      </c>
      <c r="L39" s="105">
        <f t="shared" ref="L39" si="76">G39+J39</f>
        <v>32361.77</v>
      </c>
      <c r="M39" s="147"/>
      <c r="N39" s="105">
        <f t="shared" si="10"/>
        <v>2029.86</v>
      </c>
      <c r="O39" s="105">
        <f t="shared" si="11"/>
        <v>37755.4</v>
      </c>
      <c r="P39" s="105">
        <f t="shared" si="12"/>
        <v>45306.48</v>
      </c>
      <c r="Q39" s="105"/>
      <c r="R39" s="105"/>
      <c r="S39" s="105"/>
      <c r="T39" s="105">
        <f t="shared" si="13"/>
        <v>37755.4</v>
      </c>
      <c r="U39" s="105">
        <f t="shared" si="14"/>
        <v>45306.48</v>
      </c>
    </row>
    <row r="40" spans="1:21" ht="18" customHeight="1" x14ac:dyDescent="0.25">
      <c r="A40" s="87" t="s">
        <v>50</v>
      </c>
      <c r="B40" s="95" t="s">
        <v>12</v>
      </c>
      <c r="C40" s="100" t="s">
        <v>7</v>
      </c>
      <c r="D40" s="99">
        <f>D39*1.26</f>
        <v>23.436000000000003</v>
      </c>
      <c r="E40" s="98"/>
      <c r="F40" s="108"/>
      <c r="G40" s="108"/>
      <c r="H40" s="108">
        <v>3720</v>
      </c>
      <c r="I40" s="108">
        <f>ROUND(H40*D40,2)</f>
        <v>87181.92</v>
      </c>
      <c r="J40" s="108">
        <f>ROUND(I40*1.2,2)</f>
        <v>104618.3</v>
      </c>
      <c r="K40" s="98">
        <f>F40+I40</f>
        <v>87181.92</v>
      </c>
      <c r="L40" s="108">
        <f>G40+J40</f>
        <v>104618.3</v>
      </c>
      <c r="M40" s="147"/>
      <c r="N40" s="108">
        <f t="shared" si="10"/>
        <v>0</v>
      </c>
      <c r="O40" s="108">
        <f t="shared" si="11"/>
        <v>0</v>
      </c>
      <c r="P40" s="108">
        <f t="shared" si="12"/>
        <v>0</v>
      </c>
      <c r="Q40" s="108">
        <f>H40*$Q$1</f>
        <v>4650</v>
      </c>
      <c r="R40" s="108">
        <f>ROUND(Q40*D40,2)</f>
        <v>108977.4</v>
      </c>
      <c r="S40" s="108">
        <f>ROUND(R40*1.2,2)</f>
        <v>130772.88</v>
      </c>
      <c r="T40" s="108">
        <f>O40+R40</f>
        <v>108977.4</v>
      </c>
      <c r="U40" s="108">
        <f>P40+S40</f>
        <v>130772.88</v>
      </c>
    </row>
    <row r="41" spans="1:21" ht="21" customHeight="1" x14ac:dyDescent="0.25">
      <c r="A41" s="55">
        <f>A39+1</f>
        <v>16</v>
      </c>
      <c r="B41" s="10" t="s">
        <v>234</v>
      </c>
      <c r="C41" s="13" t="s">
        <v>9</v>
      </c>
      <c r="D41" s="88">
        <v>216.31</v>
      </c>
      <c r="E41" s="97">
        <v>945.3</v>
      </c>
      <c r="F41" s="105">
        <f t="shared" ref="F41:F42" si="77">ROUND(E41*D41,2)</f>
        <v>204477.84</v>
      </c>
      <c r="G41" s="105">
        <f t="shared" ref="G41:G42" si="78">ROUND(F41*1.2,2)</f>
        <v>245373.41</v>
      </c>
      <c r="H41" s="11"/>
      <c r="I41" s="106"/>
      <c r="J41" s="106"/>
      <c r="K41" s="107">
        <f t="shared" ref="K41:K42" si="79">F41+I41</f>
        <v>204477.84</v>
      </c>
      <c r="L41" s="105">
        <f t="shared" ref="L41:L42" si="80">G41+J41</f>
        <v>245373.41</v>
      </c>
      <c r="M41" s="147"/>
      <c r="N41" s="105">
        <f t="shared" si="10"/>
        <v>1323.4199999999998</v>
      </c>
      <c r="O41" s="105">
        <f t="shared" si="11"/>
        <v>286268.98</v>
      </c>
      <c r="P41" s="105">
        <f t="shared" si="12"/>
        <v>343522.78</v>
      </c>
      <c r="Q41" s="105"/>
      <c r="R41" s="105"/>
      <c r="S41" s="105"/>
      <c r="T41" s="105">
        <f t="shared" si="13"/>
        <v>286268.98</v>
      </c>
      <c r="U41" s="105">
        <f t="shared" si="14"/>
        <v>343522.78</v>
      </c>
    </row>
    <row r="42" spans="1:21" ht="32.25" customHeight="1" x14ac:dyDescent="0.25">
      <c r="A42" s="55">
        <f>A41+1</f>
        <v>17</v>
      </c>
      <c r="B42" s="10" t="s">
        <v>298</v>
      </c>
      <c r="C42" s="13" t="s">
        <v>15</v>
      </c>
      <c r="D42" s="88">
        <v>60</v>
      </c>
      <c r="E42" s="97">
        <v>700</v>
      </c>
      <c r="F42" s="105">
        <f t="shared" si="77"/>
        <v>42000</v>
      </c>
      <c r="G42" s="105">
        <f t="shared" si="78"/>
        <v>50400</v>
      </c>
      <c r="H42" s="11"/>
      <c r="I42" s="106"/>
      <c r="J42" s="106"/>
      <c r="K42" s="107">
        <f t="shared" si="79"/>
        <v>42000</v>
      </c>
      <c r="L42" s="105">
        <f t="shared" si="80"/>
        <v>50400</v>
      </c>
      <c r="M42" s="147"/>
      <c r="N42" s="105">
        <f t="shared" si="10"/>
        <v>979.99999999999989</v>
      </c>
      <c r="O42" s="105">
        <f t="shared" si="11"/>
        <v>58800</v>
      </c>
      <c r="P42" s="105">
        <f t="shared" si="12"/>
        <v>70560</v>
      </c>
      <c r="Q42" s="105"/>
      <c r="R42" s="105"/>
      <c r="S42" s="105"/>
      <c r="T42" s="105">
        <f t="shared" si="13"/>
        <v>58800</v>
      </c>
      <c r="U42" s="105">
        <f t="shared" si="14"/>
        <v>70560</v>
      </c>
    </row>
    <row r="43" spans="1:21" s="155" customFormat="1" ht="32.25" customHeight="1" x14ac:dyDescent="0.25">
      <c r="A43" s="151"/>
      <c r="B43" s="156" t="s">
        <v>300</v>
      </c>
      <c r="C43" s="152"/>
      <c r="D43" s="153"/>
      <c r="E43" s="154"/>
      <c r="F43" s="106">
        <f>SUM(F9:F42)</f>
        <v>4541088.4899999993</v>
      </c>
      <c r="G43" s="157">
        <f>SUM(G9:G42)</f>
        <v>5449306.1900000004</v>
      </c>
      <c r="H43" s="15"/>
      <c r="I43" s="106">
        <f>SUM(I9:I42)</f>
        <v>10049759.49</v>
      </c>
      <c r="J43" s="157">
        <f>SUM(J9:J42)</f>
        <v>12059711.4</v>
      </c>
      <c r="K43" s="106">
        <f>SUM(K9:K42)</f>
        <v>14590847.98</v>
      </c>
      <c r="L43" s="157">
        <f>SUM(L9:L42)</f>
        <v>17509017.59</v>
      </c>
      <c r="M43" s="106"/>
      <c r="N43" s="106"/>
      <c r="O43" s="106">
        <f>SUM(O9:O42)</f>
        <v>6357523.9000000004</v>
      </c>
      <c r="P43" s="157">
        <f>SUM(P9:P42)</f>
        <v>7629028.6800000006</v>
      </c>
      <c r="Q43" s="15"/>
      <c r="R43" s="106">
        <f>SUM(R9:R42)</f>
        <v>12562199.380000001</v>
      </c>
      <c r="S43" s="157">
        <f>SUM(S9:S42)</f>
        <v>15074639.260000002</v>
      </c>
      <c r="T43" s="106">
        <f>SUM(T9:T42)</f>
        <v>18919723.279999997</v>
      </c>
      <c r="U43" s="157">
        <f>SUM(U9:U42)</f>
        <v>22703667.940000001</v>
      </c>
    </row>
    <row r="44" spans="1:21" ht="20.25" customHeight="1" x14ac:dyDescent="0.25">
      <c r="A44" s="6"/>
      <c r="B44" s="135" t="s">
        <v>266</v>
      </c>
      <c r="C44" s="136"/>
      <c r="D44" s="136"/>
      <c r="E44" s="7"/>
      <c r="F44" s="8"/>
      <c r="G44" s="9"/>
      <c r="H44" s="9"/>
      <c r="I44" s="9"/>
      <c r="J44" s="9"/>
      <c r="K44" s="9"/>
      <c r="L44" s="9"/>
      <c r="M44" s="146"/>
      <c r="N44" s="9">
        <f t="shared" si="10"/>
        <v>0</v>
      </c>
      <c r="O44" s="9">
        <f t="shared" si="11"/>
        <v>0</v>
      </c>
      <c r="P44" s="9">
        <f t="shared" si="12"/>
        <v>0</v>
      </c>
      <c r="Q44" s="9"/>
      <c r="R44" s="9"/>
      <c r="S44" s="9"/>
      <c r="T44" s="9">
        <f t="shared" si="13"/>
        <v>0</v>
      </c>
      <c r="U44" s="9">
        <f t="shared" si="14"/>
        <v>0</v>
      </c>
    </row>
    <row r="45" spans="1:21" ht="22.5" customHeight="1" x14ac:dyDescent="0.25">
      <c r="A45" s="55" t="s">
        <v>297</v>
      </c>
      <c r="B45" s="10" t="s">
        <v>235</v>
      </c>
      <c r="C45" s="13" t="s">
        <v>7</v>
      </c>
      <c r="D45" s="88">
        <v>17.079999999999998</v>
      </c>
      <c r="E45" s="97">
        <v>3800</v>
      </c>
      <c r="F45" s="105">
        <f t="shared" ref="F45:F59" si="81">ROUND(E45*D45,2)</f>
        <v>64904</v>
      </c>
      <c r="G45" s="105">
        <f t="shared" ref="G45:G59" si="82">ROUND(F45*1.2,2)</f>
        <v>77884.800000000003</v>
      </c>
      <c r="H45" s="11"/>
      <c r="I45" s="106"/>
      <c r="J45" s="106"/>
      <c r="K45" s="107">
        <f t="shared" ref="K45:K59" si="83">F45+I45</f>
        <v>64904</v>
      </c>
      <c r="L45" s="105">
        <f t="shared" ref="L45:L59" si="84">G45+J45</f>
        <v>77884.800000000003</v>
      </c>
      <c r="M45" s="147"/>
      <c r="N45" s="105">
        <f t="shared" si="10"/>
        <v>5320</v>
      </c>
      <c r="O45" s="105">
        <f t="shared" si="11"/>
        <v>90865.600000000006</v>
      </c>
      <c r="P45" s="105">
        <f t="shared" si="12"/>
        <v>109038.72</v>
      </c>
      <c r="Q45" s="105"/>
      <c r="R45" s="105"/>
      <c r="S45" s="105"/>
      <c r="T45" s="105">
        <f t="shared" si="13"/>
        <v>90865.600000000006</v>
      </c>
      <c r="U45" s="105">
        <f t="shared" si="14"/>
        <v>109038.72</v>
      </c>
    </row>
    <row r="46" spans="1:21" ht="18" customHeight="1" x14ac:dyDescent="0.25">
      <c r="A46" s="94">
        <f>A45+1</f>
        <v>20</v>
      </c>
      <c r="B46" s="10" t="s">
        <v>124</v>
      </c>
      <c r="C46" s="13" t="s">
        <v>10</v>
      </c>
      <c r="D46" s="60">
        <v>1</v>
      </c>
      <c r="E46" s="97">
        <v>8320</v>
      </c>
      <c r="F46" s="105">
        <f t="shared" si="81"/>
        <v>8320</v>
      </c>
      <c r="G46" s="105">
        <f t="shared" si="82"/>
        <v>9984</v>
      </c>
      <c r="H46" s="11"/>
      <c r="I46" s="106"/>
      <c r="J46" s="106"/>
      <c r="K46" s="107">
        <f t="shared" si="83"/>
        <v>8320</v>
      </c>
      <c r="L46" s="105">
        <f t="shared" si="84"/>
        <v>9984</v>
      </c>
      <c r="M46" s="147"/>
      <c r="N46" s="105">
        <f t="shared" si="10"/>
        <v>11648</v>
      </c>
      <c r="O46" s="105">
        <f t="shared" si="11"/>
        <v>11648</v>
      </c>
      <c r="P46" s="105">
        <f t="shared" si="12"/>
        <v>13977.6</v>
      </c>
      <c r="Q46" s="105"/>
      <c r="R46" s="105"/>
      <c r="S46" s="105"/>
      <c r="T46" s="105">
        <f t="shared" si="13"/>
        <v>11648</v>
      </c>
      <c r="U46" s="105">
        <f t="shared" si="14"/>
        <v>13977.6</v>
      </c>
    </row>
    <row r="47" spans="1:21" ht="18" customHeight="1" x14ac:dyDescent="0.25">
      <c r="A47" s="94">
        <f t="shared" ref="A47:A49" si="85">A46+1</f>
        <v>21</v>
      </c>
      <c r="B47" s="10" t="s">
        <v>268</v>
      </c>
      <c r="C47" s="13" t="s">
        <v>10</v>
      </c>
      <c r="D47" s="60">
        <v>126</v>
      </c>
      <c r="E47" s="97">
        <v>340.96</v>
      </c>
      <c r="F47" s="105">
        <f t="shared" ref="F47" si="86">ROUND(E47*D47,2)</f>
        <v>42960.959999999999</v>
      </c>
      <c r="G47" s="105">
        <f t="shared" ref="G47" si="87">ROUND(F47*1.2,2)</f>
        <v>51553.15</v>
      </c>
      <c r="H47" s="11"/>
      <c r="I47" s="106"/>
      <c r="J47" s="106"/>
      <c r="K47" s="107">
        <f t="shared" ref="K47" si="88">F47+I47</f>
        <v>42960.959999999999</v>
      </c>
      <c r="L47" s="105">
        <f t="shared" ref="L47" si="89">G47+J47</f>
        <v>51553.15</v>
      </c>
      <c r="M47" s="147"/>
      <c r="N47" s="105">
        <f t="shared" si="10"/>
        <v>477.34399999999994</v>
      </c>
      <c r="O47" s="105">
        <f t="shared" si="11"/>
        <v>60145.34</v>
      </c>
      <c r="P47" s="105">
        <f t="shared" si="12"/>
        <v>72174.41</v>
      </c>
      <c r="Q47" s="105"/>
      <c r="R47" s="105"/>
      <c r="S47" s="105"/>
      <c r="T47" s="105">
        <f t="shared" si="13"/>
        <v>60145.34</v>
      </c>
      <c r="U47" s="105">
        <f t="shared" si="14"/>
        <v>72174.41</v>
      </c>
    </row>
    <row r="48" spans="1:21" ht="18" customHeight="1" x14ac:dyDescent="0.25">
      <c r="A48" s="94">
        <f t="shared" si="85"/>
        <v>22</v>
      </c>
      <c r="B48" s="10" t="s">
        <v>271</v>
      </c>
      <c r="C48" s="13" t="s">
        <v>10</v>
      </c>
      <c r="D48" s="60">
        <v>63</v>
      </c>
      <c r="E48" s="91">
        <v>1968.6400000000003</v>
      </c>
      <c r="F48" s="105">
        <f t="shared" ref="F48:F49" si="90">ROUND(E48*D48,2)</f>
        <v>124024.32000000001</v>
      </c>
      <c r="G48" s="105">
        <f t="shared" ref="G48:G49" si="91">ROUND(F48*1.2,2)</f>
        <v>148829.18</v>
      </c>
      <c r="H48" s="11"/>
      <c r="I48" s="106"/>
      <c r="J48" s="106"/>
      <c r="K48" s="107">
        <f t="shared" ref="K48:K49" si="92">F48+I48</f>
        <v>124024.32000000001</v>
      </c>
      <c r="L48" s="105">
        <f t="shared" ref="L48:L49" si="93">G48+J48</f>
        <v>148829.18</v>
      </c>
      <c r="M48" s="147"/>
      <c r="N48" s="105">
        <f t="shared" si="10"/>
        <v>2756.0960000000005</v>
      </c>
      <c r="O48" s="105">
        <f t="shared" si="11"/>
        <v>173634.05</v>
      </c>
      <c r="P48" s="105">
        <f t="shared" si="12"/>
        <v>208360.86</v>
      </c>
      <c r="Q48" s="105"/>
      <c r="R48" s="105"/>
      <c r="S48" s="105"/>
      <c r="T48" s="105">
        <f t="shared" si="13"/>
        <v>173634.05</v>
      </c>
      <c r="U48" s="105">
        <f t="shared" si="14"/>
        <v>208360.86</v>
      </c>
    </row>
    <row r="49" spans="1:21" ht="18" customHeight="1" x14ac:dyDescent="0.25">
      <c r="A49" s="94">
        <f t="shared" si="85"/>
        <v>23</v>
      </c>
      <c r="B49" s="10" t="s">
        <v>272</v>
      </c>
      <c r="C49" s="13" t="s">
        <v>10</v>
      </c>
      <c r="D49" s="60">
        <v>63</v>
      </c>
      <c r="E49" s="91">
        <v>2952.96</v>
      </c>
      <c r="F49" s="105">
        <f t="shared" si="90"/>
        <v>186036.48000000001</v>
      </c>
      <c r="G49" s="105">
        <f t="shared" si="91"/>
        <v>223243.78</v>
      </c>
      <c r="H49" s="11"/>
      <c r="I49" s="106"/>
      <c r="J49" s="106"/>
      <c r="K49" s="107">
        <f t="shared" si="92"/>
        <v>186036.48000000001</v>
      </c>
      <c r="L49" s="105">
        <f t="shared" si="93"/>
        <v>223243.78</v>
      </c>
      <c r="M49" s="147"/>
      <c r="N49" s="105">
        <f t="shared" si="10"/>
        <v>4134.1440000000002</v>
      </c>
      <c r="O49" s="105">
        <f t="shared" si="11"/>
        <v>260451.07</v>
      </c>
      <c r="P49" s="105">
        <f t="shared" si="12"/>
        <v>312541.28000000003</v>
      </c>
      <c r="Q49" s="105"/>
      <c r="R49" s="105"/>
      <c r="S49" s="105"/>
      <c r="T49" s="105">
        <f t="shared" si="13"/>
        <v>260451.07</v>
      </c>
      <c r="U49" s="105">
        <f t="shared" si="14"/>
        <v>312541.28000000003</v>
      </c>
    </row>
    <row r="50" spans="1:21" ht="18" customHeight="1" x14ac:dyDescent="0.25">
      <c r="A50" s="87" t="s">
        <v>270</v>
      </c>
      <c r="B50" s="95" t="s">
        <v>82</v>
      </c>
      <c r="C50" s="100" t="s">
        <v>10</v>
      </c>
      <c r="D50" s="96">
        <v>63</v>
      </c>
      <c r="E50" s="98"/>
      <c r="F50" s="108"/>
      <c r="G50" s="108"/>
      <c r="H50" s="108">
        <f>460000/1.2/D50</f>
        <v>6084.6560846560851</v>
      </c>
      <c r="I50" s="108">
        <f>ROUND(H50*D50,2)</f>
        <v>383333.33</v>
      </c>
      <c r="J50" s="108">
        <f>ROUND(I50*1.2,2)</f>
        <v>460000</v>
      </c>
      <c r="K50" s="98">
        <f>F50+I50</f>
        <v>383333.33</v>
      </c>
      <c r="L50" s="108">
        <f>G50+J50</f>
        <v>460000</v>
      </c>
      <c r="M50" s="147"/>
      <c r="N50" s="108">
        <f t="shared" si="10"/>
        <v>0</v>
      </c>
      <c r="O50" s="108">
        <f t="shared" si="11"/>
        <v>0</v>
      </c>
      <c r="P50" s="108">
        <f t="shared" si="12"/>
        <v>0</v>
      </c>
      <c r="Q50" s="108">
        <f>H50*$Q$1</f>
        <v>7605.8201058201066</v>
      </c>
      <c r="R50" s="108">
        <f>ROUND(Q50*D50,2)</f>
        <v>479166.67</v>
      </c>
      <c r="S50" s="108">
        <f>ROUND(R50*1.2,2)</f>
        <v>575000</v>
      </c>
      <c r="T50" s="108">
        <f>O50+R50</f>
        <v>479166.67</v>
      </c>
      <c r="U50" s="108">
        <f>P50+S50</f>
        <v>575000</v>
      </c>
    </row>
    <row r="51" spans="1:21" ht="18" customHeight="1" x14ac:dyDescent="0.25">
      <c r="A51" s="94">
        <f>A49+1</f>
        <v>24</v>
      </c>
      <c r="B51" s="10" t="s">
        <v>269</v>
      </c>
      <c r="C51" s="13" t="s">
        <v>10</v>
      </c>
      <c r="D51" s="60">
        <v>63</v>
      </c>
      <c r="E51" s="97">
        <v>833.25</v>
      </c>
      <c r="F51" s="105">
        <f t="shared" ref="F51:F56" si="94">ROUND(E51*D51,2)</f>
        <v>52494.75</v>
      </c>
      <c r="G51" s="105">
        <f t="shared" ref="G51:G56" si="95">ROUND(F51*1.2,2)</f>
        <v>62993.7</v>
      </c>
      <c r="H51" s="11"/>
      <c r="I51" s="106"/>
      <c r="J51" s="106"/>
      <c r="K51" s="107">
        <f t="shared" ref="K51:K57" si="96">F51+I51</f>
        <v>52494.75</v>
      </c>
      <c r="L51" s="105">
        <f t="shared" ref="L51:L57" si="97">G51+J51</f>
        <v>62993.7</v>
      </c>
      <c r="M51" s="147"/>
      <c r="N51" s="105">
        <f t="shared" si="10"/>
        <v>1166.55</v>
      </c>
      <c r="O51" s="105">
        <f t="shared" si="11"/>
        <v>73492.649999999994</v>
      </c>
      <c r="P51" s="105">
        <f t="shared" si="12"/>
        <v>88191.18</v>
      </c>
      <c r="Q51" s="105"/>
      <c r="R51" s="105"/>
      <c r="S51" s="105"/>
      <c r="T51" s="105">
        <f t="shared" si="13"/>
        <v>73492.649999999994</v>
      </c>
      <c r="U51" s="105">
        <f t="shared" si="14"/>
        <v>88191.18</v>
      </c>
    </row>
    <row r="52" spans="1:21" ht="18" customHeight="1" x14ac:dyDescent="0.25">
      <c r="A52" s="87" t="s">
        <v>285</v>
      </c>
      <c r="B52" s="95" t="s">
        <v>307</v>
      </c>
      <c r="C52" s="100" t="s">
        <v>149</v>
      </c>
      <c r="D52" s="139">
        <v>104</v>
      </c>
      <c r="E52" s="98"/>
      <c r="F52" s="108"/>
      <c r="G52" s="108"/>
      <c r="H52" s="108">
        <f>2581/1.2</f>
        <v>2150.8333333333335</v>
      </c>
      <c r="I52" s="108">
        <f t="shared" ref="I52:I55" si="98">ROUND(H52*D52,2)</f>
        <v>223686.67</v>
      </c>
      <c r="J52" s="108">
        <f t="shared" ref="J52:J55" si="99">ROUND(I52*1.2,2)</f>
        <v>268424</v>
      </c>
      <c r="K52" s="98">
        <f t="shared" ref="K52:K55" si="100">F52+I52</f>
        <v>223686.67</v>
      </c>
      <c r="L52" s="108">
        <f t="shared" ref="L52:L55" si="101">G52+J52</f>
        <v>268424</v>
      </c>
      <c r="M52" s="147"/>
      <c r="N52" s="108">
        <f t="shared" si="10"/>
        <v>0</v>
      </c>
      <c r="O52" s="108">
        <f t="shared" si="11"/>
        <v>0</v>
      </c>
      <c r="P52" s="108">
        <f t="shared" si="12"/>
        <v>0</v>
      </c>
      <c r="Q52" s="108">
        <f t="shared" ref="Q52:Q55" si="102">H52*$Q$1</f>
        <v>2688.541666666667</v>
      </c>
      <c r="R52" s="108">
        <f t="shared" ref="R52:R55" si="103">ROUND(Q52*D52,2)</f>
        <v>279608.33</v>
      </c>
      <c r="S52" s="108">
        <f t="shared" ref="S52:S55" si="104">ROUND(R52*1.2,2)</f>
        <v>335530</v>
      </c>
      <c r="T52" s="108">
        <f t="shared" si="13"/>
        <v>279608.33</v>
      </c>
      <c r="U52" s="108">
        <f t="shared" si="14"/>
        <v>335530</v>
      </c>
    </row>
    <row r="53" spans="1:21" ht="18" customHeight="1" x14ac:dyDescent="0.25">
      <c r="A53" s="87" t="s">
        <v>286</v>
      </c>
      <c r="B53" s="95" t="s">
        <v>310</v>
      </c>
      <c r="C53" s="100" t="s">
        <v>149</v>
      </c>
      <c r="D53" s="139">
        <v>104</v>
      </c>
      <c r="E53" s="98"/>
      <c r="F53" s="108"/>
      <c r="G53" s="108"/>
      <c r="H53" s="108">
        <f>98/1.2</f>
        <v>81.666666666666671</v>
      </c>
      <c r="I53" s="108">
        <f t="shared" ref="I53" si="105">ROUND(H53*D53,2)</f>
        <v>8493.33</v>
      </c>
      <c r="J53" s="108">
        <f t="shared" ref="J53" si="106">ROUND(I53*1.2,2)</f>
        <v>10192</v>
      </c>
      <c r="K53" s="98">
        <f t="shared" ref="K53" si="107">F53+I53</f>
        <v>8493.33</v>
      </c>
      <c r="L53" s="108">
        <f t="shared" ref="L53" si="108">G53+J53</f>
        <v>10192</v>
      </c>
      <c r="M53" s="147"/>
      <c r="N53" s="108"/>
      <c r="O53" s="108"/>
      <c r="P53" s="108"/>
      <c r="Q53" s="108">
        <f t="shared" ref="Q53" si="109">H53*$Q$1</f>
        <v>102.08333333333334</v>
      </c>
      <c r="R53" s="108">
        <f t="shared" ref="R53" si="110">ROUND(Q53*D53,2)</f>
        <v>10616.67</v>
      </c>
      <c r="S53" s="108">
        <f t="shared" si="104"/>
        <v>12740</v>
      </c>
      <c r="T53" s="108">
        <f t="shared" ref="T53" si="111">O53+R53</f>
        <v>10616.67</v>
      </c>
      <c r="U53" s="108">
        <f t="shared" ref="U53" si="112">P53+S53</f>
        <v>12740</v>
      </c>
    </row>
    <row r="54" spans="1:21" ht="18" customHeight="1" x14ac:dyDescent="0.25">
      <c r="A54" s="87" t="s">
        <v>287</v>
      </c>
      <c r="B54" s="95" t="s">
        <v>289</v>
      </c>
      <c r="C54" s="100" t="s">
        <v>149</v>
      </c>
      <c r="D54" s="96">
        <v>520</v>
      </c>
      <c r="E54" s="98"/>
      <c r="F54" s="108"/>
      <c r="G54" s="108"/>
      <c r="H54" s="108">
        <f>31126/1.2/520</f>
        <v>49.881410256410263</v>
      </c>
      <c r="I54" s="108">
        <f t="shared" si="98"/>
        <v>25938.33</v>
      </c>
      <c r="J54" s="108">
        <f t="shared" si="99"/>
        <v>31126</v>
      </c>
      <c r="K54" s="98">
        <f t="shared" si="100"/>
        <v>25938.33</v>
      </c>
      <c r="L54" s="108">
        <f t="shared" si="101"/>
        <v>31126</v>
      </c>
      <c r="M54" s="147"/>
      <c r="N54" s="108">
        <f t="shared" si="10"/>
        <v>0</v>
      </c>
      <c r="O54" s="108">
        <f t="shared" si="11"/>
        <v>0</v>
      </c>
      <c r="P54" s="108">
        <f t="shared" si="12"/>
        <v>0</v>
      </c>
      <c r="Q54" s="108">
        <f t="shared" si="102"/>
        <v>62.351762820512832</v>
      </c>
      <c r="R54" s="108">
        <f t="shared" si="103"/>
        <v>32422.92</v>
      </c>
      <c r="S54" s="108">
        <f t="shared" si="104"/>
        <v>38907.5</v>
      </c>
      <c r="T54" s="108">
        <f t="shared" si="13"/>
        <v>32422.92</v>
      </c>
      <c r="U54" s="108">
        <f t="shared" si="14"/>
        <v>38907.5</v>
      </c>
    </row>
    <row r="55" spans="1:21" ht="18" customHeight="1" x14ac:dyDescent="0.25">
      <c r="A55" s="87" t="s">
        <v>291</v>
      </c>
      <c r="B55" s="95" t="s">
        <v>290</v>
      </c>
      <c r="C55" s="100" t="s">
        <v>149</v>
      </c>
      <c r="D55" s="96">
        <v>486</v>
      </c>
      <c r="E55" s="98"/>
      <c r="F55" s="108"/>
      <c r="G55" s="108"/>
      <c r="H55" s="108">
        <f>43248/1.2/486</f>
        <v>74.156378600823047</v>
      </c>
      <c r="I55" s="108">
        <f t="shared" si="98"/>
        <v>36040</v>
      </c>
      <c r="J55" s="108">
        <f t="shared" si="99"/>
        <v>43248</v>
      </c>
      <c r="K55" s="98">
        <f t="shared" si="100"/>
        <v>36040</v>
      </c>
      <c r="L55" s="108">
        <f t="shared" si="101"/>
        <v>43248</v>
      </c>
      <c r="M55" s="147"/>
      <c r="N55" s="108">
        <f t="shared" si="10"/>
        <v>0</v>
      </c>
      <c r="O55" s="108">
        <f t="shared" si="11"/>
        <v>0</v>
      </c>
      <c r="P55" s="108">
        <f t="shared" si="12"/>
        <v>0</v>
      </c>
      <c r="Q55" s="108">
        <f t="shared" si="102"/>
        <v>92.695473251028801</v>
      </c>
      <c r="R55" s="108">
        <f t="shared" si="103"/>
        <v>45050</v>
      </c>
      <c r="S55" s="108">
        <f t="shared" si="104"/>
        <v>54060</v>
      </c>
      <c r="T55" s="108">
        <f t="shared" si="13"/>
        <v>45050</v>
      </c>
      <c r="U55" s="108">
        <f t="shared" si="14"/>
        <v>54060</v>
      </c>
    </row>
    <row r="56" spans="1:21" ht="18" customHeight="1" x14ac:dyDescent="0.25">
      <c r="A56" s="94">
        <f>A51+1</f>
        <v>25</v>
      </c>
      <c r="B56" s="10" t="s">
        <v>163</v>
      </c>
      <c r="C56" s="13" t="s">
        <v>10</v>
      </c>
      <c r="D56" s="60">
        <v>2</v>
      </c>
      <c r="E56" s="112">
        <v>3691.2</v>
      </c>
      <c r="F56" s="105">
        <f t="shared" si="94"/>
        <v>7382.4</v>
      </c>
      <c r="G56" s="105">
        <f t="shared" si="95"/>
        <v>8858.8799999999992</v>
      </c>
      <c r="H56" s="11"/>
      <c r="I56" s="106"/>
      <c r="J56" s="106"/>
      <c r="K56" s="107">
        <f t="shared" si="96"/>
        <v>7382.4</v>
      </c>
      <c r="L56" s="105">
        <f t="shared" si="97"/>
        <v>8858.8799999999992</v>
      </c>
      <c r="M56" s="147"/>
      <c r="N56" s="105">
        <f t="shared" si="10"/>
        <v>5167.6799999999994</v>
      </c>
      <c r="O56" s="105">
        <f t="shared" si="11"/>
        <v>10335.36</v>
      </c>
      <c r="P56" s="105">
        <f t="shared" si="12"/>
        <v>12402.43</v>
      </c>
      <c r="Q56" s="105"/>
      <c r="R56" s="105"/>
      <c r="S56" s="105"/>
      <c r="T56" s="105">
        <f t="shared" si="13"/>
        <v>10335.36</v>
      </c>
      <c r="U56" s="105">
        <f t="shared" si="14"/>
        <v>12402.43</v>
      </c>
    </row>
    <row r="57" spans="1:21" ht="18" customHeight="1" x14ac:dyDescent="0.25">
      <c r="A57" s="87" t="s">
        <v>273</v>
      </c>
      <c r="B57" s="92" t="s">
        <v>164</v>
      </c>
      <c r="C57" s="100" t="s">
        <v>10</v>
      </c>
      <c r="D57" s="96">
        <v>2</v>
      </c>
      <c r="E57" s="98"/>
      <c r="F57" s="108"/>
      <c r="G57" s="108"/>
      <c r="H57" s="108">
        <f>7000/1.2</f>
        <v>5833.3333333333339</v>
      </c>
      <c r="I57" s="108">
        <f t="shared" ref="I57" si="113">ROUND(H57*D57,2)</f>
        <v>11666.67</v>
      </c>
      <c r="J57" s="108">
        <f t="shared" ref="J57" si="114">ROUND(I57*1.2,2)</f>
        <v>14000</v>
      </c>
      <c r="K57" s="98">
        <f t="shared" si="96"/>
        <v>11666.67</v>
      </c>
      <c r="L57" s="108">
        <f t="shared" si="97"/>
        <v>14000</v>
      </c>
      <c r="M57" s="147"/>
      <c r="N57" s="108">
        <f t="shared" si="10"/>
        <v>0</v>
      </c>
      <c r="O57" s="108">
        <f t="shared" si="11"/>
        <v>0</v>
      </c>
      <c r="P57" s="108">
        <f t="shared" si="12"/>
        <v>0</v>
      </c>
      <c r="Q57" s="108">
        <f>H57*$Q$1</f>
        <v>7291.6666666666679</v>
      </c>
      <c r="R57" s="108">
        <f>ROUND(Q57*D57,2)</f>
        <v>14583.33</v>
      </c>
      <c r="S57" s="108">
        <f>ROUND(R57*1.2,2)</f>
        <v>17500</v>
      </c>
      <c r="T57" s="108">
        <f>O57+R57</f>
        <v>14583.33</v>
      </c>
      <c r="U57" s="108">
        <f>P57+S57</f>
        <v>17500</v>
      </c>
    </row>
    <row r="58" spans="1:21" ht="18" customHeight="1" x14ac:dyDescent="0.25">
      <c r="A58" s="94">
        <f>A56+1</f>
        <v>26</v>
      </c>
      <c r="B58" s="10" t="s">
        <v>267</v>
      </c>
      <c r="C58" s="13" t="s">
        <v>10</v>
      </c>
      <c r="D58" s="60">
        <v>1</v>
      </c>
      <c r="E58" s="97">
        <f>E46*1.5</f>
        <v>12480</v>
      </c>
      <c r="F58" s="105">
        <f t="shared" si="81"/>
        <v>12480</v>
      </c>
      <c r="G58" s="105">
        <f t="shared" si="82"/>
        <v>14976</v>
      </c>
      <c r="H58" s="11"/>
      <c r="I58" s="106"/>
      <c r="J58" s="106"/>
      <c r="K58" s="107">
        <f t="shared" si="83"/>
        <v>12480</v>
      </c>
      <c r="L58" s="105">
        <f t="shared" si="84"/>
        <v>14976</v>
      </c>
      <c r="M58" s="147"/>
      <c r="N58" s="105">
        <f t="shared" si="10"/>
        <v>17472</v>
      </c>
      <c r="O58" s="105">
        <f t="shared" si="11"/>
        <v>17472</v>
      </c>
      <c r="P58" s="105">
        <f t="shared" si="12"/>
        <v>20966.400000000001</v>
      </c>
      <c r="Q58" s="105"/>
      <c r="R58" s="105"/>
      <c r="S58" s="105"/>
      <c r="T58" s="105">
        <f t="shared" si="13"/>
        <v>17472</v>
      </c>
      <c r="U58" s="105">
        <f t="shared" si="14"/>
        <v>20966.400000000001</v>
      </c>
    </row>
    <row r="59" spans="1:21" ht="18" customHeight="1" x14ac:dyDescent="0.25">
      <c r="A59" s="94">
        <f>A58+1</f>
        <v>27</v>
      </c>
      <c r="B59" s="10" t="s">
        <v>236</v>
      </c>
      <c r="C59" s="13" t="s">
        <v>7</v>
      </c>
      <c r="D59" s="88">
        <v>16.43</v>
      </c>
      <c r="E59" s="97">
        <v>1933.2</v>
      </c>
      <c r="F59" s="105">
        <f t="shared" si="81"/>
        <v>31762.48</v>
      </c>
      <c r="G59" s="105">
        <f t="shared" si="82"/>
        <v>38114.980000000003</v>
      </c>
      <c r="H59" s="11"/>
      <c r="I59" s="106"/>
      <c r="J59" s="106"/>
      <c r="K59" s="107">
        <f t="shared" si="83"/>
        <v>31762.48</v>
      </c>
      <c r="L59" s="105">
        <f t="shared" si="84"/>
        <v>38114.980000000003</v>
      </c>
      <c r="M59" s="147"/>
      <c r="N59" s="105">
        <f t="shared" si="10"/>
        <v>2706.48</v>
      </c>
      <c r="O59" s="105">
        <f t="shared" si="11"/>
        <v>44467.47</v>
      </c>
      <c r="P59" s="105">
        <f t="shared" si="12"/>
        <v>53360.959999999999</v>
      </c>
      <c r="Q59" s="105"/>
      <c r="R59" s="105"/>
      <c r="S59" s="105"/>
      <c r="T59" s="105">
        <f t="shared" si="13"/>
        <v>44467.47</v>
      </c>
      <c r="U59" s="105">
        <f t="shared" si="14"/>
        <v>53360.959999999999</v>
      </c>
    </row>
    <row r="60" spans="1:21" ht="18" customHeight="1" x14ac:dyDescent="0.25">
      <c r="A60" s="87" t="s">
        <v>274</v>
      </c>
      <c r="B60" s="95" t="s">
        <v>12</v>
      </c>
      <c r="C60" s="100" t="s">
        <v>7</v>
      </c>
      <c r="D60" s="101">
        <f>ROUND(D59*1.26,2)</f>
        <v>20.7</v>
      </c>
      <c r="E60" s="98"/>
      <c r="F60" s="108"/>
      <c r="G60" s="108"/>
      <c r="H60" s="108">
        <v>3720</v>
      </c>
      <c r="I60" s="108">
        <f>ROUND(H60*D60,2)</f>
        <v>77004</v>
      </c>
      <c r="J60" s="108">
        <f>ROUND(I60*1.2,2)</f>
        <v>92404.800000000003</v>
      </c>
      <c r="K60" s="98">
        <f>F60+I60</f>
        <v>77004</v>
      </c>
      <c r="L60" s="108">
        <f>G60+J60</f>
        <v>92404.800000000003</v>
      </c>
      <c r="M60" s="147"/>
      <c r="N60" s="108">
        <f t="shared" si="10"/>
        <v>0</v>
      </c>
      <c r="O60" s="108">
        <f t="shared" si="11"/>
        <v>0</v>
      </c>
      <c r="P60" s="108">
        <f t="shared" si="12"/>
        <v>0</v>
      </c>
      <c r="Q60" s="108">
        <f>H60*$Q$1</f>
        <v>4650</v>
      </c>
      <c r="R60" s="108">
        <f>ROUND(Q60*D60,2)</f>
        <v>96255</v>
      </c>
      <c r="S60" s="108">
        <f>ROUND(R60*1.2,2)</f>
        <v>115506</v>
      </c>
      <c r="T60" s="108">
        <f>O60+R60</f>
        <v>96255</v>
      </c>
      <c r="U60" s="108">
        <f>P60+S60</f>
        <v>115506</v>
      </c>
    </row>
    <row r="61" spans="1:21" ht="18" customHeight="1" x14ac:dyDescent="0.25">
      <c r="A61" s="94">
        <f>A59+1</f>
        <v>28</v>
      </c>
      <c r="B61" s="10" t="s">
        <v>237</v>
      </c>
      <c r="C61" s="13" t="s">
        <v>7</v>
      </c>
      <c r="D61" s="88">
        <v>3.3</v>
      </c>
      <c r="E61" s="97">
        <v>2395.1999999999998</v>
      </c>
      <c r="F61" s="105">
        <f t="shared" ref="F61" si="115">ROUND(E61*D61,2)</f>
        <v>7904.16</v>
      </c>
      <c r="G61" s="105">
        <f t="shared" ref="G61" si="116">ROUND(F61*1.2,2)</f>
        <v>9484.99</v>
      </c>
      <c r="H61" s="11"/>
      <c r="I61" s="106"/>
      <c r="J61" s="106"/>
      <c r="K61" s="107">
        <f t="shared" ref="K61" si="117">F61+I61</f>
        <v>7904.16</v>
      </c>
      <c r="L61" s="105">
        <f t="shared" ref="L61" si="118">G61+J61</f>
        <v>9484.99</v>
      </c>
      <c r="M61" s="147"/>
      <c r="N61" s="105">
        <f t="shared" si="10"/>
        <v>3353.2799999999997</v>
      </c>
      <c r="O61" s="105">
        <f t="shared" si="11"/>
        <v>11065.82</v>
      </c>
      <c r="P61" s="105">
        <f t="shared" si="12"/>
        <v>13278.98</v>
      </c>
      <c r="Q61" s="105"/>
      <c r="R61" s="105"/>
      <c r="S61" s="105"/>
      <c r="T61" s="105">
        <f t="shared" si="13"/>
        <v>11065.82</v>
      </c>
      <c r="U61" s="105">
        <f t="shared" si="14"/>
        <v>13278.98</v>
      </c>
    </row>
    <row r="62" spans="1:21" ht="18" customHeight="1" x14ac:dyDescent="0.25">
      <c r="A62" s="87" t="s">
        <v>275</v>
      </c>
      <c r="B62" s="95" t="s">
        <v>12</v>
      </c>
      <c r="C62" s="100" t="s">
        <v>7</v>
      </c>
      <c r="D62" s="101">
        <f>ROUND(D61*1.26,2)</f>
        <v>4.16</v>
      </c>
      <c r="E62" s="98"/>
      <c r="F62" s="108"/>
      <c r="G62" s="108"/>
      <c r="H62" s="108">
        <v>3720</v>
      </c>
      <c r="I62" s="108">
        <f>ROUND(H62*D62,2)</f>
        <v>15475.2</v>
      </c>
      <c r="J62" s="108">
        <f>ROUND(I62*1.2,2)</f>
        <v>18570.240000000002</v>
      </c>
      <c r="K62" s="98">
        <f>F62+I62</f>
        <v>15475.2</v>
      </c>
      <c r="L62" s="108">
        <f>G62+J62</f>
        <v>18570.240000000002</v>
      </c>
      <c r="M62" s="147"/>
      <c r="N62" s="108">
        <f t="shared" si="10"/>
        <v>0</v>
      </c>
      <c r="O62" s="108">
        <f t="shared" si="11"/>
        <v>0</v>
      </c>
      <c r="P62" s="108">
        <f t="shared" si="12"/>
        <v>0</v>
      </c>
      <c r="Q62" s="108">
        <f>H62*$Q$1</f>
        <v>4650</v>
      </c>
      <c r="R62" s="108">
        <f>ROUND(Q62*D62,2)</f>
        <v>19344</v>
      </c>
      <c r="S62" s="108">
        <f>ROUND(R62*1.2,2)</f>
        <v>23212.799999999999</v>
      </c>
      <c r="T62" s="108">
        <f>O62+R62</f>
        <v>19344</v>
      </c>
      <c r="U62" s="108">
        <f>P62+S62</f>
        <v>23212.799999999999</v>
      </c>
    </row>
    <row r="63" spans="1:21" ht="18" customHeight="1" x14ac:dyDescent="0.25">
      <c r="A63" s="94">
        <f>A61+1</f>
        <v>29</v>
      </c>
      <c r="B63" s="10" t="s">
        <v>244</v>
      </c>
      <c r="C63" s="13" t="s">
        <v>15</v>
      </c>
      <c r="D63" s="89">
        <v>6.5860000000000003</v>
      </c>
      <c r="E63" s="97">
        <v>450</v>
      </c>
      <c r="F63" s="105">
        <f t="shared" ref="F63" si="119">ROUND(E63*D63,2)</f>
        <v>2963.7</v>
      </c>
      <c r="G63" s="105">
        <f t="shared" ref="G63" si="120">ROUND(F63*1.2,2)</f>
        <v>3556.44</v>
      </c>
      <c r="H63" s="11"/>
      <c r="I63" s="106"/>
      <c r="J63" s="106"/>
      <c r="K63" s="107">
        <f t="shared" ref="K63" si="121">F63+I63</f>
        <v>2963.7</v>
      </c>
      <c r="L63" s="105">
        <f t="shared" ref="L63" si="122">G63+J63</f>
        <v>3556.44</v>
      </c>
      <c r="M63" s="147"/>
      <c r="N63" s="105">
        <f t="shared" si="10"/>
        <v>630</v>
      </c>
      <c r="O63" s="105">
        <f t="shared" si="11"/>
        <v>4149.18</v>
      </c>
      <c r="P63" s="105">
        <f t="shared" si="12"/>
        <v>4979.0200000000004</v>
      </c>
      <c r="Q63" s="105"/>
      <c r="R63" s="105"/>
      <c r="S63" s="105"/>
      <c r="T63" s="105">
        <f t="shared" si="13"/>
        <v>4149.18</v>
      </c>
      <c r="U63" s="105">
        <f t="shared" si="14"/>
        <v>4979.0200000000004</v>
      </c>
    </row>
    <row r="64" spans="1:21" ht="20.25" customHeight="1" x14ac:dyDescent="0.25">
      <c r="A64" s="6"/>
      <c r="B64" s="135" t="s">
        <v>276</v>
      </c>
      <c r="C64" s="136"/>
      <c r="D64" s="136"/>
      <c r="E64" s="7"/>
      <c r="F64" s="8"/>
      <c r="G64" s="9"/>
      <c r="H64" s="9"/>
      <c r="I64" s="9"/>
      <c r="J64" s="9"/>
      <c r="K64" s="9"/>
      <c r="L64" s="9"/>
      <c r="M64" s="146"/>
      <c r="N64" s="9">
        <f t="shared" si="10"/>
        <v>0</v>
      </c>
      <c r="O64" s="9">
        <f t="shared" si="11"/>
        <v>0</v>
      </c>
      <c r="P64" s="9">
        <f t="shared" si="12"/>
        <v>0</v>
      </c>
      <c r="Q64" s="9"/>
      <c r="R64" s="9"/>
      <c r="S64" s="9"/>
      <c r="T64" s="9">
        <f t="shared" si="13"/>
        <v>0</v>
      </c>
      <c r="U64" s="9">
        <f t="shared" si="14"/>
        <v>0</v>
      </c>
    </row>
    <row r="65" spans="1:21" ht="22.5" customHeight="1" x14ac:dyDescent="0.25">
      <c r="A65" s="94">
        <f>A63+1</f>
        <v>30</v>
      </c>
      <c r="B65" s="10" t="s">
        <v>235</v>
      </c>
      <c r="C65" s="13" t="s">
        <v>7</v>
      </c>
      <c r="D65" s="88">
        <v>16.62</v>
      </c>
      <c r="E65" s="97">
        <v>3800</v>
      </c>
      <c r="F65" s="105">
        <f t="shared" ref="F65:F69" si="123">ROUND(E65*D65,2)</f>
        <v>63156</v>
      </c>
      <c r="G65" s="105">
        <f t="shared" ref="G65:G69" si="124">ROUND(F65*1.2,2)</f>
        <v>75787.199999999997</v>
      </c>
      <c r="H65" s="11"/>
      <c r="I65" s="106"/>
      <c r="J65" s="106"/>
      <c r="K65" s="107">
        <f t="shared" ref="K65:K70" si="125">F65+I65</f>
        <v>63156</v>
      </c>
      <c r="L65" s="105">
        <f t="shared" ref="L65:L70" si="126">G65+J65</f>
        <v>75787.199999999997</v>
      </c>
      <c r="M65" s="147"/>
      <c r="N65" s="105">
        <f t="shared" si="10"/>
        <v>5320</v>
      </c>
      <c r="O65" s="105">
        <f t="shared" si="11"/>
        <v>88418.4</v>
      </c>
      <c r="P65" s="105">
        <f t="shared" si="12"/>
        <v>106102.08</v>
      </c>
      <c r="Q65" s="105"/>
      <c r="R65" s="105"/>
      <c r="S65" s="105"/>
      <c r="T65" s="105">
        <f t="shared" si="13"/>
        <v>88418.4</v>
      </c>
      <c r="U65" s="105">
        <f t="shared" si="14"/>
        <v>106102.08</v>
      </c>
    </row>
    <row r="66" spans="1:21" ht="18" customHeight="1" x14ac:dyDescent="0.25">
      <c r="A66" s="94">
        <f>A65+1</f>
        <v>31</v>
      </c>
      <c r="B66" s="10" t="s">
        <v>124</v>
      </c>
      <c r="C66" s="13" t="s">
        <v>10</v>
      </c>
      <c r="D66" s="60">
        <v>1</v>
      </c>
      <c r="E66" s="97">
        <v>8320</v>
      </c>
      <c r="F66" s="105">
        <f t="shared" si="123"/>
        <v>8320</v>
      </c>
      <c r="G66" s="105">
        <f t="shared" si="124"/>
        <v>9984</v>
      </c>
      <c r="H66" s="11"/>
      <c r="I66" s="106"/>
      <c r="J66" s="106"/>
      <c r="K66" s="107">
        <f t="shared" si="125"/>
        <v>8320</v>
      </c>
      <c r="L66" s="105">
        <f t="shared" si="126"/>
        <v>9984</v>
      </c>
      <c r="M66" s="147"/>
      <c r="N66" s="105">
        <f t="shared" si="10"/>
        <v>11648</v>
      </c>
      <c r="O66" s="105">
        <f t="shared" si="11"/>
        <v>11648</v>
      </c>
      <c r="P66" s="105">
        <f t="shared" si="12"/>
        <v>13977.6</v>
      </c>
      <c r="Q66" s="105"/>
      <c r="R66" s="105"/>
      <c r="S66" s="105"/>
      <c r="T66" s="105">
        <f t="shared" si="13"/>
        <v>11648</v>
      </c>
      <c r="U66" s="105">
        <f t="shared" si="14"/>
        <v>13977.6</v>
      </c>
    </row>
    <row r="67" spans="1:21" ht="18" customHeight="1" x14ac:dyDescent="0.25">
      <c r="A67" s="94">
        <f t="shared" ref="A67:A68" si="127">A66+1</f>
        <v>32</v>
      </c>
      <c r="B67" s="10" t="s">
        <v>255</v>
      </c>
      <c r="C67" s="13" t="s">
        <v>10</v>
      </c>
      <c r="D67" s="60">
        <v>96</v>
      </c>
      <c r="E67" s="97">
        <v>750</v>
      </c>
      <c r="F67" s="105">
        <f t="shared" si="123"/>
        <v>72000</v>
      </c>
      <c r="G67" s="105">
        <f t="shared" si="124"/>
        <v>86400</v>
      </c>
      <c r="H67" s="11"/>
      <c r="I67" s="106"/>
      <c r="J67" s="106"/>
      <c r="K67" s="107">
        <f t="shared" si="125"/>
        <v>72000</v>
      </c>
      <c r="L67" s="105">
        <f t="shared" si="126"/>
        <v>86400</v>
      </c>
      <c r="M67" s="147"/>
      <c r="N67" s="105">
        <f t="shared" si="10"/>
        <v>1050</v>
      </c>
      <c r="O67" s="105">
        <f t="shared" si="11"/>
        <v>100800</v>
      </c>
      <c r="P67" s="105">
        <f t="shared" si="12"/>
        <v>120960</v>
      </c>
      <c r="Q67" s="105"/>
      <c r="R67" s="105"/>
      <c r="S67" s="105"/>
      <c r="T67" s="105">
        <f t="shared" si="13"/>
        <v>100800</v>
      </c>
      <c r="U67" s="105">
        <f t="shared" si="14"/>
        <v>120960</v>
      </c>
    </row>
    <row r="68" spans="1:21" ht="18" customHeight="1" x14ac:dyDescent="0.25">
      <c r="A68" s="94">
        <f t="shared" si="127"/>
        <v>33</v>
      </c>
      <c r="B68" s="10" t="s">
        <v>271</v>
      </c>
      <c r="C68" s="13" t="s">
        <v>10</v>
      </c>
      <c r="D68" s="60">
        <v>18</v>
      </c>
      <c r="E68" s="91">
        <v>1968.6400000000003</v>
      </c>
      <c r="F68" s="105">
        <f t="shared" si="123"/>
        <v>35435.519999999997</v>
      </c>
      <c r="G68" s="105">
        <f t="shared" si="124"/>
        <v>42522.62</v>
      </c>
      <c r="H68" s="11"/>
      <c r="I68" s="106"/>
      <c r="J68" s="106"/>
      <c r="K68" s="107">
        <f t="shared" si="125"/>
        <v>35435.519999999997</v>
      </c>
      <c r="L68" s="105">
        <f t="shared" si="126"/>
        <v>42522.62</v>
      </c>
      <c r="M68" s="147"/>
      <c r="N68" s="105">
        <f t="shared" si="10"/>
        <v>2756.0960000000005</v>
      </c>
      <c r="O68" s="105">
        <f t="shared" si="11"/>
        <v>49609.73</v>
      </c>
      <c r="P68" s="105">
        <f t="shared" si="12"/>
        <v>59531.68</v>
      </c>
      <c r="Q68" s="105"/>
      <c r="R68" s="105"/>
      <c r="S68" s="105"/>
      <c r="T68" s="105">
        <f t="shared" si="13"/>
        <v>49609.73</v>
      </c>
      <c r="U68" s="105">
        <f t="shared" si="14"/>
        <v>59531.68</v>
      </c>
    </row>
    <row r="69" spans="1:21" ht="18" customHeight="1" x14ac:dyDescent="0.25">
      <c r="A69" s="94">
        <v>34</v>
      </c>
      <c r="B69" s="10" t="s">
        <v>272</v>
      </c>
      <c r="C69" s="13" t="s">
        <v>10</v>
      </c>
      <c r="D69" s="60">
        <v>63</v>
      </c>
      <c r="E69" s="91">
        <v>2952.96</v>
      </c>
      <c r="F69" s="105">
        <f t="shared" si="123"/>
        <v>186036.48000000001</v>
      </c>
      <c r="G69" s="105">
        <f t="shared" si="124"/>
        <v>223243.78</v>
      </c>
      <c r="H69" s="11"/>
      <c r="I69" s="106"/>
      <c r="J69" s="106"/>
      <c r="K69" s="107">
        <f t="shared" si="125"/>
        <v>186036.48000000001</v>
      </c>
      <c r="L69" s="105">
        <f t="shared" si="126"/>
        <v>223243.78</v>
      </c>
      <c r="M69" s="147"/>
      <c r="N69" s="105">
        <f t="shared" si="10"/>
        <v>4134.1440000000002</v>
      </c>
      <c r="O69" s="105">
        <f t="shared" si="11"/>
        <v>260451.07</v>
      </c>
      <c r="P69" s="105">
        <f t="shared" si="12"/>
        <v>312541.28000000003</v>
      </c>
      <c r="Q69" s="105"/>
      <c r="R69" s="105"/>
      <c r="S69" s="105"/>
      <c r="T69" s="105">
        <f t="shared" si="13"/>
        <v>260451.07</v>
      </c>
      <c r="U69" s="105">
        <f t="shared" si="14"/>
        <v>312541.28000000003</v>
      </c>
    </row>
    <row r="70" spans="1:21" ht="18" customHeight="1" x14ac:dyDescent="0.25">
      <c r="A70" s="87" t="s">
        <v>280</v>
      </c>
      <c r="B70" s="95" t="s">
        <v>282</v>
      </c>
      <c r="C70" s="100" t="s">
        <v>10</v>
      </c>
      <c r="D70" s="96">
        <v>63</v>
      </c>
      <c r="E70" s="98"/>
      <c r="F70" s="108"/>
      <c r="G70" s="108"/>
      <c r="H70" s="108">
        <f>460000/1.2/D70</f>
        <v>6084.6560846560851</v>
      </c>
      <c r="I70" s="108">
        <f t="shared" ref="I70" si="128">ROUND(H70*D70,2)</f>
        <v>383333.33</v>
      </c>
      <c r="J70" s="108">
        <f t="shared" ref="J70" si="129">ROUND(I70*1.2,2)</f>
        <v>460000</v>
      </c>
      <c r="K70" s="98">
        <f t="shared" si="125"/>
        <v>383333.33</v>
      </c>
      <c r="L70" s="108">
        <f t="shared" si="126"/>
        <v>460000</v>
      </c>
      <c r="M70" s="147"/>
      <c r="N70" s="108">
        <f t="shared" si="10"/>
        <v>0</v>
      </c>
      <c r="O70" s="108">
        <f t="shared" si="11"/>
        <v>0</v>
      </c>
      <c r="P70" s="108">
        <f t="shared" si="12"/>
        <v>0</v>
      </c>
      <c r="Q70" s="108">
        <f>H70*$Q$1</f>
        <v>7605.8201058201066</v>
      </c>
      <c r="R70" s="108">
        <f>ROUND(Q70*D70,2)</f>
        <v>479166.67</v>
      </c>
      <c r="S70" s="108">
        <f>ROUND(R70*1.2,2)</f>
        <v>575000</v>
      </c>
      <c r="T70" s="108">
        <f>O70+R70</f>
        <v>479166.67</v>
      </c>
      <c r="U70" s="108">
        <f>P70+S70</f>
        <v>575000</v>
      </c>
    </row>
    <row r="71" spans="1:21" ht="18" customHeight="1" x14ac:dyDescent="0.25">
      <c r="A71" s="94">
        <f>A69+1</f>
        <v>35</v>
      </c>
      <c r="B71" s="10" t="s">
        <v>269</v>
      </c>
      <c r="C71" s="13" t="s">
        <v>10</v>
      </c>
      <c r="D71" s="60">
        <v>63</v>
      </c>
      <c r="E71" s="97">
        <v>833.25</v>
      </c>
      <c r="F71" s="105">
        <f t="shared" ref="F71:F76" si="130">ROUND(E71*D71,2)</f>
        <v>52494.75</v>
      </c>
      <c r="G71" s="105">
        <f t="shared" ref="G71:G76" si="131">ROUND(F71*1.2,2)</f>
        <v>62993.7</v>
      </c>
      <c r="H71" s="11"/>
      <c r="I71" s="106"/>
      <c r="J71" s="106"/>
      <c r="K71" s="107">
        <f t="shared" ref="K71:K79" si="132">F71+I71</f>
        <v>52494.75</v>
      </c>
      <c r="L71" s="105">
        <f t="shared" ref="L71:L79" si="133">G71+J71</f>
        <v>62993.7</v>
      </c>
      <c r="M71" s="147"/>
      <c r="N71" s="105">
        <f t="shared" si="10"/>
        <v>1166.55</v>
      </c>
      <c r="O71" s="105">
        <f t="shared" si="11"/>
        <v>73492.649999999994</v>
      </c>
      <c r="P71" s="105">
        <f t="shared" si="12"/>
        <v>88191.18</v>
      </c>
      <c r="Q71" s="105"/>
      <c r="R71" s="105"/>
      <c r="S71" s="105"/>
      <c r="T71" s="105">
        <f t="shared" si="13"/>
        <v>73492.649999999994</v>
      </c>
      <c r="U71" s="105">
        <f t="shared" si="14"/>
        <v>88191.18</v>
      </c>
    </row>
    <row r="72" spans="1:21" ht="18" customHeight="1" x14ac:dyDescent="0.25">
      <c r="A72" s="87" t="s">
        <v>284</v>
      </c>
      <c r="B72" s="95" t="s">
        <v>296</v>
      </c>
      <c r="C72" s="100" t="s">
        <v>149</v>
      </c>
      <c r="D72" s="139">
        <v>116</v>
      </c>
      <c r="E72" s="98"/>
      <c r="F72" s="108"/>
      <c r="G72" s="108"/>
      <c r="H72" s="108">
        <f>1982/1.2</f>
        <v>1651.6666666666667</v>
      </c>
      <c r="I72" s="108">
        <f t="shared" ref="I72:I75" si="134">ROUND(H72*D72,2)</f>
        <v>191593.33</v>
      </c>
      <c r="J72" s="108">
        <f t="shared" ref="J72:J75" si="135">ROUND(I72*1.2,2)</f>
        <v>229912</v>
      </c>
      <c r="K72" s="98">
        <f t="shared" ref="K72:L75" si="136">F72+I72</f>
        <v>191593.33</v>
      </c>
      <c r="L72" s="108">
        <f t="shared" si="136"/>
        <v>229912</v>
      </c>
      <c r="M72" s="147"/>
      <c r="N72" s="108">
        <f t="shared" ref="N72:N83" si="137">E72*$O$1</f>
        <v>0</v>
      </c>
      <c r="O72" s="108">
        <f t="shared" ref="O72:O83" si="138">ROUND(N72*D72,2)</f>
        <v>0</v>
      </c>
      <c r="P72" s="108">
        <f t="shared" ref="P72:P83" si="139">ROUND(O72*1.2,2)</f>
        <v>0</v>
      </c>
      <c r="Q72" s="108">
        <f t="shared" ref="Q72:Q75" si="140">H72*$Q$1</f>
        <v>2064.5833333333335</v>
      </c>
      <c r="R72" s="108">
        <f t="shared" ref="R72:R75" si="141">ROUND(Q72*D72,2)</f>
        <v>239491.67</v>
      </c>
      <c r="S72" s="108">
        <f t="shared" ref="S72:S75" si="142">ROUND(R72*1.2,2)</f>
        <v>287390</v>
      </c>
      <c r="T72" s="108">
        <f t="shared" ref="T72:T75" si="143">O72+R72</f>
        <v>239491.67</v>
      </c>
      <c r="U72" s="108">
        <f t="shared" ref="U72:U75" si="144">P72+S72</f>
        <v>287390</v>
      </c>
    </row>
    <row r="73" spans="1:21" ht="18" customHeight="1" x14ac:dyDescent="0.25">
      <c r="A73" s="87"/>
      <c r="B73" s="95" t="s">
        <v>311</v>
      </c>
      <c r="C73" s="100" t="s">
        <v>149</v>
      </c>
      <c r="D73" s="139">
        <v>116</v>
      </c>
      <c r="E73" s="98"/>
      <c r="F73" s="108"/>
      <c r="G73" s="108"/>
      <c r="H73" s="108">
        <f>110/1.2</f>
        <v>91.666666666666671</v>
      </c>
      <c r="I73" s="108">
        <f t="shared" ref="I73" si="145">ROUND(H73*D73,2)</f>
        <v>10633.33</v>
      </c>
      <c r="J73" s="108">
        <f t="shared" ref="J73" si="146">ROUND(I73*1.2,2)</f>
        <v>12760</v>
      </c>
      <c r="K73" s="98">
        <f t="shared" ref="K73" si="147">F73+I73</f>
        <v>10633.33</v>
      </c>
      <c r="L73" s="108">
        <f t="shared" ref="L73" si="148">G73+J73</f>
        <v>12760</v>
      </c>
      <c r="M73" s="147"/>
      <c r="N73" s="108"/>
      <c r="O73" s="108"/>
      <c r="P73" s="108"/>
      <c r="Q73" s="108">
        <f>H73*$Q$1</f>
        <v>114.58333333333334</v>
      </c>
      <c r="R73" s="108">
        <f>ROUND(Q73*D73,2)</f>
        <v>13291.67</v>
      </c>
      <c r="S73" s="108">
        <f>ROUND(R73*1.2,2)</f>
        <v>15950</v>
      </c>
      <c r="T73" s="108">
        <f>O73+R73</f>
        <v>13291.67</v>
      </c>
      <c r="U73" s="108">
        <f>P73+S73</f>
        <v>15950</v>
      </c>
    </row>
    <row r="74" spans="1:21" ht="18" customHeight="1" x14ac:dyDescent="0.25">
      <c r="A74" s="87" t="s">
        <v>292</v>
      </c>
      <c r="B74" s="95" t="s">
        <v>289</v>
      </c>
      <c r="C74" s="100" t="s">
        <v>149</v>
      </c>
      <c r="D74" s="96">
        <v>728</v>
      </c>
      <c r="E74" s="98"/>
      <c r="F74" s="108"/>
      <c r="G74" s="108"/>
      <c r="H74" s="108">
        <f>31126/1.2/520</f>
        <v>49.881410256410263</v>
      </c>
      <c r="I74" s="108">
        <f t="shared" si="134"/>
        <v>36313.67</v>
      </c>
      <c r="J74" s="108">
        <f t="shared" si="135"/>
        <v>43576.4</v>
      </c>
      <c r="K74" s="98">
        <f t="shared" si="136"/>
        <v>36313.67</v>
      </c>
      <c r="L74" s="108">
        <f t="shared" si="136"/>
        <v>43576.4</v>
      </c>
      <c r="M74" s="147"/>
      <c r="N74" s="108">
        <f t="shared" si="137"/>
        <v>0</v>
      </c>
      <c r="O74" s="108">
        <f t="shared" si="138"/>
        <v>0</v>
      </c>
      <c r="P74" s="108">
        <f t="shared" si="139"/>
        <v>0</v>
      </c>
      <c r="Q74" s="108">
        <f t="shared" si="140"/>
        <v>62.351762820512832</v>
      </c>
      <c r="R74" s="108">
        <f t="shared" si="141"/>
        <v>45392.08</v>
      </c>
      <c r="S74" s="108">
        <f t="shared" si="142"/>
        <v>54470.5</v>
      </c>
      <c r="T74" s="108">
        <f t="shared" si="143"/>
        <v>45392.08</v>
      </c>
      <c r="U74" s="108">
        <f t="shared" si="144"/>
        <v>54470.5</v>
      </c>
    </row>
    <row r="75" spans="1:21" ht="18" customHeight="1" x14ac:dyDescent="0.25">
      <c r="A75" s="87" t="s">
        <v>293</v>
      </c>
      <c r="B75" s="95" t="s">
        <v>290</v>
      </c>
      <c r="C75" s="100" t="s">
        <v>149</v>
      </c>
      <c r="D75" s="96">
        <v>348</v>
      </c>
      <c r="E75" s="98"/>
      <c r="F75" s="108"/>
      <c r="G75" s="108"/>
      <c r="H75" s="108">
        <f>43248/1.2/486</f>
        <v>74.156378600823047</v>
      </c>
      <c r="I75" s="108">
        <f t="shared" si="134"/>
        <v>25806.42</v>
      </c>
      <c r="J75" s="108">
        <f t="shared" si="135"/>
        <v>30967.7</v>
      </c>
      <c r="K75" s="98">
        <f t="shared" si="136"/>
        <v>25806.42</v>
      </c>
      <c r="L75" s="108">
        <f t="shared" si="136"/>
        <v>30967.7</v>
      </c>
      <c r="M75" s="147"/>
      <c r="N75" s="108">
        <f t="shared" si="137"/>
        <v>0</v>
      </c>
      <c r="O75" s="108">
        <f t="shared" si="138"/>
        <v>0</v>
      </c>
      <c r="P75" s="108">
        <f t="shared" si="139"/>
        <v>0</v>
      </c>
      <c r="Q75" s="108">
        <f t="shared" si="140"/>
        <v>92.695473251028801</v>
      </c>
      <c r="R75" s="108">
        <f t="shared" si="141"/>
        <v>32258.02</v>
      </c>
      <c r="S75" s="108">
        <f t="shared" si="142"/>
        <v>38709.620000000003</v>
      </c>
      <c r="T75" s="108">
        <f t="shared" si="143"/>
        <v>32258.02</v>
      </c>
      <c r="U75" s="108">
        <f t="shared" si="144"/>
        <v>38709.620000000003</v>
      </c>
    </row>
    <row r="76" spans="1:21" ht="18" customHeight="1" x14ac:dyDescent="0.25">
      <c r="A76" s="94">
        <f>A71+1</f>
        <v>36</v>
      </c>
      <c r="B76" s="10" t="s">
        <v>163</v>
      </c>
      <c r="C76" s="13" t="s">
        <v>10</v>
      </c>
      <c r="D76" s="60">
        <v>2</v>
      </c>
      <c r="E76" s="112">
        <v>3691.2</v>
      </c>
      <c r="F76" s="105">
        <f t="shared" si="130"/>
        <v>7382.4</v>
      </c>
      <c r="G76" s="105">
        <f t="shared" si="131"/>
        <v>8858.8799999999992</v>
      </c>
      <c r="H76" s="11"/>
      <c r="I76" s="106"/>
      <c r="J76" s="106"/>
      <c r="K76" s="107">
        <f t="shared" si="132"/>
        <v>7382.4</v>
      </c>
      <c r="L76" s="105">
        <f t="shared" si="133"/>
        <v>8858.8799999999992</v>
      </c>
      <c r="M76" s="147"/>
      <c r="N76" s="105">
        <f t="shared" si="137"/>
        <v>5167.6799999999994</v>
      </c>
      <c r="O76" s="105">
        <f t="shared" si="138"/>
        <v>10335.36</v>
      </c>
      <c r="P76" s="105">
        <f t="shared" si="139"/>
        <v>12402.43</v>
      </c>
      <c r="Q76" s="105"/>
      <c r="R76" s="105"/>
      <c r="S76" s="105"/>
      <c r="T76" s="105">
        <f t="shared" ref="T76:T83" si="149">O76+R76</f>
        <v>10335.36</v>
      </c>
      <c r="U76" s="105">
        <f t="shared" ref="U76:U83" si="150">P76+S76</f>
        <v>12402.43</v>
      </c>
    </row>
    <row r="77" spans="1:21" ht="18" customHeight="1" x14ac:dyDescent="0.25">
      <c r="A77" s="87" t="s">
        <v>277</v>
      </c>
      <c r="B77" s="92" t="s">
        <v>164</v>
      </c>
      <c r="C77" s="100" t="s">
        <v>10</v>
      </c>
      <c r="D77" s="96">
        <v>2</v>
      </c>
      <c r="E77" s="98"/>
      <c r="F77" s="108"/>
      <c r="G77" s="108"/>
      <c r="H77" s="108">
        <f>7000/1.2</f>
        <v>5833.3333333333339</v>
      </c>
      <c r="I77" s="108">
        <f t="shared" ref="I77" si="151">ROUND(H77*D77,2)</f>
        <v>11666.67</v>
      </c>
      <c r="J77" s="108">
        <f t="shared" ref="J77" si="152">ROUND(I77*1.2,2)</f>
        <v>14000</v>
      </c>
      <c r="K77" s="98">
        <f t="shared" si="132"/>
        <v>11666.67</v>
      </c>
      <c r="L77" s="108">
        <f t="shared" si="133"/>
        <v>14000</v>
      </c>
      <c r="M77" s="147"/>
      <c r="N77" s="108">
        <f t="shared" si="137"/>
        <v>0</v>
      </c>
      <c r="O77" s="108">
        <f t="shared" si="138"/>
        <v>0</v>
      </c>
      <c r="P77" s="108">
        <f t="shared" si="139"/>
        <v>0</v>
      </c>
      <c r="Q77" s="108">
        <f>H77*$Q$1</f>
        <v>7291.6666666666679</v>
      </c>
      <c r="R77" s="108">
        <f>ROUND(Q77*D77,2)</f>
        <v>14583.33</v>
      </c>
      <c r="S77" s="108">
        <f>ROUND(R77*1.2,2)</f>
        <v>17500</v>
      </c>
      <c r="T77" s="108">
        <f>O77+R77</f>
        <v>14583.33</v>
      </c>
      <c r="U77" s="108">
        <f>P77+S77</f>
        <v>17500</v>
      </c>
    </row>
    <row r="78" spans="1:21" ht="18" customHeight="1" x14ac:dyDescent="0.25">
      <c r="A78" s="94">
        <f>A76+1</f>
        <v>37</v>
      </c>
      <c r="B78" s="10" t="s">
        <v>267</v>
      </c>
      <c r="C78" s="13" t="s">
        <v>10</v>
      </c>
      <c r="D78" s="60">
        <v>1</v>
      </c>
      <c r="E78" s="97">
        <f>E66*1.5</f>
        <v>12480</v>
      </c>
      <c r="F78" s="105">
        <f t="shared" ref="F78:F79" si="153">ROUND(E78*D78,2)</f>
        <v>12480</v>
      </c>
      <c r="G78" s="105">
        <f t="shared" ref="G78:G79" si="154">ROUND(F78*1.2,2)</f>
        <v>14976</v>
      </c>
      <c r="H78" s="11"/>
      <c r="I78" s="106"/>
      <c r="J78" s="106"/>
      <c r="K78" s="107">
        <f t="shared" si="132"/>
        <v>12480</v>
      </c>
      <c r="L78" s="105">
        <f t="shared" si="133"/>
        <v>14976</v>
      </c>
      <c r="M78" s="147"/>
      <c r="N78" s="105">
        <f t="shared" si="137"/>
        <v>17472</v>
      </c>
      <c r="O78" s="105">
        <f t="shared" si="138"/>
        <v>17472</v>
      </c>
      <c r="P78" s="105">
        <f t="shared" si="139"/>
        <v>20966.400000000001</v>
      </c>
      <c r="Q78" s="105"/>
      <c r="R78" s="105"/>
      <c r="S78" s="105"/>
      <c r="T78" s="105">
        <f t="shared" si="149"/>
        <v>17472</v>
      </c>
      <c r="U78" s="105">
        <f t="shared" si="150"/>
        <v>20966.400000000001</v>
      </c>
    </row>
    <row r="79" spans="1:21" ht="18" customHeight="1" x14ac:dyDescent="0.25">
      <c r="A79" s="94">
        <f>A78+1</f>
        <v>38</v>
      </c>
      <c r="B79" s="10" t="s">
        <v>236</v>
      </c>
      <c r="C79" s="13" t="s">
        <v>7</v>
      </c>
      <c r="D79" s="88">
        <v>16.43</v>
      </c>
      <c r="E79" s="97">
        <v>1933.2</v>
      </c>
      <c r="F79" s="105">
        <f t="shared" si="153"/>
        <v>31762.48</v>
      </c>
      <c r="G79" s="105">
        <f t="shared" si="154"/>
        <v>38114.980000000003</v>
      </c>
      <c r="H79" s="11"/>
      <c r="I79" s="106"/>
      <c r="J79" s="106"/>
      <c r="K79" s="107">
        <f t="shared" si="132"/>
        <v>31762.48</v>
      </c>
      <c r="L79" s="105">
        <f t="shared" si="133"/>
        <v>38114.980000000003</v>
      </c>
      <c r="M79" s="147"/>
      <c r="N79" s="105">
        <f t="shared" si="137"/>
        <v>2706.48</v>
      </c>
      <c r="O79" s="105">
        <f t="shared" si="138"/>
        <v>44467.47</v>
      </c>
      <c r="P79" s="105">
        <f t="shared" si="139"/>
        <v>53360.959999999999</v>
      </c>
      <c r="Q79" s="105"/>
      <c r="R79" s="105"/>
      <c r="S79" s="105"/>
      <c r="T79" s="105">
        <f t="shared" si="149"/>
        <v>44467.47</v>
      </c>
      <c r="U79" s="105">
        <f t="shared" si="150"/>
        <v>53360.959999999999</v>
      </c>
    </row>
    <row r="80" spans="1:21" ht="18" customHeight="1" x14ac:dyDescent="0.25">
      <c r="A80" s="87" t="s">
        <v>278</v>
      </c>
      <c r="B80" s="95" t="s">
        <v>12</v>
      </c>
      <c r="C80" s="100" t="s">
        <v>7</v>
      </c>
      <c r="D80" s="101">
        <f>ROUND(D79*1.26,2)</f>
        <v>20.7</v>
      </c>
      <c r="E80" s="98"/>
      <c r="F80" s="108"/>
      <c r="G80" s="108"/>
      <c r="H80" s="108">
        <v>3720</v>
      </c>
      <c r="I80" s="108">
        <f>ROUND(H80*D80,2)</f>
        <v>77004</v>
      </c>
      <c r="J80" s="108">
        <f>ROUND(I80*1.2,2)</f>
        <v>92404.800000000003</v>
      </c>
      <c r="K80" s="98">
        <f>F80+I80</f>
        <v>77004</v>
      </c>
      <c r="L80" s="108">
        <f>G80+J80</f>
        <v>92404.800000000003</v>
      </c>
      <c r="M80" s="147"/>
      <c r="N80" s="108">
        <f t="shared" si="137"/>
        <v>0</v>
      </c>
      <c r="O80" s="108">
        <f t="shared" si="138"/>
        <v>0</v>
      </c>
      <c r="P80" s="108">
        <f t="shared" si="139"/>
        <v>0</v>
      </c>
      <c r="Q80" s="108">
        <f>H80*$Q$1</f>
        <v>4650</v>
      </c>
      <c r="R80" s="108">
        <f>ROUND(Q80*D80,2)</f>
        <v>96255</v>
      </c>
      <c r="S80" s="108">
        <f>ROUND(R80*1.2,2)</f>
        <v>115506</v>
      </c>
      <c r="T80" s="108">
        <f>O80+R80</f>
        <v>96255</v>
      </c>
      <c r="U80" s="108">
        <f>P80+S80</f>
        <v>115506</v>
      </c>
    </row>
    <row r="81" spans="1:21" ht="18" customHeight="1" x14ac:dyDescent="0.25">
      <c r="A81" s="94">
        <f>A79+1</f>
        <v>39</v>
      </c>
      <c r="B81" s="10" t="s">
        <v>237</v>
      </c>
      <c r="C81" s="13" t="s">
        <v>7</v>
      </c>
      <c r="D81" s="88">
        <v>3.3</v>
      </c>
      <c r="E81" s="97">
        <v>2395.1999999999998</v>
      </c>
      <c r="F81" s="105">
        <f t="shared" ref="F81" si="155">ROUND(E81*D81,2)</f>
        <v>7904.16</v>
      </c>
      <c r="G81" s="105">
        <f t="shared" ref="G81" si="156">ROUND(F81*1.2,2)</f>
        <v>9484.99</v>
      </c>
      <c r="H81" s="11"/>
      <c r="I81" s="106"/>
      <c r="J81" s="106"/>
      <c r="K81" s="107">
        <f t="shared" ref="K81" si="157">F81+I81</f>
        <v>7904.16</v>
      </c>
      <c r="L81" s="105">
        <f t="shared" ref="L81" si="158">G81+J81</f>
        <v>9484.99</v>
      </c>
      <c r="M81" s="147"/>
      <c r="N81" s="105">
        <f t="shared" si="137"/>
        <v>3353.2799999999997</v>
      </c>
      <c r="O81" s="105">
        <f t="shared" si="138"/>
        <v>11065.82</v>
      </c>
      <c r="P81" s="105">
        <f t="shared" si="139"/>
        <v>13278.98</v>
      </c>
      <c r="Q81" s="105"/>
      <c r="R81" s="105"/>
      <c r="S81" s="105"/>
      <c r="T81" s="105">
        <f t="shared" si="149"/>
        <v>11065.82</v>
      </c>
      <c r="U81" s="105">
        <f t="shared" si="150"/>
        <v>13278.98</v>
      </c>
    </row>
    <row r="82" spans="1:21" ht="18" customHeight="1" x14ac:dyDescent="0.25">
      <c r="A82" s="87" t="s">
        <v>279</v>
      </c>
      <c r="B82" s="95" t="s">
        <v>12</v>
      </c>
      <c r="C82" s="100" t="s">
        <v>7</v>
      </c>
      <c r="D82" s="101">
        <f>ROUND(D81*1.26,2)</f>
        <v>4.16</v>
      </c>
      <c r="E82" s="98"/>
      <c r="F82" s="108"/>
      <c r="G82" s="108"/>
      <c r="H82" s="108">
        <v>3720</v>
      </c>
      <c r="I82" s="108">
        <f>ROUND(H82*D82,2)</f>
        <v>15475.2</v>
      </c>
      <c r="J82" s="108">
        <f>ROUND(I82*1.2,2)</f>
        <v>18570.240000000002</v>
      </c>
      <c r="K82" s="98">
        <f>F82+I82</f>
        <v>15475.2</v>
      </c>
      <c r="L82" s="108">
        <f>G82+J82</f>
        <v>18570.240000000002</v>
      </c>
      <c r="M82" s="147"/>
      <c r="N82" s="108">
        <f t="shared" si="137"/>
        <v>0</v>
      </c>
      <c r="O82" s="108">
        <f t="shared" si="138"/>
        <v>0</v>
      </c>
      <c r="P82" s="108">
        <f t="shared" si="139"/>
        <v>0</v>
      </c>
      <c r="Q82" s="108">
        <f>H82*$Q$1</f>
        <v>4650</v>
      </c>
      <c r="R82" s="108">
        <f>ROUND(Q82*D82,2)</f>
        <v>19344</v>
      </c>
      <c r="S82" s="108">
        <f>ROUND(R82*1.2,2)</f>
        <v>23212.799999999999</v>
      </c>
      <c r="T82" s="108">
        <f>O82+R82</f>
        <v>19344</v>
      </c>
      <c r="U82" s="108">
        <f>P82+S82</f>
        <v>23212.799999999999</v>
      </c>
    </row>
    <row r="83" spans="1:21" ht="18" customHeight="1" x14ac:dyDescent="0.25">
      <c r="A83" s="94">
        <f>A81+1</f>
        <v>40</v>
      </c>
      <c r="B83" s="10" t="s">
        <v>244</v>
      </c>
      <c r="C83" s="13" t="s">
        <v>15</v>
      </c>
      <c r="D83" s="89">
        <v>9.61</v>
      </c>
      <c r="E83" s="97">
        <v>450</v>
      </c>
      <c r="F83" s="105">
        <f t="shared" ref="F83" si="159">ROUND(E83*D83,2)</f>
        <v>4324.5</v>
      </c>
      <c r="G83" s="105">
        <f t="shared" ref="G83" si="160">ROUND(F83*1.2,2)</f>
        <v>5189.3999999999996</v>
      </c>
      <c r="H83" s="11"/>
      <c r="I83" s="106"/>
      <c r="J83" s="106"/>
      <c r="K83" s="107">
        <f t="shared" ref="K83" si="161">F83+I83</f>
        <v>4324.5</v>
      </c>
      <c r="L83" s="105">
        <f t="shared" ref="L83" si="162">G83+J83</f>
        <v>5189.3999999999996</v>
      </c>
      <c r="M83" s="147"/>
      <c r="N83" s="105">
        <f t="shared" si="137"/>
        <v>630</v>
      </c>
      <c r="O83" s="105">
        <f t="shared" si="138"/>
        <v>6054.3</v>
      </c>
      <c r="P83" s="105">
        <f t="shared" si="139"/>
        <v>7265.16</v>
      </c>
      <c r="Q83" s="105"/>
      <c r="R83" s="105"/>
      <c r="S83" s="105"/>
      <c r="T83" s="105">
        <f t="shared" si="149"/>
        <v>6054.3</v>
      </c>
      <c r="U83" s="105">
        <f t="shared" si="150"/>
        <v>7265.16</v>
      </c>
    </row>
    <row r="84" spans="1:21" ht="18" customHeight="1" x14ac:dyDescent="0.25">
      <c r="A84" s="158"/>
      <c r="B84" s="161" t="s">
        <v>301</v>
      </c>
      <c r="C84" s="149"/>
      <c r="D84" s="150"/>
      <c r="E84" s="159"/>
      <c r="F84" s="106">
        <f>SUM(F45:F83)</f>
        <v>1022529.54</v>
      </c>
      <c r="G84" s="157">
        <f>SUM(G45:G83)</f>
        <v>1227035.4499999995</v>
      </c>
      <c r="H84" s="160"/>
      <c r="I84" s="106">
        <f>SUM(I45:I83)</f>
        <v>1533463.4799999997</v>
      </c>
      <c r="J84" s="157">
        <f>SUM(J45:J83)</f>
        <v>1840156.18</v>
      </c>
      <c r="K84" s="106">
        <f>SUM(K45:K83)</f>
        <v>2555993.02</v>
      </c>
      <c r="L84" s="157">
        <f>SUM(L45:L83)</f>
        <v>3067191.6300000004</v>
      </c>
      <c r="M84" s="147"/>
      <c r="N84" s="105"/>
      <c r="O84" s="106">
        <f>SUM(O45:O83)</f>
        <v>1431541.34</v>
      </c>
      <c r="P84" s="157">
        <f>SUM(P45:P83)</f>
        <v>1717849.5899999996</v>
      </c>
      <c r="Q84" s="105"/>
      <c r="R84" s="106">
        <f>SUM(R45:R83)</f>
        <v>1916829.36</v>
      </c>
      <c r="S84" s="157">
        <f>SUM(S45:S83)</f>
        <v>2300195.2199999997</v>
      </c>
      <c r="T84" s="106">
        <f>SUM(T45:T83)</f>
        <v>3348370.6999999993</v>
      </c>
      <c r="U84" s="157">
        <f>SUM(U45:U83)</f>
        <v>4018044.8100000005</v>
      </c>
    </row>
    <row r="85" spans="1:21" x14ac:dyDescent="0.25">
      <c r="A85" s="162" t="s">
        <v>302</v>
      </c>
      <c r="B85" s="163"/>
      <c r="C85" s="163"/>
      <c r="D85" s="163"/>
      <c r="E85" s="164"/>
      <c r="F85" s="166">
        <f>F43+F84</f>
        <v>5563618.0299999993</v>
      </c>
      <c r="G85" s="165">
        <f>G43+G84</f>
        <v>6676341.6399999997</v>
      </c>
      <c r="I85" s="166">
        <f>I43+I84</f>
        <v>11583222.970000001</v>
      </c>
      <c r="J85" s="165">
        <f>J43+J84</f>
        <v>13899867.58</v>
      </c>
      <c r="K85" s="166">
        <f>K43+K84</f>
        <v>17146841</v>
      </c>
      <c r="L85" s="165">
        <f>L43+L84</f>
        <v>20576209.219999999</v>
      </c>
      <c r="M85" s="148"/>
      <c r="N85" s="113"/>
      <c r="O85" s="166">
        <f>O43+O84</f>
        <v>7789065.2400000002</v>
      </c>
      <c r="P85" s="165">
        <f>P43+P84</f>
        <v>9346878.2699999996</v>
      </c>
      <c r="Q85" s="113"/>
      <c r="R85" s="166">
        <f>R43+R84</f>
        <v>14479028.74</v>
      </c>
      <c r="S85" s="165">
        <f>S43+S84</f>
        <v>17374834.48</v>
      </c>
      <c r="T85" s="166">
        <f>T43+T84</f>
        <v>22268093.979999997</v>
      </c>
      <c r="U85" s="165">
        <f>U43+U84</f>
        <v>26721712.75</v>
      </c>
    </row>
    <row r="87" spans="1:21" ht="45" x14ac:dyDescent="0.25">
      <c r="F87" s="168" t="s">
        <v>315</v>
      </c>
      <c r="G87" s="169">
        <f>G43/216*1000</f>
        <v>25228269.398148149</v>
      </c>
      <c r="H87" s="169" t="s">
        <v>314</v>
      </c>
      <c r="I87" s="170"/>
      <c r="N87" s="172" t="s">
        <v>319</v>
      </c>
      <c r="O87" s="172" t="s">
        <v>317</v>
      </c>
      <c r="P87" s="172" t="s">
        <v>318</v>
      </c>
      <c r="Q87" s="174" t="s">
        <v>320</v>
      </c>
      <c r="R87" s="174" t="s">
        <v>322</v>
      </c>
      <c r="S87" s="115" t="s">
        <v>323</v>
      </c>
    </row>
    <row r="88" spans="1:21" x14ac:dyDescent="0.25">
      <c r="F88" s="170"/>
      <c r="G88" s="169">
        <f>G87/170*100</f>
        <v>14840158.469498912</v>
      </c>
      <c r="H88" s="169" t="s">
        <v>312</v>
      </c>
      <c r="I88" s="170"/>
      <c r="L88" s="102" t="s">
        <v>316</v>
      </c>
      <c r="N88" s="172">
        <v>179000</v>
      </c>
      <c r="O88" s="172">
        <v>25.952000000000002</v>
      </c>
      <c r="P88" s="173">
        <f>N88*O88</f>
        <v>4645408</v>
      </c>
      <c r="Q88" s="138">
        <f>N88*R88</f>
        <v>145169</v>
      </c>
      <c r="R88" s="172">
        <f>12.5*0.06488</f>
        <v>0.81099999999999994</v>
      </c>
      <c r="S88" s="115">
        <f>O88/R88</f>
        <v>32.000000000000007</v>
      </c>
    </row>
    <row r="89" spans="1:21" x14ac:dyDescent="0.25">
      <c r="F89" s="170"/>
      <c r="G89" s="169">
        <f>G87/170*70</f>
        <v>10388110.928649237</v>
      </c>
      <c r="H89" s="169" t="s">
        <v>313</v>
      </c>
      <c r="I89" s="170"/>
    </row>
    <row r="90" spans="1:21" x14ac:dyDescent="0.25">
      <c r="L90" s="102" t="s">
        <v>321</v>
      </c>
      <c r="N90" s="102">
        <v>96000</v>
      </c>
    </row>
    <row r="94" spans="1:21" x14ac:dyDescent="0.25">
      <c r="G94" s="114">
        <f>693840/70</f>
        <v>9912</v>
      </c>
    </row>
    <row r="95" spans="1:21" x14ac:dyDescent="0.25">
      <c r="G95" s="114">
        <f>G94*2</f>
        <v>19824</v>
      </c>
    </row>
    <row r="96" spans="1:21" x14ac:dyDescent="0.25">
      <c r="G96" s="114">
        <f>G95*40</f>
        <v>792960</v>
      </c>
    </row>
    <row r="98" spans="4:8" x14ac:dyDescent="0.25">
      <c r="F98" s="102" t="s">
        <v>304</v>
      </c>
      <c r="G98" s="114" t="s">
        <v>305</v>
      </c>
      <c r="H98" s="114" t="s">
        <v>306</v>
      </c>
    </row>
    <row r="99" spans="4:8" x14ac:dyDescent="0.25">
      <c r="G99" s="167">
        <v>1.397</v>
      </c>
      <c r="H99" s="114">
        <f>154/1000*1397</f>
        <v>215.13800000000001</v>
      </c>
    </row>
    <row r="100" spans="4:8" x14ac:dyDescent="0.25">
      <c r="H100" s="114">
        <f>426085/215</f>
        <v>1981.7906976744187</v>
      </c>
    </row>
    <row r="103" spans="4:8" x14ac:dyDescent="0.25">
      <c r="D103" s="172" t="s">
        <v>325</v>
      </c>
      <c r="E103" s="172" t="s">
        <v>326</v>
      </c>
      <c r="F103" s="172" t="s">
        <v>327</v>
      </c>
      <c r="G103" s="175" t="s">
        <v>328</v>
      </c>
      <c r="H103" s="175"/>
    </row>
    <row r="104" spans="4:8" x14ac:dyDescent="0.25">
      <c r="D104" s="172">
        <v>105.87</v>
      </c>
      <c r="E104" s="172">
        <f>D104/12.5</f>
        <v>8.4695999999999998</v>
      </c>
      <c r="F104" s="172">
        <v>9</v>
      </c>
      <c r="G104" s="175">
        <v>18</v>
      </c>
      <c r="H104" s="175"/>
    </row>
    <row r="105" spans="4:8" x14ac:dyDescent="0.25">
      <c r="D105" s="172">
        <v>110.44</v>
      </c>
      <c r="E105" s="172">
        <f>D105/12.5</f>
        <v>8.8352000000000004</v>
      </c>
      <c r="F105" s="172">
        <v>9</v>
      </c>
      <c r="G105" s="175">
        <v>18</v>
      </c>
      <c r="H105" s="175"/>
    </row>
    <row r="106" spans="4:8" x14ac:dyDescent="0.25">
      <c r="D106" s="172"/>
      <c r="E106" s="172"/>
      <c r="F106" s="172" t="s">
        <v>299</v>
      </c>
      <c r="G106" s="175">
        <f>G104+G105</f>
        <v>36</v>
      </c>
      <c r="H106" s="175"/>
    </row>
  </sheetData>
  <mergeCells count="17">
    <mergeCell ref="N2:U3"/>
    <mergeCell ref="N4:P4"/>
    <mergeCell ref="Q4:S4"/>
    <mergeCell ref="T4:U4"/>
    <mergeCell ref="A2:A5"/>
    <mergeCell ref="B2:B5"/>
    <mergeCell ref="C2:C5"/>
    <mergeCell ref="D2:D5"/>
    <mergeCell ref="E2:L3"/>
    <mergeCell ref="E4:G4"/>
    <mergeCell ref="H4:J4"/>
    <mergeCell ref="K4:L4"/>
    <mergeCell ref="A85:E85"/>
    <mergeCell ref="B7:D7"/>
    <mergeCell ref="B8:D8"/>
    <mergeCell ref="B44:D44"/>
    <mergeCell ref="B64:D64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0B1F-FEBE-4EA4-BEDA-D607A6672DC7}">
  <dimension ref="A1:U100"/>
  <sheetViews>
    <sheetView topLeftCell="C25" zoomScale="70" zoomScaleNormal="70" workbookViewId="0">
      <selection activeCell="D36" sqref="D36"/>
    </sheetView>
  </sheetViews>
  <sheetFormatPr defaultColWidth="8.85546875" defaultRowHeight="15" x14ac:dyDescent="0.25"/>
  <cols>
    <col min="1" max="1" width="7.28515625" style="102" bestFit="1" customWidth="1"/>
    <col min="2" max="2" width="65.28515625" style="102" bestFit="1" customWidth="1"/>
    <col min="3" max="3" width="8" style="115" bestFit="1" customWidth="1"/>
    <col min="4" max="4" width="8.42578125" style="116" bestFit="1" customWidth="1"/>
    <col min="5" max="5" width="13.28515625" style="102" bestFit="1" customWidth="1"/>
    <col min="6" max="6" width="20.28515625" style="102" bestFit="1" customWidth="1"/>
    <col min="7" max="7" width="17.5703125" style="114" bestFit="1" customWidth="1"/>
    <col min="8" max="8" width="30.85546875" style="114" bestFit="1" customWidth="1"/>
    <col min="9" max="9" width="15.7109375" style="102" bestFit="1" customWidth="1"/>
    <col min="10" max="10" width="17.5703125" style="102" bestFit="1" customWidth="1"/>
    <col min="11" max="12" width="15.7109375" style="102" bestFit="1" customWidth="1"/>
    <col min="13" max="13" width="1.85546875" style="140" customWidth="1"/>
    <col min="14" max="14" width="12.5703125" style="102" bestFit="1" customWidth="1"/>
    <col min="15" max="15" width="14.5703125" style="102" bestFit="1" customWidth="1"/>
    <col min="16" max="16" width="17.5703125" style="102" bestFit="1" customWidth="1"/>
    <col min="17" max="17" width="12.140625" style="102" bestFit="1" customWidth="1"/>
    <col min="18" max="18" width="15.7109375" style="102" bestFit="1" customWidth="1"/>
    <col min="19" max="19" width="17.5703125" style="102" bestFit="1" customWidth="1"/>
    <col min="20" max="21" width="15.7109375" style="102" bestFit="1" customWidth="1"/>
    <col min="22" max="16384" width="8.85546875" style="102"/>
  </cols>
  <sheetData>
    <row r="1" spans="1:21" x14ac:dyDescent="0.25">
      <c r="N1" s="102" t="s">
        <v>294</v>
      </c>
      <c r="O1" s="102">
        <v>1.4</v>
      </c>
      <c r="P1" s="102" t="s">
        <v>295</v>
      </c>
      <c r="Q1" s="102">
        <v>1.25</v>
      </c>
    </row>
    <row r="2" spans="1:21" ht="14.45" customHeight="1" x14ac:dyDescent="0.25">
      <c r="A2" s="128" t="s">
        <v>0</v>
      </c>
      <c r="B2" s="131" t="s">
        <v>1</v>
      </c>
      <c r="C2" s="120" t="s">
        <v>2</v>
      </c>
      <c r="D2" s="134" t="s">
        <v>3</v>
      </c>
      <c r="E2" s="121" t="s">
        <v>14</v>
      </c>
      <c r="F2" s="122"/>
      <c r="G2" s="122"/>
      <c r="H2" s="122"/>
      <c r="I2" s="122"/>
      <c r="J2" s="122"/>
      <c r="K2" s="122"/>
      <c r="L2" s="122"/>
      <c r="M2" s="141"/>
      <c r="N2" s="121" t="s">
        <v>303</v>
      </c>
      <c r="O2" s="122"/>
      <c r="P2" s="122"/>
      <c r="Q2" s="122"/>
      <c r="R2" s="122"/>
      <c r="S2" s="122"/>
      <c r="T2" s="122"/>
      <c r="U2" s="122"/>
    </row>
    <row r="3" spans="1:21" ht="14.45" customHeight="1" x14ac:dyDescent="0.25">
      <c r="A3" s="129"/>
      <c r="B3" s="132"/>
      <c r="C3" s="120"/>
      <c r="D3" s="134"/>
      <c r="E3" s="123"/>
      <c r="F3" s="124"/>
      <c r="G3" s="124"/>
      <c r="H3" s="124"/>
      <c r="I3" s="124"/>
      <c r="J3" s="124"/>
      <c r="K3" s="124"/>
      <c r="L3" s="124"/>
      <c r="M3" s="142"/>
      <c r="N3" s="123"/>
      <c r="O3" s="124"/>
      <c r="P3" s="124"/>
      <c r="Q3" s="124"/>
      <c r="R3" s="124"/>
      <c r="S3" s="124"/>
      <c r="T3" s="124"/>
      <c r="U3" s="124"/>
    </row>
    <row r="4" spans="1:21" ht="27.75" customHeight="1" x14ac:dyDescent="0.25">
      <c r="A4" s="129"/>
      <c r="B4" s="132"/>
      <c r="C4" s="120"/>
      <c r="D4" s="134"/>
      <c r="E4" s="120" t="s">
        <v>25</v>
      </c>
      <c r="F4" s="120"/>
      <c r="G4" s="120"/>
      <c r="H4" s="120" t="s">
        <v>26</v>
      </c>
      <c r="I4" s="120"/>
      <c r="J4" s="120"/>
      <c r="K4" s="137" t="s">
        <v>36</v>
      </c>
      <c r="L4" s="137"/>
      <c r="M4" s="143"/>
      <c r="N4" s="120" t="s">
        <v>25</v>
      </c>
      <c r="O4" s="120"/>
      <c r="P4" s="120"/>
      <c r="Q4" s="120" t="s">
        <v>26</v>
      </c>
      <c r="R4" s="120"/>
      <c r="S4" s="120"/>
      <c r="T4" s="137" t="s">
        <v>36</v>
      </c>
      <c r="U4" s="137"/>
    </row>
    <row r="5" spans="1:21" ht="56.1" customHeight="1" x14ac:dyDescent="0.25">
      <c r="A5" s="130"/>
      <c r="B5" s="133"/>
      <c r="C5" s="120"/>
      <c r="D5" s="134"/>
      <c r="E5" s="2" t="s">
        <v>4</v>
      </c>
      <c r="F5" s="2" t="s">
        <v>5</v>
      </c>
      <c r="G5" s="103" t="s">
        <v>6</v>
      </c>
      <c r="H5" s="2" t="s">
        <v>4</v>
      </c>
      <c r="I5" s="2" t="s">
        <v>5</v>
      </c>
      <c r="J5" s="103" t="s">
        <v>6</v>
      </c>
      <c r="K5" s="2" t="s">
        <v>27</v>
      </c>
      <c r="L5" s="2" t="s">
        <v>18</v>
      </c>
      <c r="M5" s="144"/>
      <c r="N5" s="2" t="s">
        <v>4</v>
      </c>
      <c r="O5" s="2" t="s">
        <v>5</v>
      </c>
      <c r="P5" s="103" t="s">
        <v>6</v>
      </c>
      <c r="Q5" s="2" t="s">
        <v>4</v>
      </c>
      <c r="R5" s="2" t="s">
        <v>5</v>
      </c>
      <c r="S5" s="103" t="s">
        <v>6</v>
      </c>
      <c r="T5" s="2" t="s">
        <v>27</v>
      </c>
      <c r="U5" s="2" t="s">
        <v>18</v>
      </c>
    </row>
    <row r="6" spans="1:21" x14ac:dyDescent="0.25">
      <c r="A6" s="4">
        <v>1</v>
      </c>
      <c r="B6" s="5">
        <v>2</v>
      </c>
      <c r="C6" s="5">
        <v>3</v>
      </c>
      <c r="D6" s="58">
        <v>4</v>
      </c>
      <c r="E6" s="5">
        <v>5</v>
      </c>
      <c r="F6" s="5">
        <v>6</v>
      </c>
      <c r="G6" s="5">
        <v>7</v>
      </c>
      <c r="H6" s="90">
        <v>8</v>
      </c>
      <c r="I6" s="90">
        <v>9</v>
      </c>
      <c r="J6" s="90">
        <v>10</v>
      </c>
      <c r="K6" s="90">
        <v>11</v>
      </c>
      <c r="L6" s="90">
        <v>12</v>
      </c>
      <c r="M6" s="145"/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</row>
    <row r="7" spans="1:21" x14ac:dyDescent="0.25">
      <c r="A7" s="6"/>
      <c r="B7" s="135" t="s">
        <v>247</v>
      </c>
      <c r="C7" s="136"/>
      <c r="D7" s="136"/>
      <c r="E7" s="7"/>
      <c r="F7" s="8"/>
      <c r="G7" s="9"/>
      <c r="H7" s="9"/>
      <c r="I7" s="9"/>
      <c r="J7" s="9"/>
      <c r="K7" s="9"/>
      <c r="L7" s="9"/>
      <c r="M7" s="146"/>
      <c r="N7" s="9"/>
      <c r="O7" s="9"/>
      <c r="P7" s="9"/>
      <c r="Q7" s="9"/>
      <c r="R7" s="9"/>
      <c r="S7" s="9"/>
      <c r="T7" s="9"/>
      <c r="U7" s="9"/>
    </row>
    <row r="8" spans="1:21" ht="20.25" customHeight="1" x14ac:dyDescent="0.25">
      <c r="A8" s="6"/>
      <c r="B8" s="135" t="s">
        <v>248</v>
      </c>
      <c r="C8" s="136"/>
      <c r="D8" s="136"/>
      <c r="E8" s="7"/>
      <c r="F8" s="8"/>
      <c r="G8" s="9"/>
      <c r="H8" s="9"/>
      <c r="I8" s="9"/>
      <c r="J8" s="9"/>
      <c r="K8" s="9"/>
      <c r="L8" s="9"/>
      <c r="M8" s="146"/>
      <c r="N8" s="9"/>
      <c r="O8" s="9"/>
      <c r="P8" s="9"/>
      <c r="Q8" s="9"/>
      <c r="R8" s="9"/>
      <c r="S8" s="9"/>
      <c r="T8" s="9"/>
      <c r="U8" s="9"/>
    </row>
    <row r="9" spans="1:21" ht="20.25" customHeight="1" x14ac:dyDescent="0.25">
      <c r="A9" s="55"/>
      <c r="B9" s="104" t="s">
        <v>250</v>
      </c>
      <c r="C9" s="13"/>
      <c r="D9" s="86"/>
      <c r="E9" s="97"/>
      <c r="F9" s="105"/>
      <c r="G9" s="105"/>
      <c r="H9" s="11"/>
      <c r="I9" s="106"/>
      <c r="J9" s="106"/>
      <c r="K9" s="107"/>
      <c r="L9" s="105"/>
      <c r="M9" s="147"/>
      <c r="N9" s="105"/>
      <c r="O9" s="105"/>
      <c r="P9" s="105"/>
      <c r="Q9" s="105"/>
      <c r="R9" s="105"/>
      <c r="S9" s="105"/>
      <c r="T9" s="105"/>
      <c r="U9" s="105"/>
    </row>
    <row r="10" spans="1:21" ht="20.25" customHeight="1" x14ac:dyDescent="0.25">
      <c r="A10" s="55" t="s">
        <v>231</v>
      </c>
      <c r="B10" s="10" t="s">
        <v>249</v>
      </c>
      <c r="C10" s="13" t="s">
        <v>7</v>
      </c>
      <c r="D10" s="88">
        <v>69.22</v>
      </c>
      <c r="E10" s="97">
        <v>3800</v>
      </c>
      <c r="F10" s="105">
        <f t="shared" ref="F10:F15" si="0">ROUND(E10*D10,2)</f>
        <v>263036</v>
      </c>
      <c r="G10" s="105">
        <f t="shared" ref="G10:G15" si="1">ROUND(F10*1.2,2)</f>
        <v>315643.2</v>
      </c>
      <c r="H10" s="11"/>
      <c r="I10" s="106"/>
      <c r="J10" s="106"/>
      <c r="K10" s="107">
        <f t="shared" ref="K10:L15" si="2">F10+I10</f>
        <v>263036</v>
      </c>
      <c r="L10" s="105">
        <f t="shared" si="2"/>
        <v>315643.2</v>
      </c>
      <c r="M10" s="147"/>
      <c r="N10" s="105">
        <f>E10*$O$1</f>
        <v>5320</v>
      </c>
      <c r="O10" s="105">
        <f>ROUND(N10*D10,2)</f>
        <v>368250.4</v>
      </c>
      <c r="P10" s="105">
        <f t="shared" ref="P10:P72" si="3">ROUND(O10*1.2,2)</f>
        <v>441900.48</v>
      </c>
      <c r="Q10" s="105"/>
      <c r="R10" s="105"/>
      <c r="S10" s="105"/>
      <c r="T10" s="105">
        <f t="shared" ref="T10:U24" si="4">O10+R10</f>
        <v>368250.4</v>
      </c>
      <c r="U10" s="105">
        <f t="shared" si="4"/>
        <v>441900.48</v>
      </c>
    </row>
    <row r="11" spans="1:21" ht="19.5" customHeight="1" x14ac:dyDescent="0.25">
      <c r="A11" s="55">
        <f>A10+1</f>
        <v>2</v>
      </c>
      <c r="B11" s="10" t="s">
        <v>251</v>
      </c>
      <c r="C11" s="13" t="s">
        <v>10</v>
      </c>
      <c r="D11" s="60">
        <v>18</v>
      </c>
      <c r="E11" s="97">
        <v>1240</v>
      </c>
      <c r="F11" s="105">
        <f t="shared" si="0"/>
        <v>22320</v>
      </c>
      <c r="G11" s="105">
        <f t="shared" si="1"/>
        <v>26784</v>
      </c>
      <c r="H11" s="11"/>
      <c r="I11" s="106"/>
      <c r="J11" s="106"/>
      <c r="K11" s="107">
        <f t="shared" si="2"/>
        <v>22320</v>
      </c>
      <c r="L11" s="105">
        <f t="shared" si="2"/>
        <v>26784</v>
      </c>
      <c r="M11" s="147"/>
      <c r="N11" s="105">
        <f t="shared" ref="N11:N74" si="5">E11*$O$1</f>
        <v>1736</v>
      </c>
      <c r="O11" s="105">
        <f t="shared" ref="O11:O74" si="6">ROUND(N11*D11,2)</f>
        <v>31248</v>
      </c>
      <c r="P11" s="105">
        <f t="shared" si="3"/>
        <v>37497.599999999999</v>
      </c>
      <c r="Q11" s="105"/>
      <c r="R11" s="105"/>
      <c r="S11" s="105"/>
      <c r="T11" s="105">
        <f t="shared" si="4"/>
        <v>31248</v>
      </c>
      <c r="U11" s="105">
        <f t="shared" si="4"/>
        <v>37497.599999999999</v>
      </c>
    </row>
    <row r="12" spans="1:21" ht="19.5" customHeight="1" x14ac:dyDescent="0.25">
      <c r="A12" s="55">
        <f t="shared" ref="A12:A15" si="7">A11+1</f>
        <v>3</v>
      </c>
      <c r="B12" s="10" t="s">
        <v>252</v>
      </c>
      <c r="C12" s="13" t="s">
        <v>10</v>
      </c>
      <c r="D12" s="60">
        <v>45</v>
      </c>
      <c r="E12" s="97">
        <f>1324*0.7</f>
        <v>926.8</v>
      </c>
      <c r="F12" s="105">
        <f t="shared" si="0"/>
        <v>41706</v>
      </c>
      <c r="G12" s="105">
        <f t="shared" si="1"/>
        <v>50047.199999999997</v>
      </c>
      <c r="H12" s="11"/>
      <c r="I12" s="106"/>
      <c r="J12" s="106"/>
      <c r="K12" s="107">
        <f t="shared" si="2"/>
        <v>41706</v>
      </c>
      <c r="L12" s="105">
        <f t="shared" si="2"/>
        <v>50047.199999999997</v>
      </c>
      <c r="M12" s="147"/>
      <c r="N12" s="105">
        <f t="shared" si="5"/>
        <v>1297.5199999999998</v>
      </c>
      <c r="O12" s="105">
        <f t="shared" si="6"/>
        <v>58388.4</v>
      </c>
      <c r="P12" s="105">
        <f t="shared" si="3"/>
        <v>70066.080000000002</v>
      </c>
      <c r="Q12" s="105"/>
      <c r="R12" s="105"/>
      <c r="S12" s="105"/>
      <c r="T12" s="105">
        <f t="shared" si="4"/>
        <v>58388.4</v>
      </c>
      <c r="U12" s="105">
        <f t="shared" si="4"/>
        <v>70066.080000000002</v>
      </c>
    </row>
    <row r="13" spans="1:21" ht="19.5" customHeight="1" x14ac:dyDescent="0.25">
      <c r="A13" s="55">
        <f t="shared" si="7"/>
        <v>4</v>
      </c>
      <c r="B13" s="10" t="s">
        <v>253</v>
      </c>
      <c r="C13" s="13" t="s">
        <v>24</v>
      </c>
      <c r="D13" s="60">
        <v>371</v>
      </c>
      <c r="E13" s="97">
        <v>640.96</v>
      </c>
      <c r="F13" s="105">
        <f t="shared" si="0"/>
        <v>237796.16</v>
      </c>
      <c r="G13" s="105">
        <f t="shared" si="1"/>
        <v>285355.39</v>
      </c>
      <c r="H13" s="11"/>
      <c r="I13" s="106"/>
      <c r="J13" s="106"/>
      <c r="K13" s="107">
        <f t="shared" si="2"/>
        <v>237796.16</v>
      </c>
      <c r="L13" s="105">
        <f t="shared" si="2"/>
        <v>285355.39</v>
      </c>
      <c r="M13" s="147"/>
      <c r="N13" s="105">
        <f t="shared" si="5"/>
        <v>897.34399999999994</v>
      </c>
      <c r="O13" s="105">
        <f t="shared" si="6"/>
        <v>332914.62</v>
      </c>
      <c r="P13" s="105">
        <f t="shared" si="3"/>
        <v>399497.54</v>
      </c>
      <c r="Q13" s="105"/>
      <c r="R13" s="105"/>
      <c r="S13" s="105"/>
      <c r="T13" s="105">
        <f t="shared" si="4"/>
        <v>332914.62</v>
      </c>
      <c r="U13" s="105">
        <f t="shared" si="4"/>
        <v>399497.54</v>
      </c>
    </row>
    <row r="14" spans="1:21" ht="19.5" customHeight="1" x14ac:dyDescent="0.25">
      <c r="A14" s="55">
        <f t="shared" si="7"/>
        <v>5</v>
      </c>
      <c r="B14" s="10" t="s">
        <v>254</v>
      </c>
      <c r="C14" s="13" t="s">
        <v>9</v>
      </c>
      <c r="D14" s="88">
        <v>432.62</v>
      </c>
      <c r="E14" s="97">
        <v>1000</v>
      </c>
      <c r="F14" s="105">
        <f t="shared" si="0"/>
        <v>432620</v>
      </c>
      <c r="G14" s="105">
        <f t="shared" si="1"/>
        <v>519144</v>
      </c>
      <c r="H14" s="11"/>
      <c r="I14" s="106"/>
      <c r="J14" s="106"/>
      <c r="K14" s="107">
        <f t="shared" si="2"/>
        <v>432620</v>
      </c>
      <c r="L14" s="105">
        <f t="shared" si="2"/>
        <v>519144</v>
      </c>
      <c r="M14" s="147"/>
      <c r="N14" s="105">
        <f t="shared" si="5"/>
        <v>1400</v>
      </c>
      <c r="O14" s="105">
        <f t="shared" si="6"/>
        <v>605668</v>
      </c>
      <c r="P14" s="105">
        <f t="shared" si="3"/>
        <v>726801.6</v>
      </c>
      <c r="Q14" s="105"/>
      <c r="R14" s="105"/>
      <c r="S14" s="105"/>
      <c r="T14" s="105">
        <f t="shared" si="4"/>
        <v>605668</v>
      </c>
      <c r="U14" s="105">
        <f t="shared" si="4"/>
        <v>726801.6</v>
      </c>
    </row>
    <row r="15" spans="1:21" ht="19.5" customHeight="1" x14ac:dyDescent="0.25">
      <c r="A15" s="55">
        <f t="shared" si="7"/>
        <v>6</v>
      </c>
      <c r="B15" s="10" t="s">
        <v>255</v>
      </c>
      <c r="C15" s="13" t="s">
        <v>10</v>
      </c>
      <c r="D15" s="60">
        <v>371</v>
      </c>
      <c r="E15" s="97">
        <v>750</v>
      </c>
      <c r="F15" s="105">
        <f t="shared" si="0"/>
        <v>278250</v>
      </c>
      <c r="G15" s="105">
        <f t="shared" si="1"/>
        <v>333900</v>
      </c>
      <c r="H15" s="11"/>
      <c r="I15" s="106"/>
      <c r="J15" s="106"/>
      <c r="K15" s="107">
        <f t="shared" si="2"/>
        <v>278250</v>
      </c>
      <c r="L15" s="105">
        <f t="shared" si="2"/>
        <v>333900</v>
      </c>
      <c r="M15" s="147"/>
      <c r="N15" s="105">
        <f t="shared" si="5"/>
        <v>1050</v>
      </c>
      <c r="O15" s="105">
        <f t="shared" si="6"/>
        <v>389550</v>
      </c>
      <c r="P15" s="105">
        <f t="shared" si="3"/>
        <v>467460</v>
      </c>
      <c r="Q15" s="105"/>
      <c r="R15" s="105"/>
      <c r="S15" s="105"/>
      <c r="T15" s="105">
        <f t="shared" si="4"/>
        <v>389550</v>
      </c>
      <c r="U15" s="105">
        <f t="shared" si="4"/>
        <v>467460</v>
      </c>
    </row>
    <row r="16" spans="1:21" ht="22.5" customHeight="1" x14ac:dyDescent="0.25">
      <c r="A16" s="55"/>
      <c r="B16" s="104" t="s">
        <v>256</v>
      </c>
      <c r="C16" s="13"/>
      <c r="D16" s="86"/>
      <c r="E16" s="97"/>
      <c r="F16" s="105"/>
      <c r="G16" s="105"/>
      <c r="H16" s="11"/>
      <c r="I16" s="106"/>
      <c r="J16" s="106"/>
      <c r="K16" s="107"/>
      <c r="L16" s="105"/>
      <c r="M16" s="147"/>
      <c r="N16" s="105">
        <f t="shared" si="5"/>
        <v>0</v>
      </c>
      <c r="O16" s="105">
        <f t="shared" si="6"/>
        <v>0</v>
      </c>
      <c r="P16" s="105">
        <f t="shared" si="3"/>
        <v>0</v>
      </c>
      <c r="Q16" s="105"/>
      <c r="R16" s="105"/>
      <c r="S16" s="105"/>
      <c r="T16" s="105">
        <f t="shared" si="4"/>
        <v>0</v>
      </c>
      <c r="U16" s="105">
        <f t="shared" si="4"/>
        <v>0</v>
      </c>
    </row>
    <row r="17" spans="1:21" ht="33" customHeight="1" x14ac:dyDescent="0.25">
      <c r="A17" s="55">
        <f>A15+1</f>
        <v>7</v>
      </c>
      <c r="B17" s="10" t="s">
        <v>257</v>
      </c>
      <c r="C17" s="13" t="s">
        <v>7</v>
      </c>
      <c r="D17" s="88">
        <v>103.83</v>
      </c>
      <c r="E17" s="97">
        <v>3800</v>
      </c>
      <c r="F17" s="105">
        <f t="shared" ref="F17:F18" si="8">ROUND(E17*D17,2)</f>
        <v>394554</v>
      </c>
      <c r="G17" s="105">
        <f t="shared" ref="G17:G18" si="9">ROUND(F17*1.2,2)</f>
        <v>473464.8</v>
      </c>
      <c r="H17" s="11"/>
      <c r="I17" s="106"/>
      <c r="J17" s="106"/>
      <c r="K17" s="107">
        <f t="shared" ref="K17:L18" si="10">F17+I17</f>
        <v>394554</v>
      </c>
      <c r="L17" s="105">
        <f t="shared" si="10"/>
        <v>473464.8</v>
      </c>
      <c r="M17" s="147"/>
      <c r="N17" s="105">
        <f t="shared" si="5"/>
        <v>5320</v>
      </c>
      <c r="O17" s="105">
        <f t="shared" si="6"/>
        <v>552375.6</v>
      </c>
      <c r="P17" s="105">
        <f t="shared" si="3"/>
        <v>662850.72</v>
      </c>
      <c r="Q17" s="105"/>
      <c r="R17" s="105"/>
      <c r="S17" s="105"/>
      <c r="T17" s="105">
        <f t="shared" si="4"/>
        <v>552375.6</v>
      </c>
      <c r="U17" s="105">
        <f t="shared" si="4"/>
        <v>662850.72</v>
      </c>
    </row>
    <row r="18" spans="1:21" ht="22.5" customHeight="1" x14ac:dyDescent="0.25">
      <c r="A18" s="55">
        <f>A17+1</f>
        <v>8</v>
      </c>
      <c r="B18" s="10" t="s">
        <v>258</v>
      </c>
      <c r="C18" s="13" t="s">
        <v>7</v>
      </c>
      <c r="D18" s="88">
        <v>69.22</v>
      </c>
      <c r="E18" s="91">
        <v>2573.7399999999998</v>
      </c>
      <c r="F18" s="105">
        <f t="shared" si="8"/>
        <v>178154.28</v>
      </c>
      <c r="G18" s="105">
        <f t="shared" si="9"/>
        <v>213785.14</v>
      </c>
      <c r="H18" s="11"/>
      <c r="I18" s="106"/>
      <c r="J18" s="106"/>
      <c r="K18" s="107">
        <f t="shared" si="10"/>
        <v>178154.28</v>
      </c>
      <c r="L18" s="105">
        <f t="shared" si="10"/>
        <v>213785.14</v>
      </c>
      <c r="M18" s="147"/>
      <c r="N18" s="105">
        <f t="shared" si="5"/>
        <v>3603.2359999999994</v>
      </c>
      <c r="O18" s="105">
        <f t="shared" si="6"/>
        <v>249416</v>
      </c>
      <c r="P18" s="105">
        <f t="shared" si="3"/>
        <v>299299.20000000001</v>
      </c>
      <c r="Q18" s="105"/>
      <c r="R18" s="105"/>
      <c r="S18" s="105"/>
      <c r="T18" s="105">
        <f t="shared" si="4"/>
        <v>249416</v>
      </c>
      <c r="U18" s="105">
        <f t="shared" si="4"/>
        <v>299299.20000000001</v>
      </c>
    </row>
    <row r="19" spans="1:21" ht="18" customHeight="1" x14ac:dyDescent="0.25">
      <c r="A19" s="87" t="s">
        <v>31</v>
      </c>
      <c r="B19" s="95" t="s">
        <v>12</v>
      </c>
      <c r="C19" s="100" t="s">
        <v>7</v>
      </c>
      <c r="D19" s="99">
        <f>D18*1.26</f>
        <v>87.217200000000005</v>
      </c>
      <c r="E19" s="98"/>
      <c r="F19" s="108"/>
      <c r="G19" s="108"/>
      <c r="H19" s="108">
        <v>3720</v>
      </c>
      <c r="I19" s="108">
        <f>ROUND(H19*D19,2)</f>
        <v>324447.98</v>
      </c>
      <c r="J19" s="108">
        <f>ROUND(I19*1.2,2)</f>
        <v>389337.58</v>
      </c>
      <c r="K19" s="98">
        <f>F19+I19</f>
        <v>324447.98</v>
      </c>
      <c r="L19" s="108">
        <f>G19+J19</f>
        <v>389337.58</v>
      </c>
      <c r="M19" s="147"/>
      <c r="N19" s="108">
        <f t="shared" si="5"/>
        <v>0</v>
      </c>
      <c r="O19" s="108">
        <f t="shared" si="6"/>
        <v>0</v>
      </c>
      <c r="P19" s="108">
        <f t="shared" si="3"/>
        <v>0</v>
      </c>
      <c r="Q19" s="108">
        <f>H19*$Q$1</f>
        <v>4650</v>
      </c>
      <c r="R19" s="108">
        <f>ROUND(Q19*D19,2)</f>
        <v>405559.98</v>
      </c>
      <c r="S19" s="108">
        <f>ROUND(R19*1.2,2)</f>
        <v>486671.98</v>
      </c>
      <c r="T19" s="108">
        <f>O19+R19</f>
        <v>405559.98</v>
      </c>
      <c r="U19" s="108">
        <f>P19+S19</f>
        <v>486671.98</v>
      </c>
    </row>
    <row r="20" spans="1:21" ht="21" customHeight="1" x14ac:dyDescent="0.25">
      <c r="A20" s="55">
        <f>A18+1</f>
        <v>9</v>
      </c>
      <c r="B20" s="10" t="s">
        <v>259</v>
      </c>
      <c r="C20" s="13" t="s">
        <v>8</v>
      </c>
      <c r="D20" s="88">
        <v>692.19</v>
      </c>
      <c r="E20" s="97">
        <v>203</v>
      </c>
      <c r="F20" s="105">
        <f t="shared" ref="F20" si="11">ROUND(E20*D20,2)</f>
        <v>140514.57</v>
      </c>
      <c r="G20" s="105">
        <f t="shared" ref="G20" si="12">ROUND(F20*1.2,2)</f>
        <v>168617.48</v>
      </c>
      <c r="H20" s="11"/>
      <c r="I20" s="106"/>
      <c r="J20" s="106"/>
      <c r="K20" s="107">
        <f t="shared" ref="K20:L20" si="13">F20+I20</f>
        <v>140514.57</v>
      </c>
      <c r="L20" s="105">
        <f t="shared" si="13"/>
        <v>168617.48</v>
      </c>
      <c r="M20" s="147"/>
      <c r="N20" s="105">
        <f t="shared" si="5"/>
        <v>284.2</v>
      </c>
      <c r="O20" s="105">
        <f t="shared" si="6"/>
        <v>196720.4</v>
      </c>
      <c r="P20" s="105">
        <f t="shared" si="3"/>
        <v>236064.48</v>
      </c>
      <c r="Q20" s="105"/>
      <c r="R20" s="105"/>
      <c r="S20" s="105"/>
      <c r="T20" s="105">
        <f t="shared" si="4"/>
        <v>196720.4</v>
      </c>
      <c r="U20" s="105">
        <f t="shared" si="4"/>
        <v>236064.48</v>
      </c>
    </row>
    <row r="21" spans="1:21" ht="19.5" customHeight="1" x14ac:dyDescent="0.25">
      <c r="A21" s="55"/>
      <c r="B21" s="104" t="s">
        <v>260</v>
      </c>
      <c r="C21" s="13"/>
      <c r="D21" s="86"/>
      <c r="E21" s="97"/>
      <c r="F21" s="105"/>
      <c r="G21" s="105"/>
      <c r="H21" s="11"/>
      <c r="I21" s="106"/>
      <c r="J21" s="106"/>
      <c r="K21" s="107"/>
      <c r="L21" s="105"/>
      <c r="M21" s="147"/>
      <c r="N21" s="105">
        <f t="shared" si="5"/>
        <v>0</v>
      </c>
      <c r="O21" s="105">
        <f t="shared" si="6"/>
        <v>0</v>
      </c>
      <c r="P21" s="105">
        <f t="shared" si="3"/>
        <v>0</v>
      </c>
      <c r="Q21" s="105"/>
      <c r="R21" s="105"/>
      <c r="S21" s="105"/>
      <c r="T21" s="105">
        <f t="shared" si="4"/>
        <v>0</v>
      </c>
      <c r="U21" s="105">
        <f t="shared" si="4"/>
        <v>0</v>
      </c>
    </row>
    <row r="22" spans="1:21" ht="22.5" customHeight="1" x14ac:dyDescent="0.25">
      <c r="A22" s="55">
        <f>A20+1</f>
        <v>10</v>
      </c>
      <c r="B22" s="10" t="s">
        <v>261</v>
      </c>
      <c r="C22" s="13" t="s">
        <v>10</v>
      </c>
      <c r="D22" s="60">
        <v>398</v>
      </c>
      <c r="E22" s="91">
        <v>2160</v>
      </c>
      <c r="F22" s="105">
        <f t="shared" ref="F22" si="14">ROUND(E22*D22,2)</f>
        <v>859680</v>
      </c>
      <c r="G22" s="105">
        <f t="shared" ref="G22" si="15">ROUND(F22*1.2,2)</f>
        <v>1031616</v>
      </c>
      <c r="H22" s="11"/>
      <c r="I22" s="106"/>
      <c r="J22" s="106"/>
      <c r="K22" s="107">
        <f t="shared" ref="K22:L37" si="16">F22+I22</f>
        <v>859680</v>
      </c>
      <c r="L22" s="105">
        <f t="shared" si="16"/>
        <v>1031616</v>
      </c>
      <c r="M22" s="147"/>
      <c r="N22" s="105">
        <f t="shared" si="5"/>
        <v>3024</v>
      </c>
      <c r="O22" s="105">
        <f t="shared" si="6"/>
        <v>1203552</v>
      </c>
      <c r="P22" s="105">
        <f t="shared" si="3"/>
        <v>1444262.4</v>
      </c>
      <c r="Q22" s="105"/>
      <c r="R22" s="105"/>
      <c r="S22" s="105"/>
      <c r="T22" s="105">
        <f t="shared" si="4"/>
        <v>1203552</v>
      </c>
      <c r="U22" s="105">
        <f t="shared" si="4"/>
        <v>1444262.4</v>
      </c>
    </row>
    <row r="23" spans="1:21" ht="18" customHeight="1" x14ac:dyDescent="0.25">
      <c r="A23" s="87" t="s">
        <v>33</v>
      </c>
      <c r="B23" s="95" t="s">
        <v>288</v>
      </c>
      <c r="C23" s="100" t="s">
        <v>10</v>
      </c>
      <c r="D23" s="96">
        <v>398</v>
      </c>
      <c r="E23" s="98"/>
      <c r="F23" s="108"/>
      <c r="G23" s="108"/>
      <c r="H23" s="108">
        <f>5950/1.2</f>
        <v>4958.3333333333339</v>
      </c>
      <c r="I23" s="108">
        <f t="shared" ref="I23" si="17">ROUND(H23*D23,2)</f>
        <v>1973416.67</v>
      </c>
      <c r="J23" s="108">
        <f t="shared" ref="J23" si="18">ROUND(I23*1.2,2)</f>
        <v>2368100</v>
      </c>
      <c r="K23" s="98">
        <f t="shared" si="16"/>
        <v>1973416.67</v>
      </c>
      <c r="L23" s="108">
        <f t="shared" si="16"/>
        <v>2368100</v>
      </c>
      <c r="M23" s="147"/>
      <c r="N23" s="108">
        <f t="shared" si="5"/>
        <v>0</v>
      </c>
      <c r="O23" s="108">
        <f t="shared" si="6"/>
        <v>0</v>
      </c>
      <c r="P23" s="108">
        <f t="shared" si="3"/>
        <v>0</v>
      </c>
      <c r="Q23" s="108">
        <f>H23*$Q$1</f>
        <v>6197.9166666666679</v>
      </c>
      <c r="R23" s="108">
        <f>ROUND(Q23*D23,2)</f>
        <v>2466770.83</v>
      </c>
      <c r="S23" s="108">
        <f>ROUND(R23*1.2,2)</f>
        <v>2960125</v>
      </c>
      <c r="T23" s="108">
        <f>O23+R23</f>
        <v>2466770.83</v>
      </c>
      <c r="U23" s="108">
        <f>P23+S23</f>
        <v>2960125</v>
      </c>
    </row>
    <row r="24" spans="1:21" ht="22.5" customHeight="1" x14ac:dyDescent="0.25">
      <c r="A24" s="55">
        <f>A22+1</f>
        <v>11</v>
      </c>
      <c r="B24" s="10" t="s">
        <v>262</v>
      </c>
      <c r="C24" s="13" t="s">
        <v>24</v>
      </c>
      <c r="D24" s="60">
        <v>398</v>
      </c>
      <c r="E24" s="97">
        <v>833.25</v>
      </c>
      <c r="F24" s="105">
        <f t="shared" ref="F24" si="19">ROUND(E24*D24,2)</f>
        <v>331633.5</v>
      </c>
      <c r="G24" s="105">
        <f t="shared" ref="G24" si="20">ROUND(F24*1.2,2)</f>
        <v>397960.2</v>
      </c>
      <c r="H24" s="11"/>
      <c r="I24" s="106"/>
      <c r="J24" s="106"/>
      <c r="K24" s="107">
        <f t="shared" si="16"/>
        <v>331633.5</v>
      </c>
      <c r="L24" s="105">
        <f t="shared" si="16"/>
        <v>397960.2</v>
      </c>
      <c r="M24" s="147"/>
      <c r="N24" s="105">
        <f t="shared" si="5"/>
        <v>1166.55</v>
      </c>
      <c r="O24" s="105">
        <f t="shared" si="6"/>
        <v>464286.9</v>
      </c>
      <c r="P24" s="105">
        <f t="shared" si="3"/>
        <v>557144.28</v>
      </c>
      <c r="Q24" s="105"/>
      <c r="R24" s="105"/>
      <c r="S24" s="105"/>
      <c r="T24" s="105">
        <f t="shared" si="4"/>
        <v>464286.9</v>
      </c>
      <c r="U24" s="105">
        <f t="shared" si="4"/>
        <v>557144.28</v>
      </c>
    </row>
    <row r="25" spans="1:21" x14ac:dyDescent="0.25">
      <c r="A25" s="87" t="s">
        <v>34</v>
      </c>
      <c r="B25" s="95" t="s">
        <v>309</v>
      </c>
      <c r="C25" s="100" t="s">
        <v>24</v>
      </c>
      <c r="D25" s="96">
        <v>398</v>
      </c>
      <c r="E25" s="98"/>
      <c r="F25" s="108"/>
      <c r="G25" s="108"/>
      <c r="H25" s="108"/>
      <c r="I25" s="108">
        <f t="shared" ref="I25:I31" si="21">ROUND(H25*D25,2)</f>
        <v>0</v>
      </c>
      <c r="J25" s="108">
        <f t="shared" ref="J25:J31" si="22">ROUND(I25*1.2,2)</f>
        <v>0</v>
      </c>
      <c r="K25" s="98">
        <f t="shared" si="16"/>
        <v>0</v>
      </c>
      <c r="L25" s="108">
        <f t="shared" si="16"/>
        <v>0</v>
      </c>
      <c r="M25" s="147"/>
      <c r="N25" s="108">
        <f t="shared" si="5"/>
        <v>0</v>
      </c>
      <c r="O25" s="108">
        <f t="shared" si="6"/>
        <v>0</v>
      </c>
      <c r="P25" s="108">
        <f t="shared" si="3"/>
        <v>0</v>
      </c>
      <c r="Q25" s="108">
        <f>H25*$Q$1</f>
        <v>0</v>
      </c>
      <c r="R25" s="108">
        <f>ROUND(Q25*D25,2)</f>
        <v>0</v>
      </c>
      <c r="S25" s="108">
        <f>ROUND(R25*1.2,2)</f>
        <v>0</v>
      </c>
      <c r="T25" s="108">
        <f>O25+R25</f>
        <v>0</v>
      </c>
      <c r="U25" s="108">
        <f>P25+S25</f>
        <v>0</v>
      </c>
    </row>
    <row r="26" spans="1:21" ht="15.75" x14ac:dyDescent="0.25">
      <c r="A26" s="87" t="s">
        <v>113</v>
      </c>
      <c r="B26" s="92" t="s">
        <v>308</v>
      </c>
      <c r="C26" s="100" t="s">
        <v>10</v>
      </c>
      <c r="D26" s="93">
        <v>796</v>
      </c>
      <c r="E26" s="109"/>
      <c r="F26" s="108"/>
      <c r="G26" s="108"/>
      <c r="H26" s="108">
        <f>1727320/1.2/796</f>
        <v>1808.3333333333335</v>
      </c>
      <c r="I26" s="108">
        <f t="shared" si="21"/>
        <v>1439433.33</v>
      </c>
      <c r="J26" s="108">
        <f t="shared" si="22"/>
        <v>1727320</v>
      </c>
      <c r="K26" s="98">
        <f t="shared" si="16"/>
        <v>1439433.33</v>
      </c>
      <c r="L26" s="108">
        <f t="shared" si="16"/>
        <v>1727320</v>
      </c>
      <c r="M26" s="147"/>
      <c r="N26" s="108">
        <f t="shared" si="5"/>
        <v>0</v>
      </c>
      <c r="O26" s="108">
        <f t="shared" si="6"/>
        <v>0</v>
      </c>
      <c r="P26" s="108">
        <f t="shared" si="3"/>
        <v>0</v>
      </c>
      <c r="Q26" s="108">
        <f t="shared" ref="Q26:Q31" si="23">H26*$Q$1</f>
        <v>2260.416666666667</v>
      </c>
      <c r="R26" s="108">
        <f t="shared" ref="R26:R31" si="24">ROUND(Q26*D26,2)</f>
        <v>1799291.67</v>
      </c>
      <c r="S26" s="108">
        <f t="shared" ref="S26:S31" si="25">ROUND(R26*1.2,2)</f>
        <v>2159150</v>
      </c>
      <c r="T26" s="108">
        <f t="shared" ref="T26:U41" si="26">O26+R26</f>
        <v>1799291.67</v>
      </c>
      <c r="U26" s="108">
        <f t="shared" si="26"/>
        <v>2159150</v>
      </c>
    </row>
    <row r="27" spans="1:21" ht="15.75" x14ac:dyDescent="0.25">
      <c r="A27" s="87" t="s">
        <v>117</v>
      </c>
      <c r="B27" s="92" t="s">
        <v>238</v>
      </c>
      <c r="C27" s="100" t="s">
        <v>10</v>
      </c>
      <c r="D27" s="93">
        <v>1592</v>
      </c>
      <c r="E27" s="109"/>
      <c r="F27" s="108"/>
      <c r="G27" s="108"/>
      <c r="H27" s="108">
        <f>317803/1.2/D27</f>
        <v>166.35416666666669</v>
      </c>
      <c r="I27" s="108">
        <f t="shared" si="21"/>
        <v>264835.83</v>
      </c>
      <c r="J27" s="108">
        <f t="shared" si="22"/>
        <v>317803</v>
      </c>
      <c r="K27" s="98">
        <f t="shared" si="16"/>
        <v>264835.83</v>
      </c>
      <c r="L27" s="108">
        <f t="shared" si="16"/>
        <v>317803</v>
      </c>
      <c r="M27" s="147"/>
      <c r="N27" s="108">
        <f t="shared" si="5"/>
        <v>0</v>
      </c>
      <c r="O27" s="108">
        <f t="shared" si="6"/>
        <v>0</v>
      </c>
      <c r="P27" s="108">
        <f t="shared" si="3"/>
        <v>0</v>
      </c>
      <c r="Q27" s="108">
        <f t="shared" si="23"/>
        <v>207.94270833333337</v>
      </c>
      <c r="R27" s="108">
        <f t="shared" si="24"/>
        <v>331044.78999999998</v>
      </c>
      <c r="S27" s="108">
        <f t="shared" si="25"/>
        <v>397253.75</v>
      </c>
      <c r="T27" s="108">
        <f t="shared" si="26"/>
        <v>331044.78999999998</v>
      </c>
      <c r="U27" s="108">
        <f t="shared" si="26"/>
        <v>397253.75</v>
      </c>
    </row>
    <row r="28" spans="1:21" ht="15.75" x14ac:dyDescent="0.25">
      <c r="A28" s="87" t="s">
        <v>118</v>
      </c>
      <c r="B28" s="92" t="s">
        <v>239</v>
      </c>
      <c r="C28" s="100" t="s">
        <v>10</v>
      </c>
      <c r="D28" s="93">
        <v>1592</v>
      </c>
      <c r="E28" s="109"/>
      <c r="F28" s="108"/>
      <c r="G28" s="108"/>
      <c r="H28" s="108">
        <f>510000/1.2/D28</f>
        <v>266.95979899497485</v>
      </c>
      <c r="I28" s="108">
        <f t="shared" si="21"/>
        <v>425000</v>
      </c>
      <c r="J28" s="108">
        <f t="shared" si="22"/>
        <v>510000</v>
      </c>
      <c r="K28" s="98">
        <f t="shared" si="16"/>
        <v>425000</v>
      </c>
      <c r="L28" s="108">
        <f t="shared" si="16"/>
        <v>510000</v>
      </c>
      <c r="M28" s="147"/>
      <c r="N28" s="108">
        <f t="shared" si="5"/>
        <v>0</v>
      </c>
      <c r="O28" s="108">
        <f t="shared" si="6"/>
        <v>0</v>
      </c>
      <c r="P28" s="108">
        <f t="shared" si="3"/>
        <v>0</v>
      </c>
      <c r="Q28" s="108">
        <f t="shared" si="23"/>
        <v>333.69974874371854</v>
      </c>
      <c r="R28" s="108">
        <f t="shared" si="24"/>
        <v>531250</v>
      </c>
      <c r="S28" s="108">
        <f t="shared" si="25"/>
        <v>637500</v>
      </c>
      <c r="T28" s="108">
        <f t="shared" si="26"/>
        <v>531250</v>
      </c>
      <c r="U28" s="108">
        <f t="shared" si="26"/>
        <v>637500</v>
      </c>
    </row>
    <row r="29" spans="1:21" ht="15.75" x14ac:dyDescent="0.25">
      <c r="A29" s="87" t="s">
        <v>215</v>
      </c>
      <c r="B29" s="92" t="s">
        <v>240</v>
      </c>
      <c r="C29" s="100" t="s">
        <v>10</v>
      </c>
      <c r="D29" s="93">
        <v>796</v>
      </c>
      <c r="E29" s="109"/>
      <c r="F29" s="108"/>
      <c r="G29" s="108"/>
      <c r="H29" s="108">
        <f>85/1.2</f>
        <v>70.833333333333343</v>
      </c>
      <c r="I29" s="108">
        <f t="shared" si="21"/>
        <v>56383.33</v>
      </c>
      <c r="J29" s="108">
        <f t="shared" si="22"/>
        <v>67660</v>
      </c>
      <c r="K29" s="98">
        <f t="shared" si="16"/>
        <v>56383.33</v>
      </c>
      <c r="L29" s="108">
        <f t="shared" si="16"/>
        <v>67660</v>
      </c>
      <c r="M29" s="147"/>
      <c r="N29" s="108">
        <f t="shared" si="5"/>
        <v>0</v>
      </c>
      <c r="O29" s="108">
        <f t="shared" si="6"/>
        <v>0</v>
      </c>
      <c r="P29" s="108">
        <f t="shared" si="3"/>
        <v>0</v>
      </c>
      <c r="Q29" s="108">
        <f t="shared" si="23"/>
        <v>88.541666666666686</v>
      </c>
      <c r="R29" s="108">
        <f t="shared" si="24"/>
        <v>70479.17</v>
      </c>
      <c r="S29" s="108">
        <f t="shared" si="25"/>
        <v>84575</v>
      </c>
      <c r="T29" s="108">
        <f t="shared" si="26"/>
        <v>70479.17</v>
      </c>
      <c r="U29" s="108">
        <f t="shared" si="26"/>
        <v>84575</v>
      </c>
    </row>
    <row r="30" spans="1:21" ht="15.75" x14ac:dyDescent="0.25">
      <c r="A30" s="87" t="s">
        <v>263</v>
      </c>
      <c r="B30" s="92" t="s">
        <v>241</v>
      </c>
      <c r="C30" s="100" t="s">
        <v>10</v>
      </c>
      <c r="D30" s="93">
        <v>796</v>
      </c>
      <c r="E30" s="109"/>
      <c r="F30" s="108"/>
      <c r="G30" s="108"/>
      <c r="H30" s="108">
        <f>96/1.2</f>
        <v>80</v>
      </c>
      <c r="I30" s="108">
        <f t="shared" si="21"/>
        <v>63680</v>
      </c>
      <c r="J30" s="108">
        <f t="shared" si="22"/>
        <v>76416</v>
      </c>
      <c r="K30" s="98">
        <f t="shared" si="16"/>
        <v>63680</v>
      </c>
      <c r="L30" s="108">
        <f t="shared" si="16"/>
        <v>76416</v>
      </c>
      <c r="M30" s="147"/>
      <c r="N30" s="108">
        <f t="shared" si="5"/>
        <v>0</v>
      </c>
      <c r="O30" s="108">
        <f t="shared" si="6"/>
        <v>0</v>
      </c>
      <c r="P30" s="108">
        <f t="shared" si="3"/>
        <v>0</v>
      </c>
      <c r="Q30" s="108">
        <f t="shared" si="23"/>
        <v>100</v>
      </c>
      <c r="R30" s="108">
        <f t="shared" si="24"/>
        <v>79600</v>
      </c>
      <c r="S30" s="108">
        <f t="shared" si="25"/>
        <v>95520</v>
      </c>
      <c r="T30" s="108">
        <f t="shared" si="26"/>
        <v>79600</v>
      </c>
      <c r="U30" s="108">
        <f t="shared" si="26"/>
        <v>95520</v>
      </c>
    </row>
    <row r="31" spans="1:21" ht="15.75" x14ac:dyDescent="0.25">
      <c r="A31" s="87" t="s">
        <v>264</v>
      </c>
      <c r="B31" s="92" t="s">
        <v>242</v>
      </c>
      <c r="C31" s="100" t="s">
        <v>10</v>
      </c>
      <c r="D31" s="93">
        <v>210</v>
      </c>
      <c r="E31" s="109"/>
      <c r="F31" s="108"/>
      <c r="G31" s="108"/>
      <c r="H31" s="108">
        <f>47362/1.2/D31</f>
        <v>187.94444444444446</v>
      </c>
      <c r="I31" s="108">
        <f t="shared" si="21"/>
        <v>39468.33</v>
      </c>
      <c r="J31" s="108">
        <f t="shared" si="22"/>
        <v>47362</v>
      </c>
      <c r="K31" s="98">
        <f t="shared" si="16"/>
        <v>39468.33</v>
      </c>
      <c r="L31" s="108">
        <f t="shared" si="16"/>
        <v>47362</v>
      </c>
      <c r="M31" s="147"/>
      <c r="N31" s="108">
        <f t="shared" si="5"/>
        <v>0</v>
      </c>
      <c r="O31" s="108">
        <f t="shared" si="6"/>
        <v>0</v>
      </c>
      <c r="P31" s="108">
        <f t="shared" si="3"/>
        <v>0</v>
      </c>
      <c r="Q31" s="108">
        <f t="shared" si="23"/>
        <v>234.93055555555557</v>
      </c>
      <c r="R31" s="108">
        <f t="shared" si="24"/>
        <v>49335.42</v>
      </c>
      <c r="S31" s="108">
        <f t="shared" si="25"/>
        <v>59202.5</v>
      </c>
      <c r="T31" s="108">
        <f t="shared" si="26"/>
        <v>49335.42</v>
      </c>
      <c r="U31" s="108">
        <f t="shared" si="26"/>
        <v>59202.5</v>
      </c>
    </row>
    <row r="32" spans="1:21" ht="22.5" customHeight="1" x14ac:dyDescent="0.25">
      <c r="A32" s="55">
        <f>A24+1</f>
        <v>12</v>
      </c>
      <c r="B32" s="10" t="s">
        <v>265</v>
      </c>
      <c r="C32" s="13" t="s">
        <v>9</v>
      </c>
      <c r="D32" s="88">
        <v>432.62</v>
      </c>
      <c r="E32" s="91">
        <v>1920</v>
      </c>
      <c r="F32" s="105">
        <f t="shared" ref="F32" si="27">ROUND(E32*D32,2)</f>
        <v>830630.40000000002</v>
      </c>
      <c r="G32" s="105">
        <f t="shared" ref="G32" si="28">ROUND(F32*1.2,2)</f>
        <v>996756.47999999998</v>
      </c>
      <c r="H32" s="11"/>
      <c r="I32" s="106"/>
      <c r="J32" s="106"/>
      <c r="K32" s="107">
        <f t="shared" si="16"/>
        <v>830630.40000000002</v>
      </c>
      <c r="L32" s="105">
        <f t="shared" si="16"/>
        <v>996756.47999999998</v>
      </c>
      <c r="M32" s="147"/>
      <c r="N32" s="105">
        <f t="shared" si="5"/>
        <v>2688</v>
      </c>
      <c r="O32" s="105">
        <f t="shared" si="6"/>
        <v>1162882.5600000001</v>
      </c>
      <c r="P32" s="105">
        <f t="shared" si="3"/>
        <v>1395459.07</v>
      </c>
      <c r="Q32" s="105"/>
      <c r="R32" s="105"/>
      <c r="S32" s="105"/>
      <c r="T32" s="105">
        <f t="shared" si="26"/>
        <v>1162882.5600000001</v>
      </c>
      <c r="U32" s="105">
        <f t="shared" si="26"/>
        <v>1395459.07</v>
      </c>
    </row>
    <row r="33" spans="1:21" ht="18" customHeight="1" x14ac:dyDescent="0.25">
      <c r="A33" s="87" t="s">
        <v>35</v>
      </c>
      <c r="B33" s="95" t="s">
        <v>281</v>
      </c>
      <c r="C33" s="100" t="s">
        <v>10</v>
      </c>
      <c r="D33" s="96">
        <v>35</v>
      </c>
      <c r="E33" s="98"/>
      <c r="F33" s="108"/>
      <c r="G33" s="108"/>
      <c r="H33" s="108">
        <f>96000/1.2</f>
        <v>80000</v>
      </c>
      <c r="I33" s="108">
        <f t="shared" ref="I33" si="29">ROUND(H33*D33,2)</f>
        <v>2800000</v>
      </c>
      <c r="J33" s="108">
        <f t="shared" ref="J33" si="30">ROUND(I33*1.2,2)</f>
        <v>3360000</v>
      </c>
      <c r="K33" s="98">
        <f t="shared" si="16"/>
        <v>2800000</v>
      </c>
      <c r="L33" s="108">
        <f t="shared" si="16"/>
        <v>3360000</v>
      </c>
      <c r="M33" s="147"/>
      <c r="N33" s="108">
        <f t="shared" si="5"/>
        <v>0</v>
      </c>
      <c r="O33" s="108">
        <f t="shared" si="6"/>
        <v>0</v>
      </c>
      <c r="P33" s="108">
        <f t="shared" si="3"/>
        <v>0</v>
      </c>
      <c r="Q33" s="108">
        <f>H33*$Q$1</f>
        <v>100000</v>
      </c>
      <c r="R33" s="108">
        <f>ROUND(Q33*D33,2)</f>
        <v>3500000</v>
      </c>
      <c r="S33" s="108">
        <f>ROUND(R33*1.2,2)</f>
        <v>4200000</v>
      </c>
      <c r="T33" s="108">
        <f>O33+R33</f>
        <v>3500000</v>
      </c>
      <c r="U33" s="108">
        <f>P33+S33</f>
        <v>4200000</v>
      </c>
    </row>
    <row r="34" spans="1:21" ht="22.5" customHeight="1" x14ac:dyDescent="0.25">
      <c r="A34" s="55">
        <f>A32+1</f>
        <v>13</v>
      </c>
      <c r="B34" s="10" t="s">
        <v>245</v>
      </c>
      <c r="C34" s="13" t="s">
        <v>24</v>
      </c>
      <c r="D34" s="60">
        <v>40</v>
      </c>
      <c r="E34" s="97">
        <v>1924</v>
      </c>
      <c r="F34" s="105">
        <f t="shared" ref="F34" si="31">ROUND(E34*D34,2)</f>
        <v>76960</v>
      </c>
      <c r="G34" s="105">
        <f t="shared" ref="G34" si="32">ROUND(F34*1.2,2)</f>
        <v>92352</v>
      </c>
      <c r="H34" s="11"/>
      <c r="I34" s="106"/>
      <c r="J34" s="106"/>
      <c r="K34" s="107">
        <f t="shared" si="16"/>
        <v>76960</v>
      </c>
      <c r="L34" s="105">
        <f t="shared" si="16"/>
        <v>92352</v>
      </c>
      <c r="M34" s="147"/>
      <c r="N34" s="105">
        <f t="shared" si="5"/>
        <v>2693.6</v>
      </c>
      <c r="O34" s="105">
        <f t="shared" si="6"/>
        <v>107744</v>
      </c>
      <c r="P34" s="105">
        <f t="shared" si="3"/>
        <v>129292.8</v>
      </c>
      <c r="Q34" s="105"/>
      <c r="R34" s="105"/>
      <c r="S34" s="105"/>
      <c r="T34" s="105">
        <f t="shared" si="26"/>
        <v>107744</v>
      </c>
      <c r="U34" s="105">
        <f t="shared" si="26"/>
        <v>129292.8</v>
      </c>
    </row>
    <row r="35" spans="1:21" ht="18" customHeight="1" x14ac:dyDescent="0.25">
      <c r="A35" s="87" t="s">
        <v>40</v>
      </c>
      <c r="B35" s="92" t="s">
        <v>283</v>
      </c>
      <c r="C35" s="110" t="s">
        <v>232</v>
      </c>
      <c r="D35" s="93">
        <f>40</f>
        <v>40</v>
      </c>
      <c r="E35" s="111"/>
      <c r="F35" s="108"/>
      <c r="G35" s="108"/>
      <c r="H35" s="98">
        <f>19824/1.2</f>
        <v>16520</v>
      </c>
      <c r="I35" s="108">
        <f t="shared" ref="I35:I36" si="33">ROUND(H35*D35,2)</f>
        <v>660800</v>
      </c>
      <c r="J35" s="108">
        <f t="shared" ref="J35:J36" si="34">ROUND(I35*1.2,2)</f>
        <v>792960</v>
      </c>
      <c r="K35" s="98">
        <f t="shared" si="16"/>
        <v>660800</v>
      </c>
      <c r="L35" s="108">
        <f t="shared" si="16"/>
        <v>792960</v>
      </c>
      <c r="M35" s="147"/>
      <c r="N35" s="108">
        <f t="shared" si="5"/>
        <v>0</v>
      </c>
      <c r="O35" s="108">
        <f t="shared" si="6"/>
        <v>0</v>
      </c>
      <c r="P35" s="108">
        <f t="shared" si="3"/>
        <v>0</v>
      </c>
      <c r="Q35" s="108">
        <f>H35*$Q$1</f>
        <v>20650</v>
      </c>
      <c r="R35" s="108">
        <f>ROUND(Q35*D35,2)</f>
        <v>826000</v>
      </c>
      <c r="S35" s="108">
        <f>ROUND(R35*1.2,2)</f>
        <v>991200</v>
      </c>
      <c r="T35" s="108">
        <f>O35+R35</f>
        <v>826000</v>
      </c>
      <c r="U35" s="108">
        <f>P35+S35</f>
        <v>991200</v>
      </c>
    </row>
    <row r="36" spans="1:21" ht="18" customHeight="1" x14ac:dyDescent="0.25">
      <c r="A36" s="87" t="s">
        <v>127</v>
      </c>
      <c r="B36" s="95" t="s">
        <v>243</v>
      </c>
      <c r="C36" s="100" t="s">
        <v>10</v>
      </c>
      <c r="D36" s="96">
        <f>6*40</f>
        <v>240</v>
      </c>
      <c r="E36" s="98"/>
      <c r="F36" s="108"/>
      <c r="G36" s="108"/>
      <c r="H36" s="108">
        <f>47362/1.2/210</f>
        <v>187.94444444444446</v>
      </c>
      <c r="I36" s="108">
        <f t="shared" si="33"/>
        <v>45106.67</v>
      </c>
      <c r="J36" s="108">
        <f t="shared" si="34"/>
        <v>54128</v>
      </c>
      <c r="K36" s="98">
        <f t="shared" si="16"/>
        <v>45106.67</v>
      </c>
      <c r="L36" s="108">
        <f t="shared" si="16"/>
        <v>54128</v>
      </c>
      <c r="M36" s="147"/>
      <c r="N36" s="108">
        <f t="shared" si="5"/>
        <v>0</v>
      </c>
      <c r="O36" s="108">
        <f t="shared" si="6"/>
        <v>0</v>
      </c>
      <c r="P36" s="108">
        <f t="shared" si="3"/>
        <v>0</v>
      </c>
      <c r="Q36" s="108">
        <f>H36*$Q$1</f>
        <v>234.93055555555557</v>
      </c>
      <c r="R36" s="108">
        <f>ROUND(Q36*D36,2)</f>
        <v>56383.33</v>
      </c>
      <c r="S36" s="108">
        <f>ROUND(R36*1.2,2)</f>
        <v>67660</v>
      </c>
      <c r="T36" s="108">
        <f>O36+R36</f>
        <v>56383.33</v>
      </c>
      <c r="U36" s="108">
        <f>P36+S36</f>
        <v>67660</v>
      </c>
    </row>
    <row r="37" spans="1:21" ht="18" customHeight="1" x14ac:dyDescent="0.25">
      <c r="A37" s="55">
        <f>A34+1</f>
        <v>14</v>
      </c>
      <c r="B37" s="10" t="s">
        <v>246</v>
      </c>
      <c r="C37" s="13" t="s">
        <v>7</v>
      </c>
      <c r="D37" s="60">
        <v>93</v>
      </c>
      <c r="E37" s="97">
        <v>1933.2</v>
      </c>
      <c r="F37" s="105">
        <f t="shared" ref="F37" si="35">ROUND(E37*D37,2)</f>
        <v>179787.6</v>
      </c>
      <c r="G37" s="105">
        <f t="shared" ref="G37" si="36">ROUND(F37*1.2,2)</f>
        <v>215745.12</v>
      </c>
      <c r="H37" s="11"/>
      <c r="I37" s="106"/>
      <c r="J37" s="106"/>
      <c r="K37" s="107">
        <f t="shared" si="16"/>
        <v>179787.6</v>
      </c>
      <c r="L37" s="105">
        <f t="shared" si="16"/>
        <v>215745.12</v>
      </c>
      <c r="M37" s="147"/>
      <c r="N37" s="105">
        <f t="shared" si="5"/>
        <v>2706.48</v>
      </c>
      <c r="O37" s="105">
        <f t="shared" si="6"/>
        <v>251702.64</v>
      </c>
      <c r="P37" s="105">
        <f t="shared" si="3"/>
        <v>302043.17</v>
      </c>
      <c r="Q37" s="105"/>
      <c r="R37" s="105"/>
      <c r="S37" s="105"/>
      <c r="T37" s="105">
        <f t="shared" si="26"/>
        <v>251702.64</v>
      </c>
      <c r="U37" s="105">
        <f t="shared" si="26"/>
        <v>302043.17</v>
      </c>
    </row>
    <row r="38" spans="1:21" ht="18" customHeight="1" x14ac:dyDescent="0.25">
      <c r="A38" s="87" t="s">
        <v>39</v>
      </c>
      <c r="B38" s="95" t="s">
        <v>12</v>
      </c>
      <c r="C38" s="100" t="s">
        <v>7</v>
      </c>
      <c r="D38" s="99">
        <f>D37*1.26</f>
        <v>117.18</v>
      </c>
      <c r="E38" s="98"/>
      <c r="F38" s="108"/>
      <c r="G38" s="108"/>
      <c r="H38" s="108">
        <v>3720</v>
      </c>
      <c r="I38" s="108">
        <f>ROUND(H38*D38,2)</f>
        <v>435909.6</v>
      </c>
      <c r="J38" s="108">
        <f>ROUND(I38*1.2,2)</f>
        <v>523091.52</v>
      </c>
      <c r="K38" s="98">
        <f>F38+I38</f>
        <v>435909.6</v>
      </c>
      <c r="L38" s="108">
        <f>G38+J38</f>
        <v>523091.52</v>
      </c>
      <c r="M38" s="147"/>
      <c r="N38" s="108">
        <f t="shared" si="5"/>
        <v>0</v>
      </c>
      <c r="O38" s="108">
        <f t="shared" si="6"/>
        <v>0</v>
      </c>
      <c r="P38" s="108">
        <f t="shared" si="3"/>
        <v>0</v>
      </c>
      <c r="Q38" s="108">
        <f>H38*$Q$1</f>
        <v>4650</v>
      </c>
      <c r="R38" s="108">
        <f>ROUND(Q38*D38,2)</f>
        <v>544887</v>
      </c>
      <c r="S38" s="108">
        <f>ROUND(R38*1.2,2)</f>
        <v>653864.4</v>
      </c>
      <c r="T38" s="108">
        <f>O38+R38</f>
        <v>544887</v>
      </c>
      <c r="U38" s="108">
        <f>P38+S38</f>
        <v>653864.4</v>
      </c>
    </row>
    <row r="39" spans="1:21" ht="18" customHeight="1" x14ac:dyDescent="0.25">
      <c r="A39" s="55">
        <f>A37+1</f>
        <v>15</v>
      </c>
      <c r="B39" s="10" t="s">
        <v>233</v>
      </c>
      <c r="C39" s="13" t="s">
        <v>7</v>
      </c>
      <c r="D39" s="86">
        <v>18.600000000000001</v>
      </c>
      <c r="E39" s="91">
        <v>1449.9</v>
      </c>
      <c r="F39" s="105">
        <f t="shared" ref="F39" si="37">ROUND(E39*D39,2)</f>
        <v>26968.14</v>
      </c>
      <c r="G39" s="105">
        <f t="shared" ref="G39" si="38">ROUND(F39*1.2,2)</f>
        <v>32361.77</v>
      </c>
      <c r="H39" s="11"/>
      <c r="I39" s="106"/>
      <c r="J39" s="106"/>
      <c r="K39" s="107">
        <f t="shared" ref="K39:L39" si="39">F39+I39</f>
        <v>26968.14</v>
      </c>
      <c r="L39" s="105">
        <f t="shared" si="39"/>
        <v>32361.77</v>
      </c>
      <c r="M39" s="147"/>
      <c r="N39" s="105">
        <f t="shared" si="5"/>
        <v>2029.86</v>
      </c>
      <c r="O39" s="105">
        <f t="shared" si="6"/>
        <v>37755.4</v>
      </c>
      <c r="P39" s="105">
        <f t="shared" si="3"/>
        <v>45306.48</v>
      </c>
      <c r="Q39" s="105"/>
      <c r="R39" s="105"/>
      <c r="S39" s="105"/>
      <c r="T39" s="105">
        <f t="shared" si="26"/>
        <v>37755.4</v>
      </c>
      <c r="U39" s="105">
        <f t="shared" si="26"/>
        <v>45306.48</v>
      </c>
    </row>
    <row r="40" spans="1:21" ht="18" customHeight="1" x14ac:dyDescent="0.25">
      <c r="A40" s="87" t="s">
        <v>50</v>
      </c>
      <c r="B40" s="95" t="s">
        <v>12</v>
      </c>
      <c r="C40" s="100" t="s">
        <v>7</v>
      </c>
      <c r="D40" s="99">
        <f>D39*1.26</f>
        <v>23.436000000000003</v>
      </c>
      <c r="E40" s="98"/>
      <c r="F40" s="108"/>
      <c r="G40" s="108"/>
      <c r="H40" s="108">
        <v>3720</v>
      </c>
      <c r="I40" s="108">
        <f>ROUND(H40*D40,2)</f>
        <v>87181.92</v>
      </c>
      <c r="J40" s="108">
        <f>ROUND(I40*1.2,2)</f>
        <v>104618.3</v>
      </c>
      <c r="K40" s="98">
        <f>F40+I40</f>
        <v>87181.92</v>
      </c>
      <c r="L40" s="108">
        <f>G40+J40</f>
        <v>104618.3</v>
      </c>
      <c r="M40" s="147"/>
      <c r="N40" s="108">
        <f t="shared" si="5"/>
        <v>0</v>
      </c>
      <c r="O40" s="108">
        <f t="shared" si="6"/>
        <v>0</v>
      </c>
      <c r="P40" s="108">
        <f t="shared" si="3"/>
        <v>0</v>
      </c>
      <c r="Q40" s="108">
        <f>H40*$Q$1</f>
        <v>4650</v>
      </c>
      <c r="R40" s="108">
        <f>ROUND(Q40*D40,2)</f>
        <v>108977.4</v>
      </c>
      <c r="S40" s="108">
        <f>ROUND(R40*1.2,2)</f>
        <v>130772.88</v>
      </c>
      <c r="T40" s="108">
        <f>O40+R40</f>
        <v>108977.4</v>
      </c>
      <c r="U40" s="108">
        <f>P40+S40</f>
        <v>130772.88</v>
      </c>
    </row>
    <row r="41" spans="1:21" ht="21" customHeight="1" x14ac:dyDescent="0.25">
      <c r="A41" s="55">
        <f>A39+1</f>
        <v>16</v>
      </c>
      <c r="B41" s="10" t="s">
        <v>234</v>
      </c>
      <c r="C41" s="13" t="s">
        <v>9</v>
      </c>
      <c r="D41" s="88">
        <v>216.31</v>
      </c>
      <c r="E41" s="97">
        <v>945.3</v>
      </c>
      <c r="F41" s="105">
        <f t="shared" ref="F41:F42" si="40">ROUND(E41*D41,2)</f>
        <v>204477.84</v>
      </c>
      <c r="G41" s="105">
        <f t="shared" ref="G41:G42" si="41">ROUND(F41*1.2,2)</f>
        <v>245373.41</v>
      </c>
      <c r="H41" s="11"/>
      <c r="I41" s="106"/>
      <c r="J41" s="106"/>
      <c r="K41" s="107">
        <f t="shared" ref="K41:L42" si="42">F41+I41</f>
        <v>204477.84</v>
      </c>
      <c r="L41" s="105">
        <f t="shared" si="42"/>
        <v>245373.41</v>
      </c>
      <c r="M41" s="147"/>
      <c r="N41" s="105">
        <f t="shared" si="5"/>
        <v>1323.4199999999998</v>
      </c>
      <c r="O41" s="105">
        <f t="shared" si="6"/>
        <v>286268.98</v>
      </c>
      <c r="P41" s="105">
        <f t="shared" si="3"/>
        <v>343522.78</v>
      </c>
      <c r="Q41" s="105"/>
      <c r="R41" s="105"/>
      <c r="S41" s="105"/>
      <c r="T41" s="105">
        <f t="shared" si="26"/>
        <v>286268.98</v>
      </c>
      <c r="U41" s="105">
        <f t="shared" si="26"/>
        <v>343522.78</v>
      </c>
    </row>
    <row r="42" spans="1:21" ht="32.25" customHeight="1" x14ac:dyDescent="0.25">
      <c r="A42" s="55">
        <f>A41+1</f>
        <v>17</v>
      </c>
      <c r="B42" s="10" t="s">
        <v>298</v>
      </c>
      <c r="C42" s="13" t="s">
        <v>15</v>
      </c>
      <c r="D42" s="88">
        <v>60</v>
      </c>
      <c r="E42" s="97">
        <v>700</v>
      </c>
      <c r="F42" s="105">
        <f t="shared" si="40"/>
        <v>42000</v>
      </c>
      <c r="G42" s="105">
        <f t="shared" si="41"/>
        <v>50400</v>
      </c>
      <c r="H42" s="11"/>
      <c r="I42" s="106"/>
      <c r="J42" s="106"/>
      <c r="K42" s="107">
        <f t="shared" si="42"/>
        <v>42000</v>
      </c>
      <c r="L42" s="105">
        <f t="shared" si="42"/>
        <v>50400</v>
      </c>
      <c r="M42" s="147"/>
      <c r="N42" s="105">
        <f t="shared" si="5"/>
        <v>979.99999999999989</v>
      </c>
      <c r="O42" s="105">
        <f t="shared" si="6"/>
        <v>58800</v>
      </c>
      <c r="P42" s="105">
        <f t="shared" si="3"/>
        <v>70560</v>
      </c>
      <c r="Q42" s="105"/>
      <c r="R42" s="105"/>
      <c r="S42" s="105"/>
      <c r="T42" s="105">
        <f t="shared" ref="T42:U102" si="43">O42+R42</f>
        <v>58800</v>
      </c>
      <c r="U42" s="105">
        <f t="shared" si="43"/>
        <v>70560</v>
      </c>
    </row>
    <row r="43" spans="1:21" s="155" customFormat="1" ht="32.25" customHeight="1" x14ac:dyDescent="0.25">
      <c r="A43" s="151"/>
      <c r="B43" s="156" t="s">
        <v>300</v>
      </c>
      <c r="C43" s="152"/>
      <c r="D43" s="153"/>
      <c r="E43" s="154"/>
      <c r="F43" s="106">
        <f>SUM(F9:F42)</f>
        <v>4541088.4899999993</v>
      </c>
      <c r="G43" s="157">
        <f>SUM(G9:G42)</f>
        <v>5449306.1900000004</v>
      </c>
      <c r="H43" s="15"/>
      <c r="I43" s="106">
        <f>SUM(I9:I42)</f>
        <v>8615663.6600000001</v>
      </c>
      <c r="J43" s="157">
        <f>SUM(J9:J42)</f>
        <v>10338796.4</v>
      </c>
      <c r="K43" s="106">
        <f>SUM(K9:K42)</f>
        <v>13156752.15</v>
      </c>
      <c r="L43" s="157">
        <f>SUM(L9:L42)</f>
        <v>15788102.59</v>
      </c>
      <c r="M43" s="106"/>
      <c r="N43" s="106"/>
      <c r="O43" s="106">
        <f>SUM(O9:O42)</f>
        <v>6357523.9000000004</v>
      </c>
      <c r="P43" s="157">
        <f>SUM(P9:P42)</f>
        <v>7629028.6800000006</v>
      </c>
      <c r="Q43" s="15"/>
      <c r="R43" s="106">
        <f>SUM(R9:R42)</f>
        <v>10769579.59</v>
      </c>
      <c r="S43" s="157">
        <f>SUM(S9:S42)</f>
        <v>12923495.510000002</v>
      </c>
      <c r="T43" s="106">
        <f>SUM(T9:T42)</f>
        <v>17127103.490000002</v>
      </c>
      <c r="U43" s="157">
        <f>SUM(U9:U42)</f>
        <v>20552524.190000001</v>
      </c>
    </row>
    <row r="44" spans="1:21" ht="20.25" customHeight="1" x14ac:dyDescent="0.25">
      <c r="A44" s="6"/>
      <c r="B44" s="135" t="s">
        <v>266</v>
      </c>
      <c r="C44" s="136"/>
      <c r="D44" s="136"/>
      <c r="E44" s="7"/>
      <c r="F44" s="8"/>
      <c r="G44" s="9"/>
      <c r="H44" s="9"/>
      <c r="I44" s="9"/>
      <c r="J44" s="9"/>
      <c r="K44" s="9"/>
      <c r="L44" s="9"/>
      <c r="M44" s="146"/>
      <c r="N44" s="9">
        <f t="shared" si="5"/>
        <v>0</v>
      </c>
      <c r="O44" s="9">
        <f t="shared" si="6"/>
        <v>0</v>
      </c>
      <c r="P44" s="9">
        <f t="shared" si="3"/>
        <v>0</v>
      </c>
      <c r="Q44" s="9"/>
      <c r="R44" s="9"/>
      <c r="S44" s="9"/>
      <c r="T44" s="9">
        <f t="shared" si="43"/>
        <v>0</v>
      </c>
      <c r="U44" s="9">
        <f t="shared" si="43"/>
        <v>0</v>
      </c>
    </row>
    <row r="45" spans="1:21" ht="22.5" customHeight="1" x14ac:dyDescent="0.25">
      <c r="A45" s="55" t="s">
        <v>297</v>
      </c>
      <c r="B45" s="10" t="s">
        <v>235</v>
      </c>
      <c r="C45" s="13" t="s">
        <v>7</v>
      </c>
      <c r="D45" s="88">
        <v>17.079999999999998</v>
      </c>
      <c r="E45" s="97">
        <v>3800</v>
      </c>
      <c r="F45" s="105">
        <f t="shared" ref="F45:F59" si="44">ROUND(E45*D45,2)</f>
        <v>64904</v>
      </c>
      <c r="G45" s="105">
        <f t="shared" ref="G45:G59" si="45">ROUND(F45*1.2,2)</f>
        <v>77884.800000000003</v>
      </c>
      <c r="H45" s="11"/>
      <c r="I45" s="106"/>
      <c r="J45" s="106"/>
      <c r="K45" s="107">
        <f t="shared" ref="K45:L59" si="46">F45+I45</f>
        <v>64904</v>
      </c>
      <c r="L45" s="105">
        <f t="shared" si="46"/>
        <v>77884.800000000003</v>
      </c>
      <c r="M45" s="147"/>
      <c r="N45" s="105">
        <f t="shared" si="5"/>
        <v>5320</v>
      </c>
      <c r="O45" s="105">
        <f t="shared" si="6"/>
        <v>90865.600000000006</v>
      </c>
      <c r="P45" s="105">
        <f t="shared" si="3"/>
        <v>109038.72</v>
      </c>
      <c r="Q45" s="105"/>
      <c r="R45" s="105"/>
      <c r="S45" s="105"/>
      <c r="T45" s="105">
        <f t="shared" si="43"/>
        <v>90865.600000000006</v>
      </c>
      <c r="U45" s="105">
        <f t="shared" si="43"/>
        <v>109038.72</v>
      </c>
    </row>
    <row r="46" spans="1:21" ht="18" customHeight="1" x14ac:dyDescent="0.25">
      <c r="A46" s="94">
        <f>A45+1</f>
        <v>20</v>
      </c>
      <c r="B46" s="10" t="s">
        <v>124</v>
      </c>
      <c r="C46" s="13" t="s">
        <v>10</v>
      </c>
      <c r="D46" s="60">
        <v>1</v>
      </c>
      <c r="E46" s="97">
        <v>8320</v>
      </c>
      <c r="F46" s="105">
        <f t="shared" si="44"/>
        <v>8320</v>
      </c>
      <c r="G46" s="105">
        <f t="shared" si="45"/>
        <v>9984</v>
      </c>
      <c r="H46" s="11"/>
      <c r="I46" s="106"/>
      <c r="J46" s="106"/>
      <c r="K46" s="107">
        <f t="shared" si="46"/>
        <v>8320</v>
      </c>
      <c r="L46" s="105">
        <f t="shared" si="46"/>
        <v>9984</v>
      </c>
      <c r="M46" s="147"/>
      <c r="N46" s="105">
        <f t="shared" si="5"/>
        <v>11648</v>
      </c>
      <c r="O46" s="105">
        <f t="shared" si="6"/>
        <v>11648</v>
      </c>
      <c r="P46" s="105">
        <f t="shared" si="3"/>
        <v>13977.6</v>
      </c>
      <c r="Q46" s="105"/>
      <c r="R46" s="105"/>
      <c r="S46" s="105"/>
      <c r="T46" s="105">
        <f t="shared" si="43"/>
        <v>11648</v>
      </c>
      <c r="U46" s="105">
        <f t="shared" si="43"/>
        <v>13977.6</v>
      </c>
    </row>
    <row r="47" spans="1:21" ht="18" customHeight="1" x14ac:dyDescent="0.25">
      <c r="A47" s="94">
        <f t="shared" ref="A47:A49" si="47">A46+1</f>
        <v>21</v>
      </c>
      <c r="B47" s="10" t="s">
        <v>268</v>
      </c>
      <c r="C47" s="13" t="s">
        <v>10</v>
      </c>
      <c r="D47" s="60">
        <v>126</v>
      </c>
      <c r="E47" s="97">
        <v>340.96</v>
      </c>
      <c r="F47" s="105">
        <f t="shared" si="44"/>
        <v>42960.959999999999</v>
      </c>
      <c r="G47" s="105">
        <f t="shared" si="45"/>
        <v>51553.15</v>
      </c>
      <c r="H47" s="11"/>
      <c r="I47" s="106"/>
      <c r="J47" s="106"/>
      <c r="K47" s="107">
        <f t="shared" si="46"/>
        <v>42960.959999999999</v>
      </c>
      <c r="L47" s="105">
        <f t="shared" si="46"/>
        <v>51553.15</v>
      </c>
      <c r="M47" s="147"/>
      <c r="N47" s="105">
        <f t="shared" si="5"/>
        <v>477.34399999999994</v>
      </c>
      <c r="O47" s="105">
        <f t="shared" si="6"/>
        <v>60145.34</v>
      </c>
      <c r="P47" s="105">
        <f t="shared" si="3"/>
        <v>72174.41</v>
      </c>
      <c r="Q47" s="105"/>
      <c r="R47" s="105"/>
      <c r="S47" s="105"/>
      <c r="T47" s="105">
        <f t="shared" si="43"/>
        <v>60145.34</v>
      </c>
      <c r="U47" s="105">
        <f t="shared" si="43"/>
        <v>72174.41</v>
      </c>
    </row>
    <row r="48" spans="1:21" ht="18" customHeight="1" x14ac:dyDescent="0.25">
      <c r="A48" s="94">
        <f t="shared" si="47"/>
        <v>22</v>
      </c>
      <c r="B48" s="10" t="s">
        <v>271</v>
      </c>
      <c r="C48" s="13" t="s">
        <v>10</v>
      </c>
      <c r="D48" s="60">
        <v>63</v>
      </c>
      <c r="E48" s="91">
        <v>1968.6400000000003</v>
      </c>
      <c r="F48" s="105">
        <f t="shared" si="44"/>
        <v>124024.32000000001</v>
      </c>
      <c r="G48" s="105">
        <f t="shared" si="45"/>
        <v>148829.18</v>
      </c>
      <c r="H48" s="11"/>
      <c r="I48" s="106"/>
      <c r="J48" s="106"/>
      <c r="K48" s="107">
        <f t="shared" si="46"/>
        <v>124024.32000000001</v>
      </c>
      <c r="L48" s="105">
        <f t="shared" si="46"/>
        <v>148829.18</v>
      </c>
      <c r="M48" s="147"/>
      <c r="N48" s="105">
        <f t="shared" si="5"/>
        <v>2756.0960000000005</v>
      </c>
      <c r="O48" s="105">
        <f t="shared" si="6"/>
        <v>173634.05</v>
      </c>
      <c r="P48" s="105">
        <f t="shared" si="3"/>
        <v>208360.86</v>
      </c>
      <c r="Q48" s="105"/>
      <c r="R48" s="105"/>
      <c r="S48" s="105"/>
      <c r="T48" s="105">
        <f t="shared" si="43"/>
        <v>173634.05</v>
      </c>
      <c r="U48" s="105">
        <f t="shared" si="43"/>
        <v>208360.86</v>
      </c>
    </row>
    <row r="49" spans="1:21" ht="18" customHeight="1" x14ac:dyDescent="0.25">
      <c r="A49" s="94">
        <f t="shared" si="47"/>
        <v>23</v>
      </c>
      <c r="B49" s="10" t="s">
        <v>272</v>
      </c>
      <c r="C49" s="13" t="s">
        <v>10</v>
      </c>
      <c r="D49" s="60">
        <v>63</v>
      </c>
      <c r="E49" s="91">
        <v>2952.96</v>
      </c>
      <c r="F49" s="105">
        <f t="shared" si="44"/>
        <v>186036.48000000001</v>
      </c>
      <c r="G49" s="105">
        <f t="shared" si="45"/>
        <v>223243.78</v>
      </c>
      <c r="H49" s="11"/>
      <c r="I49" s="106"/>
      <c r="J49" s="106"/>
      <c r="K49" s="107">
        <f t="shared" si="46"/>
        <v>186036.48000000001</v>
      </c>
      <c r="L49" s="105">
        <f t="shared" si="46"/>
        <v>223243.78</v>
      </c>
      <c r="M49" s="147"/>
      <c r="N49" s="105">
        <f t="shared" si="5"/>
        <v>4134.1440000000002</v>
      </c>
      <c r="O49" s="105">
        <f t="shared" si="6"/>
        <v>260451.07</v>
      </c>
      <c r="P49" s="105">
        <f t="shared" si="3"/>
        <v>312541.28000000003</v>
      </c>
      <c r="Q49" s="105"/>
      <c r="R49" s="105"/>
      <c r="S49" s="105"/>
      <c r="T49" s="105">
        <f t="shared" si="43"/>
        <v>260451.07</v>
      </c>
      <c r="U49" s="105">
        <f t="shared" si="43"/>
        <v>312541.28000000003</v>
      </c>
    </row>
    <row r="50" spans="1:21" ht="18" customHeight="1" x14ac:dyDescent="0.25">
      <c r="A50" s="87" t="s">
        <v>270</v>
      </c>
      <c r="B50" s="95" t="s">
        <v>82</v>
      </c>
      <c r="C50" s="100" t="s">
        <v>10</v>
      </c>
      <c r="D50" s="96">
        <v>63</v>
      </c>
      <c r="E50" s="98"/>
      <c r="F50" s="108"/>
      <c r="G50" s="108"/>
      <c r="H50" s="108">
        <f>460000/1.2/D50</f>
        <v>6084.6560846560851</v>
      </c>
      <c r="I50" s="108">
        <f>ROUND(H50*D50,2)</f>
        <v>383333.33</v>
      </c>
      <c r="J50" s="108">
        <f>ROUND(I50*1.2,2)</f>
        <v>460000</v>
      </c>
      <c r="K50" s="98">
        <f>F50+I50</f>
        <v>383333.33</v>
      </c>
      <c r="L50" s="108">
        <f>G50+J50</f>
        <v>460000</v>
      </c>
      <c r="M50" s="147"/>
      <c r="N50" s="108">
        <f t="shared" si="5"/>
        <v>0</v>
      </c>
      <c r="O50" s="108">
        <f t="shared" si="6"/>
        <v>0</v>
      </c>
      <c r="P50" s="108">
        <f t="shared" si="3"/>
        <v>0</v>
      </c>
      <c r="Q50" s="108">
        <f>H50*$Q$1</f>
        <v>7605.8201058201066</v>
      </c>
      <c r="R50" s="108">
        <f>ROUND(Q50*D50,2)</f>
        <v>479166.67</v>
      </c>
      <c r="S50" s="108">
        <f>ROUND(R50*1.2,2)</f>
        <v>575000</v>
      </c>
      <c r="T50" s="108">
        <f>O50+R50</f>
        <v>479166.67</v>
      </c>
      <c r="U50" s="108">
        <f>P50+S50</f>
        <v>575000</v>
      </c>
    </row>
    <row r="51" spans="1:21" ht="18" customHeight="1" x14ac:dyDescent="0.25">
      <c r="A51" s="94">
        <f>A49+1</f>
        <v>24</v>
      </c>
      <c r="B51" s="10" t="s">
        <v>269</v>
      </c>
      <c r="C51" s="13" t="s">
        <v>10</v>
      </c>
      <c r="D51" s="60">
        <v>63</v>
      </c>
      <c r="E51" s="97">
        <v>833.25</v>
      </c>
      <c r="F51" s="105">
        <f t="shared" ref="F51:F56" si="48">ROUND(E51*D51,2)</f>
        <v>52494.75</v>
      </c>
      <c r="G51" s="105">
        <f t="shared" ref="G51:G56" si="49">ROUND(F51*1.2,2)</f>
        <v>62993.7</v>
      </c>
      <c r="H51" s="11"/>
      <c r="I51" s="106"/>
      <c r="J51" s="106"/>
      <c r="K51" s="107">
        <f t="shared" ref="K51:L57" si="50">F51+I51</f>
        <v>52494.75</v>
      </c>
      <c r="L51" s="105">
        <f t="shared" si="50"/>
        <v>62993.7</v>
      </c>
      <c r="M51" s="147"/>
      <c r="N51" s="105">
        <f t="shared" si="5"/>
        <v>1166.55</v>
      </c>
      <c r="O51" s="105">
        <f t="shared" si="6"/>
        <v>73492.649999999994</v>
      </c>
      <c r="P51" s="105">
        <f t="shared" si="3"/>
        <v>88191.18</v>
      </c>
      <c r="Q51" s="105"/>
      <c r="R51" s="105"/>
      <c r="S51" s="105"/>
      <c r="T51" s="105">
        <f t="shared" si="43"/>
        <v>73492.649999999994</v>
      </c>
      <c r="U51" s="105">
        <f t="shared" si="43"/>
        <v>88191.18</v>
      </c>
    </row>
    <row r="52" spans="1:21" ht="18" customHeight="1" x14ac:dyDescent="0.25">
      <c r="A52" s="87" t="s">
        <v>285</v>
      </c>
      <c r="B52" s="95" t="s">
        <v>307</v>
      </c>
      <c r="C52" s="100" t="s">
        <v>149</v>
      </c>
      <c r="D52" s="139">
        <v>104</v>
      </c>
      <c r="E52" s="98"/>
      <c r="F52" s="108"/>
      <c r="G52" s="108"/>
      <c r="H52" s="108">
        <f>2581/1.2</f>
        <v>2150.8333333333335</v>
      </c>
      <c r="I52" s="108">
        <f t="shared" ref="I52:I55" si="51">ROUND(H52*D52,2)</f>
        <v>223686.67</v>
      </c>
      <c r="J52" s="108">
        <f t="shared" ref="J52:J55" si="52">ROUND(I52*1.2,2)</f>
        <v>268424</v>
      </c>
      <c r="K52" s="98">
        <f t="shared" si="50"/>
        <v>223686.67</v>
      </c>
      <c r="L52" s="108">
        <f t="shared" si="50"/>
        <v>268424</v>
      </c>
      <c r="M52" s="147"/>
      <c r="N52" s="108">
        <f t="shared" si="5"/>
        <v>0</v>
      </c>
      <c r="O52" s="108">
        <f t="shared" si="6"/>
        <v>0</v>
      </c>
      <c r="P52" s="108">
        <f t="shared" si="3"/>
        <v>0</v>
      </c>
      <c r="Q52" s="108">
        <f t="shared" ref="Q52:Q55" si="53">H52*$Q$1</f>
        <v>2688.541666666667</v>
      </c>
      <c r="R52" s="108">
        <f t="shared" ref="R52:R55" si="54">ROUND(Q52*D52,2)</f>
        <v>279608.33</v>
      </c>
      <c r="S52" s="108">
        <f t="shared" ref="S52:S55" si="55">ROUND(R52*1.2,2)</f>
        <v>335530</v>
      </c>
      <c r="T52" s="108">
        <f t="shared" si="43"/>
        <v>279608.33</v>
      </c>
      <c r="U52" s="108">
        <f t="shared" si="43"/>
        <v>335530</v>
      </c>
    </row>
    <row r="53" spans="1:21" ht="18" customHeight="1" x14ac:dyDescent="0.25">
      <c r="A53" s="87" t="s">
        <v>286</v>
      </c>
      <c r="B53" s="95" t="s">
        <v>310</v>
      </c>
      <c r="C53" s="100" t="s">
        <v>149</v>
      </c>
      <c r="D53" s="139">
        <v>104</v>
      </c>
      <c r="E53" s="98"/>
      <c r="F53" s="108"/>
      <c r="G53" s="108"/>
      <c r="H53" s="108">
        <f>98/1.2</f>
        <v>81.666666666666671</v>
      </c>
      <c r="I53" s="108">
        <f t="shared" si="51"/>
        <v>8493.33</v>
      </c>
      <c r="J53" s="108">
        <f t="shared" si="52"/>
        <v>10192</v>
      </c>
      <c r="K53" s="98">
        <f t="shared" si="50"/>
        <v>8493.33</v>
      </c>
      <c r="L53" s="108">
        <f t="shared" si="50"/>
        <v>10192</v>
      </c>
      <c r="M53" s="147"/>
      <c r="N53" s="108"/>
      <c r="O53" s="108"/>
      <c r="P53" s="108"/>
      <c r="Q53" s="108">
        <f t="shared" si="53"/>
        <v>102.08333333333334</v>
      </c>
      <c r="R53" s="108">
        <f t="shared" si="54"/>
        <v>10616.67</v>
      </c>
      <c r="S53" s="108">
        <f t="shared" si="55"/>
        <v>12740</v>
      </c>
      <c r="T53" s="108">
        <f t="shared" si="43"/>
        <v>10616.67</v>
      </c>
      <c r="U53" s="108">
        <f t="shared" si="43"/>
        <v>12740</v>
      </c>
    </row>
    <row r="54" spans="1:21" ht="18" customHeight="1" x14ac:dyDescent="0.25">
      <c r="A54" s="87" t="s">
        <v>287</v>
      </c>
      <c r="B54" s="95" t="s">
        <v>289</v>
      </c>
      <c r="C54" s="100" t="s">
        <v>149</v>
      </c>
      <c r="D54" s="96">
        <v>520</v>
      </c>
      <c r="E54" s="98"/>
      <c r="F54" s="108"/>
      <c r="G54" s="108"/>
      <c r="H54" s="108">
        <f>31126/1.2/520</f>
        <v>49.881410256410263</v>
      </c>
      <c r="I54" s="108">
        <f t="shared" si="51"/>
        <v>25938.33</v>
      </c>
      <c r="J54" s="108">
        <f t="shared" si="52"/>
        <v>31126</v>
      </c>
      <c r="K54" s="98">
        <f t="shared" si="50"/>
        <v>25938.33</v>
      </c>
      <c r="L54" s="108">
        <f t="shared" si="50"/>
        <v>31126</v>
      </c>
      <c r="M54" s="147"/>
      <c r="N54" s="108">
        <f t="shared" si="5"/>
        <v>0</v>
      </c>
      <c r="O54" s="108">
        <f t="shared" si="6"/>
        <v>0</v>
      </c>
      <c r="P54" s="108">
        <f t="shared" si="3"/>
        <v>0</v>
      </c>
      <c r="Q54" s="108">
        <f t="shared" si="53"/>
        <v>62.351762820512832</v>
      </c>
      <c r="R54" s="108">
        <f t="shared" si="54"/>
        <v>32422.92</v>
      </c>
      <c r="S54" s="108">
        <f t="shared" si="55"/>
        <v>38907.5</v>
      </c>
      <c r="T54" s="108">
        <f t="shared" si="43"/>
        <v>32422.92</v>
      </c>
      <c r="U54" s="108">
        <f t="shared" si="43"/>
        <v>38907.5</v>
      </c>
    </row>
    <row r="55" spans="1:21" ht="18" customHeight="1" x14ac:dyDescent="0.25">
      <c r="A55" s="87" t="s">
        <v>291</v>
      </c>
      <c r="B55" s="95" t="s">
        <v>290</v>
      </c>
      <c r="C55" s="100" t="s">
        <v>149</v>
      </c>
      <c r="D55" s="96">
        <v>486</v>
      </c>
      <c r="E55" s="98"/>
      <c r="F55" s="108"/>
      <c r="G55" s="108"/>
      <c r="H55" s="108">
        <f>43248/1.2/486</f>
        <v>74.156378600823047</v>
      </c>
      <c r="I55" s="108">
        <f t="shared" si="51"/>
        <v>36040</v>
      </c>
      <c r="J55" s="108">
        <f t="shared" si="52"/>
        <v>43248</v>
      </c>
      <c r="K55" s="98">
        <f t="shared" si="50"/>
        <v>36040</v>
      </c>
      <c r="L55" s="108">
        <f t="shared" si="50"/>
        <v>43248</v>
      </c>
      <c r="M55" s="147"/>
      <c r="N55" s="108">
        <f t="shared" si="5"/>
        <v>0</v>
      </c>
      <c r="O55" s="108">
        <f t="shared" si="6"/>
        <v>0</v>
      </c>
      <c r="P55" s="108">
        <f t="shared" si="3"/>
        <v>0</v>
      </c>
      <c r="Q55" s="108">
        <f t="shared" si="53"/>
        <v>92.695473251028801</v>
      </c>
      <c r="R55" s="108">
        <f t="shared" si="54"/>
        <v>45050</v>
      </c>
      <c r="S55" s="108">
        <f t="shared" si="55"/>
        <v>54060</v>
      </c>
      <c r="T55" s="108">
        <f t="shared" si="43"/>
        <v>45050</v>
      </c>
      <c r="U55" s="108">
        <f t="shared" si="43"/>
        <v>54060</v>
      </c>
    </row>
    <row r="56" spans="1:21" ht="18" customHeight="1" x14ac:dyDescent="0.25">
      <c r="A56" s="94">
        <f>A51+1</f>
        <v>25</v>
      </c>
      <c r="B56" s="10" t="s">
        <v>163</v>
      </c>
      <c r="C56" s="13" t="s">
        <v>10</v>
      </c>
      <c r="D56" s="60">
        <v>2</v>
      </c>
      <c r="E56" s="112">
        <v>3691.2</v>
      </c>
      <c r="F56" s="105">
        <f t="shared" si="48"/>
        <v>7382.4</v>
      </c>
      <c r="G56" s="105">
        <f t="shared" si="49"/>
        <v>8858.8799999999992</v>
      </c>
      <c r="H56" s="11"/>
      <c r="I56" s="106"/>
      <c r="J56" s="106"/>
      <c r="K56" s="107">
        <f t="shared" si="50"/>
        <v>7382.4</v>
      </c>
      <c r="L56" s="105">
        <f t="shared" si="50"/>
        <v>8858.8799999999992</v>
      </c>
      <c r="M56" s="147"/>
      <c r="N56" s="105">
        <f t="shared" si="5"/>
        <v>5167.6799999999994</v>
      </c>
      <c r="O56" s="105">
        <f t="shared" si="6"/>
        <v>10335.36</v>
      </c>
      <c r="P56" s="105">
        <f t="shared" si="3"/>
        <v>12402.43</v>
      </c>
      <c r="Q56" s="105"/>
      <c r="R56" s="105"/>
      <c r="S56" s="105"/>
      <c r="T56" s="105">
        <f t="shared" si="43"/>
        <v>10335.36</v>
      </c>
      <c r="U56" s="105">
        <f t="shared" si="43"/>
        <v>12402.43</v>
      </c>
    </row>
    <row r="57" spans="1:21" ht="18" customHeight="1" x14ac:dyDescent="0.25">
      <c r="A57" s="87" t="s">
        <v>273</v>
      </c>
      <c r="B57" s="92" t="s">
        <v>164</v>
      </c>
      <c r="C57" s="100" t="s">
        <v>10</v>
      </c>
      <c r="D57" s="96">
        <v>2</v>
      </c>
      <c r="E57" s="98"/>
      <c r="F57" s="108"/>
      <c r="G57" s="108"/>
      <c r="H57" s="108">
        <f>7000/1.2</f>
        <v>5833.3333333333339</v>
      </c>
      <c r="I57" s="108">
        <f t="shared" ref="I57" si="56">ROUND(H57*D57,2)</f>
        <v>11666.67</v>
      </c>
      <c r="J57" s="108">
        <f t="shared" ref="J57" si="57">ROUND(I57*1.2,2)</f>
        <v>14000</v>
      </c>
      <c r="K57" s="98">
        <f t="shared" si="50"/>
        <v>11666.67</v>
      </c>
      <c r="L57" s="108">
        <f t="shared" si="50"/>
        <v>14000</v>
      </c>
      <c r="M57" s="147"/>
      <c r="N57" s="108">
        <f t="shared" si="5"/>
        <v>0</v>
      </c>
      <c r="O57" s="108">
        <f t="shared" si="6"/>
        <v>0</v>
      </c>
      <c r="P57" s="108">
        <f t="shared" si="3"/>
        <v>0</v>
      </c>
      <c r="Q57" s="108">
        <f>H57*$Q$1</f>
        <v>7291.6666666666679</v>
      </c>
      <c r="R57" s="108">
        <f>ROUND(Q57*D57,2)</f>
        <v>14583.33</v>
      </c>
      <c r="S57" s="108">
        <f>ROUND(R57*1.2,2)</f>
        <v>17500</v>
      </c>
      <c r="T57" s="108">
        <f>O57+R57</f>
        <v>14583.33</v>
      </c>
      <c r="U57" s="108">
        <f>P57+S57</f>
        <v>17500</v>
      </c>
    </row>
    <row r="58" spans="1:21" ht="18" customHeight="1" x14ac:dyDescent="0.25">
      <c r="A58" s="94">
        <f>A56+1</f>
        <v>26</v>
      </c>
      <c r="B58" s="10" t="s">
        <v>267</v>
      </c>
      <c r="C58" s="13" t="s">
        <v>10</v>
      </c>
      <c r="D58" s="60">
        <v>1</v>
      </c>
      <c r="E58" s="97">
        <f>E46*1.5</f>
        <v>12480</v>
      </c>
      <c r="F58" s="105">
        <f t="shared" si="44"/>
        <v>12480</v>
      </c>
      <c r="G58" s="105">
        <f t="shared" si="45"/>
        <v>14976</v>
      </c>
      <c r="H58" s="11"/>
      <c r="I58" s="106"/>
      <c r="J58" s="106"/>
      <c r="K58" s="107">
        <f t="shared" si="46"/>
        <v>12480</v>
      </c>
      <c r="L58" s="105">
        <f t="shared" si="46"/>
        <v>14976</v>
      </c>
      <c r="M58" s="147"/>
      <c r="N58" s="105">
        <f t="shared" si="5"/>
        <v>17472</v>
      </c>
      <c r="O58" s="105">
        <f t="shared" si="6"/>
        <v>17472</v>
      </c>
      <c r="P58" s="105">
        <f t="shared" si="3"/>
        <v>20966.400000000001</v>
      </c>
      <c r="Q58" s="105"/>
      <c r="R58" s="105"/>
      <c r="S58" s="105"/>
      <c r="T58" s="105">
        <f t="shared" si="43"/>
        <v>17472</v>
      </c>
      <c r="U58" s="105">
        <f t="shared" si="43"/>
        <v>20966.400000000001</v>
      </c>
    </row>
    <row r="59" spans="1:21" ht="18" customHeight="1" x14ac:dyDescent="0.25">
      <c r="A59" s="94">
        <f>A58+1</f>
        <v>27</v>
      </c>
      <c r="B59" s="10" t="s">
        <v>236</v>
      </c>
      <c r="C59" s="13" t="s">
        <v>7</v>
      </c>
      <c r="D59" s="88">
        <v>16.43</v>
      </c>
      <c r="E59" s="97">
        <v>1933.2</v>
      </c>
      <c r="F59" s="105">
        <f t="shared" si="44"/>
        <v>31762.48</v>
      </c>
      <c r="G59" s="105">
        <f t="shared" si="45"/>
        <v>38114.980000000003</v>
      </c>
      <c r="H59" s="11"/>
      <c r="I59" s="106"/>
      <c r="J59" s="106"/>
      <c r="K59" s="107">
        <f t="shared" si="46"/>
        <v>31762.48</v>
      </c>
      <c r="L59" s="105">
        <f t="shared" si="46"/>
        <v>38114.980000000003</v>
      </c>
      <c r="M59" s="147"/>
      <c r="N59" s="105">
        <f t="shared" si="5"/>
        <v>2706.48</v>
      </c>
      <c r="O59" s="105">
        <f t="shared" si="6"/>
        <v>44467.47</v>
      </c>
      <c r="P59" s="105">
        <f t="shared" si="3"/>
        <v>53360.959999999999</v>
      </c>
      <c r="Q59" s="105"/>
      <c r="R59" s="105"/>
      <c r="S59" s="105"/>
      <c r="T59" s="105">
        <f t="shared" si="43"/>
        <v>44467.47</v>
      </c>
      <c r="U59" s="105">
        <f t="shared" si="43"/>
        <v>53360.959999999999</v>
      </c>
    </row>
    <row r="60" spans="1:21" ht="18" customHeight="1" x14ac:dyDescent="0.25">
      <c r="A60" s="87" t="s">
        <v>274</v>
      </c>
      <c r="B60" s="95" t="s">
        <v>12</v>
      </c>
      <c r="C60" s="100" t="s">
        <v>7</v>
      </c>
      <c r="D60" s="101">
        <f>ROUND(D59*1.26,2)</f>
        <v>20.7</v>
      </c>
      <c r="E60" s="98"/>
      <c r="F60" s="108"/>
      <c r="G60" s="108"/>
      <c r="H60" s="108">
        <v>3720</v>
      </c>
      <c r="I60" s="108">
        <f>ROUND(H60*D60,2)</f>
        <v>77004</v>
      </c>
      <c r="J60" s="108">
        <f>ROUND(I60*1.2,2)</f>
        <v>92404.800000000003</v>
      </c>
      <c r="K60" s="98">
        <f>F60+I60</f>
        <v>77004</v>
      </c>
      <c r="L60" s="108">
        <f>G60+J60</f>
        <v>92404.800000000003</v>
      </c>
      <c r="M60" s="147"/>
      <c r="N60" s="108">
        <f t="shared" si="5"/>
        <v>0</v>
      </c>
      <c r="O60" s="108">
        <f t="shared" si="6"/>
        <v>0</v>
      </c>
      <c r="P60" s="108">
        <f t="shared" si="3"/>
        <v>0</v>
      </c>
      <c r="Q60" s="108">
        <f>H60*$Q$1</f>
        <v>4650</v>
      </c>
      <c r="R60" s="108">
        <f>ROUND(Q60*D60,2)</f>
        <v>96255</v>
      </c>
      <c r="S60" s="108">
        <f>ROUND(R60*1.2,2)</f>
        <v>115506</v>
      </c>
      <c r="T60" s="108">
        <f>O60+R60</f>
        <v>96255</v>
      </c>
      <c r="U60" s="108">
        <f>P60+S60</f>
        <v>115506</v>
      </c>
    </row>
    <row r="61" spans="1:21" ht="18" customHeight="1" x14ac:dyDescent="0.25">
      <c r="A61" s="94">
        <f>A59+1</f>
        <v>28</v>
      </c>
      <c r="B61" s="10" t="s">
        <v>237</v>
      </c>
      <c r="C61" s="13" t="s">
        <v>7</v>
      </c>
      <c r="D61" s="88">
        <v>3.3</v>
      </c>
      <c r="E61" s="97">
        <v>2395.1999999999998</v>
      </c>
      <c r="F61" s="105">
        <f t="shared" ref="F61" si="58">ROUND(E61*D61,2)</f>
        <v>7904.16</v>
      </c>
      <c r="G61" s="105">
        <f t="shared" ref="G61" si="59">ROUND(F61*1.2,2)</f>
        <v>9484.99</v>
      </c>
      <c r="H61" s="11"/>
      <c r="I61" s="106"/>
      <c r="J61" s="106"/>
      <c r="K61" s="107">
        <f t="shared" ref="K61:L61" si="60">F61+I61</f>
        <v>7904.16</v>
      </c>
      <c r="L61" s="105">
        <f t="shared" si="60"/>
        <v>9484.99</v>
      </c>
      <c r="M61" s="147"/>
      <c r="N61" s="105">
        <f t="shared" si="5"/>
        <v>3353.2799999999997</v>
      </c>
      <c r="O61" s="105">
        <f t="shared" si="6"/>
        <v>11065.82</v>
      </c>
      <c r="P61" s="105">
        <f t="shared" si="3"/>
        <v>13278.98</v>
      </c>
      <c r="Q61" s="105"/>
      <c r="R61" s="105"/>
      <c r="S61" s="105"/>
      <c r="T61" s="105">
        <f t="shared" si="43"/>
        <v>11065.82</v>
      </c>
      <c r="U61" s="105">
        <f t="shared" si="43"/>
        <v>13278.98</v>
      </c>
    </row>
    <row r="62" spans="1:21" ht="18" customHeight="1" x14ac:dyDescent="0.25">
      <c r="A62" s="87" t="s">
        <v>275</v>
      </c>
      <c r="B62" s="95" t="s">
        <v>12</v>
      </c>
      <c r="C62" s="100" t="s">
        <v>7</v>
      </c>
      <c r="D62" s="101">
        <f>ROUND(D61*1.26,2)</f>
        <v>4.16</v>
      </c>
      <c r="E62" s="98"/>
      <c r="F62" s="108"/>
      <c r="G62" s="108"/>
      <c r="H62" s="108">
        <v>3720</v>
      </c>
      <c r="I62" s="108">
        <f>ROUND(H62*D62,2)</f>
        <v>15475.2</v>
      </c>
      <c r="J62" s="108">
        <f>ROUND(I62*1.2,2)</f>
        <v>18570.240000000002</v>
      </c>
      <c r="K62" s="98">
        <f>F62+I62</f>
        <v>15475.2</v>
      </c>
      <c r="L62" s="108">
        <f>G62+J62</f>
        <v>18570.240000000002</v>
      </c>
      <c r="M62" s="147"/>
      <c r="N62" s="108">
        <f t="shared" si="5"/>
        <v>0</v>
      </c>
      <c r="O62" s="108">
        <f t="shared" si="6"/>
        <v>0</v>
      </c>
      <c r="P62" s="108">
        <f t="shared" si="3"/>
        <v>0</v>
      </c>
      <c r="Q62" s="108">
        <f>H62*$Q$1</f>
        <v>4650</v>
      </c>
      <c r="R62" s="108">
        <f>ROUND(Q62*D62,2)</f>
        <v>19344</v>
      </c>
      <c r="S62" s="108">
        <f>ROUND(R62*1.2,2)</f>
        <v>23212.799999999999</v>
      </c>
      <c r="T62" s="108">
        <f>O62+R62</f>
        <v>19344</v>
      </c>
      <c r="U62" s="108">
        <f>P62+S62</f>
        <v>23212.799999999999</v>
      </c>
    </row>
    <row r="63" spans="1:21" ht="18" customHeight="1" x14ac:dyDescent="0.25">
      <c r="A63" s="94">
        <f>A61+1</f>
        <v>29</v>
      </c>
      <c r="B63" s="10" t="s">
        <v>244</v>
      </c>
      <c r="C63" s="13" t="s">
        <v>15</v>
      </c>
      <c r="D63" s="89">
        <v>6.5860000000000003</v>
      </c>
      <c r="E63" s="97">
        <v>450</v>
      </c>
      <c r="F63" s="105">
        <f t="shared" ref="F63" si="61">ROUND(E63*D63,2)</f>
        <v>2963.7</v>
      </c>
      <c r="G63" s="105">
        <f t="shared" ref="G63" si="62">ROUND(F63*1.2,2)</f>
        <v>3556.44</v>
      </c>
      <c r="H63" s="11"/>
      <c r="I63" s="106"/>
      <c r="J63" s="106"/>
      <c r="K63" s="107">
        <f t="shared" ref="K63:L63" si="63">F63+I63</f>
        <v>2963.7</v>
      </c>
      <c r="L63" s="105">
        <f t="shared" si="63"/>
        <v>3556.44</v>
      </c>
      <c r="M63" s="147"/>
      <c r="N63" s="105">
        <f t="shared" si="5"/>
        <v>630</v>
      </c>
      <c r="O63" s="105">
        <f t="shared" si="6"/>
        <v>4149.18</v>
      </c>
      <c r="P63" s="105">
        <f t="shared" si="3"/>
        <v>4979.0200000000004</v>
      </c>
      <c r="Q63" s="105"/>
      <c r="R63" s="105"/>
      <c r="S63" s="105"/>
      <c r="T63" s="105">
        <f t="shared" si="43"/>
        <v>4149.18</v>
      </c>
      <c r="U63" s="105">
        <f t="shared" si="43"/>
        <v>4979.0200000000004</v>
      </c>
    </row>
    <row r="64" spans="1:21" ht="20.25" customHeight="1" x14ac:dyDescent="0.25">
      <c r="A64" s="6"/>
      <c r="B64" s="135" t="s">
        <v>276</v>
      </c>
      <c r="C64" s="136"/>
      <c r="D64" s="136"/>
      <c r="E64" s="7"/>
      <c r="F64" s="8"/>
      <c r="G64" s="9"/>
      <c r="H64" s="9"/>
      <c r="I64" s="9"/>
      <c r="J64" s="9"/>
      <c r="K64" s="9"/>
      <c r="L64" s="9"/>
      <c r="M64" s="146"/>
      <c r="N64" s="9">
        <f t="shared" si="5"/>
        <v>0</v>
      </c>
      <c r="O64" s="9">
        <f t="shared" si="6"/>
        <v>0</v>
      </c>
      <c r="P64" s="9">
        <f t="shared" si="3"/>
        <v>0</v>
      </c>
      <c r="Q64" s="9"/>
      <c r="R64" s="9"/>
      <c r="S64" s="9"/>
      <c r="T64" s="9">
        <f t="shared" si="43"/>
        <v>0</v>
      </c>
      <c r="U64" s="9">
        <f t="shared" si="43"/>
        <v>0</v>
      </c>
    </row>
    <row r="65" spans="1:21" ht="22.5" customHeight="1" x14ac:dyDescent="0.25">
      <c r="A65" s="94">
        <f>A63+1</f>
        <v>30</v>
      </c>
      <c r="B65" s="10" t="s">
        <v>235</v>
      </c>
      <c r="C65" s="13" t="s">
        <v>7</v>
      </c>
      <c r="D65" s="88">
        <v>16.62</v>
      </c>
      <c r="E65" s="97">
        <v>3800</v>
      </c>
      <c r="F65" s="105">
        <f t="shared" ref="F65:F69" si="64">ROUND(E65*D65,2)</f>
        <v>63156</v>
      </c>
      <c r="G65" s="105">
        <f t="shared" ref="G65:G69" si="65">ROUND(F65*1.2,2)</f>
        <v>75787.199999999997</v>
      </c>
      <c r="H65" s="11"/>
      <c r="I65" s="106"/>
      <c r="J65" s="106"/>
      <c r="K65" s="107">
        <f t="shared" ref="K65:L79" si="66">F65+I65</f>
        <v>63156</v>
      </c>
      <c r="L65" s="105">
        <f t="shared" si="66"/>
        <v>75787.199999999997</v>
      </c>
      <c r="M65" s="147"/>
      <c r="N65" s="105">
        <f t="shared" si="5"/>
        <v>5320</v>
      </c>
      <c r="O65" s="105">
        <f t="shared" si="6"/>
        <v>88418.4</v>
      </c>
      <c r="P65" s="105">
        <f t="shared" si="3"/>
        <v>106102.08</v>
      </c>
      <c r="Q65" s="105"/>
      <c r="R65" s="105"/>
      <c r="S65" s="105"/>
      <c r="T65" s="105">
        <f t="shared" si="43"/>
        <v>88418.4</v>
      </c>
      <c r="U65" s="105">
        <f t="shared" si="43"/>
        <v>106102.08</v>
      </c>
    </row>
    <row r="66" spans="1:21" ht="18" customHeight="1" x14ac:dyDescent="0.25">
      <c r="A66" s="94">
        <f>A65+1</f>
        <v>31</v>
      </c>
      <c r="B66" s="10" t="s">
        <v>124</v>
      </c>
      <c r="C66" s="13" t="s">
        <v>10</v>
      </c>
      <c r="D66" s="60">
        <v>1</v>
      </c>
      <c r="E66" s="97">
        <v>8320</v>
      </c>
      <c r="F66" s="105">
        <f t="shared" si="64"/>
        <v>8320</v>
      </c>
      <c r="G66" s="105">
        <f t="shared" si="65"/>
        <v>9984</v>
      </c>
      <c r="H66" s="11"/>
      <c r="I66" s="106"/>
      <c r="J66" s="106"/>
      <c r="K66" s="107">
        <f t="shared" si="66"/>
        <v>8320</v>
      </c>
      <c r="L66" s="105">
        <f t="shared" si="66"/>
        <v>9984</v>
      </c>
      <c r="M66" s="147"/>
      <c r="N66" s="105">
        <f t="shared" si="5"/>
        <v>11648</v>
      </c>
      <c r="O66" s="105">
        <f t="shared" si="6"/>
        <v>11648</v>
      </c>
      <c r="P66" s="105">
        <f t="shared" si="3"/>
        <v>13977.6</v>
      </c>
      <c r="Q66" s="105"/>
      <c r="R66" s="105"/>
      <c r="S66" s="105"/>
      <c r="T66" s="105">
        <f t="shared" si="43"/>
        <v>11648</v>
      </c>
      <c r="U66" s="105">
        <f t="shared" si="43"/>
        <v>13977.6</v>
      </c>
    </row>
    <row r="67" spans="1:21" ht="18" customHeight="1" x14ac:dyDescent="0.25">
      <c r="A67" s="94">
        <f t="shared" ref="A67:A68" si="67">A66+1</f>
        <v>32</v>
      </c>
      <c r="B67" s="10" t="s">
        <v>255</v>
      </c>
      <c r="C67" s="13" t="s">
        <v>10</v>
      </c>
      <c r="D67" s="60">
        <v>96</v>
      </c>
      <c r="E67" s="97">
        <v>750</v>
      </c>
      <c r="F67" s="105">
        <f t="shared" si="64"/>
        <v>72000</v>
      </c>
      <c r="G67" s="105">
        <f t="shared" si="65"/>
        <v>86400</v>
      </c>
      <c r="H67" s="11"/>
      <c r="I67" s="106"/>
      <c r="J67" s="106"/>
      <c r="K67" s="107">
        <f t="shared" si="66"/>
        <v>72000</v>
      </c>
      <c r="L67" s="105">
        <f t="shared" si="66"/>
        <v>86400</v>
      </c>
      <c r="M67" s="147"/>
      <c r="N67" s="105">
        <f t="shared" si="5"/>
        <v>1050</v>
      </c>
      <c r="O67" s="105">
        <f t="shared" si="6"/>
        <v>100800</v>
      </c>
      <c r="P67" s="105">
        <f t="shared" si="3"/>
        <v>120960</v>
      </c>
      <c r="Q67" s="105"/>
      <c r="R67" s="105"/>
      <c r="S67" s="105"/>
      <c r="T67" s="105">
        <f t="shared" si="43"/>
        <v>100800</v>
      </c>
      <c r="U67" s="105">
        <f t="shared" si="43"/>
        <v>120960</v>
      </c>
    </row>
    <row r="68" spans="1:21" ht="18" customHeight="1" x14ac:dyDescent="0.25">
      <c r="A68" s="94">
        <f t="shared" si="67"/>
        <v>33</v>
      </c>
      <c r="B68" s="10" t="s">
        <v>271</v>
      </c>
      <c r="C68" s="13" t="s">
        <v>10</v>
      </c>
      <c r="D68" s="60">
        <v>18</v>
      </c>
      <c r="E68" s="91">
        <v>1968.6400000000003</v>
      </c>
      <c r="F68" s="105">
        <f t="shared" si="64"/>
        <v>35435.519999999997</v>
      </c>
      <c r="G68" s="105">
        <f t="shared" si="65"/>
        <v>42522.62</v>
      </c>
      <c r="H68" s="11"/>
      <c r="I68" s="106"/>
      <c r="J68" s="106"/>
      <c r="K68" s="107">
        <f t="shared" si="66"/>
        <v>35435.519999999997</v>
      </c>
      <c r="L68" s="105">
        <f t="shared" si="66"/>
        <v>42522.62</v>
      </c>
      <c r="M68" s="147"/>
      <c r="N68" s="105">
        <f t="shared" si="5"/>
        <v>2756.0960000000005</v>
      </c>
      <c r="O68" s="105">
        <f t="shared" si="6"/>
        <v>49609.73</v>
      </c>
      <c r="P68" s="105">
        <f t="shared" si="3"/>
        <v>59531.68</v>
      </c>
      <c r="Q68" s="105"/>
      <c r="R68" s="105"/>
      <c r="S68" s="105"/>
      <c r="T68" s="105">
        <f t="shared" si="43"/>
        <v>49609.73</v>
      </c>
      <c r="U68" s="105">
        <f t="shared" si="43"/>
        <v>59531.68</v>
      </c>
    </row>
    <row r="69" spans="1:21" ht="18" customHeight="1" x14ac:dyDescent="0.25">
      <c r="A69" s="94">
        <v>34</v>
      </c>
      <c r="B69" s="10" t="s">
        <v>272</v>
      </c>
      <c r="C69" s="13" t="s">
        <v>10</v>
      </c>
      <c r="D69" s="60">
        <v>63</v>
      </c>
      <c r="E69" s="91">
        <v>2952.96</v>
      </c>
      <c r="F69" s="105">
        <f t="shared" si="64"/>
        <v>186036.48000000001</v>
      </c>
      <c r="G69" s="105">
        <f t="shared" si="65"/>
        <v>223243.78</v>
      </c>
      <c r="H69" s="11"/>
      <c r="I69" s="106"/>
      <c r="J69" s="106"/>
      <c r="K69" s="107">
        <f t="shared" si="66"/>
        <v>186036.48000000001</v>
      </c>
      <c r="L69" s="105">
        <f t="shared" si="66"/>
        <v>223243.78</v>
      </c>
      <c r="M69" s="147"/>
      <c r="N69" s="105">
        <f t="shared" si="5"/>
        <v>4134.1440000000002</v>
      </c>
      <c r="O69" s="105">
        <f t="shared" si="6"/>
        <v>260451.07</v>
      </c>
      <c r="P69" s="105">
        <f t="shared" si="3"/>
        <v>312541.28000000003</v>
      </c>
      <c r="Q69" s="105"/>
      <c r="R69" s="105"/>
      <c r="S69" s="105"/>
      <c r="T69" s="105">
        <f t="shared" si="43"/>
        <v>260451.07</v>
      </c>
      <c r="U69" s="105">
        <f t="shared" si="43"/>
        <v>312541.28000000003</v>
      </c>
    </row>
    <row r="70" spans="1:21" ht="18" customHeight="1" x14ac:dyDescent="0.25">
      <c r="A70" s="87" t="s">
        <v>280</v>
      </c>
      <c r="B70" s="95" t="s">
        <v>282</v>
      </c>
      <c r="C70" s="100" t="s">
        <v>10</v>
      </c>
      <c r="D70" s="96">
        <v>63</v>
      </c>
      <c r="E70" s="98"/>
      <c r="F70" s="108"/>
      <c r="G70" s="108"/>
      <c r="H70" s="108">
        <f>460000/1.2/D70</f>
        <v>6084.6560846560851</v>
      </c>
      <c r="I70" s="108">
        <f t="shared" ref="I70" si="68">ROUND(H70*D70,2)</f>
        <v>383333.33</v>
      </c>
      <c r="J70" s="108">
        <f t="shared" ref="J70" si="69">ROUND(I70*1.2,2)</f>
        <v>460000</v>
      </c>
      <c r="K70" s="98">
        <f t="shared" si="66"/>
        <v>383333.33</v>
      </c>
      <c r="L70" s="108">
        <f t="shared" si="66"/>
        <v>460000</v>
      </c>
      <c r="M70" s="147"/>
      <c r="N70" s="108">
        <f t="shared" si="5"/>
        <v>0</v>
      </c>
      <c r="O70" s="108">
        <f t="shared" si="6"/>
        <v>0</v>
      </c>
      <c r="P70" s="108">
        <f t="shared" si="3"/>
        <v>0</v>
      </c>
      <c r="Q70" s="108">
        <f>H70*$Q$1</f>
        <v>7605.8201058201066</v>
      </c>
      <c r="R70" s="108">
        <f>ROUND(Q70*D70,2)</f>
        <v>479166.67</v>
      </c>
      <c r="S70" s="108">
        <f>ROUND(R70*1.2,2)</f>
        <v>575000</v>
      </c>
      <c r="T70" s="108">
        <f>O70+R70</f>
        <v>479166.67</v>
      </c>
      <c r="U70" s="108">
        <f>P70+S70</f>
        <v>575000</v>
      </c>
    </row>
    <row r="71" spans="1:21" ht="18" customHeight="1" x14ac:dyDescent="0.25">
      <c r="A71" s="94">
        <f>A69+1</f>
        <v>35</v>
      </c>
      <c r="B71" s="10" t="s">
        <v>269</v>
      </c>
      <c r="C71" s="13" t="s">
        <v>10</v>
      </c>
      <c r="D71" s="60">
        <v>63</v>
      </c>
      <c r="E71" s="97">
        <v>833.25</v>
      </c>
      <c r="F71" s="105">
        <f t="shared" ref="F71:F76" si="70">ROUND(E71*D71,2)</f>
        <v>52494.75</v>
      </c>
      <c r="G71" s="105">
        <f t="shared" ref="G71:G76" si="71">ROUND(F71*1.2,2)</f>
        <v>62993.7</v>
      </c>
      <c r="H71" s="11"/>
      <c r="I71" s="106"/>
      <c r="J71" s="106"/>
      <c r="K71" s="107">
        <f t="shared" si="66"/>
        <v>52494.75</v>
      </c>
      <c r="L71" s="105">
        <f t="shared" si="66"/>
        <v>62993.7</v>
      </c>
      <c r="M71" s="147"/>
      <c r="N71" s="105">
        <f t="shared" si="5"/>
        <v>1166.55</v>
      </c>
      <c r="O71" s="105">
        <f t="shared" si="6"/>
        <v>73492.649999999994</v>
      </c>
      <c r="P71" s="105">
        <f t="shared" si="3"/>
        <v>88191.18</v>
      </c>
      <c r="Q71" s="105"/>
      <c r="R71" s="105"/>
      <c r="S71" s="105"/>
      <c r="T71" s="105">
        <f t="shared" si="43"/>
        <v>73492.649999999994</v>
      </c>
      <c r="U71" s="105">
        <f t="shared" si="43"/>
        <v>88191.18</v>
      </c>
    </row>
    <row r="72" spans="1:21" ht="18" customHeight="1" x14ac:dyDescent="0.25">
      <c r="A72" s="87" t="s">
        <v>284</v>
      </c>
      <c r="B72" s="95" t="s">
        <v>296</v>
      </c>
      <c r="C72" s="100" t="s">
        <v>149</v>
      </c>
      <c r="D72" s="139">
        <v>116</v>
      </c>
      <c r="E72" s="98"/>
      <c r="F72" s="108"/>
      <c r="G72" s="108"/>
      <c r="H72" s="108">
        <f>1982/1.2</f>
        <v>1651.6666666666667</v>
      </c>
      <c r="I72" s="108">
        <f t="shared" ref="I72:I75" si="72">ROUND(H72*D72,2)</f>
        <v>191593.33</v>
      </c>
      <c r="J72" s="108">
        <f t="shared" ref="J72:J75" si="73">ROUND(I72*1.2,2)</f>
        <v>229912</v>
      </c>
      <c r="K72" s="98">
        <f t="shared" si="66"/>
        <v>191593.33</v>
      </c>
      <c r="L72" s="108">
        <f t="shared" si="66"/>
        <v>229912</v>
      </c>
      <c r="M72" s="147"/>
      <c r="N72" s="108">
        <f t="shared" si="5"/>
        <v>0</v>
      </c>
      <c r="O72" s="108">
        <f t="shared" si="6"/>
        <v>0</v>
      </c>
      <c r="P72" s="108">
        <f t="shared" si="3"/>
        <v>0</v>
      </c>
      <c r="Q72" s="108">
        <f t="shared" ref="Q72:Q75" si="74">H72*$Q$1</f>
        <v>2064.5833333333335</v>
      </c>
      <c r="R72" s="108">
        <f t="shared" ref="R72:R75" si="75">ROUND(Q72*D72,2)</f>
        <v>239491.67</v>
      </c>
      <c r="S72" s="108">
        <f t="shared" ref="S72:S75" si="76">ROUND(R72*1.2,2)</f>
        <v>287390</v>
      </c>
      <c r="T72" s="108">
        <f t="shared" si="43"/>
        <v>239491.67</v>
      </c>
      <c r="U72" s="108">
        <f t="shared" si="43"/>
        <v>287390</v>
      </c>
    </row>
    <row r="73" spans="1:21" ht="18" customHeight="1" x14ac:dyDescent="0.25">
      <c r="A73" s="87"/>
      <c r="B73" s="95" t="s">
        <v>311</v>
      </c>
      <c r="C73" s="100" t="s">
        <v>149</v>
      </c>
      <c r="D73" s="139">
        <v>116</v>
      </c>
      <c r="E73" s="98"/>
      <c r="F73" s="108"/>
      <c r="G73" s="108"/>
      <c r="H73" s="108">
        <f>110/1.2</f>
        <v>91.666666666666671</v>
      </c>
      <c r="I73" s="108">
        <f t="shared" si="72"/>
        <v>10633.33</v>
      </c>
      <c r="J73" s="108">
        <f t="shared" si="73"/>
        <v>12760</v>
      </c>
      <c r="K73" s="98">
        <f t="shared" si="66"/>
        <v>10633.33</v>
      </c>
      <c r="L73" s="108">
        <f t="shared" si="66"/>
        <v>12760</v>
      </c>
      <c r="M73" s="147"/>
      <c r="N73" s="108"/>
      <c r="O73" s="108"/>
      <c r="P73" s="108"/>
      <c r="Q73" s="108">
        <f>H73*$Q$1</f>
        <v>114.58333333333334</v>
      </c>
      <c r="R73" s="108">
        <f>ROUND(Q73*D73,2)</f>
        <v>13291.67</v>
      </c>
      <c r="S73" s="108">
        <f>ROUND(R73*1.2,2)</f>
        <v>15950</v>
      </c>
      <c r="T73" s="108">
        <f>O73+R73</f>
        <v>13291.67</v>
      </c>
      <c r="U73" s="108">
        <f>P73+S73</f>
        <v>15950</v>
      </c>
    </row>
    <row r="74" spans="1:21" ht="18" customHeight="1" x14ac:dyDescent="0.25">
      <c r="A74" s="87" t="s">
        <v>292</v>
      </c>
      <c r="B74" s="95" t="s">
        <v>289</v>
      </c>
      <c r="C74" s="100" t="s">
        <v>149</v>
      </c>
      <c r="D74" s="96">
        <v>728</v>
      </c>
      <c r="E74" s="98"/>
      <c r="F74" s="108"/>
      <c r="G74" s="108"/>
      <c r="H74" s="108">
        <f>31126/1.2/520</f>
        <v>49.881410256410263</v>
      </c>
      <c r="I74" s="108">
        <f t="shared" si="72"/>
        <v>36313.67</v>
      </c>
      <c r="J74" s="108">
        <f t="shared" si="73"/>
        <v>43576.4</v>
      </c>
      <c r="K74" s="98">
        <f t="shared" si="66"/>
        <v>36313.67</v>
      </c>
      <c r="L74" s="108">
        <f t="shared" si="66"/>
        <v>43576.4</v>
      </c>
      <c r="M74" s="147"/>
      <c r="N74" s="108">
        <f t="shared" si="5"/>
        <v>0</v>
      </c>
      <c r="O74" s="108">
        <f t="shared" si="6"/>
        <v>0</v>
      </c>
      <c r="P74" s="108">
        <f t="shared" ref="P74:P85" si="77">ROUND(O74*1.2,2)</f>
        <v>0</v>
      </c>
      <c r="Q74" s="108">
        <f t="shared" si="74"/>
        <v>62.351762820512832</v>
      </c>
      <c r="R74" s="108">
        <f t="shared" si="75"/>
        <v>45392.08</v>
      </c>
      <c r="S74" s="108">
        <f t="shared" si="76"/>
        <v>54470.5</v>
      </c>
      <c r="T74" s="108">
        <f t="shared" si="43"/>
        <v>45392.08</v>
      </c>
      <c r="U74" s="108">
        <f t="shared" si="43"/>
        <v>54470.5</v>
      </c>
    </row>
    <row r="75" spans="1:21" ht="18" customHeight="1" x14ac:dyDescent="0.25">
      <c r="A75" s="87" t="s">
        <v>293</v>
      </c>
      <c r="B75" s="95" t="s">
        <v>290</v>
      </c>
      <c r="C75" s="100" t="s">
        <v>149</v>
      </c>
      <c r="D75" s="96">
        <v>348</v>
      </c>
      <c r="E75" s="98"/>
      <c r="F75" s="108"/>
      <c r="G75" s="108"/>
      <c r="H75" s="108">
        <f>43248/1.2/486</f>
        <v>74.156378600823047</v>
      </c>
      <c r="I75" s="108">
        <f t="shared" si="72"/>
        <v>25806.42</v>
      </c>
      <c r="J75" s="108">
        <f t="shared" si="73"/>
        <v>30967.7</v>
      </c>
      <c r="K75" s="98">
        <f t="shared" si="66"/>
        <v>25806.42</v>
      </c>
      <c r="L75" s="108">
        <f t="shared" si="66"/>
        <v>30967.7</v>
      </c>
      <c r="M75" s="147"/>
      <c r="N75" s="108">
        <f t="shared" ref="N75:N86" si="78">E75*$O$1</f>
        <v>0</v>
      </c>
      <c r="O75" s="108">
        <f t="shared" ref="O75:O83" si="79">ROUND(N75*D75,2)</f>
        <v>0</v>
      </c>
      <c r="P75" s="108">
        <f t="shared" si="77"/>
        <v>0</v>
      </c>
      <c r="Q75" s="108">
        <f t="shared" si="74"/>
        <v>92.695473251028801</v>
      </c>
      <c r="R75" s="108">
        <f t="shared" si="75"/>
        <v>32258.02</v>
      </c>
      <c r="S75" s="108">
        <f t="shared" si="76"/>
        <v>38709.620000000003</v>
      </c>
      <c r="T75" s="108">
        <f t="shared" si="43"/>
        <v>32258.02</v>
      </c>
      <c r="U75" s="108">
        <f t="shared" si="43"/>
        <v>38709.620000000003</v>
      </c>
    </row>
    <row r="76" spans="1:21" ht="18" customHeight="1" x14ac:dyDescent="0.25">
      <c r="A76" s="94">
        <f>A71+1</f>
        <v>36</v>
      </c>
      <c r="B76" s="10" t="s">
        <v>163</v>
      </c>
      <c r="C76" s="13" t="s">
        <v>10</v>
      </c>
      <c r="D76" s="60">
        <v>2</v>
      </c>
      <c r="E76" s="112">
        <v>3691.2</v>
      </c>
      <c r="F76" s="105">
        <f t="shared" si="70"/>
        <v>7382.4</v>
      </c>
      <c r="G76" s="105">
        <f t="shared" si="71"/>
        <v>8858.8799999999992</v>
      </c>
      <c r="H76" s="11"/>
      <c r="I76" s="106"/>
      <c r="J76" s="106"/>
      <c r="K76" s="107">
        <f t="shared" si="66"/>
        <v>7382.4</v>
      </c>
      <c r="L76" s="105">
        <f t="shared" si="66"/>
        <v>8858.8799999999992</v>
      </c>
      <c r="M76" s="147"/>
      <c r="N76" s="105">
        <f t="shared" si="78"/>
        <v>5167.6799999999994</v>
      </c>
      <c r="O76" s="105">
        <f t="shared" si="79"/>
        <v>10335.36</v>
      </c>
      <c r="P76" s="105">
        <f t="shared" si="77"/>
        <v>12402.43</v>
      </c>
      <c r="Q76" s="105"/>
      <c r="R76" s="105"/>
      <c r="S76" s="105"/>
      <c r="T76" s="105">
        <f t="shared" si="43"/>
        <v>10335.36</v>
      </c>
      <c r="U76" s="105">
        <f t="shared" si="43"/>
        <v>12402.43</v>
      </c>
    </row>
    <row r="77" spans="1:21" ht="18" customHeight="1" x14ac:dyDescent="0.25">
      <c r="A77" s="87" t="s">
        <v>277</v>
      </c>
      <c r="B77" s="92" t="s">
        <v>164</v>
      </c>
      <c r="C77" s="100" t="s">
        <v>10</v>
      </c>
      <c r="D77" s="96">
        <v>2</v>
      </c>
      <c r="E77" s="98"/>
      <c r="F77" s="108"/>
      <c r="G77" s="108"/>
      <c r="H77" s="108">
        <f>7000/1.2</f>
        <v>5833.3333333333339</v>
      </c>
      <c r="I77" s="108">
        <f t="shared" ref="I77" si="80">ROUND(H77*D77,2)</f>
        <v>11666.67</v>
      </c>
      <c r="J77" s="108">
        <f t="shared" ref="J77" si="81">ROUND(I77*1.2,2)</f>
        <v>14000</v>
      </c>
      <c r="K77" s="98">
        <f t="shared" si="66"/>
        <v>11666.67</v>
      </c>
      <c r="L77" s="108">
        <f t="shared" si="66"/>
        <v>14000</v>
      </c>
      <c r="M77" s="147"/>
      <c r="N77" s="108">
        <f t="shared" si="78"/>
        <v>0</v>
      </c>
      <c r="O77" s="108">
        <f t="shared" si="79"/>
        <v>0</v>
      </c>
      <c r="P77" s="108">
        <f t="shared" si="77"/>
        <v>0</v>
      </c>
      <c r="Q77" s="108">
        <f>H77*$Q$1</f>
        <v>7291.6666666666679</v>
      </c>
      <c r="R77" s="108">
        <f>ROUND(Q77*D77,2)</f>
        <v>14583.33</v>
      </c>
      <c r="S77" s="108">
        <f>ROUND(R77*1.2,2)</f>
        <v>17500</v>
      </c>
      <c r="T77" s="108">
        <f>O77+R77</f>
        <v>14583.33</v>
      </c>
      <c r="U77" s="108">
        <f>P77+S77</f>
        <v>17500</v>
      </c>
    </row>
    <row r="78" spans="1:21" ht="18" customHeight="1" x14ac:dyDescent="0.25">
      <c r="A78" s="94">
        <f>A76+1</f>
        <v>37</v>
      </c>
      <c r="B78" s="10" t="s">
        <v>267</v>
      </c>
      <c r="C78" s="13" t="s">
        <v>10</v>
      </c>
      <c r="D78" s="60">
        <v>1</v>
      </c>
      <c r="E78" s="97">
        <f>E66*1.5</f>
        <v>12480</v>
      </c>
      <c r="F78" s="105">
        <f t="shared" ref="F78:F79" si="82">ROUND(E78*D78,2)</f>
        <v>12480</v>
      </c>
      <c r="G78" s="105">
        <f t="shared" ref="G78:G79" si="83">ROUND(F78*1.2,2)</f>
        <v>14976</v>
      </c>
      <c r="H78" s="11"/>
      <c r="I78" s="106"/>
      <c r="J78" s="106"/>
      <c r="K78" s="107">
        <f t="shared" si="66"/>
        <v>12480</v>
      </c>
      <c r="L78" s="105">
        <f t="shared" si="66"/>
        <v>14976</v>
      </c>
      <c r="M78" s="147"/>
      <c r="N78" s="105">
        <f t="shared" si="78"/>
        <v>17472</v>
      </c>
      <c r="O78" s="105">
        <f t="shared" si="79"/>
        <v>17472</v>
      </c>
      <c r="P78" s="105">
        <f t="shared" si="77"/>
        <v>20966.400000000001</v>
      </c>
      <c r="Q78" s="105"/>
      <c r="R78" s="105"/>
      <c r="S78" s="105"/>
      <c r="T78" s="105">
        <f t="shared" si="43"/>
        <v>17472</v>
      </c>
      <c r="U78" s="105">
        <f t="shared" si="43"/>
        <v>20966.400000000001</v>
      </c>
    </row>
    <row r="79" spans="1:21" ht="18" customHeight="1" x14ac:dyDescent="0.25">
      <c r="A79" s="94">
        <f>A78+1</f>
        <v>38</v>
      </c>
      <c r="B79" s="10" t="s">
        <v>236</v>
      </c>
      <c r="C79" s="13" t="s">
        <v>7</v>
      </c>
      <c r="D79" s="88">
        <v>16.43</v>
      </c>
      <c r="E79" s="97">
        <v>1933.2</v>
      </c>
      <c r="F79" s="105">
        <f t="shared" si="82"/>
        <v>31762.48</v>
      </c>
      <c r="G79" s="105">
        <f t="shared" si="83"/>
        <v>38114.980000000003</v>
      </c>
      <c r="H79" s="11"/>
      <c r="I79" s="106"/>
      <c r="J79" s="106"/>
      <c r="K79" s="107">
        <f t="shared" si="66"/>
        <v>31762.48</v>
      </c>
      <c r="L79" s="105">
        <f t="shared" si="66"/>
        <v>38114.980000000003</v>
      </c>
      <c r="M79" s="147"/>
      <c r="N79" s="105">
        <f t="shared" si="78"/>
        <v>2706.48</v>
      </c>
      <c r="O79" s="105">
        <f t="shared" si="79"/>
        <v>44467.47</v>
      </c>
      <c r="P79" s="105">
        <f t="shared" si="77"/>
        <v>53360.959999999999</v>
      </c>
      <c r="Q79" s="105"/>
      <c r="R79" s="105"/>
      <c r="S79" s="105"/>
      <c r="T79" s="105">
        <f t="shared" si="43"/>
        <v>44467.47</v>
      </c>
      <c r="U79" s="105">
        <f t="shared" si="43"/>
        <v>53360.959999999999</v>
      </c>
    </row>
    <row r="80" spans="1:21" ht="18" customHeight="1" x14ac:dyDescent="0.25">
      <c r="A80" s="87" t="s">
        <v>278</v>
      </c>
      <c r="B80" s="95" t="s">
        <v>12</v>
      </c>
      <c r="C80" s="100" t="s">
        <v>7</v>
      </c>
      <c r="D80" s="101">
        <f>ROUND(D79*1.26,2)</f>
        <v>20.7</v>
      </c>
      <c r="E80" s="98"/>
      <c r="F80" s="108"/>
      <c r="G80" s="108"/>
      <c r="H80" s="108">
        <v>3720</v>
      </c>
      <c r="I80" s="108">
        <f>ROUND(H80*D80,2)</f>
        <v>77004</v>
      </c>
      <c r="J80" s="108">
        <f>ROUND(I80*1.2,2)</f>
        <v>92404.800000000003</v>
      </c>
      <c r="K80" s="98">
        <f>F80+I80</f>
        <v>77004</v>
      </c>
      <c r="L80" s="108">
        <f>G80+J80</f>
        <v>92404.800000000003</v>
      </c>
      <c r="M80" s="147"/>
      <c r="N80" s="108">
        <f t="shared" si="78"/>
        <v>0</v>
      </c>
      <c r="O80" s="108">
        <f t="shared" si="79"/>
        <v>0</v>
      </c>
      <c r="P80" s="108">
        <f t="shared" si="77"/>
        <v>0</v>
      </c>
      <c r="Q80" s="108">
        <f>H80*$Q$1</f>
        <v>4650</v>
      </c>
      <c r="R80" s="108">
        <f>ROUND(Q80*D80,2)</f>
        <v>96255</v>
      </c>
      <c r="S80" s="108">
        <f>ROUND(R80*1.2,2)</f>
        <v>115506</v>
      </c>
      <c r="T80" s="108">
        <f>O80+R80</f>
        <v>96255</v>
      </c>
      <c r="U80" s="108">
        <f>P80+S80</f>
        <v>115506</v>
      </c>
    </row>
    <row r="81" spans="1:21" ht="18" customHeight="1" x14ac:dyDescent="0.25">
      <c r="A81" s="94">
        <f>A79+1</f>
        <v>39</v>
      </c>
      <c r="B81" s="10" t="s">
        <v>237</v>
      </c>
      <c r="C81" s="13" t="s">
        <v>7</v>
      </c>
      <c r="D81" s="88">
        <v>3.3</v>
      </c>
      <c r="E81" s="97">
        <v>2395.1999999999998</v>
      </c>
      <c r="F81" s="105">
        <f t="shared" ref="F81" si="84">ROUND(E81*D81,2)</f>
        <v>7904.16</v>
      </c>
      <c r="G81" s="105">
        <f t="shared" ref="G81" si="85">ROUND(F81*1.2,2)</f>
        <v>9484.99</v>
      </c>
      <c r="H81" s="11"/>
      <c r="I81" s="106"/>
      <c r="J81" s="106"/>
      <c r="K81" s="107">
        <f t="shared" ref="K81:L81" si="86">F81+I81</f>
        <v>7904.16</v>
      </c>
      <c r="L81" s="105">
        <f t="shared" si="86"/>
        <v>9484.99</v>
      </c>
      <c r="M81" s="147"/>
      <c r="N81" s="105">
        <f t="shared" si="78"/>
        <v>3353.2799999999997</v>
      </c>
      <c r="O81" s="105">
        <f t="shared" si="79"/>
        <v>11065.82</v>
      </c>
      <c r="P81" s="105">
        <f t="shared" si="77"/>
        <v>13278.98</v>
      </c>
      <c r="Q81" s="105"/>
      <c r="R81" s="105"/>
      <c r="S81" s="105"/>
      <c r="T81" s="105">
        <f t="shared" si="43"/>
        <v>11065.82</v>
      </c>
      <c r="U81" s="105">
        <f t="shared" si="43"/>
        <v>13278.98</v>
      </c>
    </row>
    <row r="82" spans="1:21" ht="18" customHeight="1" x14ac:dyDescent="0.25">
      <c r="A82" s="87" t="s">
        <v>279</v>
      </c>
      <c r="B82" s="95" t="s">
        <v>12</v>
      </c>
      <c r="C82" s="100" t="s">
        <v>7</v>
      </c>
      <c r="D82" s="101">
        <f>ROUND(D81*1.26,2)</f>
        <v>4.16</v>
      </c>
      <c r="E82" s="98"/>
      <c r="F82" s="108"/>
      <c r="G82" s="108"/>
      <c r="H82" s="108">
        <v>3720</v>
      </c>
      <c r="I82" s="108">
        <f>ROUND(H82*D82,2)</f>
        <v>15475.2</v>
      </c>
      <c r="J82" s="108">
        <f>ROUND(I82*1.2,2)</f>
        <v>18570.240000000002</v>
      </c>
      <c r="K82" s="98">
        <f>F82+I82</f>
        <v>15475.2</v>
      </c>
      <c r="L82" s="108">
        <f>G82+J82</f>
        <v>18570.240000000002</v>
      </c>
      <c r="M82" s="147"/>
      <c r="N82" s="108">
        <f t="shared" si="78"/>
        <v>0</v>
      </c>
      <c r="O82" s="108">
        <f t="shared" si="79"/>
        <v>0</v>
      </c>
      <c r="P82" s="108">
        <f t="shared" si="77"/>
        <v>0</v>
      </c>
      <c r="Q82" s="108">
        <f>H82*$Q$1</f>
        <v>4650</v>
      </c>
      <c r="R82" s="108">
        <f>ROUND(Q82*D82,2)</f>
        <v>19344</v>
      </c>
      <c r="S82" s="108">
        <f>ROUND(R82*1.2,2)</f>
        <v>23212.799999999999</v>
      </c>
      <c r="T82" s="108">
        <f>O82+R82</f>
        <v>19344</v>
      </c>
      <c r="U82" s="108">
        <f>P82+S82</f>
        <v>23212.799999999999</v>
      </c>
    </row>
    <row r="83" spans="1:21" ht="18" customHeight="1" x14ac:dyDescent="0.25">
      <c r="A83" s="94">
        <f>A81+1</f>
        <v>40</v>
      </c>
      <c r="B83" s="10" t="s">
        <v>244</v>
      </c>
      <c r="C83" s="13" t="s">
        <v>15</v>
      </c>
      <c r="D83" s="89">
        <v>9.61</v>
      </c>
      <c r="E83" s="97">
        <v>450</v>
      </c>
      <c r="F83" s="105">
        <f t="shared" ref="F83" si="87">ROUND(E83*D83,2)</f>
        <v>4324.5</v>
      </c>
      <c r="G83" s="105">
        <f t="shared" ref="G83" si="88">ROUND(F83*1.2,2)</f>
        <v>5189.3999999999996</v>
      </c>
      <c r="H83" s="11"/>
      <c r="I83" s="106"/>
      <c r="J83" s="106"/>
      <c r="K83" s="107">
        <f t="shared" ref="K83:L83" si="89">F83+I83</f>
        <v>4324.5</v>
      </c>
      <c r="L83" s="105">
        <f t="shared" si="89"/>
        <v>5189.3999999999996</v>
      </c>
      <c r="M83" s="147"/>
      <c r="N83" s="105">
        <f t="shared" si="78"/>
        <v>630</v>
      </c>
      <c r="O83" s="105">
        <f t="shared" si="79"/>
        <v>6054.3</v>
      </c>
      <c r="P83" s="105">
        <f t="shared" si="77"/>
        <v>7265.16</v>
      </c>
      <c r="Q83" s="105"/>
      <c r="R83" s="105"/>
      <c r="S83" s="105"/>
      <c r="T83" s="105">
        <f t="shared" si="43"/>
        <v>6054.3</v>
      </c>
      <c r="U83" s="105">
        <f t="shared" si="43"/>
        <v>7265.16</v>
      </c>
    </row>
    <row r="84" spans="1:21" ht="18" customHeight="1" x14ac:dyDescent="0.25">
      <c r="A84" s="158"/>
      <c r="B84" s="161" t="s">
        <v>301</v>
      </c>
      <c r="C84" s="149"/>
      <c r="D84" s="150"/>
      <c r="E84" s="159"/>
      <c r="F84" s="106">
        <f>SUM(F45:F83)</f>
        <v>1022529.54</v>
      </c>
      <c r="G84" s="157">
        <f>SUM(G45:G83)</f>
        <v>1227035.4499999995</v>
      </c>
      <c r="H84" s="11"/>
      <c r="I84" s="106">
        <f>SUM(I45:I83)</f>
        <v>1533463.4799999997</v>
      </c>
      <c r="J84" s="157">
        <f>SUM(J45:J83)</f>
        <v>1840156.18</v>
      </c>
      <c r="K84" s="106">
        <f>SUM(K45:K83)</f>
        <v>2555993.02</v>
      </c>
      <c r="L84" s="157">
        <f>SUM(L45:L83)</f>
        <v>3067191.6300000004</v>
      </c>
      <c r="M84" s="147"/>
      <c r="N84" s="105"/>
      <c r="O84" s="106">
        <f>SUM(O45:O83)</f>
        <v>1431541.34</v>
      </c>
      <c r="P84" s="157">
        <f>SUM(P45:P83)</f>
        <v>1717849.5899999996</v>
      </c>
      <c r="Q84" s="105"/>
      <c r="R84" s="106">
        <f>SUM(R45:R83)</f>
        <v>1916829.36</v>
      </c>
      <c r="S84" s="157">
        <f>SUM(S45:S83)</f>
        <v>2300195.2199999997</v>
      </c>
      <c r="T84" s="106">
        <f>SUM(T45:T83)</f>
        <v>3348370.6999999993</v>
      </c>
      <c r="U84" s="157">
        <f>SUM(U45:U83)</f>
        <v>4018044.8100000005</v>
      </c>
    </row>
    <row r="85" spans="1:21" x14ac:dyDescent="0.25">
      <c r="A85" s="162" t="s">
        <v>302</v>
      </c>
      <c r="B85" s="163"/>
      <c r="C85" s="163"/>
      <c r="D85" s="163"/>
      <c r="E85" s="164"/>
      <c r="F85" s="166">
        <f>F43+F84</f>
        <v>5563618.0299999993</v>
      </c>
      <c r="G85" s="165">
        <f>G43+G84</f>
        <v>6676341.6399999997</v>
      </c>
      <c r="H85" s="171"/>
      <c r="I85" s="166">
        <f>I43+I84</f>
        <v>10149127.140000001</v>
      </c>
      <c r="J85" s="165">
        <f>J43+J84</f>
        <v>12178952.58</v>
      </c>
      <c r="K85" s="166">
        <f>K43+K84</f>
        <v>15712745.17</v>
      </c>
      <c r="L85" s="165">
        <f>L43+L84</f>
        <v>18855294.219999999</v>
      </c>
      <c r="M85" s="148"/>
      <c r="N85" s="113"/>
      <c r="O85" s="166">
        <f>O43+O84</f>
        <v>7789065.2400000002</v>
      </c>
      <c r="P85" s="165">
        <f>P43+P84</f>
        <v>9346878.2699999996</v>
      </c>
      <c r="Q85" s="113"/>
      <c r="R85" s="166">
        <f>R43+R84</f>
        <v>12686408.949999999</v>
      </c>
      <c r="S85" s="165">
        <f>S43+S84</f>
        <v>15223690.73</v>
      </c>
      <c r="T85" s="166">
        <f>T43+T84</f>
        <v>20475474.190000001</v>
      </c>
      <c r="U85" s="165">
        <f>U43+U84</f>
        <v>24570569</v>
      </c>
    </row>
    <row r="87" spans="1:21" ht="45" x14ac:dyDescent="0.25">
      <c r="F87" s="168" t="s">
        <v>315</v>
      </c>
      <c r="G87" s="169">
        <f>G43/216*1000</f>
        <v>25228269.398148149</v>
      </c>
      <c r="H87" s="169" t="s">
        <v>314</v>
      </c>
      <c r="I87" s="170"/>
    </row>
    <row r="88" spans="1:21" x14ac:dyDescent="0.25">
      <c r="F88" s="170"/>
      <c r="G88" s="169">
        <f>G87/170*100</f>
        <v>14840158.469498912</v>
      </c>
      <c r="H88" s="169" t="s">
        <v>312</v>
      </c>
      <c r="I88" s="170"/>
    </row>
    <row r="89" spans="1:21" x14ac:dyDescent="0.25">
      <c r="F89" s="170"/>
      <c r="G89" s="169">
        <f>G87/170*70</f>
        <v>10388110.928649237</v>
      </c>
      <c r="H89" s="169" t="s">
        <v>313</v>
      </c>
      <c r="I89" s="170"/>
    </row>
    <row r="94" spans="1:21" x14ac:dyDescent="0.25">
      <c r="G94" s="114">
        <f>693840/70</f>
        <v>9912</v>
      </c>
    </row>
    <row r="95" spans="1:21" x14ac:dyDescent="0.25">
      <c r="G95" s="114">
        <f>G94*2</f>
        <v>19824</v>
      </c>
    </row>
    <row r="96" spans="1:21" x14ac:dyDescent="0.25">
      <c r="G96" s="114">
        <f>G95*40</f>
        <v>792960</v>
      </c>
    </row>
    <row r="98" spans="6:8" x14ac:dyDescent="0.25">
      <c r="F98" s="102" t="s">
        <v>304</v>
      </c>
      <c r="G98" s="114" t="s">
        <v>305</v>
      </c>
      <c r="H98" s="114" t="s">
        <v>306</v>
      </c>
    </row>
    <row r="99" spans="6:8" x14ac:dyDescent="0.25">
      <c r="G99" s="167">
        <v>1.397</v>
      </c>
      <c r="H99" s="114">
        <f>154/1000*1397</f>
        <v>215.13800000000001</v>
      </c>
    </row>
    <row r="100" spans="6:8" x14ac:dyDescent="0.25">
      <c r="H100" s="114">
        <f>426085/215</f>
        <v>1981.7906976744187</v>
      </c>
    </row>
  </sheetData>
  <mergeCells count="17">
    <mergeCell ref="A85:E85"/>
    <mergeCell ref="Q4:S4"/>
    <mergeCell ref="T4:U4"/>
    <mergeCell ref="B7:D7"/>
    <mergeCell ref="B8:D8"/>
    <mergeCell ref="B44:D44"/>
    <mergeCell ref="B64:D64"/>
    <mergeCell ref="A2:A5"/>
    <mergeCell ref="B2:B5"/>
    <mergeCell ref="C2:C5"/>
    <mergeCell ref="D2:D5"/>
    <mergeCell ref="E2:L3"/>
    <mergeCell ref="N2:U3"/>
    <mergeCell ref="E4:G4"/>
    <mergeCell ref="H4:J4"/>
    <mergeCell ref="K4:L4"/>
    <mergeCell ref="N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2D7D-D7CD-4AEF-A130-501AB44CB064}">
  <dimension ref="A1:P18"/>
  <sheetViews>
    <sheetView tabSelected="1" zoomScale="130" zoomScaleNormal="130" workbookViewId="0">
      <selection activeCell="A18" sqref="A18"/>
    </sheetView>
  </sheetViews>
  <sheetFormatPr defaultRowHeight="15" x14ac:dyDescent="0.25"/>
  <cols>
    <col min="1" max="1" width="13.28515625" bestFit="1" customWidth="1"/>
    <col min="2" max="3" width="12.7109375" bestFit="1" customWidth="1"/>
    <col min="4" max="4" width="5.28515625" bestFit="1" customWidth="1"/>
    <col min="5" max="5" width="15.7109375" customWidth="1"/>
    <col min="6" max="6" width="14.85546875" style="179" bestFit="1" customWidth="1"/>
    <col min="7" max="7" width="14.140625" style="179" customWidth="1"/>
    <col min="8" max="9" width="12.7109375" bestFit="1" customWidth="1"/>
    <col min="10" max="10" width="5.28515625" bestFit="1" customWidth="1"/>
    <col min="11" max="11" width="15.7109375" customWidth="1"/>
    <col min="12" max="12" width="14.28515625" customWidth="1"/>
    <col min="13" max="13" width="15.7109375" bestFit="1" customWidth="1"/>
  </cols>
  <sheetData>
    <row r="1" spans="1:16" s="54" customFormat="1" x14ac:dyDescent="0.25">
      <c r="A1" s="234"/>
      <c r="B1" s="181" t="s">
        <v>316</v>
      </c>
      <c r="C1" s="181"/>
      <c r="D1" s="181"/>
      <c r="E1" s="181"/>
      <c r="F1" s="181"/>
      <c r="G1" s="182"/>
      <c r="H1" s="184" t="s">
        <v>336</v>
      </c>
      <c r="I1" s="185"/>
      <c r="J1" s="185"/>
      <c r="K1" s="185"/>
      <c r="L1" s="185"/>
      <c r="M1" s="186"/>
    </row>
    <row r="2" spans="1:16" s="54" customFormat="1" ht="30.75" thickBot="1" x14ac:dyDescent="0.3">
      <c r="A2" s="235"/>
      <c r="B2" s="191" t="s">
        <v>334</v>
      </c>
      <c r="C2" s="192" t="s">
        <v>335</v>
      </c>
      <c r="D2" s="193" t="s">
        <v>338</v>
      </c>
      <c r="E2" s="193"/>
      <c r="F2" s="194" t="s">
        <v>339</v>
      </c>
      <c r="G2" s="195" t="s">
        <v>340</v>
      </c>
      <c r="H2" s="196" t="s">
        <v>334</v>
      </c>
      <c r="I2" s="192" t="s">
        <v>335</v>
      </c>
      <c r="J2" s="193" t="s">
        <v>338</v>
      </c>
      <c r="K2" s="193"/>
      <c r="L2" s="194" t="s">
        <v>339</v>
      </c>
      <c r="M2" s="195" t="s">
        <v>340</v>
      </c>
      <c r="N2" s="180"/>
      <c r="O2" s="180"/>
      <c r="P2" s="180"/>
    </row>
    <row r="3" spans="1:16" s="54" customFormat="1" x14ac:dyDescent="0.25">
      <c r="A3" s="197"/>
      <c r="B3" s="198" t="s">
        <v>329</v>
      </c>
      <c r="C3" s="198"/>
      <c r="D3" s="198"/>
      <c r="E3" s="198"/>
      <c r="F3" s="198"/>
      <c r="G3" s="199"/>
      <c r="H3" s="200" t="s">
        <v>329</v>
      </c>
      <c r="I3" s="198"/>
      <c r="J3" s="198"/>
      <c r="K3" s="198"/>
      <c r="L3" s="198"/>
      <c r="M3" s="199"/>
      <c r="N3" s="169"/>
      <c r="O3" s="170"/>
    </row>
    <row r="4" spans="1:16" ht="15.75" x14ac:dyDescent="0.25">
      <c r="A4" s="190" t="s">
        <v>330</v>
      </c>
      <c r="B4" s="224">
        <f>SUM('новый рельс'!L10:L15)</f>
        <v>1530873.79</v>
      </c>
      <c r="C4" s="225">
        <f>SUM('новый рельс'!P10:P15)</f>
        <v>2143223.2999999998</v>
      </c>
      <c r="D4" s="210">
        <f>1-B4/C4</f>
        <v>0.28571428371462737</v>
      </c>
      <c r="E4" s="211">
        <f>C4-B4</f>
        <v>612349.50999999978</v>
      </c>
      <c r="F4" s="212"/>
      <c r="G4" s="213"/>
      <c r="H4" s="230">
        <f>SUM('старый рельс'!G10:G15)</f>
        <v>1530873.79</v>
      </c>
      <c r="I4" s="225">
        <f>C4</f>
        <v>2143223.2999999998</v>
      </c>
      <c r="J4" s="210">
        <f>1-H4/I4</f>
        <v>0.28571428371462737</v>
      </c>
      <c r="K4" s="211">
        <f>I4-H4</f>
        <v>612349.50999999978</v>
      </c>
      <c r="L4" s="218"/>
      <c r="M4" s="219"/>
      <c r="N4" s="114"/>
      <c r="O4" s="102"/>
      <c r="P4" s="177"/>
    </row>
    <row r="5" spans="1:16" ht="15.75" x14ac:dyDescent="0.25">
      <c r="A5" s="190" t="s">
        <v>331</v>
      </c>
      <c r="B5" s="224">
        <f>SUM('новый рельс'!G17:G42)</f>
        <v>3918432.4000000004</v>
      </c>
      <c r="C5" s="225">
        <f>SUM('новый рельс'!P17:P42)</f>
        <v>5485805.3800000008</v>
      </c>
      <c r="D5" s="210">
        <f t="shared" ref="D5:D7" si="0">1-B5/C5</f>
        <v>0.28571428831840917</v>
      </c>
      <c r="E5" s="211">
        <f t="shared" ref="E5:E7" si="1">C5-B5</f>
        <v>1567372.9800000004</v>
      </c>
      <c r="F5" s="212">
        <f>B5/216*1000</f>
        <v>18140890.740740743</v>
      </c>
      <c r="G5" s="213">
        <f>C5/216*1000</f>
        <v>25397247.129629631</v>
      </c>
      <c r="H5" s="230">
        <f>B5</f>
        <v>3918432.4000000004</v>
      </c>
      <c r="I5" s="225">
        <f>C5</f>
        <v>5485805.3800000008</v>
      </c>
      <c r="J5" s="210">
        <f t="shared" ref="J5:J7" si="2">1-H5/I5</f>
        <v>0.28571428831840917</v>
      </c>
      <c r="K5" s="211">
        <f t="shared" ref="K5:K7" si="3">I5-H5</f>
        <v>1567372.9800000004</v>
      </c>
      <c r="L5" s="212">
        <f>H5/216*1000</f>
        <v>18140890.740740743</v>
      </c>
      <c r="M5" s="213">
        <f>I5/216*1000</f>
        <v>25397247.129629631</v>
      </c>
      <c r="N5" s="114"/>
      <c r="O5" s="177"/>
      <c r="P5" s="177"/>
    </row>
    <row r="6" spans="1:16" ht="15.75" x14ac:dyDescent="0.25">
      <c r="A6" s="190" t="s">
        <v>332</v>
      </c>
      <c r="B6" s="224">
        <f>SUM('новый рельс'!J19:J42)</f>
        <v>12059711.4</v>
      </c>
      <c r="C6" s="225">
        <f>'новый рельс'!S43</f>
        <v>15074639.260000002</v>
      </c>
      <c r="D6" s="210">
        <f t="shared" si="0"/>
        <v>0.20000000053069267</v>
      </c>
      <c r="E6" s="211">
        <f t="shared" si="1"/>
        <v>3014927.8600000013</v>
      </c>
      <c r="F6" s="212">
        <f>B6/216*1000</f>
        <v>55831997.222222224</v>
      </c>
      <c r="G6" s="213">
        <f>C6/216*1000</f>
        <v>69789996.57407409</v>
      </c>
      <c r="H6" s="230">
        <f>'старый рельс'!J43</f>
        <v>10338796.4</v>
      </c>
      <c r="I6" s="225">
        <f>'старый рельс'!S43</f>
        <v>12923495.510000002</v>
      </c>
      <c r="J6" s="210">
        <f t="shared" si="2"/>
        <v>0.20000000061902767</v>
      </c>
      <c r="K6" s="211">
        <f t="shared" si="3"/>
        <v>2584699.1100000013</v>
      </c>
      <c r="L6" s="212">
        <f>H6/216*1000</f>
        <v>47864798.148148149</v>
      </c>
      <c r="M6" s="213">
        <f>I6/216*1000</f>
        <v>59830997.731481493</v>
      </c>
    </row>
    <row r="7" spans="1:16" ht="16.5" thickBot="1" x14ac:dyDescent="0.3">
      <c r="A7" s="201" t="s">
        <v>299</v>
      </c>
      <c r="B7" s="226">
        <f>SUM(B4:B6)</f>
        <v>17509017.59</v>
      </c>
      <c r="C7" s="227">
        <f>SUM(C4:C6)</f>
        <v>22703667.940000001</v>
      </c>
      <c r="D7" s="214">
        <f t="shared" si="0"/>
        <v>0.22880225185323078</v>
      </c>
      <c r="E7" s="215">
        <f t="shared" si="1"/>
        <v>5194650.3500000015</v>
      </c>
      <c r="F7" s="216">
        <f t="shared" ref="F7:G7" si="4">SUM(F4:F6)</f>
        <v>73972887.96296297</v>
      </c>
      <c r="G7" s="217">
        <f t="shared" si="4"/>
        <v>95187243.703703716</v>
      </c>
      <c r="H7" s="231">
        <f>SUM(H4:H6)</f>
        <v>15788102.59</v>
      </c>
      <c r="I7" s="227">
        <f>SUM(I4:I6)</f>
        <v>20552524.190000001</v>
      </c>
      <c r="J7" s="214">
        <f t="shared" si="2"/>
        <v>0.23181685889065484</v>
      </c>
      <c r="K7" s="215">
        <f t="shared" si="3"/>
        <v>4764421.6000000015</v>
      </c>
      <c r="L7" s="216">
        <f t="shared" ref="L7" si="5">SUM(L4:L6)</f>
        <v>66005688.888888896</v>
      </c>
      <c r="M7" s="217">
        <f t="shared" ref="M7" si="6">SUM(M4:M6)</f>
        <v>85228244.861111119</v>
      </c>
    </row>
    <row r="8" spans="1:16" s="54" customFormat="1" x14ac:dyDescent="0.25">
      <c r="A8" s="209"/>
      <c r="B8" s="198" t="s">
        <v>333</v>
      </c>
      <c r="C8" s="198"/>
      <c r="D8" s="198"/>
      <c r="E8" s="198"/>
      <c r="F8" s="198"/>
      <c r="G8" s="199"/>
      <c r="H8" s="200" t="s">
        <v>333</v>
      </c>
      <c r="I8" s="198"/>
      <c r="J8" s="198"/>
      <c r="K8" s="198"/>
      <c r="L8" s="198"/>
      <c r="M8" s="199"/>
    </row>
    <row r="9" spans="1:16" ht="15.75" x14ac:dyDescent="0.25">
      <c r="A9" s="190" t="s">
        <v>313</v>
      </c>
      <c r="B9" s="224">
        <f>SUM('новый рельс'!G45:G48)</f>
        <v>288251.13</v>
      </c>
      <c r="C9" s="225">
        <f>SUM('новый рельс'!P45:P48)</f>
        <v>403551.58999999997</v>
      </c>
      <c r="D9" s="210">
        <f>1-B9/C9</f>
        <v>0.28571429987427377</v>
      </c>
      <c r="E9" s="211">
        <f>C9-B9</f>
        <v>115300.45999999996</v>
      </c>
      <c r="F9" s="178"/>
      <c r="G9" s="183"/>
      <c r="H9" s="230">
        <v>288251.13</v>
      </c>
      <c r="I9" s="225">
        <v>403551.58999999997</v>
      </c>
      <c r="J9" s="210">
        <f>1-H9/I9</f>
        <v>0.28571429987427377</v>
      </c>
      <c r="K9" s="211">
        <f>I9-H9</f>
        <v>115300.45999999996</v>
      </c>
      <c r="L9" s="176"/>
      <c r="M9" s="187"/>
    </row>
    <row r="10" spans="1:16" ht="15.75" x14ac:dyDescent="0.25">
      <c r="A10" s="190" t="s">
        <v>312</v>
      </c>
      <c r="B10" s="224">
        <f>SUM('новый рельс'!G49:G83)</f>
        <v>938784.32</v>
      </c>
      <c r="C10" s="225">
        <f>SUM('новый рельс'!P49:P83)</f>
        <v>1314297.9999999998</v>
      </c>
      <c r="D10" s="210">
        <f t="shared" ref="D10:D12" si="7">1-B10/C10</f>
        <v>0.28571425962757291</v>
      </c>
      <c r="E10" s="211">
        <f t="shared" ref="E10:E12" si="8">C10-B10</f>
        <v>375513.67999999982</v>
      </c>
      <c r="F10" s="178"/>
      <c r="G10" s="183"/>
      <c r="H10" s="230">
        <v>938784.32</v>
      </c>
      <c r="I10" s="225">
        <v>1314297.9999999998</v>
      </c>
      <c r="J10" s="210">
        <f t="shared" ref="J10:J13" si="9">1-H10/I10</f>
        <v>0.28571425962757291</v>
      </c>
      <c r="K10" s="211">
        <f t="shared" ref="K10:K13" si="10">I10-H10</f>
        <v>375513.67999999982</v>
      </c>
      <c r="L10" s="176"/>
      <c r="M10" s="187"/>
    </row>
    <row r="11" spans="1:16" ht="15.75" x14ac:dyDescent="0.25">
      <c r="A11" s="190" t="s">
        <v>332</v>
      </c>
      <c r="B11" s="224">
        <f>SUM('новый рельс'!J50:J83)</f>
        <v>1840156.18</v>
      </c>
      <c r="C11" s="225">
        <f>SUM('новый рельс'!S84)</f>
        <v>2300195.2199999997</v>
      </c>
      <c r="D11" s="210">
        <f t="shared" si="7"/>
        <v>0.19999999826101711</v>
      </c>
      <c r="E11" s="211">
        <f t="shared" si="8"/>
        <v>460039.0399999998</v>
      </c>
      <c r="F11" s="178"/>
      <c r="G11" s="183"/>
      <c r="H11" s="230">
        <v>1840156.18</v>
      </c>
      <c r="I11" s="225">
        <v>2300195.2199999997</v>
      </c>
      <c r="J11" s="210">
        <f t="shared" si="9"/>
        <v>0.19999999826101711</v>
      </c>
      <c r="K11" s="211">
        <f t="shared" si="10"/>
        <v>460039.0399999998</v>
      </c>
      <c r="L11" s="176"/>
      <c r="M11" s="187"/>
    </row>
    <row r="12" spans="1:16" ht="16.5" thickBot="1" x14ac:dyDescent="0.3">
      <c r="A12" s="201" t="s">
        <v>299</v>
      </c>
      <c r="B12" s="226">
        <f t="shared" ref="B12:C12" si="11">SUM(B9:B11)</f>
        <v>3067191.63</v>
      </c>
      <c r="C12" s="227">
        <f t="shared" si="11"/>
        <v>4018044.8099999996</v>
      </c>
      <c r="D12" s="214">
        <f t="shared" si="7"/>
        <v>0.23664573815442336</v>
      </c>
      <c r="E12" s="215">
        <f t="shared" si="8"/>
        <v>950853.1799999997</v>
      </c>
      <c r="F12" s="207"/>
      <c r="G12" s="208"/>
      <c r="H12" s="231">
        <v>3067191.63</v>
      </c>
      <c r="I12" s="227">
        <v>4018044.8099999996</v>
      </c>
      <c r="J12" s="214">
        <f t="shared" si="9"/>
        <v>0.23664573815442336</v>
      </c>
      <c r="K12" s="215">
        <f t="shared" si="10"/>
        <v>950853.1799999997</v>
      </c>
      <c r="L12" s="188"/>
      <c r="M12" s="189"/>
    </row>
    <row r="13" spans="1:16" ht="16.5" thickBot="1" x14ac:dyDescent="0.3">
      <c r="A13" s="202" t="s">
        <v>337</v>
      </c>
      <c r="B13" s="228">
        <f>B7+B12</f>
        <v>20576209.219999999</v>
      </c>
      <c r="C13" s="229">
        <f>C7+C12</f>
        <v>26721712.75</v>
      </c>
      <c r="D13" s="222">
        <f t="shared" ref="D13" si="12">1-B13/C13</f>
        <v>0.22998164778939933</v>
      </c>
      <c r="E13" s="223">
        <f t="shared" ref="E13" si="13">C13-B13</f>
        <v>6145503.5300000012</v>
      </c>
      <c r="F13" s="203"/>
      <c r="G13" s="204"/>
      <c r="H13" s="233">
        <f>H7+H12</f>
        <v>18855294.219999999</v>
      </c>
      <c r="I13" s="232">
        <f>I7+I12</f>
        <v>24570569</v>
      </c>
      <c r="J13" s="220">
        <f t="shared" si="9"/>
        <v>0.23260652938074011</v>
      </c>
      <c r="K13" s="221">
        <f t="shared" si="10"/>
        <v>5715274.7800000012</v>
      </c>
      <c r="L13" s="205"/>
      <c r="M13" s="206"/>
    </row>
    <row r="16" spans="1:16" x14ac:dyDescent="0.25">
      <c r="B16" t="s">
        <v>341</v>
      </c>
    </row>
    <row r="17" spans="2:2" x14ac:dyDescent="0.25">
      <c r="B17" t="s">
        <v>343</v>
      </c>
    </row>
    <row r="18" spans="2:2" x14ac:dyDescent="0.25">
      <c r="B18" t="s">
        <v>342</v>
      </c>
    </row>
  </sheetData>
  <mergeCells count="9">
    <mergeCell ref="A1:A2"/>
    <mergeCell ref="B3:G3"/>
    <mergeCell ref="B1:G1"/>
    <mergeCell ref="H1:M1"/>
    <mergeCell ref="H3:M3"/>
    <mergeCell ref="H8:M8"/>
    <mergeCell ref="B8:G8"/>
    <mergeCell ref="D2:E2"/>
    <mergeCell ref="J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BC64-8CF8-4490-9628-4F47374ACD04}">
  <dimension ref="A1"/>
  <sheetViews>
    <sheetView workbookViewId="0">
      <selection activeCell="I22" sqref="I22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Свод</vt:lpstr>
      <vt:lpstr>СМР+мат пред </vt:lpstr>
      <vt:lpstr>новый рельс</vt:lpstr>
      <vt:lpstr>старый рельс</vt:lpstr>
      <vt:lpstr>сводная</vt:lpstr>
      <vt:lpstr>сводная для КЗ</vt:lpstr>
      <vt:lpstr>Лист1</vt:lpstr>
      <vt:lpstr>'новый рельс'!Область_печати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Владислав Липатов</cp:lastModifiedBy>
  <cp:lastPrinted>2024-02-07T07:39:05Z</cp:lastPrinted>
  <dcterms:created xsi:type="dcterms:W3CDTF">2023-10-31T07:58:42Z</dcterms:created>
  <dcterms:modified xsi:type="dcterms:W3CDTF">2024-07-08T06:05:47Z</dcterms:modified>
</cp:coreProperties>
</file>