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\\TERM1\UsersProfiles$\user17\Desktop\КЛИЕНТЫ\ШЕЛЛРОКК\"/>
    </mc:Choice>
  </mc:AlternateContent>
  <xr:revisionPtr revIDLastSave="0" documentId="8_{CD7BA03A-744E-4D17-8001-5D3A046DA3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26" i="1"/>
  <c r="C20" i="1"/>
  <c r="C32" i="1"/>
  <c r="C29" i="1"/>
  <c r="C27" i="1"/>
  <c r="C21" i="1"/>
  <c r="R11" i="1"/>
  <c r="Q11" i="1"/>
  <c r="P11" i="1"/>
  <c r="P8" i="1"/>
  <c r="P6" i="1"/>
  <c r="O10" i="1"/>
  <c r="L10" i="1"/>
  <c r="K8" i="1"/>
  <c r="M9" i="1"/>
  <c r="I9" i="1"/>
  <c r="D9" i="1"/>
  <c r="L8" i="1"/>
  <c r="M8" i="1"/>
  <c r="H8" i="1"/>
  <c r="L4" i="1"/>
  <c r="L7" i="1"/>
  <c r="M7" i="1"/>
  <c r="F7" i="1"/>
  <c r="K7" i="1"/>
  <c r="G7" i="1"/>
  <c r="L6" i="1"/>
  <c r="K6" i="1"/>
  <c r="F6" i="1"/>
  <c r="D14" i="1"/>
  <c r="C14" i="1"/>
  <c r="D13" i="1"/>
  <c r="C13" i="1"/>
  <c r="D12" i="1"/>
  <c r="C12" i="1"/>
  <c r="D11" i="1"/>
  <c r="C11" i="1"/>
  <c r="D10" i="1"/>
  <c r="C10" i="1"/>
  <c r="C9" i="1"/>
  <c r="D8" i="1"/>
  <c r="C8" i="1"/>
  <c r="D7" i="1"/>
  <c r="C7" i="1"/>
  <c r="D6" i="1"/>
  <c r="C6" i="1"/>
  <c r="J10" i="1"/>
  <c r="O6" i="1"/>
  <c r="E7" i="1"/>
  <c r="E8" i="1"/>
  <c r="E10" i="1"/>
  <c r="E6" i="1"/>
  <c r="M4" i="1"/>
  <c r="K4" i="1"/>
  <c r="J4" i="1"/>
  <c r="I4" i="1"/>
  <c r="H4" i="1"/>
  <c r="G4" i="1"/>
  <c r="F4" i="1"/>
  <c r="S11" i="1"/>
  <c r="Q8" i="1"/>
  <c r="R8" i="1" s="1"/>
  <c r="S14" i="1"/>
  <c r="S13" i="1"/>
  <c r="S12" i="1"/>
  <c r="M10" i="1"/>
  <c r="N7" i="1"/>
  <c r="P7" i="1"/>
  <c r="Q7" i="1" s="1"/>
  <c r="R7" i="1" s="1"/>
  <c r="K9" i="1"/>
  <c r="P9" i="1" s="1"/>
  <c r="Q9" i="1" s="1"/>
  <c r="R9" i="1" s="1"/>
  <c r="G15" i="1"/>
  <c r="E9" i="1" l="1"/>
  <c r="N9" i="1"/>
  <c r="P15" i="1"/>
  <c r="Q6" i="1"/>
  <c r="O14" i="1"/>
  <c r="N10" i="1"/>
  <c r="O8" i="1"/>
  <c r="F15" i="1"/>
  <c r="L15" i="1"/>
  <c r="N6" i="1"/>
  <c r="N8" i="1"/>
  <c r="O13" i="1"/>
  <c r="O12" i="1"/>
  <c r="O11" i="1"/>
  <c r="M15" i="1"/>
  <c r="O9" i="1"/>
  <c r="O7" i="1"/>
  <c r="K15" i="1"/>
  <c r="C15" i="1"/>
  <c r="I15" i="1"/>
  <c r="C28" i="1" s="1"/>
  <c r="S15" i="1"/>
  <c r="J15" i="1"/>
  <c r="H15" i="1"/>
  <c r="D15" i="1"/>
  <c r="C23" i="1" l="1"/>
  <c r="C30" i="1"/>
  <c r="R6" i="1"/>
  <c r="R15" i="1" s="1"/>
  <c r="C34" i="1" s="1"/>
  <c r="Q15" i="1"/>
  <c r="C33" i="1" s="1"/>
  <c r="O15" i="1"/>
  <c r="C18" i="1" s="1"/>
  <c r="E15" i="1"/>
  <c r="N15" i="1" l="1"/>
  <c r="C22" i="1" l="1"/>
  <c r="C24" i="1" s="1"/>
  <c r="C25" i="1" s="1"/>
</calcChain>
</file>

<file path=xl/sharedStrings.xml><?xml version="1.0" encoding="utf-8"?>
<sst xmlns="http://schemas.openxmlformats.org/spreadsheetml/2006/main" count="80" uniqueCount="45">
  <si>
    <t>гориз. площадь</t>
  </si>
  <si>
    <t>площ. вертик.</t>
  </si>
  <si>
    <t>примыканий всего</t>
  </si>
  <si>
    <t>м.кв</t>
  </si>
  <si>
    <t>л</t>
  </si>
  <si>
    <t>м.п</t>
  </si>
  <si>
    <t>периметр</t>
  </si>
  <si>
    <t>Материалы BMI ИКОПАЛ</t>
  </si>
  <si>
    <t>Общая площадь:</t>
  </si>
  <si>
    <t>отм.</t>
  </si>
  <si>
    <t>Расчет ориентировочный</t>
  </si>
  <si>
    <t>участок:</t>
  </si>
  <si>
    <t>Традиционная наплавляемая двухслойная кровля</t>
  </si>
  <si>
    <t>Расчет площадей:</t>
  </si>
  <si>
    <t>ДШ</t>
  </si>
  <si>
    <t>Битумный прймер ИКОПАЛ</t>
  </si>
  <si>
    <t>Ультранеодил 330</t>
  </si>
  <si>
    <t>Жгут Кордон</t>
  </si>
  <si>
    <t>свес</t>
  </si>
  <si>
    <t>Коломенский_завод</t>
  </si>
  <si>
    <t>парапет 0,35х0,38х0,05</t>
  </si>
  <si>
    <t>+18,47</t>
  </si>
  <si>
    <t>+14,53</t>
  </si>
  <si>
    <t>парапет 0,4х0,38х0,06</t>
  </si>
  <si>
    <t>стены 0,35</t>
  </si>
  <si>
    <t>+12,00</t>
  </si>
  <si>
    <t>парапет 0,45х0,38х0,07</t>
  </si>
  <si>
    <t>+14,78</t>
  </si>
  <si>
    <t>парапет 0,62х0,38х0,08</t>
  </si>
  <si>
    <t>+8,05</t>
  </si>
  <si>
    <t>парапет 0,82х0,38х0,09</t>
  </si>
  <si>
    <t>проверка</t>
  </si>
  <si>
    <t>фонарь +23,185</t>
  </si>
  <si>
    <t>фонари +20,486</t>
  </si>
  <si>
    <t>фонари +16,5</t>
  </si>
  <si>
    <t>фонари +10,17</t>
  </si>
  <si>
    <t>парапет внутр. с ДШ 0,2х0,14</t>
  </si>
  <si>
    <t>Ультранеодил</t>
  </si>
  <si>
    <t>Кордон</t>
  </si>
  <si>
    <t>ИКОПАЛ Н ЭПП</t>
  </si>
  <si>
    <t>ИКОПАЛ В ЭПП</t>
  </si>
  <si>
    <t>пароизоляция</t>
  </si>
  <si>
    <t>кровельный ковер</t>
  </si>
  <si>
    <t>Итого:</t>
  </si>
  <si>
    <t>фонари 0,4х0,2х0,05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</si>
</sst>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2" xfId="0" applyFont="1" applyFill="1" applyBorder="1"/>
    <xf numFmtId="0" fontId="2" fillId="2" borderId="6" xfId="0" applyFont="1" applyFill="1" applyBorder="1"/>
    <xf numFmtId="0" fontId="2" fillId="2" borderId="3" xfId="0" applyFont="1" applyFill="1" applyBorder="1"/>
    <xf numFmtId="0" fontId="2" fillId="0" borderId="10" xfId="0" applyFont="1" applyBorder="1" applyAlignment="1">
      <alignment horizontal="right"/>
    </xf>
    <xf numFmtId="0" fontId="2" fillId="0" borderId="5" xfId="0" applyFont="1" applyBorder="1"/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3" fillId="2" borderId="4" xfId="0" applyFont="1" applyFill="1" applyBorder="1"/>
    <xf numFmtId="0" fontId="2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1" fillId="0" borderId="0" xfId="0" applyFont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righ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3" fillId="0" borderId="20" xfId="0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2" fillId="2" borderId="0" xfId="0" applyNumberFormat="1" applyFont="1" applyFill="1"/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23" xfId="0" applyNumberFormat="1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1" fontId="1" fillId="4" borderId="22" xfId="0" applyNumberFormat="1" applyFont="1" applyFill="1" applyBorder="1" applyAlignment="1">
      <alignment horizontal="center" vertical="center" wrapText="1"/>
    </xf>
    <xf numFmtId="1" fontId="1" fillId="4" borderId="23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right"/>
    </xf>
    <xf numFmtId="1" fontId="1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5"/>
  <sheetViews>
    <sheetView tabSelected="1" topLeftCell="A7" zoomScale="145" zoomScaleNormal="145" workbookViewId="0">
      <selection activeCell="C40" sqref="C40"/>
    </sheetView>
  </sheetViews>
  <sheetFormatPr defaultRowHeight="15" x14ac:dyDescent="0.25"/>
  <cols>
    <col min="1" max="1" width="2" customWidth="1"/>
    <col min="2" max="2" width="26.85546875" customWidth="1"/>
    <col min="3" max="3" width="13.140625" customWidth="1"/>
    <col min="4" max="4" width="11.140625" customWidth="1"/>
    <col min="5" max="5" width="9.42578125" customWidth="1"/>
    <col min="6" max="6" width="14.5703125" customWidth="1"/>
    <col min="7" max="7" width="14.85546875" customWidth="1"/>
    <col min="8" max="9" width="14" customWidth="1"/>
    <col min="10" max="10" width="14.7109375" customWidth="1"/>
    <col min="11" max="11" width="14.85546875" customWidth="1"/>
    <col min="12" max="12" width="14.42578125" customWidth="1"/>
    <col min="14" max="14" width="13.28515625" customWidth="1"/>
    <col min="17" max="18" width="8" customWidth="1"/>
  </cols>
  <sheetData>
    <row r="1" spans="2:19" x14ac:dyDescent="0.25">
      <c r="B1" s="21" t="s">
        <v>19</v>
      </c>
    </row>
    <row r="2" spans="2:19" ht="15.75" thickBot="1" x14ac:dyDescent="0.3">
      <c r="B2" s="21" t="s">
        <v>13</v>
      </c>
      <c r="C2" s="1"/>
      <c r="D2" s="41"/>
      <c r="E2" s="42"/>
      <c r="F2" s="42"/>
    </row>
    <row r="3" spans="2:19" ht="34.5" customHeight="1" x14ac:dyDescent="0.25">
      <c r="B3" s="2" t="s">
        <v>11</v>
      </c>
      <c r="C3" s="3" t="s">
        <v>0</v>
      </c>
      <c r="D3" s="3" t="s">
        <v>6</v>
      </c>
      <c r="E3" s="3" t="s">
        <v>31</v>
      </c>
      <c r="F3" s="3" t="s">
        <v>20</v>
      </c>
      <c r="G3" s="3" t="s">
        <v>23</v>
      </c>
      <c r="H3" s="3" t="s">
        <v>26</v>
      </c>
      <c r="I3" s="3" t="s">
        <v>28</v>
      </c>
      <c r="J3" s="3" t="s">
        <v>30</v>
      </c>
      <c r="K3" s="3" t="s">
        <v>36</v>
      </c>
      <c r="L3" s="3" t="s">
        <v>44</v>
      </c>
      <c r="M3" s="3" t="s">
        <v>24</v>
      </c>
      <c r="N3" s="3" t="s">
        <v>2</v>
      </c>
      <c r="O3" s="3" t="s">
        <v>1</v>
      </c>
      <c r="P3" s="3" t="s">
        <v>14</v>
      </c>
      <c r="Q3" s="45" t="s">
        <v>37</v>
      </c>
      <c r="R3" s="45" t="s">
        <v>38</v>
      </c>
      <c r="S3" s="4" t="s">
        <v>18</v>
      </c>
    </row>
    <row r="4" spans="2:19" ht="15.75" customHeight="1" x14ac:dyDescent="0.25">
      <c r="B4" s="5"/>
      <c r="C4" s="6"/>
      <c r="D4" s="6"/>
      <c r="E4" s="6"/>
      <c r="F4" s="44">
        <f>0.35+0.38+0.05</f>
        <v>0.78</v>
      </c>
      <c r="G4" s="44">
        <f>0.4+0.38+0.05</f>
        <v>0.83000000000000007</v>
      </c>
      <c r="H4" s="44">
        <f>0.45+0.38+0.05</f>
        <v>0.88000000000000012</v>
      </c>
      <c r="I4" s="44">
        <f>0.62+0.38+0.05</f>
        <v>1.05</v>
      </c>
      <c r="J4" s="44">
        <f>0.82+0.38+0.05</f>
        <v>1.25</v>
      </c>
      <c r="K4" s="44">
        <f>0.2+0.14</f>
        <v>0.34</v>
      </c>
      <c r="L4" s="44">
        <f>0.4+0.2+0.05</f>
        <v>0.65000000000000013</v>
      </c>
      <c r="M4" s="6">
        <f>0.35</f>
        <v>0.35</v>
      </c>
      <c r="N4" s="6"/>
      <c r="O4" s="6"/>
      <c r="P4" s="6"/>
      <c r="Q4" s="46"/>
      <c r="R4" s="46"/>
      <c r="S4" s="7"/>
    </row>
    <row r="5" spans="2:19" ht="15.75" customHeight="1" thickBot="1" x14ac:dyDescent="0.3">
      <c r="B5" s="22" t="s">
        <v>9</v>
      </c>
      <c r="C5" s="23" t="s">
        <v>3</v>
      </c>
      <c r="D5" s="23" t="s">
        <v>5</v>
      </c>
      <c r="E5" s="23" t="s">
        <v>5</v>
      </c>
      <c r="F5" s="23" t="s">
        <v>5</v>
      </c>
      <c r="G5" s="23" t="s">
        <v>5</v>
      </c>
      <c r="H5" s="23" t="s">
        <v>5</v>
      </c>
      <c r="I5" s="23" t="s">
        <v>5</v>
      </c>
      <c r="J5" s="23" t="s">
        <v>5</v>
      </c>
      <c r="K5" s="23" t="s">
        <v>5</v>
      </c>
      <c r="L5" s="23" t="s">
        <v>5</v>
      </c>
      <c r="M5" s="23" t="s">
        <v>5</v>
      </c>
      <c r="N5" s="23" t="s">
        <v>5</v>
      </c>
      <c r="O5" s="23" t="s">
        <v>3</v>
      </c>
      <c r="P5" s="23" t="s">
        <v>5</v>
      </c>
      <c r="Q5" s="23" t="s">
        <v>5</v>
      </c>
      <c r="R5" s="23" t="s">
        <v>5</v>
      </c>
      <c r="S5" s="24"/>
    </row>
    <row r="6" spans="2:19" ht="15.75" customHeight="1" x14ac:dyDescent="0.25">
      <c r="B6" s="40" t="s">
        <v>21</v>
      </c>
      <c r="C6" s="39">
        <f>30.6*126.16-12.09*114</f>
        <v>2482.2359999999999</v>
      </c>
      <c r="D6" s="39">
        <f>30.6*2+126.16*2</f>
        <v>313.52</v>
      </c>
      <c r="E6" s="39">
        <f>F6+G6+H6+I6+J6+M6-D6</f>
        <v>0</v>
      </c>
      <c r="F6" s="39">
        <f>D6</f>
        <v>313.52</v>
      </c>
      <c r="G6" s="39"/>
      <c r="H6" s="39"/>
      <c r="I6" s="39"/>
      <c r="J6" s="39"/>
      <c r="K6" s="48">
        <f>9.25*2*2</f>
        <v>37</v>
      </c>
      <c r="L6" s="39">
        <f>12.09*2+114*2</f>
        <v>252.18</v>
      </c>
      <c r="M6" s="39"/>
      <c r="N6" s="39">
        <f>SUM(F6:M6)</f>
        <v>602.70000000000005</v>
      </c>
      <c r="O6" s="39">
        <f>F6*$F$4+G6*$G$4+H6*$H$4+I6*$I$4+J6*$J$4+K6*$K$4+L6*$L$4+M6*$M$4</f>
        <v>421.04260000000005</v>
      </c>
      <c r="P6" s="39">
        <f>K6/2</f>
        <v>18.5</v>
      </c>
      <c r="Q6" s="47">
        <f>P6</f>
        <v>18.5</v>
      </c>
      <c r="R6" s="47">
        <f>Q6</f>
        <v>18.5</v>
      </c>
      <c r="S6" s="43"/>
    </row>
    <row r="7" spans="2:19" ht="15.75" customHeight="1" x14ac:dyDescent="0.25">
      <c r="B7" s="40" t="s">
        <v>22</v>
      </c>
      <c r="C7" s="39">
        <f>49.33*167.85-12.29*72*2</f>
        <v>6510.2804999999989</v>
      </c>
      <c r="D7" s="39">
        <f>49.33*2+167.85*2</f>
        <v>434.36</v>
      </c>
      <c r="E7" s="39">
        <f t="shared" ref="E7:E10" si="0">F7+G7+H7+I7+J7+M7-D7</f>
        <v>0</v>
      </c>
      <c r="F7" s="39">
        <f>167.85+49.33</f>
        <v>217.18</v>
      </c>
      <c r="G7" s="39">
        <f>167.85</f>
        <v>167.85</v>
      </c>
      <c r="H7" s="39"/>
      <c r="I7" s="39"/>
      <c r="J7" s="39"/>
      <c r="K7" s="48">
        <f>49.33*2</f>
        <v>98.66</v>
      </c>
      <c r="L7" s="39">
        <f>(12.29*2+72*2)*2</f>
        <v>337.15999999999997</v>
      </c>
      <c r="M7" s="39">
        <f>49.33</f>
        <v>49.33</v>
      </c>
      <c r="N7" s="39">
        <f t="shared" ref="N7:N10" si="1">SUM(F7:M7)</f>
        <v>870.18</v>
      </c>
      <c r="O7" s="39">
        <f>F7*$F$4+G7*$G$4+H7*$H$4+I7*$I$4+J7*$J$4+K7*$K$4+L7*$L$4+M7*$M$4</f>
        <v>578.6798</v>
      </c>
      <c r="P7" s="39">
        <f t="shared" ref="P7:P9" si="2">K7/2</f>
        <v>49.33</v>
      </c>
      <c r="Q7" s="47">
        <f t="shared" ref="Q7:R9" si="3">P7</f>
        <v>49.33</v>
      </c>
      <c r="R7" s="47">
        <f t="shared" si="3"/>
        <v>49.33</v>
      </c>
      <c r="S7" s="43"/>
    </row>
    <row r="8" spans="2:19" ht="15.75" customHeight="1" x14ac:dyDescent="0.25">
      <c r="B8" s="40" t="s">
        <v>25</v>
      </c>
      <c r="C8" s="39">
        <f>55.45*167.85-6.36*72*4</f>
        <v>7475.6024999999991</v>
      </c>
      <c r="D8" s="39">
        <f>55.45*2+167.85*2</f>
        <v>446.6</v>
      </c>
      <c r="E8" s="39">
        <f t="shared" si="0"/>
        <v>0</v>
      </c>
      <c r="F8" s="39"/>
      <c r="G8" s="39"/>
      <c r="H8" s="39">
        <f>167.85</f>
        <v>167.85</v>
      </c>
      <c r="I8" s="39"/>
      <c r="J8" s="39"/>
      <c r="K8" s="48">
        <f>55.45*2</f>
        <v>110.9</v>
      </c>
      <c r="L8" s="39">
        <f>(6.36*2+72*2)*4</f>
        <v>626.88</v>
      </c>
      <c r="M8" s="48">
        <f>55.45*2+167.85</f>
        <v>278.75</v>
      </c>
      <c r="N8" s="39">
        <f t="shared" si="1"/>
        <v>1184.3800000000001</v>
      </c>
      <c r="O8" s="39">
        <f t="shared" ref="O8:O14" si="4">F8*$F$4+G8*$G$4+H8*$H$4+I8*$I$4+J8*$J$4+K8*$K$4+L8*$L$4+M8*$M$4</f>
        <v>690.44850000000019</v>
      </c>
      <c r="P8" s="39">
        <f>K8/2+167.85</f>
        <v>223.3</v>
      </c>
      <c r="Q8" s="47">
        <f>P8+167.85</f>
        <v>391.15</v>
      </c>
      <c r="R8" s="47">
        <f>Q8-167.85</f>
        <v>223.29999999999998</v>
      </c>
      <c r="S8" s="43"/>
    </row>
    <row r="9" spans="2:19" ht="15.75" customHeight="1" x14ac:dyDescent="0.25">
      <c r="B9" s="40" t="s">
        <v>27</v>
      </c>
      <c r="C9" s="39">
        <f>25.01*107.79</f>
        <v>2695.8279000000002</v>
      </c>
      <c r="D9" s="39">
        <f>25.01*2+107.79*2</f>
        <v>265.60000000000002</v>
      </c>
      <c r="E9" s="39">
        <f t="shared" si="0"/>
        <v>0</v>
      </c>
      <c r="F9" s="39"/>
      <c r="G9" s="39"/>
      <c r="H9" s="39"/>
      <c r="I9" s="39">
        <f>D9-M9</f>
        <v>217.54000000000002</v>
      </c>
      <c r="J9" s="39"/>
      <c r="K9" s="48">
        <f>25.01*2</f>
        <v>50.02</v>
      </c>
      <c r="L9" s="39"/>
      <c r="M9" s="39">
        <f>48.06</f>
        <v>48.06</v>
      </c>
      <c r="N9" s="39">
        <f t="shared" si="1"/>
        <v>315.62</v>
      </c>
      <c r="O9" s="39">
        <f t="shared" si="4"/>
        <v>262.24480000000005</v>
      </c>
      <c r="P9" s="39">
        <f t="shared" si="2"/>
        <v>25.01</v>
      </c>
      <c r="Q9" s="47">
        <f t="shared" si="3"/>
        <v>25.01</v>
      </c>
      <c r="R9" s="47">
        <f t="shared" ref="R9" si="5">Q9</f>
        <v>25.01</v>
      </c>
      <c r="S9" s="43"/>
    </row>
    <row r="10" spans="2:19" ht="15.75" customHeight="1" x14ac:dyDescent="0.25">
      <c r="B10" s="40" t="s">
        <v>29</v>
      </c>
      <c r="C10" s="39">
        <f>23.87*30.64-6.36*18.425*2</f>
        <v>497.01080000000002</v>
      </c>
      <c r="D10" s="39">
        <f>23.87*2+30.64*2</f>
        <v>109.02000000000001</v>
      </c>
      <c r="E10" s="39">
        <f t="shared" si="0"/>
        <v>0</v>
      </c>
      <c r="F10" s="39"/>
      <c r="G10" s="39"/>
      <c r="H10" s="39"/>
      <c r="I10" s="39"/>
      <c r="J10" s="39">
        <f>23.87+30.64</f>
        <v>54.510000000000005</v>
      </c>
      <c r="K10" s="39"/>
      <c r="L10" s="39">
        <f>(6.36*2+18.425*2)*2</f>
        <v>99.14</v>
      </c>
      <c r="M10" s="39">
        <f>23.87+30.64</f>
        <v>54.510000000000005</v>
      </c>
      <c r="N10" s="39">
        <f t="shared" si="1"/>
        <v>208.16000000000003</v>
      </c>
      <c r="O10" s="39">
        <f>F10*$F$4+G10*$G$4+H10*$H$4+I10*$I$4+J10*$J$4+K10*$K$4+L10*$L$4+M10*$M$4</f>
        <v>151.65700000000001</v>
      </c>
      <c r="P10" s="39"/>
      <c r="Q10" s="47"/>
      <c r="R10" s="47"/>
      <c r="S10" s="43"/>
    </row>
    <row r="11" spans="2:19" ht="15.75" customHeight="1" x14ac:dyDescent="0.25">
      <c r="B11" s="40" t="s">
        <v>32</v>
      </c>
      <c r="C11" s="39">
        <f>12.09*114</f>
        <v>1378.26</v>
      </c>
      <c r="D11" s="39">
        <f>12.09*2+114*2</f>
        <v>252.18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>
        <f t="shared" si="4"/>
        <v>0</v>
      </c>
      <c r="P11" s="39">
        <f>12.09</f>
        <v>12.09</v>
      </c>
      <c r="Q11" s="47">
        <f>P11</f>
        <v>12.09</v>
      </c>
      <c r="R11" s="47">
        <f>Q11</f>
        <v>12.09</v>
      </c>
      <c r="S11" s="49">
        <f>D11</f>
        <v>252.18</v>
      </c>
    </row>
    <row r="12" spans="2:19" ht="15.75" customHeight="1" x14ac:dyDescent="0.25">
      <c r="B12" s="40" t="s">
        <v>33</v>
      </c>
      <c r="C12" s="39">
        <f>12.29*72*2</f>
        <v>1769.7599999999998</v>
      </c>
      <c r="D12" s="39">
        <f>(12.29*2+72*2)*2</f>
        <v>337.15999999999997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>
        <f t="shared" si="4"/>
        <v>0</v>
      </c>
      <c r="P12" s="39"/>
      <c r="Q12" s="47"/>
      <c r="R12" s="47"/>
      <c r="S12" s="43">
        <f t="shared" ref="S12:S14" si="6">D12</f>
        <v>337.15999999999997</v>
      </c>
    </row>
    <row r="13" spans="2:19" ht="15.75" customHeight="1" x14ac:dyDescent="0.25">
      <c r="B13" s="40" t="s">
        <v>34</v>
      </c>
      <c r="C13" s="39">
        <f>6.36*72*4</f>
        <v>1831.68</v>
      </c>
      <c r="D13" s="39">
        <f>(6.36*2+72*2)*4</f>
        <v>626.88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>
        <f t="shared" si="4"/>
        <v>0</v>
      </c>
      <c r="P13" s="39"/>
      <c r="Q13" s="47"/>
      <c r="R13" s="47"/>
      <c r="S13" s="43">
        <f t="shared" si="6"/>
        <v>626.88</v>
      </c>
    </row>
    <row r="14" spans="2:19" ht="15.75" customHeight="1" x14ac:dyDescent="0.25">
      <c r="B14" s="40" t="s">
        <v>35</v>
      </c>
      <c r="C14" s="39">
        <f>6.36*18.425*2</f>
        <v>234.36600000000001</v>
      </c>
      <c r="D14" s="39">
        <f>(6.36*2+18.425*2)*2</f>
        <v>99.14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>
        <f t="shared" si="4"/>
        <v>0</v>
      </c>
      <c r="P14" s="39"/>
      <c r="Q14" s="47"/>
      <c r="R14" s="47"/>
      <c r="S14" s="43">
        <f t="shared" si="6"/>
        <v>99.14</v>
      </c>
    </row>
    <row r="15" spans="2:19" ht="15.75" thickBot="1" x14ac:dyDescent="0.3">
      <c r="B15" s="52" t="s">
        <v>43</v>
      </c>
      <c r="C15" s="31">
        <f t="shared" ref="C15:P15" si="7">SUM(C6:C14)</f>
        <v>24875.023699999998</v>
      </c>
      <c r="D15" s="53">
        <f t="shared" si="7"/>
        <v>2884.46</v>
      </c>
      <c r="E15" s="53">
        <f t="shared" si="7"/>
        <v>0</v>
      </c>
      <c r="F15" s="53">
        <f t="shared" si="7"/>
        <v>530.70000000000005</v>
      </c>
      <c r="G15" s="53">
        <f t="shared" si="7"/>
        <v>167.85</v>
      </c>
      <c r="H15" s="53">
        <f t="shared" si="7"/>
        <v>167.85</v>
      </c>
      <c r="I15" s="53">
        <f t="shared" si="7"/>
        <v>217.54000000000002</v>
      </c>
      <c r="J15" s="53">
        <f t="shared" si="7"/>
        <v>54.510000000000005</v>
      </c>
      <c r="K15" s="53">
        <f t="shared" si="7"/>
        <v>296.58</v>
      </c>
      <c r="L15" s="53">
        <f t="shared" si="7"/>
        <v>1315.36</v>
      </c>
      <c r="M15" s="53">
        <f t="shared" si="7"/>
        <v>430.65</v>
      </c>
      <c r="N15" s="53">
        <f t="shared" si="7"/>
        <v>3181.04</v>
      </c>
      <c r="O15" s="31">
        <f t="shared" si="7"/>
        <v>2104.0727000000006</v>
      </c>
      <c r="P15" s="53">
        <f t="shared" si="7"/>
        <v>328.22999999999996</v>
      </c>
      <c r="Q15" s="53">
        <f t="shared" ref="Q15:R15" si="8">SUM(Q6:Q14)</f>
        <v>496.07999999999993</v>
      </c>
      <c r="R15" s="53">
        <f t="shared" si="8"/>
        <v>328.22999999999996</v>
      </c>
      <c r="S15" s="53">
        <f>SUM(S6:S14)</f>
        <v>1315.36</v>
      </c>
    </row>
    <row r="16" spans="2:19" ht="15.75" thickBot="1" x14ac:dyDescent="0.3"/>
    <row r="17" spans="2:9" s="8" customFormat="1" ht="15" customHeight="1" x14ac:dyDescent="0.2">
      <c r="B17" s="9" t="s">
        <v>12</v>
      </c>
      <c r="C17" s="10"/>
      <c r="D17" s="11"/>
    </row>
    <row r="18" spans="2:9" s="8" customFormat="1" ht="15" customHeight="1" x14ac:dyDescent="0.2">
      <c r="B18" s="18" t="s">
        <v>8</v>
      </c>
      <c r="C18" s="34">
        <f>C15+O15</f>
        <v>26979.096399999999</v>
      </c>
      <c r="D18" s="20" t="s">
        <v>3</v>
      </c>
      <c r="E18" s="25"/>
      <c r="F18" s="25"/>
    </row>
    <row r="19" spans="2:9" s="8" customFormat="1" ht="15" customHeight="1" x14ac:dyDescent="0.2">
      <c r="B19" s="18" t="s">
        <v>7</v>
      </c>
      <c r="C19" s="35"/>
      <c r="D19" s="19"/>
    </row>
    <row r="20" spans="2:9" s="8" customFormat="1" ht="15" hidden="1" customHeight="1" x14ac:dyDescent="0.2">
      <c r="B20" s="12" t="s">
        <v>39</v>
      </c>
      <c r="C20" s="37">
        <f>C15*1.15</f>
        <v>28606.277254999994</v>
      </c>
      <c r="D20" s="13"/>
    </row>
    <row r="21" spans="2:9" s="8" customFormat="1" ht="15" hidden="1" customHeight="1" x14ac:dyDescent="0.2">
      <c r="B21" s="12" t="s">
        <v>39</v>
      </c>
      <c r="C21" s="37">
        <f>(56.85-48.06+44*0.2)*(0.1+0.38+0.05)*1.15+(32.64-30.5+12*0.2)*(0.1+0.38+0.05)*2*1.15+(28.24-25.21+12*0.2)*(0.1+0.38+0.05)*2*1.15</f>
        <v>22.874534999999998</v>
      </c>
      <c r="D21" s="13"/>
    </row>
    <row r="22" spans="2:9" s="8" customFormat="1" ht="15" hidden="1" customHeight="1" x14ac:dyDescent="0.2">
      <c r="B22" s="12" t="s">
        <v>39</v>
      </c>
      <c r="C22" s="36">
        <f>N15/5+S15/3</f>
        <v>1074.6613333333332</v>
      </c>
      <c r="D22" s="13"/>
    </row>
    <row r="23" spans="2:9" s="8" customFormat="1" ht="15" hidden="1" customHeight="1" x14ac:dyDescent="0.2">
      <c r="B23" s="12" t="s">
        <v>39</v>
      </c>
      <c r="C23" s="30">
        <f>F15/0.9*(F4+0.19)+G15/0.9*(G4+0.19)+H15/0.9*(H4+0.19)+I15/0.9*(I4+0.19)+J15/0.9*(J4+0.19)+K15/0.9*(K4+0.19)+L15/0.9*(L4+0.19)+M15/0.9*(M4+0.19)</f>
        <v>3009.4114444444444</v>
      </c>
      <c r="D23" s="13"/>
    </row>
    <row r="24" spans="2:9" s="8" customFormat="1" ht="15" hidden="1" customHeight="1" x14ac:dyDescent="0.2">
      <c r="B24" s="12" t="s">
        <v>39</v>
      </c>
      <c r="C24" s="37">
        <f>((C22+C23)+(C22+C23)/9.9*0.1)*1.03</f>
        <v>4249.0858193041522</v>
      </c>
      <c r="D24" s="13"/>
    </row>
    <row r="25" spans="2:9" s="8" customFormat="1" ht="15" customHeight="1" x14ac:dyDescent="0.2">
      <c r="B25" s="14" t="s">
        <v>39</v>
      </c>
      <c r="C25" s="37">
        <f>C20+C21+C24</f>
        <v>32878.237609304146</v>
      </c>
      <c r="D25" s="15" t="s">
        <v>3</v>
      </c>
      <c r="E25" s="54" t="s">
        <v>42</v>
      </c>
      <c r="F25" s="25"/>
      <c r="G25" s="16"/>
      <c r="H25" s="16"/>
      <c r="I25" s="16"/>
    </row>
    <row r="26" spans="2:9" s="8" customFormat="1" ht="15" hidden="1" customHeight="1" x14ac:dyDescent="0.2">
      <c r="B26" s="12" t="s">
        <v>40</v>
      </c>
      <c r="C26" s="36">
        <f>C15*1.15</f>
        <v>28606.277254999994</v>
      </c>
      <c r="D26" s="15"/>
      <c r="E26" s="54" t="s">
        <v>42</v>
      </c>
      <c r="F26" s="25"/>
      <c r="G26" s="16"/>
      <c r="H26" s="16"/>
      <c r="I26" s="16"/>
    </row>
    <row r="27" spans="2:9" s="8" customFormat="1" ht="15" hidden="1" customHeight="1" x14ac:dyDescent="0.2">
      <c r="B27" s="12" t="s">
        <v>40</v>
      </c>
      <c r="C27" s="37">
        <f>(56.85-48.06+44*0.2)*(0.1+0.38+0.05)*1.15+(32.64-30.5+12*0.2)*(0.1+0.38+0.05)*2*1.15+(28.24-25.21+12*0.2)*(0.1+0.38+0.05)*2*1.15</f>
        <v>22.874534999999998</v>
      </c>
      <c r="D27" s="15"/>
      <c r="E27" s="54" t="s">
        <v>42</v>
      </c>
      <c r="F27" s="25"/>
      <c r="G27" s="16"/>
      <c r="H27" s="16"/>
      <c r="I27" s="16"/>
    </row>
    <row r="28" spans="2:9" s="8" customFormat="1" ht="15" hidden="1" customHeight="1" x14ac:dyDescent="0.2">
      <c r="B28" s="12" t="s">
        <v>40</v>
      </c>
      <c r="C28" s="30">
        <f>F15/0.9*(F4+0.24)+G15/0.9*(G4+0.24)+H15/0.9*(H4+0.24)+I15/0.9*(I4+0.24)+J15/0.9*(J4+0.24)+K15/0.9*(K4+0.24)+L15/0.9*(L4+0.24)+M15/0.9*(M4+0.24)</f>
        <v>3186.135888888889</v>
      </c>
      <c r="D28" s="15"/>
      <c r="E28" s="54" t="s">
        <v>42</v>
      </c>
      <c r="F28" s="25"/>
      <c r="G28" s="16"/>
      <c r="H28" s="16"/>
      <c r="I28" s="16"/>
    </row>
    <row r="29" spans="2:9" s="8" customFormat="1" ht="15" hidden="1" customHeight="1" x14ac:dyDescent="0.2">
      <c r="B29" s="12" t="s">
        <v>40</v>
      </c>
      <c r="C29" s="37">
        <f>(C28+C28/9.9*0.1)*1.03</f>
        <v>3314.868652076319</v>
      </c>
      <c r="D29" s="15"/>
      <c r="E29" s="54" t="s">
        <v>42</v>
      </c>
      <c r="F29" s="25"/>
      <c r="G29" s="16"/>
      <c r="H29" s="16"/>
      <c r="I29" s="16"/>
    </row>
    <row r="30" spans="2:9" s="8" customFormat="1" ht="15" customHeight="1" x14ac:dyDescent="0.2">
      <c r="B30" s="14" t="s">
        <v>40</v>
      </c>
      <c r="C30" s="37">
        <f>C26+C27+C29</f>
        <v>31944.020442076311</v>
      </c>
      <c r="D30" s="15" t="s">
        <v>3</v>
      </c>
      <c r="E30" s="54" t="s">
        <v>42</v>
      </c>
      <c r="F30" s="25"/>
      <c r="G30" s="16"/>
      <c r="H30" s="16"/>
      <c r="I30" s="16"/>
    </row>
    <row r="31" spans="2:9" s="8" customFormat="1" ht="15" customHeight="1" x14ac:dyDescent="0.2">
      <c r="B31" s="14" t="s">
        <v>39</v>
      </c>
      <c r="C31" s="37">
        <f>C15*1.15+N15*0.16*1.15+167.85*0.25*1.15</f>
        <v>29239.845489999992</v>
      </c>
      <c r="D31" s="15" t="s">
        <v>3</v>
      </c>
      <c r="E31" s="54" t="s">
        <v>41</v>
      </c>
      <c r="F31" s="25"/>
      <c r="G31" s="16"/>
      <c r="H31" s="16"/>
      <c r="I31" s="16"/>
    </row>
    <row r="32" spans="2:9" s="8" customFormat="1" ht="15" customHeight="1" thickBot="1" x14ac:dyDescent="0.25">
      <c r="B32" s="32" t="s">
        <v>15</v>
      </c>
      <c r="C32" s="38">
        <f>C15*0.3+N15*0.16*0.3+167.85*0.25*0.3+C18*0.3</f>
        <v>15721.514699999998</v>
      </c>
      <c r="D32" s="33" t="s">
        <v>4</v>
      </c>
      <c r="E32" s="25"/>
      <c r="F32" s="25"/>
      <c r="G32" s="16"/>
      <c r="H32" s="16"/>
      <c r="I32" s="16"/>
    </row>
    <row r="33" spans="2:9" s="8" customFormat="1" ht="15" customHeight="1" x14ac:dyDescent="0.2">
      <c r="B33" s="26" t="s">
        <v>16</v>
      </c>
      <c r="C33" s="50">
        <f>Q15*1.05</f>
        <v>520.8839999999999</v>
      </c>
      <c r="D33" s="27" t="s">
        <v>5</v>
      </c>
      <c r="E33" s="25"/>
      <c r="F33" s="25"/>
      <c r="G33" s="16"/>
      <c r="H33" s="16"/>
      <c r="I33" s="16"/>
    </row>
    <row r="34" spans="2:9" s="8" customFormat="1" ht="15" customHeight="1" thickBot="1" x14ac:dyDescent="0.25">
      <c r="B34" s="28" t="s">
        <v>17</v>
      </c>
      <c r="C34" s="51">
        <f>R15</f>
        <v>328.22999999999996</v>
      </c>
      <c r="D34" s="29" t="s">
        <v>5</v>
      </c>
      <c r="E34" s="25"/>
      <c r="G34" s="16"/>
      <c r="H34" s="16"/>
      <c r="I34" s="16"/>
    </row>
    <row r="35" spans="2:9" x14ac:dyDescent="0.25">
      <c r="B35" s="17" t="s">
        <v>10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Zaborsky</dc:creator>
  <cp:lastModifiedBy>Алексей Хмелев</cp:lastModifiedBy>
  <dcterms:created xsi:type="dcterms:W3CDTF">2021-12-29T12:16:25Z</dcterms:created>
  <dcterms:modified xsi:type="dcterms:W3CDTF">2025-10-29T11:53:28Z</dcterms:modified>
</cp:coreProperties>
</file>