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КР (Не согласовано)\"/>
    </mc:Choice>
  </mc:AlternateContent>
  <xr:revisionPtr revIDLastSave="0" documentId="13_ncr:1_{9C047171-883F-49DE-8F01-B9C910E47A3C}" xr6:coauthVersionLast="47" xr6:coauthVersionMax="47" xr10:uidLastSave="{00000000-0000-0000-0000-000000000000}"/>
  <bookViews>
    <workbookView xWindow="28680" yWindow="-120" windowWidth="29040" windowHeight="15720" xr2:uid="{BD614BA6-E3BD-4604-AE0D-D5563D5DE5D9}"/>
  </bookViews>
  <sheets>
    <sheet name="КР" sheetId="1" r:id="rId1"/>
  </sheets>
  <definedNames>
    <definedName name="_xlnm._FilterDatabase" localSheetId="0" hidden="1">КР!$B$1:$H$350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1" l="1"/>
  <c r="F77" i="1" s="1"/>
  <c r="F353" i="1" s="1"/>
  <c r="F10" i="1"/>
  <c r="F346" i="1"/>
  <c r="F345" i="1"/>
  <c r="F340" i="1"/>
  <c r="F337" i="1"/>
  <c r="F336" i="1"/>
  <c r="F334" i="1"/>
  <c r="F333" i="1"/>
  <c r="F328" i="1"/>
  <c r="F325" i="1"/>
  <c r="F323" i="1"/>
  <c r="F320" i="1"/>
  <c r="F319" i="1"/>
  <c r="F318" i="1"/>
  <c r="F317" i="1"/>
  <c r="F316" i="1"/>
  <c r="F315" i="1"/>
  <c r="F311" i="1"/>
  <c r="F310" i="1"/>
  <c r="F309" i="1"/>
  <c r="F308" i="1"/>
  <c r="F307" i="1"/>
  <c r="F304" i="1"/>
  <c r="F303" i="1"/>
  <c r="F302" i="1"/>
  <c r="F287" i="1"/>
  <c r="F292" i="1"/>
  <c r="F294" i="1"/>
  <c r="F283" i="1"/>
  <c r="F275" i="1"/>
  <c r="F273" i="1"/>
  <c r="F271" i="1"/>
  <c r="F254" i="1"/>
  <c r="F256" i="1"/>
  <c r="F259" i="1"/>
  <c r="F261" i="1"/>
  <c r="F264" i="1"/>
  <c r="F267" i="1"/>
  <c r="F252" i="1"/>
  <c r="F245" i="1"/>
  <c r="F247" i="1"/>
  <c r="F243" i="1"/>
  <c r="F235" i="1"/>
  <c r="F233" i="1"/>
  <c r="F231" i="1"/>
  <c r="F229" i="1"/>
  <c r="F227" i="1"/>
  <c r="F226" i="1"/>
  <c r="F222" i="1"/>
  <c r="F219" i="1"/>
  <c r="F218" i="1"/>
  <c r="F217" i="1"/>
  <c r="F216" i="1"/>
  <c r="F215" i="1"/>
  <c r="F211" i="1"/>
  <c r="F210" i="1"/>
  <c r="F209" i="1"/>
  <c r="F208" i="1"/>
  <c r="F207" i="1"/>
  <c r="F203" i="1"/>
  <c r="F202" i="1"/>
  <c r="F201" i="1"/>
  <c r="F200" i="1"/>
  <c r="F199" i="1"/>
  <c r="F195" i="1"/>
  <c r="F193" i="1"/>
  <c r="F189" i="1"/>
  <c r="F188" i="1"/>
  <c r="F187" i="1"/>
  <c r="F184" i="1"/>
  <c r="F183" i="1"/>
  <c r="F179" i="1"/>
  <c r="F178" i="1"/>
  <c r="F177" i="1"/>
  <c r="F176" i="1"/>
  <c r="F172" i="1"/>
  <c r="F171" i="1"/>
  <c r="F170" i="1"/>
  <c r="F169" i="1"/>
  <c r="F168" i="1"/>
  <c r="F161" i="1"/>
  <c r="F162" i="1"/>
  <c r="F163" i="1"/>
  <c r="F164" i="1"/>
  <c r="F160" i="1"/>
  <c r="F152" i="1"/>
  <c r="F150" i="1"/>
  <c r="F148" i="1"/>
  <c r="F145" i="1"/>
  <c r="F144" i="1"/>
  <c r="F143" i="1"/>
  <c r="F142" i="1"/>
  <c r="F140" i="1"/>
  <c r="F139" i="1"/>
  <c r="F138" i="1"/>
  <c r="F137" i="1"/>
  <c r="F135" i="1"/>
  <c r="F134" i="1"/>
  <c r="F133" i="1"/>
  <c r="F132" i="1"/>
  <c r="F125" i="1"/>
  <c r="F123" i="1"/>
  <c r="F121" i="1"/>
  <c r="F118" i="1"/>
  <c r="F117" i="1"/>
  <c r="F116" i="1"/>
  <c r="F115" i="1"/>
  <c r="F113" i="1"/>
  <c r="F112" i="1"/>
  <c r="F111" i="1"/>
  <c r="F110" i="1"/>
  <c r="F102" i="1"/>
  <c r="F100" i="1"/>
  <c r="F98" i="1"/>
  <c r="F95" i="1"/>
  <c r="F94" i="1"/>
  <c r="F93" i="1"/>
  <c r="F92" i="1"/>
  <c r="F88" i="1"/>
  <c r="F89" i="1"/>
  <c r="F90" i="1"/>
  <c r="F87" i="1"/>
  <c r="F70" i="1"/>
  <c r="F71" i="1"/>
  <c r="F72" i="1"/>
  <c r="F73" i="1"/>
  <c r="F74" i="1"/>
  <c r="F75" i="1"/>
  <c r="F79" i="1"/>
  <c r="F69" i="1"/>
  <c r="F61" i="1"/>
  <c r="F59" i="1"/>
  <c r="F57" i="1"/>
  <c r="F52" i="1"/>
  <c r="F53" i="1"/>
  <c r="F54" i="1"/>
  <c r="F51" i="1"/>
  <c r="F238" i="1"/>
  <c r="F47" i="1"/>
  <c r="F48" i="1"/>
  <c r="F49" i="1"/>
  <c r="F46" i="1"/>
  <c r="E304" i="1"/>
  <c r="E18" i="1"/>
  <c r="E8" i="1"/>
  <c r="C352" i="1"/>
  <c r="D338" i="1"/>
  <c r="D325" i="1"/>
  <c r="D321" i="1"/>
  <c r="D318" i="1"/>
  <c r="D317" i="1"/>
  <c r="D316" i="1"/>
  <c r="D313" i="1"/>
  <c r="D310" i="1"/>
  <c r="D309" i="1"/>
  <c r="D308" i="1"/>
  <c r="D304" i="1"/>
  <c r="D302" i="1"/>
  <c r="D301" i="1"/>
  <c r="D298" i="1"/>
  <c r="D294" i="1"/>
  <c r="D292" i="1"/>
  <c r="D291" i="1"/>
  <c r="D289" i="1"/>
  <c r="D285" i="1"/>
  <c r="D275" i="1"/>
  <c r="D272" i="1"/>
  <c r="D273" i="1" s="1"/>
  <c r="D271" i="1"/>
  <c r="D247" i="1"/>
  <c r="D244" i="1"/>
  <c r="D245" i="1" s="1"/>
  <c r="D243" i="1"/>
  <c r="D236" i="1"/>
  <c r="D231" i="1"/>
  <c r="D230" i="1"/>
  <c r="D227" i="1"/>
  <c r="D226" i="1"/>
  <c r="D220" i="1"/>
  <c r="D215" i="1"/>
  <c r="D213" i="1"/>
  <c r="D205" i="1"/>
  <c r="D195" i="1"/>
  <c r="D193" i="1"/>
  <c r="D191" i="1"/>
  <c r="D188" i="1"/>
  <c r="D187" i="1"/>
  <c r="D181" i="1"/>
  <c r="D176" i="1"/>
  <c r="D174" i="1"/>
  <c r="D166" i="1"/>
  <c r="D154" i="1"/>
  <c r="D152" i="1"/>
  <c r="D150" i="1"/>
  <c r="D148" i="1"/>
  <c r="D146" i="1"/>
  <c r="D130" i="1"/>
  <c r="D127" i="1"/>
  <c r="D125" i="1"/>
  <c r="D123" i="1"/>
  <c r="D122" i="1"/>
  <c r="D121" i="1"/>
  <c r="D107" i="1"/>
  <c r="D104" i="1"/>
  <c r="D102" i="1"/>
  <c r="D100" i="1"/>
  <c r="D99" i="1"/>
  <c r="D98" i="1"/>
  <c r="D94" i="1"/>
  <c r="D89" i="1"/>
  <c r="D84" i="1"/>
  <c r="D81" i="1"/>
  <c r="D79" i="1"/>
  <c r="D76" i="1"/>
  <c r="D75" i="1"/>
  <c r="D71" i="1"/>
  <c r="D69" i="1"/>
  <c r="D66" i="1"/>
  <c r="D63" i="1"/>
  <c r="D61" i="1"/>
  <c r="D59" i="1"/>
  <c r="D58" i="1"/>
  <c r="D57" i="1"/>
  <c r="D54" i="1"/>
  <c r="D53" i="1"/>
  <c r="D51" i="1"/>
  <c r="D48" i="1"/>
  <c r="D47" i="1"/>
  <c r="D46" i="1"/>
  <c r="D43" i="1"/>
  <c r="D39" i="1"/>
  <c r="D37" i="1"/>
  <c r="D31" i="1"/>
  <c r="D29" i="1"/>
  <c r="D22" i="1"/>
  <c r="D20" i="1"/>
  <c r="D18" i="1"/>
  <c r="D12" i="1"/>
  <c r="D10" i="1"/>
  <c r="D8" i="1"/>
  <c r="D2" i="1"/>
</calcChain>
</file>

<file path=xl/sharedStrings.xml><?xml version="1.0" encoding="utf-8"?>
<sst xmlns="http://schemas.openxmlformats.org/spreadsheetml/2006/main" count="957" uniqueCount="341">
  <si>
    <t>№п/п</t>
  </si>
  <si>
    <t>Наименование и техническая характеристика</t>
  </si>
  <si>
    <t>Единица измерения</t>
  </si>
  <si>
    <t>Кол-во для расчета</t>
  </si>
  <si>
    <t>Примечание</t>
  </si>
  <si>
    <t xml:space="preserve">Устройство стропильной системы для демонтажа и монтажа </t>
  </si>
  <si>
    <t>м2</t>
  </si>
  <si>
    <t>Площадь кровли и фонарей в границах проектируемого участка</t>
  </si>
  <si>
    <t>Демонтаж ослабленного бетона по продольным ребрам плит покрытия фонарей (узел 1К)</t>
  </si>
  <si>
    <t>м3</t>
  </si>
  <si>
    <t>на 1 п.м.-0,004</t>
  </si>
  <si>
    <t>Восстановительные работы по продольным ребрам плит покрытия фонарей (узел 1К)</t>
  </si>
  <si>
    <t>м.пог</t>
  </si>
  <si>
    <t>Нанесение насечек на ремонтируемую поверхность</t>
  </si>
  <si>
    <t>Промывка ремонтируемой поверхности струей воды под давлением с последующим удалением лишней влаги</t>
  </si>
  <si>
    <t>0.1 м² на 1 м.п</t>
  </si>
  <si>
    <t xml:space="preserve">Обработка оголённой арматуры/бетона </t>
  </si>
  <si>
    <t>(0.08м2 на 1 м.пог. шва, расход 3.68л на 1м2)</t>
  </si>
  <si>
    <t>л</t>
  </si>
  <si>
    <t xml:space="preserve">Восстановление защитного слоя бетона </t>
  </si>
  <si>
    <t>возможен аналог</t>
  </si>
  <si>
    <t>кг</t>
  </si>
  <si>
    <t>Для приготовления 1 м³ ремонтного состава необходимо 1850 кг сухой смеси MasterEmaco S 560 FR.</t>
  </si>
  <si>
    <t xml:space="preserve">Выравнивание поверхности </t>
  </si>
  <si>
    <t xml:space="preserve">штукатурка КНАУФ-Ротбанд </t>
  </si>
  <si>
    <t>расход 0.9кг/м2 на слой 1мм</t>
  </si>
  <si>
    <t>Демонтаж ослабленного бетона по поперечным ребрам плит покрытия фонарей (узел 2К)</t>
  </si>
  <si>
    <t>на 1 п.м.-0,001</t>
  </si>
  <si>
    <t>Восстановительные работы по поперечным ребрам плит покрытия фонарей (узел 2К)</t>
  </si>
  <si>
    <t>0.06 м² на 1 м.п</t>
  </si>
  <si>
    <t>(0.019м2 на 1 м.пог. шва, расход 3.68л на 1м2)</t>
  </si>
  <si>
    <t>Демонтаж слабого бетонна вокруг необрамленного отверстия на 100мм, в границах дефекта плит перекрытия (узел 3К)</t>
  </si>
  <si>
    <t>м.3</t>
  </si>
  <si>
    <t>на 1 отв. - 0,005</t>
  </si>
  <si>
    <t>Ремонт отверстий в полках плит, в границах дефекта плит перекрытия (узел 3К)</t>
  </si>
  <si>
    <t>шт.</t>
  </si>
  <si>
    <t>Монтаж оцинкованной сетки 50х50х4 с привязкой к существующей арматуре с помощью проволоки</t>
  </si>
  <si>
    <t>0,32м2 на 1 узел</t>
  </si>
  <si>
    <t>Демонтаж ослабленного бетона в границах дефекта полок плиты покрытия (узел 4К)</t>
  </si>
  <si>
    <t>Восстановительные работы в границах дефекта полок плиты покрытия (узел 4К)</t>
  </si>
  <si>
    <t>Усиление ж/б ферм</t>
  </si>
  <si>
    <t>Водой под давлением сбивается рыхлый бетон. Данных про восстановление бетонна нет. Требуется ли ремонт бетонна у ферм?</t>
  </si>
  <si>
    <t>Усиление ж/б ферм ФС-1.1</t>
  </si>
  <si>
    <t xml:space="preserve">1100,59+1116,89+33,26*43шт. </t>
  </si>
  <si>
    <t>Подготовительные работы</t>
  </si>
  <si>
    <t>Очистка в зоне установки обойм от грязи, пыли, ржавчины, старых покрытий.</t>
  </si>
  <si>
    <t>(8,13м2+8,54м2)*26шт</t>
  </si>
  <si>
    <t>Промывка поверхности водой</t>
  </si>
  <si>
    <t xml:space="preserve">Монтажная пояса УВП-1.1 </t>
  </si>
  <si>
    <t>2шт</t>
  </si>
  <si>
    <t>пластины 8x300x380 (накладки)</t>
  </si>
  <si>
    <t>6шт*7,16кг. ГОСТ 19903-2015</t>
  </si>
  <si>
    <t>пластины 8x380x390 (накладки)</t>
  </si>
  <si>
    <t>6шт*9,31кг. ГОСТ 19903-2015</t>
  </si>
  <si>
    <t>пакет пластин 350x370x40 ...10</t>
  </si>
  <si>
    <t>12шт*25,40кг. ГОСТ 19903-2015 (пакет пластин)</t>
  </si>
  <si>
    <t>Швеллер 18П L-4500</t>
  </si>
  <si>
    <t>2шт*73,35кг. ГОСТ 8240-97</t>
  </si>
  <si>
    <t xml:space="preserve">Монтажная пояса УВП-1.2 </t>
  </si>
  <si>
    <t>Швеллер 18П L-4750</t>
  </si>
  <si>
    <t>2шт*77,43кг. ГОСТ 8240-97</t>
  </si>
  <si>
    <t>Обеспыливание</t>
  </si>
  <si>
    <t>Обезжиривание</t>
  </si>
  <si>
    <t>обезжирить растворителем ксилол по ГОСТ 9410 или Р-4, Р-5 по ГОСТ 7827 до степени 1 по ГОСТ 9.402.</t>
  </si>
  <si>
    <t xml:space="preserve"> растворитель ксилол по ГОСТ 9410</t>
  </si>
  <si>
    <t>80 – 150 г/м²</t>
  </si>
  <si>
    <t xml:space="preserve">Огрунтование поверхности </t>
  </si>
  <si>
    <t>грунтовка ГФ-0,21 в 2 слоя</t>
  </si>
  <si>
    <t>60-100 г/м² на 1 слой</t>
  </si>
  <si>
    <t>Окраска огнезащитой до предела огнестойкости R30</t>
  </si>
  <si>
    <t xml:space="preserve">краска "Термобарьер" </t>
  </si>
  <si>
    <t>1,5 кг/м2. возможен аналог</t>
  </si>
  <si>
    <t>Сварные швы</t>
  </si>
  <si>
    <t>Сварка стальных элементов ручной дуговой сваркой  применением электродов Э-50</t>
  </si>
  <si>
    <t>ГОСТ 9467-75</t>
  </si>
  <si>
    <r>
      <t xml:space="preserve">33,26*1,9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</si>
  <si>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Усиление верхнего пояса ж/б ферм ФС-1.1* (на опоре)</t>
  </si>
  <si>
    <t>1100,59*26шт</t>
  </si>
  <si>
    <t>8,13м2*26</t>
  </si>
  <si>
    <t>Монтажная сварка пояса УВП-1.1</t>
  </si>
  <si>
    <t>обеспечивающим удаление рыхлых составляющих, но не разрушающих бетон.</t>
  </si>
  <si>
    <r>
      <t xml:space="preserve">16,63*1,9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</si>
  <si>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Усиление ж/б ферм ФС-2.1</t>
  </si>
  <si>
    <t>911,15+928,19+27,59*27шт</t>
  </si>
  <si>
    <t>Очистка в зоне установки обойм от грязи, пыли, ржавчины, старых покрытий</t>
  </si>
  <si>
    <t>(6,3м2+6,8м2)*27</t>
  </si>
  <si>
    <t>Монтажная сварка пояса УВП-2.1</t>
  </si>
  <si>
    <t>пластина 8x280x380 (накладки)</t>
  </si>
  <si>
    <t>6шт*6,68кг</t>
  </si>
  <si>
    <t>пластина 8x340x380 (накладки)</t>
  </si>
  <si>
    <t>6шт*8,11кг</t>
  </si>
  <si>
    <t>пакет пластин 320x370x40.10</t>
  </si>
  <si>
    <t>12шт*23,23кг</t>
  </si>
  <si>
    <t>Швеллер 16П L-3100</t>
  </si>
  <si>
    <t>2шт*44,02кг</t>
  </si>
  <si>
    <t>Монтажная сварка пояса УВП-2.2</t>
  </si>
  <si>
    <t>Швеллер 16П L-3400</t>
  </si>
  <si>
    <t>2шт*48,28кг</t>
  </si>
  <si>
    <r>
      <t xml:space="preserve">27,59*1,9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</si>
  <si>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 xml:space="preserve">Усиление ж/б ферм ФС-3.1 </t>
  </si>
  <si>
    <t>911,15+928,19+27,59*54шт</t>
  </si>
  <si>
    <t>11,87м2+12,47м2*54шт</t>
  </si>
  <si>
    <t>Монтажная сварка пояса УВП-3.1</t>
  </si>
  <si>
    <t>пластины 8x280x380 (накладки)</t>
  </si>
  <si>
    <t>пластины 8x340x380 (накладки)</t>
  </si>
  <si>
    <t>Монтажная сварка пояса УВП-3.2</t>
  </si>
  <si>
    <t>плстины 8x340x380 (накладки)</t>
  </si>
  <si>
    <t>Усиление ж/б ферм фонаря ФФ-1</t>
  </si>
  <si>
    <t>48294,07</t>
  </si>
  <si>
    <t>610,95+596,75+622,31+27,45*26шт</t>
  </si>
  <si>
    <t>(7,19м2+6,69м2+7,59м2)*26шт</t>
  </si>
  <si>
    <t>уточнить</t>
  </si>
  <si>
    <t>Монтажная сварка пояса УВПФ-1</t>
  </si>
  <si>
    <t>пластина 8x280x380 (накладка)</t>
  </si>
  <si>
    <t>пластина 8x240x380 (накладка)</t>
  </si>
  <si>
    <t>6шт*5,73кг</t>
  </si>
  <si>
    <t>пакет пластин 220x250x40-10</t>
  </si>
  <si>
    <t>12шт*15,11кг</t>
  </si>
  <si>
    <t>Швеллер16П L= 1750</t>
  </si>
  <si>
    <t>2шт*24,85кг</t>
  </si>
  <si>
    <t>Монтажная сварка пояса УВПФ-2</t>
  </si>
  <si>
    <t>пакет пластин 220x250x40.10</t>
  </si>
  <si>
    <t>Швеллер 16П 1=1500</t>
  </si>
  <si>
    <t>2шт*21,30кг</t>
  </si>
  <si>
    <t>Монтажная сварка пояса УВПФ-3</t>
  </si>
  <si>
    <t>пластины 8x280x380</t>
  </si>
  <si>
    <t>пластины 8x240x380</t>
  </si>
  <si>
    <t>220x250x40.10</t>
  </si>
  <si>
    <t>Швеллер 16П 1=1950</t>
  </si>
  <si>
    <t>2шт*27,69кг</t>
  </si>
  <si>
    <r>
      <t xml:space="preserve">27,45*1,9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</si>
  <si>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Усиление плит покрытия</t>
  </si>
  <si>
    <t xml:space="preserve">Зачистка поверхность существующих металлоконструкций </t>
  </si>
  <si>
    <t>Узлы: 1Р,2Р,3Р,4Р</t>
  </si>
  <si>
    <t>уточнить площадь</t>
  </si>
  <si>
    <t>Усиление ребёр плиты по узлу 1Р</t>
  </si>
  <si>
    <r>
      <t>76,17+0,37+</t>
    </r>
    <r>
      <rPr>
        <b/>
        <sz val="11"/>
        <color rgb="FFFF0000"/>
        <rFont val="Calibri"/>
        <family val="2"/>
        <charset val="204"/>
        <scheme val="minor"/>
      </rPr>
      <t>2,87</t>
    </r>
    <r>
      <rPr>
        <b/>
        <sz val="11"/>
        <rFont val="Calibri"/>
        <family val="2"/>
        <charset val="204"/>
        <scheme val="minor"/>
      </rPr>
      <t>+76,17+0,37+</t>
    </r>
    <r>
      <rPr>
        <b/>
        <sz val="11"/>
        <color rgb="FFFF0000"/>
        <rFont val="Calibri"/>
        <family val="2"/>
        <charset val="204"/>
        <scheme val="minor"/>
      </rPr>
      <t>2,87</t>
    </r>
    <r>
      <rPr>
        <b/>
        <sz val="11"/>
        <rFont val="Calibri"/>
        <family val="2"/>
        <charset val="204"/>
        <scheme val="minor"/>
      </rPr>
      <t>+1,94+0,1+1,08*18шт</t>
    </r>
  </si>
  <si>
    <t>Сборка изделия 1П входящее в узел 1Р</t>
  </si>
  <si>
    <t>Швеллер 14П</t>
  </si>
  <si>
    <t>5,96м.п.*12,3кг</t>
  </si>
  <si>
    <t>Пластина 160х60х5</t>
  </si>
  <si>
    <t>3шт*0,38кг</t>
  </si>
  <si>
    <t>Пластина t=5мм S=0.0065м2</t>
  </si>
  <si>
    <t>5шт*0,26кг</t>
  </si>
  <si>
    <t>Пластина t=5мм S=0.0039м2</t>
  </si>
  <si>
    <t>3шт*0,15кг</t>
  </si>
  <si>
    <t>Пластина t=5мм</t>
  </si>
  <si>
    <t>0,07м2*39,25кг</t>
  </si>
  <si>
    <t>"резерв" под нестандартные куски металла.</t>
  </si>
  <si>
    <t>Сварные швы kf=5мм</t>
  </si>
  <si>
    <t>3,186м.п.</t>
  </si>
  <si>
    <r>
      <t xml:space="preserve">0,37*1,9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</si>
  <si>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Сборка изделия 1Па входящее в узел 1Р</t>
  </si>
  <si>
    <t>3,186 п.м.</t>
  </si>
  <si>
    <t>Сборка изделия 2П входящее в узел 1Р</t>
  </si>
  <si>
    <t>Уголок 70х5</t>
  </si>
  <si>
    <t>0,16м.п.*5,38кг</t>
  </si>
  <si>
    <t>Пластина 210х60х5</t>
  </si>
  <si>
    <t>1шт*0,494кг</t>
  </si>
  <si>
    <t>Пластина t=5мм S=0.0149м2</t>
  </si>
  <si>
    <t>1шт*0,585кг</t>
  </si>
  <si>
    <t>0,03м2*39,25кг. ГОСТ 19903-2015</t>
  </si>
  <si>
    <t>Сварные швы Кв=5мм</t>
  </si>
  <si>
    <t>0,87м.п.</t>
  </si>
  <si>
    <r>
      <t xml:space="preserve">0,1*1,9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</si>
  <si>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Сборка элемента 3П входящий в узел 1Р</t>
  </si>
  <si>
    <t>Пластина t=5мм S=0.0101м2</t>
  </si>
  <si>
    <t>8шт*0,396кг</t>
  </si>
  <si>
    <t>0,08м2*39,25кг</t>
  </si>
  <si>
    <t>Усиление ребёр плиты по узлу 2Р</t>
  </si>
  <si>
    <t>74,54+1,98*9шт</t>
  </si>
  <si>
    <t>Сборка изделия 4П входящее в узел 2Р</t>
  </si>
  <si>
    <t>Двутавр 14Б2</t>
  </si>
  <si>
    <t>5,7м.п.*12,9кг. ГОСТ Р 57837-2017</t>
  </si>
  <si>
    <t>Пластина t=5мм S=0.0043м2</t>
  </si>
  <si>
    <t>6шт*0,169кг</t>
  </si>
  <si>
    <t>1,99м.п.</t>
  </si>
  <si>
    <r>
      <t xml:space="preserve">0,23*1,9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</si>
  <si>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Сборка элемента 5П входящий в узел 2Р</t>
  </si>
  <si>
    <t>Уголок 75х5</t>
  </si>
  <si>
    <t>0,16м.п.*5,8кг. ГОСТ 8509-93</t>
  </si>
  <si>
    <t>Сборка элемента 6П входящий в узел 2Р</t>
  </si>
  <si>
    <t>Пластина 65х65х5мм</t>
  </si>
  <si>
    <t>12шт*0,165кг</t>
  </si>
  <si>
    <t>0,05м2*39,25кг.  ГОСТ 19903-2015</t>
  </si>
  <si>
    <t>1,96. "резерв" под нестандартные куски металла.</t>
  </si>
  <si>
    <t>Усиление ребёр плиты по узлу 3Р</t>
  </si>
  <si>
    <t>76,17+76,17+5,82+1,81*246шт</t>
  </si>
  <si>
    <t>Сборка изделия 1Па входящее в узел 3Р</t>
  </si>
  <si>
    <t>Сборка изделия 2П входящее в узел 3Р</t>
  </si>
  <si>
    <t>3шт*1,94кг</t>
  </si>
  <si>
    <t>Сварные швы  kf=5мм</t>
  </si>
  <si>
    <t>Сборка элемента 5П входящий в узел 3Р</t>
  </si>
  <si>
    <t>0,312м.п.*5,8кг. ГОСТ 8509-93</t>
  </si>
  <si>
    <t>Усиление ребёр плиты по узлу 4Р</t>
  </si>
  <si>
    <t>74,54+0,93+4,46+1,6*121шт</t>
  </si>
  <si>
    <r>
      <t xml:space="preserve">Монтаж отверстий в основании электроперфоратором </t>
    </r>
    <r>
      <rPr>
        <sz val="11"/>
        <rFont val="Calibri"/>
        <family val="2"/>
        <charset val="204"/>
      </rPr>
      <t>Ø</t>
    </r>
    <r>
      <rPr>
        <sz val="11"/>
        <rFont val="Calibri"/>
        <family val="2"/>
        <charset val="204"/>
        <scheme val="minor"/>
      </rPr>
      <t xml:space="preserve"> 10мм</t>
    </r>
  </si>
  <si>
    <t>шт</t>
  </si>
  <si>
    <t>Сборка изделия 4П входящее в узел 4Р</t>
  </si>
  <si>
    <t>Сборка элемента 5П входящий в узел 4Р</t>
  </si>
  <si>
    <t>Сборка элемента 6П входящий в узел 4Р</t>
  </si>
  <si>
    <t>27шт*0,165кг</t>
  </si>
  <si>
    <t>Сборка элемента 7П входящий в узел 4Р</t>
  </si>
  <si>
    <t>Закладная деталь МН 105-3</t>
  </si>
  <si>
    <t>2шт*0,8кг</t>
  </si>
  <si>
    <t>Обрезка закладной детали МН 105-3 до 90мм</t>
  </si>
  <si>
    <t>Сборка элемента 8П входящий в узел 4Р</t>
  </si>
  <si>
    <t>Химический анкер Манопокс 341</t>
  </si>
  <si>
    <t>мл</t>
  </si>
  <si>
    <t>0,11м2*39,25кг. ГОСТ 19903-2015</t>
  </si>
  <si>
    <t>Послемонтажные работы</t>
  </si>
  <si>
    <t>Усиление стальных ферм и связей</t>
  </si>
  <si>
    <t>Зачистка поверхности металла от коррозии, грязи и старой краски</t>
  </si>
  <si>
    <t>ФС-4.1, ФС-4.2, ФФ-4.1, РС-1.1</t>
  </si>
  <si>
    <t>Стальные фермы ФС-4.1</t>
  </si>
  <si>
    <t>98,72+38,76+325,08*17шт</t>
  </si>
  <si>
    <t>ошибка в расчетах??? Должно быть 7863,52кг</t>
  </si>
  <si>
    <t>Усиление раскоса р3.1, позиция 1С</t>
  </si>
  <si>
    <t>Уголок 90х56х5.5</t>
  </si>
  <si>
    <t>16м.п.*6,17кг</t>
  </si>
  <si>
    <t>Усиление стойки с2.1, позиция 2С</t>
  </si>
  <si>
    <t>Уголок 50х5</t>
  </si>
  <si>
    <t>10,28м.п.*3,77кг</t>
  </si>
  <si>
    <t>Усиление ВП.1, позиция 3С</t>
  </si>
  <si>
    <t>Уголок 110х8</t>
  </si>
  <si>
    <t>24,08м.п.*13,5кг</t>
  </si>
  <si>
    <t>Стальные фермы ФС-4.2</t>
  </si>
  <si>
    <t>98,72+38,76*2шт</t>
  </si>
  <si>
    <t>Стальные фермы ФФ-4.1</t>
  </si>
  <si>
    <t>16,5*8шт</t>
  </si>
  <si>
    <t>Усиление раскоса р1.1, позиция 4С</t>
  </si>
  <si>
    <t>Уголок 40х4</t>
  </si>
  <si>
    <t>6,82м.п.*2,42кг</t>
  </si>
  <si>
    <t>Связи РС-1.1</t>
  </si>
  <si>
    <t>Усиление связи, позиция 5С</t>
  </si>
  <si>
    <t>53,25*24шт</t>
  </si>
  <si>
    <t>Уголок 63х5</t>
  </si>
  <si>
    <t>11,07м.п.4,81кг</t>
  </si>
  <si>
    <t>Демонтаж элементов связей РС-2. и РЖ-2.1</t>
  </si>
  <si>
    <t>Демонтаж существующей связи РС 2.1 из уголка 63х6</t>
  </si>
  <si>
    <t>Демонтаж существующей связи РЖ-2.1</t>
  </si>
  <si>
    <t>по ПК-01-28 Выпуск 1. Масса элемента 0.376 т</t>
  </si>
  <si>
    <t>Подготовительные работы на устройство связей</t>
  </si>
  <si>
    <t>Зачистка поверхность существующих металлоконструкций в местах стыков и устройства сварных швов от лакокрасочного покрытия</t>
  </si>
  <si>
    <t>Монтаж элементов связей</t>
  </si>
  <si>
    <t>Связь РС-2.1</t>
  </si>
  <si>
    <t>5,54п.м.*4,81кг</t>
  </si>
  <si>
    <t>0,678м.п.</t>
  </si>
  <si>
    <r>
      <t xml:space="preserve">0,08*1,9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</si>
  <si>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Связь РЖ-2.1</t>
  </si>
  <si>
    <t>Двутавр 18Б1</t>
  </si>
  <si>
    <t>5,6м.п.*15,4кг</t>
  </si>
  <si>
    <t>2,292м.п.</t>
  </si>
  <si>
    <r>
      <t xml:space="preserve">0,27*1,9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</si>
  <si>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Послемонтажная обработка связей РС-2.1, РЖ-2.1</t>
  </si>
  <si>
    <t>Покрытие грунтовкой ГФ-021, в 2 слоя</t>
  </si>
  <si>
    <t>Покрытие огнезащитной краской Термобарьер 0.6мм</t>
  </si>
  <si>
    <t>Замена плит покрытия</t>
  </si>
  <si>
    <t>Монтаж подмости и площадки переопирания плиты покрытия</t>
  </si>
  <si>
    <t>как расписать?</t>
  </si>
  <si>
    <t>Монтаж страховочной сетки ниже площадки переопирания</t>
  </si>
  <si>
    <t>при провисе 15 % и 5 % запасе</t>
  </si>
  <si>
    <t>Демонтаж повреждённых плит покрытия</t>
  </si>
  <si>
    <t>2,69м3*22шт</t>
  </si>
  <si>
    <t>Очистка от мусора и пыли</t>
  </si>
  <si>
    <t>приблизительно</t>
  </si>
  <si>
    <t>Промывка струей воды</t>
  </si>
  <si>
    <t>Монтаж стального каркаса плит покрытия. Узел 5Р.</t>
  </si>
  <si>
    <t>Монтаж элементов изделия У1</t>
  </si>
  <si>
    <t>190,16+4,92+18+19,74*22шт</t>
  </si>
  <si>
    <t>Швеллер 30</t>
  </si>
  <si>
    <t>5,98м.п.*31,8кг</t>
  </si>
  <si>
    <t>Пластина t=6мм S=0.026м2</t>
  </si>
  <si>
    <t>4шт*1,23кг</t>
  </si>
  <si>
    <t>Пластина t=6мм S=0.016м2</t>
  </si>
  <si>
    <t>24шт*0,75кг</t>
  </si>
  <si>
    <t>Пластина 2230х94х6мм</t>
  </si>
  <si>
    <t>2шт*9,87кг</t>
  </si>
  <si>
    <t>Пластина t=6мм</t>
  </si>
  <si>
    <t>0,9057м2*47,1кг</t>
  </si>
  <si>
    <t>Сварные швы kf=6мм</t>
  </si>
  <si>
    <t>26,95м.п.</t>
  </si>
  <si>
    <r>
      <t xml:space="preserve">4,16*1,9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</si>
  <si>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Монтаж элементов изделия 1Уа</t>
  </si>
  <si>
    <t>Монтаж элементов 2У</t>
  </si>
  <si>
    <t>Уголок 70х6</t>
  </si>
  <si>
    <t>5,56п.м.*6,39кг</t>
  </si>
  <si>
    <t>Монтаж элементов 2У1</t>
  </si>
  <si>
    <t>Пластина 110х1270х11мм</t>
  </si>
  <si>
    <t>2шт*12,06кг</t>
  </si>
  <si>
    <t>Монтаж опалубки плит покрытия</t>
  </si>
  <si>
    <t>Монтаж элементов 3У</t>
  </si>
  <si>
    <t>Монтаж профлиста Н57- 750 - 0.8</t>
  </si>
  <si>
    <t>13,11м2*6,38кг. Масса профлиста дана с учётом перехлёста на 2 гофры</t>
  </si>
  <si>
    <t>Армирование плит покрытия</t>
  </si>
  <si>
    <r>
      <t xml:space="preserve">Монтаж отверстий в основании плит электроперфоратором </t>
    </r>
    <r>
      <rPr>
        <sz val="11"/>
        <rFont val="Calibri"/>
        <family val="2"/>
        <charset val="204"/>
      </rPr>
      <t>Ø</t>
    </r>
    <r>
      <rPr>
        <sz val="11"/>
        <rFont val="Calibri"/>
        <family val="2"/>
        <charset val="204"/>
        <scheme val="minor"/>
      </rPr>
      <t xml:space="preserve"> 10мм</t>
    </r>
  </si>
  <si>
    <t>Очистить отверстия от пыли сжатым воздухом или щетками</t>
  </si>
  <si>
    <t>Очистка арматуры от ржавчины и грязи</t>
  </si>
  <si>
    <t>п.м.</t>
  </si>
  <si>
    <t>(24,96+94,41)*22</t>
  </si>
  <si>
    <t>Монтаж арматуры гладкой 6 мм A240, шаг 188мм (в каждую гофру). Позиция 5У</t>
  </si>
  <si>
    <t>24,96м.п.*0,222кг*22шт</t>
  </si>
  <si>
    <t>лист 38 отсутствует!</t>
  </si>
  <si>
    <t>Монтаж арматуры 8 мм рифленая A500С. Позиция 6У</t>
  </si>
  <si>
    <t>94,41м.п.*0,395кг*22шт</t>
  </si>
  <si>
    <t>Монтаж вязальной проволоки ∅ 1-2 мм двойным узлом</t>
  </si>
  <si>
    <t>5,76м.п.</t>
  </si>
  <si>
    <t>Сварные швы kf=8мм</t>
  </si>
  <si>
    <t>0,3м.п.</t>
  </si>
  <si>
    <r>
      <t xml:space="preserve">(0,97+0,08)*1,9 (Коэффициент расхода электродов </t>
    </r>
    <r>
      <rPr>
        <i/>
        <sz val="11"/>
        <rFont val="Calibri"/>
        <family val="2"/>
        <charset val="204"/>
        <scheme val="minor"/>
      </rPr>
      <t>K</t>
    </r>
    <r>
      <rPr>
        <sz val="11"/>
        <rFont val="Calibri"/>
        <family val="2"/>
        <charset val="204"/>
        <scheme val="minor"/>
      </rPr>
      <t>=1.8–2.0)</t>
    </r>
  </si>
  <si>
    <t>Бетонирование плит покрытия</t>
  </si>
  <si>
    <t>Мелкозернистый бетон В25</t>
  </si>
  <si>
    <t>0,507м3</t>
  </si>
  <si>
    <t>Устройство межплитных швов</t>
  </si>
  <si>
    <t>м.п.</t>
  </si>
  <si>
    <t>Зачистка межплиточных швов</t>
  </si>
  <si>
    <t>Нанесение насечек на боковуюю поверхность рёбер ж.б. плит вдоль шва</t>
  </si>
  <si>
    <t>Увлажнение поверхности водой с удалением излишек</t>
  </si>
  <si>
    <t>Монтаж опалубки на нижней грани межплиточного шва</t>
  </si>
  <si>
    <t xml:space="preserve">Выравнивание поверхности штукатуркой КНАУФ-Ротбанд </t>
  </si>
  <si>
    <t>(0.2м2 на 1.мпог, слой 1мм, расход 0.9кг/м2)</t>
  </si>
  <si>
    <t>Штукатурка КНАУФ-Ротбанд (0.05м2 на м.пог, слой 1мм, расход 0.9кг/м2)</t>
  </si>
  <si>
    <t>Вывоз мусора</t>
  </si>
  <si>
    <t>Погрузо-разгрузочные работы при автомобильных перевозках: Погрузка мусора строительного с погрузкой вручную</t>
  </si>
  <si>
    <t>1 т груза</t>
  </si>
  <si>
    <r>
      <t>Перевозка грузов I класса автомобилями-самосвалами грузоподъемностью 10 т работающих вне карьера на расстояние до</t>
    </r>
    <r>
      <rPr>
        <sz val="11"/>
        <color rgb="FFFF0000"/>
        <rFont val="Calibri"/>
        <family val="2"/>
        <charset val="204"/>
        <scheme val="minor"/>
      </rPr>
      <t xml:space="preserve"> 47 км</t>
    </r>
  </si>
  <si>
    <t>Уточнить?</t>
  </si>
  <si>
    <t>Утилизация строительного мусора</t>
  </si>
  <si>
    <t>Нужна спецификация стропильной системы</t>
  </si>
  <si>
    <r>
      <t xml:space="preserve">MCI-2020 Ингибитор коррозии (0.08м2 на 1 м.пог. шва, расход 3.68л на 1м2) </t>
    </r>
    <r>
      <rPr>
        <sz val="11"/>
        <color rgb="FFFF0000"/>
        <rFont val="Calibri"/>
        <family val="2"/>
        <charset val="204"/>
        <scheme val="minor"/>
      </rPr>
      <t>Замена на аналоог Пропитка для бетона Sika FerroGard 903</t>
    </r>
  </si>
  <si>
    <t>https://www.edkm.ru/propitka-dlya-betona-sika-ferrogard-903/</t>
  </si>
  <si>
    <t>в РФ отсутствует замена на аналог</t>
  </si>
  <si>
    <t>Из чего состоит опалубка?</t>
  </si>
  <si>
    <t xml:space="preserve">Учесть резку </t>
  </si>
  <si>
    <t>цена материала руб. с НДС</t>
  </si>
  <si>
    <t>Сумма материала руб. с НДС</t>
  </si>
  <si>
    <t>нет такого размера</t>
  </si>
  <si>
    <t>Счет 91 от 07.10.2025  ГГС</t>
  </si>
  <si>
    <r>
      <t xml:space="preserve">40мл  </t>
    </r>
    <r>
      <rPr>
        <sz val="11"/>
        <color rgb="FFFF0000"/>
        <rFont val="Calibri"/>
        <family val="2"/>
        <charset val="204"/>
        <scheme val="minor"/>
      </rPr>
      <t>Манопокс 341, картридж 400 мл</t>
    </r>
  </si>
  <si>
    <t>https://ognehimzashita.ru/price</t>
  </si>
  <si>
    <r>
      <t xml:space="preserve">безусадочная быстротвердеющей ремонтной смесью типа MasterEmaco S 560 FR </t>
    </r>
    <r>
      <rPr>
        <sz val="11"/>
        <color rgb="FFFF0000"/>
        <rFont val="Calibri"/>
        <family val="2"/>
        <charset val="204"/>
        <scheme val="minor"/>
      </rPr>
      <t>замена Паколь Ремонтный 600 КС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</si>
</sst>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0"/>
    <numFmt numFmtId="166" formatCode="0.0"/>
  </numFmts>
  <fonts count="20" x14ac:knownFonts="1"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  <xf numFmtId="0" fontId="19" fillId="0" borderId="0" applyNumberFormat="0" applyFill="0" applyBorder="0" applyAlignment="0" applyProtection="0"/>
  </cellStyleXfs>
  <cellXfs count="21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3" borderId="1" xfId="2" applyNumberFormat="1" applyFont="1" applyFill="1" applyBorder="1" applyAlignment="1" applyProtection="1">
      <alignment horizontal="center" vertical="center"/>
    </xf>
    <xf numFmtId="0" fontId="8" fillId="3" borderId="1" xfId="3" applyNumberFormat="1" applyFont="1" applyFill="1" applyBorder="1" applyAlignment="1" applyProtection="1">
      <alignment vertical="center" wrapText="1"/>
    </xf>
    <xf numFmtId="0" fontId="8" fillId="3" borderId="1" xfId="3" applyNumberFormat="1" applyFont="1" applyFill="1" applyBorder="1" applyAlignment="1" applyProtection="1">
      <alignment horizontal="center" vertical="center"/>
    </xf>
    <xf numFmtId="1" fontId="8" fillId="3" borderId="1" xfId="3" applyNumberFormat="1" applyFont="1" applyFill="1" applyBorder="1" applyAlignment="1" applyProtection="1">
      <alignment horizontal="center" vertical="center"/>
    </xf>
    <xf numFmtId="1" fontId="8" fillId="3" borderId="2" xfId="3" applyNumberFormat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8" fillId="4" borderId="1" xfId="2" applyNumberFormat="1" applyFont="1" applyFill="1" applyBorder="1" applyAlignment="1" applyProtection="1">
      <alignment horizontal="center" vertical="center"/>
    </xf>
    <xf numFmtId="0" fontId="5" fillId="4" borderId="1" xfId="2" applyNumberFormat="1" applyFont="1" applyFill="1" applyBorder="1" applyAlignment="1" applyProtection="1">
      <alignment horizontal="center" vertical="center" wrapText="1"/>
    </xf>
    <xf numFmtId="0" fontId="5" fillId="4" borderId="1" xfId="3" applyNumberFormat="1" applyFont="1" applyFill="1" applyBorder="1" applyAlignment="1" applyProtection="1">
      <alignment horizontal="center" vertical="center"/>
    </xf>
    <xf numFmtId="164" fontId="5" fillId="4" borderId="1" xfId="1" applyNumberFormat="1" applyFont="1" applyFill="1" applyBorder="1" applyAlignment="1" applyProtection="1">
      <alignment horizontal="center" vertical="center"/>
    </xf>
    <xf numFmtId="164" fontId="5" fillId="4" borderId="2" xfId="1" applyNumberFormat="1" applyFont="1" applyFill="1" applyBorder="1" applyAlignment="1" applyProtection="1">
      <alignment horizontal="center" vertical="center"/>
    </xf>
    <xf numFmtId="2" fontId="5" fillId="4" borderId="1" xfId="1" applyNumberFormat="1" applyFont="1" applyFill="1" applyBorder="1" applyAlignment="1" applyProtection="1">
      <alignment horizontal="left" vertical="center" wrapText="1"/>
    </xf>
    <xf numFmtId="2" fontId="5" fillId="4" borderId="1" xfId="1" applyNumberFormat="1" applyFont="1" applyFill="1" applyBorder="1" applyAlignment="1" applyProtection="1">
      <alignment horizontal="center" vertical="center"/>
    </xf>
    <xf numFmtId="2" fontId="5" fillId="4" borderId="2" xfId="1" applyNumberFormat="1" applyFont="1" applyFill="1" applyBorder="1" applyAlignment="1" applyProtection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8" fillId="0" borderId="1" xfId="3" applyNumberFormat="1" applyFont="1" applyFill="1" applyBorder="1" applyAlignment="1" applyProtection="1">
      <alignment horizontal="left" vertical="center" wrapText="1"/>
    </xf>
    <xf numFmtId="0" fontId="8" fillId="0" borderId="1" xfId="3" applyNumberFormat="1" applyFont="1" applyFill="1" applyBorder="1" applyAlignment="1" applyProtection="1">
      <alignment horizontal="center" vertical="center"/>
    </xf>
    <xf numFmtId="2" fontId="8" fillId="0" borderId="1" xfId="1" applyNumberFormat="1" applyFont="1" applyFill="1" applyBorder="1" applyAlignment="1" applyProtection="1">
      <alignment horizontal="center" vertical="center"/>
    </xf>
    <xf numFmtId="2" fontId="8" fillId="0" borderId="2" xfId="1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8" fillId="0" borderId="1" xfId="3" applyNumberFormat="1" applyFont="1" applyFill="1" applyBorder="1" applyAlignment="1" applyProtection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8" fillId="0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5" fontId="5" fillId="4" borderId="1" xfId="1" applyNumberFormat="1" applyFont="1" applyFill="1" applyBorder="1" applyAlignment="1" applyProtection="1">
      <alignment horizontal="center" vertical="center"/>
    </xf>
    <xf numFmtId="165" fontId="5" fillId="4" borderId="2" xfId="1" applyNumberFormat="1" applyFont="1" applyFill="1" applyBorder="1" applyAlignment="1" applyProtection="1">
      <alignment horizontal="center" vertical="center"/>
    </xf>
    <xf numFmtId="2" fontId="8" fillId="4" borderId="1" xfId="1" applyNumberFormat="1" applyFont="1" applyFill="1" applyBorder="1" applyAlignment="1" applyProtection="1">
      <alignment horizontal="left" vertical="center" wrapText="1"/>
    </xf>
    <xf numFmtId="0" fontId="5" fillId="4" borderId="1" xfId="3" applyNumberFormat="1" applyFont="1" applyFill="1" applyBorder="1" applyAlignment="1" applyProtection="1">
      <alignment horizontal="center" vertical="center" wrapText="1"/>
    </xf>
    <xf numFmtId="0" fontId="5" fillId="4" borderId="1" xfId="2" applyNumberFormat="1" applyFont="1" applyFill="1" applyBorder="1" applyAlignment="1" applyProtection="1">
      <alignment horizontal="center" vertical="center"/>
    </xf>
    <xf numFmtId="166" fontId="9" fillId="4" borderId="1" xfId="0" applyNumberFormat="1" applyFont="1" applyFill="1" applyBorder="1" applyAlignment="1">
      <alignment horizontal="center" vertical="center"/>
    </xf>
    <xf numFmtId="166" fontId="9" fillId="4" borderId="2" xfId="0" applyNumberFormat="1" applyFont="1" applyFill="1" applyBorder="1" applyAlignment="1">
      <alignment horizontal="center" vertical="center"/>
    </xf>
    <xf numFmtId="164" fontId="8" fillId="4" borderId="2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2" fontId="5" fillId="3" borderId="1" xfId="1" applyNumberFormat="1" applyFont="1" applyFill="1" applyBorder="1" applyAlignment="1" applyProtection="1">
      <alignment horizontal="center" vertical="center"/>
    </xf>
    <xf numFmtId="2" fontId="5" fillId="3" borderId="2" xfId="1" applyNumberFormat="1" applyFont="1" applyFill="1" applyBorder="1" applyAlignment="1" applyProtection="1">
      <alignment horizontal="center" vertical="center"/>
    </xf>
    <xf numFmtId="2" fontId="5" fillId="0" borderId="1" xfId="1" applyNumberFormat="1" applyFont="1" applyFill="1" applyBorder="1" applyAlignment="1" applyProtection="1">
      <alignment horizontal="left" vertical="center" wrapText="1"/>
    </xf>
    <xf numFmtId="0" fontId="5" fillId="3" borderId="2" xfId="2" applyNumberFormat="1" applyFont="1" applyFill="1" applyBorder="1" applyAlignment="1" applyProtection="1">
      <alignment horizontal="left" vertical="center" wrapText="1"/>
    </xf>
    <xf numFmtId="0" fontId="8" fillId="0" borderId="2" xfId="3" applyNumberFormat="1" applyFont="1" applyFill="1" applyBorder="1" applyAlignment="1" applyProtection="1">
      <alignment horizontal="left" vertical="center" wrapText="1"/>
    </xf>
    <xf numFmtId="1" fontId="8" fillId="3" borderId="1" xfId="1" applyNumberFormat="1" applyFont="1" applyFill="1" applyBorder="1" applyAlignment="1" applyProtection="1">
      <alignment horizontal="center" vertical="center"/>
    </xf>
    <xf numFmtId="1" fontId="10" fillId="3" borderId="2" xfId="1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2" xfId="3" applyNumberFormat="1" applyFont="1" applyFill="1" applyBorder="1" applyAlignment="1" applyProtection="1">
      <alignment horizontal="right" vertical="center" wrapText="1"/>
    </xf>
    <xf numFmtId="166" fontId="8" fillId="0" borderId="1" xfId="1" applyNumberFormat="1" applyFont="1" applyFill="1" applyBorder="1" applyAlignment="1" applyProtection="1">
      <alignment horizontal="center" vertical="center"/>
    </xf>
    <xf numFmtId="166" fontId="8" fillId="0" borderId="2" xfId="1" applyNumberFormat="1" applyFont="1" applyFill="1" applyBorder="1" applyAlignment="1" applyProtection="1">
      <alignment horizontal="center" vertical="center"/>
    </xf>
    <xf numFmtId="1" fontId="2" fillId="3" borderId="2" xfId="1" applyNumberFormat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left" vertical="top"/>
    </xf>
    <xf numFmtId="1" fontId="8" fillId="3" borderId="2" xfId="1" applyNumberFormat="1" applyFont="1" applyFill="1" applyBorder="1" applyAlignment="1" applyProtection="1">
      <alignment horizontal="center" vertical="center"/>
    </xf>
    <xf numFmtId="0" fontId="5" fillId="3" borderId="1" xfId="3" applyNumberFormat="1" applyFont="1" applyFill="1" applyBorder="1" applyAlignment="1" applyProtection="1">
      <alignment horizontal="center" vertical="center"/>
    </xf>
    <xf numFmtId="0" fontId="5" fillId="3" borderId="2" xfId="3" applyNumberFormat="1" applyFont="1" applyFill="1" applyBorder="1" applyAlignment="1" applyProtection="1">
      <alignment horizontal="center" vertical="center"/>
    </xf>
    <xf numFmtId="0" fontId="8" fillId="0" borderId="2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left" vertical="center" wrapText="1"/>
    </xf>
    <xf numFmtId="2" fontId="5" fillId="0" borderId="2" xfId="1" applyNumberFormat="1" applyFont="1" applyFill="1" applyBorder="1" applyAlignment="1" applyProtection="1">
      <alignment horizontal="center" vertical="center"/>
    </xf>
    <xf numFmtId="1" fontId="8" fillId="0" borderId="2" xfId="1" applyNumberFormat="1" applyFont="1" applyFill="1" applyBorder="1" applyAlignment="1" applyProtection="1">
      <alignment horizontal="center" vertical="center"/>
    </xf>
    <xf numFmtId="0" fontId="8" fillId="0" borderId="4" xfId="2" applyNumberFormat="1" applyFont="1" applyFill="1" applyBorder="1" applyAlignment="1" applyProtection="1">
      <alignment horizontal="center" vertical="center"/>
    </xf>
    <xf numFmtId="0" fontId="8" fillId="0" borderId="5" xfId="3" applyNumberFormat="1" applyFont="1" applyFill="1" applyBorder="1" applyAlignment="1" applyProtection="1">
      <alignment horizontal="left" vertical="center" wrapText="1"/>
    </xf>
    <xf numFmtId="0" fontId="8" fillId="0" borderId="4" xfId="3" applyNumberFormat="1" applyFont="1" applyFill="1" applyBorder="1" applyAlignment="1" applyProtection="1">
      <alignment horizontal="center" vertical="center"/>
    </xf>
    <xf numFmtId="2" fontId="8" fillId="0" borderId="4" xfId="1" applyNumberFormat="1" applyFont="1" applyFill="1" applyBorder="1" applyAlignment="1" applyProtection="1">
      <alignment horizontal="center" vertical="center"/>
    </xf>
    <xf numFmtId="2" fontId="8" fillId="0" borderId="5" xfId="1" applyNumberFormat="1" applyFont="1" applyFill="1" applyBorder="1" applyAlignment="1" applyProtection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0" fontId="5" fillId="4" borderId="2" xfId="2" applyNumberFormat="1" applyFont="1" applyFill="1" applyBorder="1" applyAlignment="1" applyProtection="1">
      <alignment horizontal="left" vertical="center" wrapText="1"/>
    </xf>
    <xf numFmtId="2" fontId="8" fillId="3" borderId="2" xfId="1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left" vertical="center" wrapText="1"/>
    </xf>
    <xf numFmtId="2" fontId="1" fillId="0" borderId="1" xfId="1" applyNumberFormat="1" applyFont="1" applyBorder="1" applyAlignment="1">
      <alignment horizontal="center" vertical="center"/>
    </xf>
    <xf numFmtId="2" fontId="1" fillId="0" borderId="2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166" fontId="8" fillId="3" borderId="1" xfId="1" applyNumberFormat="1" applyFont="1" applyFill="1" applyBorder="1" applyAlignment="1" applyProtection="1">
      <alignment horizontal="center" vertical="center"/>
    </xf>
    <xf numFmtId="0" fontId="8" fillId="2" borderId="1" xfId="2" applyNumberFormat="1" applyFont="1" applyFill="1" applyBorder="1" applyAlignment="1" applyProtection="1">
      <alignment horizontal="center" vertical="center"/>
    </xf>
    <xf numFmtId="0" fontId="5" fillId="2" borderId="2" xfId="3" applyNumberFormat="1" applyFont="1" applyFill="1" applyBorder="1" applyAlignment="1" applyProtection="1">
      <alignment horizontal="center" vertical="center" wrapText="1"/>
    </xf>
    <xf numFmtId="0" fontId="8" fillId="2" borderId="1" xfId="3" applyNumberFormat="1" applyFont="1" applyFill="1" applyBorder="1" applyAlignment="1" applyProtection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2" fontId="9" fillId="2" borderId="1" xfId="1" applyNumberFormat="1" applyFont="1" applyFill="1" applyBorder="1" applyAlignment="1">
      <alignment horizontal="left" vertical="center" wrapText="1"/>
    </xf>
    <xf numFmtId="0" fontId="5" fillId="4" borderId="1" xfId="2" applyNumberFormat="1" applyFont="1" applyFill="1" applyBorder="1" applyAlignment="1" applyProtection="1">
      <alignment horizontal="left" vertical="center" wrapText="1"/>
    </xf>
    <xf numFmtId="0" fontId="5" fillId="4" borderId="2" xfId="3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Alignment="1">
      <alignment horizontal="left" vertical="center"/>
    </xf>
    <xf numFmtId="0" fontId="8" fillId="0" borderId="1" xfId="2" applyNumberFormat="1" applyFont="1" applyFill="1" applyBorder="1" applyAlignment="1" applyProtection="1">
      <alignment horizontal="left" vertical="center" wrapText="1"/>
    </xf>
    <xf numFmtId="0" fontId="5" fillId="4" borderId="1" xfId="3" applyNumberFormat="1" applyFont="1" applyFill="1" applyBorder="1" applyAlignment="1" applyProtection="1">
      <alignment horizontal="left" vertical="center" wrapText="1"/>
    </xf>
    <xf numFmtId="2" fontId="8" fillId="0" borderId="1" xfId="3" applyNumberFormat="1" applyFont="1" applyFill="1" applyBorder="1" applyAlignment="1" applyProtection="1">
      <alignment horizontal="center" vertical="center"/>
    </xf>
    <xf numFmtId="2" fontId="8" fillId="0" borderId="2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2" fillId="0" borderId="2" xfId="3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top"/>
    </xf>
    <xf numFmtId="2" fontId="8" fillId="3" borderId="1" xfId="1" applyNumberFormat="1" applyFont="1" applyFill="1" applyBorder="1" applyAlignment="1" applyProtection="1">
      <alignment horizontal="center" vertical="center"/>
    </xf>
    <xf numFmtId="0" fontId="5" fillId="0" borderId="6" xfId="3" applyNumberFormat="1" applyFont="1" applyFill="1" applyBorder="1" applyAlignment="1" applyProtection="1">
      <alignment horizontal="center" vertical="center"/>
    </xf>
    <xf numFmtId="2" fontId="8" fillId="0" borderId="6" xfId="3" applyNumberFormat="1" applyFont="1" applyFill="1" applyBorder="1" applyAlignment="1" applyProtection="1">
      <alignment horizontal="center" vertical="center"/>
    </xf>
    <xf numFmtId="0" fontId="8" fillId="0" borderId="1" xfId="3" applyNumberFormat="1" applyFont="1" applyFill="1" applyBorder="1" applyAlignment="1" applyProtection="1">
      <alignment vertical="center" wrapText="1"/>
    </xf>
    <xf numFmtId="2" fontId="8" fillId="0" borderId="6" xfId="1" applyNumberFormat="1" applyFont="1" applyFill="1" applyBorder="1" applyAlignment="1" applyProtection="1">
      <alignment horizontal="center" vertical="center"/>
    </xf>
    <xf numFmtId="2" fontId="5" fillId="0" borderId="1" xfId="1" applyNumberFormat="1" applyFont="1" applyFill="1" applyBorder="1" applyAlignment="1" applyProtection="1">
      <alignment horizontal="center" vertical="center"/>
    </xf>
    <xf numFmtId="2" fontId="5" fillId="0" borderId="6" xfId="1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6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4" borderId="1" xfId="3" applyNumberFormat="1" applyFont="1" applyFill="1" applyBorder="1" applyAlignment="1" applyProtection="1">
      <alignment horizontal="center" vertical="center"/>
    </xf>
    <xf numFmtId="0" fontId="5" fillId="0" borderId="6" xfId="2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2" fillId="0" borderId="1" xfId="3" applyNumberFormat="1" applyFont="1" applyFill="1" applyBorder="1" applyAlignment="1" applyProtection="1">
      <alignment horizontal="center" vertical="center"/>
    </xf>
    <xf numFmtId="2" fontId="2" fillId="0" borderId="2" xfId="3" applyNumberFormat="1" applyFont="1" applyFill="1" applyBorder="1" applyAlignment="1" applyProtection="1">
      <alignment horizontal="center" vertical="center"/>
    </xf>
    <xf numFmtId="2" fontId="5" fillId="0" borderId="1" xfId="3" applyNumberFormat="1" applyFont="1" applyFill="1" applyBorder="1" applyAlignment="1" applyProtection="1">
      <alignment horizontal="center" vertical="center"/>
    </xf>
    <xf numFmtId="2" fontId="5" fillId="0" borderId="2" xfId="3" applyNumberFormat="1" applyFont="1" applyFill="1" applyBorder="1" applyAlignment="1" applyProtection="1">
      <alignment horizontal="center" vertical="center"/>
    </xf>
    <xf numFmtId="0" fontId="10" fillId="4" borderId="1" xfId="3" applyNumberFormat="1" applyFont="1" applyFill="1" applyBorder="1" applyAlignment="1" applyProtection="1">
      <alignment horizontal="center" vertical="center"/>
    </xf>
    <xf numFmtId="0" fontId="10" fillId="4" borderId="2" xfId="3" applyNumberFormat="1" applyFont="1" applyFill="1" applyBorder="1" applyAlignment="1" applyProtection="1">
      <alignment horizontal="center" vertical="center"/>
    </xf>
    <xf numFmtId="0" fontId="5" fillId="3" borderId="1" xfId="2" applyNumberFormat="1" applyFont="1" applyFill="1" applyBorder="1" applyAlignment="1" applyProtection="1">
      <alignment horizontal="center" vertical="center"/>
    </xf>
    <xf numFmtId="0" fontId="8" fillId="3" borderId="2" xfId="3" applyNumberFormat="1" applyFont="1" applyFill="1" applyBorder="1" applyAlignment="1" applyProtection="1">
      <alignment horizontal="left" vertical="center" wrapText="1"/>
    </xf>
    <xf numFmtId="2" fontId="5" fillId="3" borderId="1" xfId="1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8" fillId="3" borderId="2" xfId="3" applyNumberFormat="1" applyFont="1" applyFill="1" applyBorder="1" applyAlignment="1" applyProtection="1">
      <alignment horizontal="right" vertical="center" wrapText="1"/>
    </xf>
    <xf numFmtId="0" fontId="5" fillId="4" borderId="2" xfId="3" applyNumberFormat="1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/>
    </xf>
    <xf numFmtId="2" fontId="8" fillId="2" borderId="1" xfId="1" applyNumberFormat="1" applyFont="1" applyFill="1" applyBorder="1" applyAlignment="1" applyProtection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 applyProtection="1">
      <alignment vertical="center" wrapText="1"/>
    </xf>
    <xf numFmtId="0" fontId="5" fillId="3" borderId="1" xfId="3" applyNumberFormat="1" applyFont="1" applyFill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 applyProtection="1">
      <alignment horizontal="left" vertical="center" wrapText="1"/>
    </xf>
    <xf numFmtId="2" fontId="8" fillId="3" borderId="1" xfId="1" applyNumberFormat="1" applyFont="1" applyFill="1" applyBorder="1" applyAlignment="1" applyProtection="1">
      <alignment vertical="center" wrapText="1"/>
    </xf>
    <xf numFmtId="2" fontId="8" fillId="0" borderId="1" xfId="1" applyNumberFormat="1" applyFont="1" applyFill="1" applyBorder="1" applyAlignment="1" applyProtection="1">
      <alignment vertical="center" wrapText="1"/>
    </xf>
    <xf numFmtId="0" fontId="5" fillId="0" borderId="2" xfId="2" applyNumberFormat="1" applyFont="1" applyFill="1" applyBorder="1" applyAlignment="1" applyProtection="1">
      <alignment horizontal="center" vertical="center"/>
    </xf>
    <xf numFmtId="0" fontId="5" fillId="4" borderId="2" xfId="2" applyNumberFormat="1" applyFont="1" applyFill="1" applyBorder="1" applyAlignment="1" applyProtection="1">
      <alignment horizontal="center" vertical="center"/>
    </xf>
    <xf numFmtId="2" fontId="8" fillId="4" borderId="1" xfId="1" applyNumberFormat="1" applyFont="1" applyFill="1" applyBorder="1" applyAlignment="1" applyProtection="1">
      <alignment vertical="center" wrapText="1"/>
    </xf>
    <xf numFmtId="2" fontId="5" fillId="0" borderId="1" xfId="1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horizontal="center" vertical="center"/>
    </xf>
    <xf numFmtId="2" fontId="6" fillId="0" borderId="1" xfId="1" applyNumberFormat="1" applyFont="1" applyFill="1" applyBorder="1" applyAlignment="1">
      <alignment horizontal="left" vertical="center" wrapText="1"/>
    </xf>
    <xf numFmtId="0" fontId="5" fillId="2" borderId="1" xfId="3" applyNumberFormat="1" applyFont="1" applyFill="1" applyBorder="1" applyAlignment="1" applyProtection="1">
      <alignment horizontal="center" vertical="center" wrapText="1"/>
    </xf>
    <xf numFmtId="2" fontId="8" fillId="2" borderId="1" xfId="3" applyNumberFormat="1" applyFont="1" applyFill="1" applyBorder="1" applyAlignment="1" applyProtection="1">
      <alignment horizontal="center" vertical="center"/>
    </xf>
    <xf numFmtId="2" fontId="8" fillId="2" borderId="2" xfId="3" applyNumberFormat="1" applyFont="1" applyFill="1" applyBorder="1" applyAlignment="1" applyProtection="1">
      <alignment horizontal="center" vertical="center"/>
    </xf>
    <xf numFmtId="2" fontId="8" fillId="2" borderId="1" xfId="1" applyNumberFormat="1" applyFont="1" applyFill="1" applyBorder="1" applyAlignment="1" applyProtection="1">
      <alignment horizontal="left" vertical="center" wrapText="1"/>
    </xf>
    <xf numFmtId="2" fontId="8" fillId="3" borderId="1" xfId="3" applyNumberFormat="1" applyFont="1" applyFill="1" applyBorder="1" applyAlignment="1" applyProtection="1">
      <alignment horizontal="center" vertical="center"/>
    </xf>
    <xf numFmtId="2" fontId="8" fillId="3" borderId="2" xfId="3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top"/>
    </xf>
    <xf numFmtId="0" fontId="8" fillId="4" borderId="1" xfId="2" applyNumberFormat="1" applyFont="1" applyFill="1" applyBorder="1" applyAlignment="1" applyProtection="1">
      <alignment horizontal="left" vertical="center"/>
    </xf>
    <xf numFmtId="0" fontId="9" fillId="4" borderId="0" xfId="0" applyFont="1" applyFill="1" applyAlignment="1">
      <alignment horizontal="center" vertical="top"/>
    </xf>
    <xf numFmtId="0" fontId="8" fillId="4" borderId="1" xfId="3" applyNumberFormat="1" applyFont="1" applyFill="1" applyBorder="1" applyAlignment="1" applyProtection="1">
      <alignment horizontal="left" vertical="center"/>
    </xf>
    <xf numFmtId="2" fontId="8" fillId="4" borderId="1" xfId="3" applyNumberFormat="1" applyFont="1" applyFill="1" applyBorder="1" applyAlignment="1" applyProtection="1">
      <alignment horizontal="left" vertical="center"/>
    </xf>
    <xf numFmtId="2" fontId="8" fillId="4" borderId="2" xfId="3" applyNumberFormat="1" applyFont="1" applyFill="1" applyBorder="1" applyAlignment="1" applyProtection="1">
      <alignment horizontal="left" vertical="center"/>
    </xf>
    <xf numFmtId="0" fontId="10" fillId="0" borderId="1" xfId="3" applyNumberFormat="1" applyFont="1" applyFill="1" applyBorder="1" applyAlignment="1" applyProtection="1">
      <alignment horizontal="center" vertical="center"/>
    </xf>
    <xf numFmtId="0" fontId="10" fillId="0" borderId="2" xfId="3" applyNumberFormat="1" applyFont="1" applyFill="1" applyBorder="1" applyAlignment="1" applyProtection="1">
      <alignment horizontal="center" vertical="center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8" fillId="3" borderId="2" xfId="2" applyNumberFormat="1" applyFont="1" applyFill="1" applyBorder="1" applyAlignment="1" applyProtection="1">
      <alignment horizontal="center" vertical="center"/>
    </xf>
    <xf numFmtId="0" fontId="5" fillId="4" borderId="2" xfId="3" applyNumberFormat="1" applyFont="1" applyFill="1" applyBorder="1" applyAlignment="1" applyProtection="1">
      <alignment horizontal="center" vertical="center" wrapText="1"/>
    </xf>
    <xf numFmtId="2" fontId="5" fillId="4" borderId="1" xfId="1" applyNumberFormat="1" applyFont="1" applyFill="1" applyBorder="1" applyAlignment="1" applyProtection="1">
      <alignment horizontal="center" vertical="center" wrapText="1"/>
    </xf>
    <xf numFmtId="0" fontId="8" fillId="3" borderId="1" xfId="2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left" vertical="center"/>
    </xf>
    <xf numFmtId="0" fontId="8" fillId="3" borderId="2" xfId="2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0" borderId="1" xfId="3" applyNumberFormat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0" xfId="0" applyFont="1"/>
    <xf numFmtId="0" fontId="17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2" fontId="6" fillId="0" borderId="0" xfId="1" applyNumberFormat="1" applyFont="1" applyFill="1" applyBorder="1" applyAlignment="1">
      <alignment horizontal="left" vertical="center" wrapText="1"/>
    </xf>
    <xf numFmtId="166" fontId="8" fillId="3" borderId="2" xfId="1" applyNumberFormat="1" applyFont="1" applyFill="1" applyBorder="1" applyAlignment="1" applyProtection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9" fillId="0" borderId="0" xfId="4" applyAlignment="1">
      <alignment horizontal="left" vertical="center"/>
    </xf>
    <xf numFmtId="2" fontId="10" fillId="3" borderId="1" xfId="1" applyNumberFormat="1" applyFont="1" applyFill="1" applyBorder="1" applyAlignment="1" applyProtection="1">
      <alignment horizontal="left" vertical="center" wrapText="1"/>
    </xf>
    <xf numFmtId="43" fontId="8" fillId="0" borderId="2" xfId="1" applyFont="1" applyFill="1" applyBorder="1" applyAlignment="1" applyProtection="1">
      <alignment horizontal="center" vertical="center"/>
    </xf>
    <xf numFmtId="0" fontId="2" fillId="3" borderId="1" xfId="2" applyNumberFormat="1" applyFont="1" applyFill="1" applyBorder="1" applyAlignment="1" applyProtection="1">
      <alignment horizontal="left" vertical="center" wrapText="1"/>
    </xf>
    <xf numFmtId="43" fontId="6" fillId="0" borderId="2" xfId="1" applyFont="1" applyBorder="1" applyAlignment="1">
      <alignment horizontal="center" vertical="center"/>
    </xf>
    <xf numFmtId="0" fontId="8" fillId="5" borderId="1" xfId="3" applyNumberFormat="1" applyFont="1" applyFill="1" applyBorder="1" applyAlignment="1" applyProtection="1">
      <alignment horizontal="right" vertical="center" wrapText="1"/>
    </xf>
    <xf numFmtId="43" fontId="8" fillId="3" borderId="2" xfId="1" applyFont="1" applyFill="1" applyBorder="1" applyAlignment="1" applyProtection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1" fontId="8" fillId="5" borderId="1" xfId="1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8" fillId="5" borderId="2" xfId="3" applyNumberFormat="1" applyFont="1" applyFill="1" applyBorder="1" applyAlignment="1" applyProtection="1">
      <alignment horizontal="right" vertical="center" wrapText="1"/>
    </xf>
    <xf numFmtId="43" fontId="9" fillId="0" borderId="0" xfId="1" applyFont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_20. 010-ОВ" xfId="2" xr:uid="{573CE6A8-7142-4E32-A6D3-FE18D32CEDEE}"/>
    <cellStyle name="Обычный_КР" xfId="3" xr:uid="{ED98849D-5C0A-4D62-80CC-678EE91C676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km.ru/propitka-dlya-betona-sika-ferrogard-9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E04C-921A-4989-9144-F5F4C3F876E8}">
  <dimension ref="A1:J353"/>
  <sheetViews>
    <sheetView tabSelected="1" zoomScaleNormal="100" workbookViewId="0">
      <pane ySplit="1" topLeftCell="A35" activePane="bottomLeft" state="frozen"/>
      <selection pane="bottomLeft" activeCell="B89" sqref="B89"/>
    </sheetView>
  </sheetViews>
  <sheetFormatPr defaultColWidth="9.33203125" defaultRowHeight="14.4" x14ac:dyDescent="0.25"/>
  <cols>
    <col min="1" max="1" width="9.109375" style="41" customWidth="1"/>
    <col min="2" max="2" width="49.6640625" style="199" customWidth="1"/>
    <col min="3" max="3" width="14.21875" style="41" customWidth="1"/>
    <col min="4" max="5" width="12.6640625" style="156" customWidth="1"/>
    <col min="6" max="6" width="26.33203125" style="156" bestFit="1" customWidth="1"/>
    <col min="7" max="7" width="12.6640625" style="156" customWidth="1"/>
    <col min="8" max="8" width="53.21875" style="200" customWidth="1"/>
    <col min="9" max="9" width="29.21875" style="27" customWidth="1"/>
    <col min="10" max="10" width="24.21875" style="27" customWidth="1"/>
    <col min="11" max="16384" width="9.33203125" style="27"/>
  </cols>
  <sheetData>
    <row r="1" spans="1:10" s="4" customFormat="1" ht="35.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334</v>
      </c>
      <c r="F1" s="2" t="s">
        <v>335</v>
      </c>
      <c r="G1" s="213"/>
      <c r="H1" s="3" t="s">
        <v>4</v>
      </c>
    </row>
    <row r="2" spans="1:10" s="11" customFormat="1" ht="28.8" x14ac:dyDescent="0.25">
      <c r="A2" s="5"/>
      <c r="B2" s="6" t="s">
        <v>5</v>
      </c>
      <c r="C2" s="7" t="s">
        <v>6</v>
      </c>
      <c r="D2" s="8">
        <f>25443+5158</f>
        <v>30601</v>
      </c>
      <c r="E2" s="9"/>
      <c r="F2" s="9"/>
      <c r="G2" s="9"/>
      <c r="H2" s="10" t="s">
        <v>7</v>
      </c>
      <c r="I2" s="11" t="s">
        <v>328</v>
      </c>
    </row>
    <row r="3" spans="1:10" s="11" customFormat="1" ht="28.8" x14ac:dyDescent="0.25">
      <c r="A3" s="12"/>
      <c r="B3" s="13" t="s">
        <v>8</v>
      </c>
      <c r="C3" s="14" t="s">
        <v>9</v>
      </c>
      <c r="D3" s="15">
        <v>36.423999999999999</v>
      </c>
      <c r="E3" s="16"/>
      <c r="F3" s="16"/>
      <c r="G3" s="16"/>
      <c r="H3" s="17" t="s">
        <v>10</v>
      </c>
    </row>
    <row r="4" spans="1:10" s="20" customFormat="1" ht="28.8" x14ac:dyDescent="0.25">
      <c r="A4" s="12"/>
      <c r="B4" s="13" t="s">
        <v>11</v>
      </c>
      <c r="C4" s="14" t="s">
        <v>12</v>
      </c>
      <c r="D4" s="18">
        <v>8992</v>
      </c>
      <c r="E4" s="19"/>
      <c r="F4" s="19"/>
      <c r="G4" s="19"/>
      <c r="H4" s="17"/>
    </row>
    <row r="5" spans="1:10" x14ac:dyDescent="0.25">
      <c r="A5" s="21"/>
      <c r="B5" s="22" t="s">
        <v>13</v>
      </c>
      <c r="C5" s="23" t="s">
        <v>6</v>
      </c>
      <c r="D5" s="24">
        <v>899.2</v>
      </c>
      <c r="E5" s="25"/>
      <c r="F5" s="25"/>
      <c r="G5" s="25"/>
      <c r="H5" s="26"/>
    </row>
    <row r="6" spans="1:10" ht="43.2" x14ac:dyDescent="0.25">
      <c r="A6" s="21"/>
      <c r="B6" s="22" t="s">
        <v>14</v>
      </c>
      <c r="C6" s="23" t="s">
        <v>6</v>
      </c>
      <c r="D6" s="24">
        <v>899.2</v>
      </c>
      <c r="E6" s="25"/>
      <c r="F6" s="25"/>
      <c r="G6" s="25"/>
      <c r="H6" s="26" t="s">
        <v>15</v>
      </c>
    </row>
    <row r="7" spans="1:10" x14ac:dyDescent="0.25">
      <c r="A7" s="21"/>
      <c r="B7" s="22" t="s">
        <v>16</v>
      </c>
      <c r="C7" s="23" t="s">
        <v>6</v>
      </c>
      <c r="D7" s="24">
        <v>719.36</v>
      </c>
      <c r="E7" s="25"/>
      <c r="F7" s="25"/>
      <c r="G7" s="25"/>
      <c r="H7" s="26" t="s">
        <v>17</v>
      </c>
    </row>
    <row r="8" spans="1:10" ht="43.2" x14ac:dyDescent="0.25">
      <c r="A8" s="21"/>
      <c r="B8" s="22" t="s">
        <v>329</v>
      </c>
      <c r="C8" s="23" t="s">
        <v>18</v>
      </c>
      <c r="D8" s="24">
        <f>3.68*719.36</f>
        <v>2647.2447999999999</v>
      </c>
      <c r="E8" s="204">
        <f>46500/25</f>
        <v>1860</v>
      </c>
      <c r="F8" s="212"/>
      <c r="G8" s="25"/>
      <c r="H8" s="26"/>
      <c r="I8" s="177" t="s">
        <v>331</v>
      </c>
      <c r="J8" s="205" t="s">
        <v>330</v>
      </c>
    </row>
    <row r="9" spans="1:10" x14ac:dyDescent="0.25">
      <c r="A9" s="21"/>
      <c r="B9" s="22" t="s">
        <v>19</v>
      </c>
      <c r="C9" s="23" t="s">
        <v>9</v>
      </c>
      <c r="D9" s="29">
        <v>35.97</v>
      </c>
      <c r="E9" s="30"/>
      <c r="F9" s="30"/>
      <c r="G9" s="30"/>
      <c r="H9" s="31" t="s">
        <v>20</v>
      </c>
    </row>
    <row r="10" spans="1:10" ht="43.2" x14ac:dyDescent="0.25">
      <c r="A10" s="21"/>
      <c r="B10" s="28" t="s">
        <v>340</v>
      </c>
      <c r="C10" s="23" t="s">
        <v>21</v>
      </c>
      <c r="D10" s="29">
        <f>1850*35.97</f>
        <v>66544.5</v>
      </c>
      <c r="E10" s="204">
        <v>52</v>
      </c>
      <c r="F10" s="212">
        <f>E10*D10</f>
        <v>3460314</v>
      </c>
      <c r="G10" s="30"/>
      <c r="H10" s="31" t="s">
        <v>22</v>
      </c>
    </row>
    <row r="11" spans="1:10" x14ac:dyDescent="0.25">
      <c r="A11" s="21"/>
      <c r="B11" s="22" t="s">
        <v>23</v>
      </c>
      <c r="C11" s="23" t="s">
        <v>6</v>
      </c>
      <c r="D11" s="24">
        <v>899.2</v>
      </c>
      <c r="E11" s="25"/>
      <c r="F11" s="25"/>
      <c r="G11" s="25"/>
      <c r="H11" s="32"/>
    </row>
    <row r="12" spans="1:10" x14ac:dyDescent="0.25">
      <c r="A12" s="21"/>
      <c r="B12" s="28" t="s">
        <v>24</v>
      </c>
      <c r="C12" s="23" t="s">
        <v>21</v>
      </c>
      <c r="D12" s="24">
        <f>0.9*899.2</f>
        <v>809.28000000000009</v>
      </c>
      <c r="E12" s="204">
        <v>20</v>
      </c>
      <c r="F12" s="212"/>
      <c r="G12" s="25"/>
      <c r="H12" s="31" t="s">
        <v>25</v>
      </c>
    </row>
    <row r="13" spans="1:10" s="11" customFormat="1" ht="28.8" x14ac:dyDescent="0.25">
      <c r="A13" s="12"/>
      <c r="B13" s="13" t="s">
        <v>26</v>
      </c>
      <c r="C13" s="14" t="s">
        <v>9</v>
      </c>
      <c r="D13" s="33">
        <v>6.8640000000000007E-2</v>
      </c>
      <c r="E13" s="34"/>
      <c r="F13" s="34"/>
      <c r="G13" s="34"/>
      <c r="H13" s="17" t="s">
        <v>27</v>
      </c>
    </row>
    <row r="14" spans="1:10" s="11" customFormat="1" ht="28.8" x14ac:dyDescent="0.25">
      <c r="A14" s="12"/>
      <c r="B14" s="13" t="s">
        <v>28</v>
      </c>
      <c r="C14" s="14" t="s">
        <v>12</v>
      </c>
      <c r="D14" s="18">
        <v>64.14</v>
      </c>
      <c r="E14" s="19"/>
      <c r="F14" s="19"/>
      <c r="G14" s="19"/>
      <c r="H14" s="35"/>
    </row>
    <row r="15" spans="1:10" x14ac:dyDescent="0.25">
      <c r="A15" s="21"/>
      <c r="B15" s="22" t="s">
        <v>13</v>
      </c>
      <c r="C15" s="23" t="s">
        <v>6</v>
      </c>
      <c r="D15" s="24">
        <v>3.85</v>
      </c>
      <c r="E15" s="25"/>
      <c r="F15" s="25"/>
      <c r="G15" s="25"/>
      <c r="H15" s="26"/>
    </row>
    <row r="16" spans="1:10" ht="43.2" x14ac:dyDescent="0.25">
      <c r="A16" s="21"/>
      <c r="B16" s="22" t="s">
        <v>14</v>
      </c>
      <c r="C16" s="23" t="s">
        <v>6</v>
      </c>
      <c r="D16" s="24">
        <v>3.85</v>
      </c>
      <c r="E16" s="25"/>
      <c r="F16" s="25"/>
      <c r="G16" s="25"/>
      <c r="H16" s="26" t="s">
        <v>29</v>
      </c>
    </row>
    <row r="17" spans="1:8" x14ac:dyDescent="0.25">
      <c r="A17" s="21"/>
      <c r="B17" s="22" t="s">
        <v>16</v>
      </c>
      <c r="C17" s="23" t="s">
        <v>6</v>
      </c>
      <c r="D17" s="24">
        <v>1.28</v>
      </c>
      <c r="E17" s="25"/>
      <c r="F17" s="25"/>
      <c r="G17" s="25"/>
      <c r="H17" s="26" t="s">
        <v>30</v>
      </c>
    </row>
    <row r="18" spans="1:8" ht="43.2" x14ac:dyDescent="0.25">
      <c r="A18" s="21"/>
      <c r="B18" s="22" t="s">
        <v>329</v>
      </c>
      <c r="C18" s="23" t="s">
        <v>18</v>
      </c>
      <c r="D18" s="24">
        <f>1.28*3.68</f>
        <v>4.7103999999999999</v>
      </c>
      <c r="E18" s="204">
        <f>46500/25</f>
        <v>1860</v>
      </c>
      <c r="F18" s="212"/>
      <c r="G18" s="25"/>
      <c r="H18" s="26"/>
    </row>
    <row r="19" spans="1:8" x14ac:dyDescent="0.25">
      <c r="A19" s="21"/>
      <c r="B19" s="22" t="s">
        <v>19</v>
      </c>
      <c r="C19" s="23" t="s">
        <v>9</v>
      </c>
      <c r="D19" s="29">
        <v>0.06</v>
      </c>
      <c r="E19" s="30"/>
      <c r="F19" s="30"/>
      <c r="G19" s="30"/>
      <c r="H19" s="31" t="s">
        <v>20</v>
      </c>
    </row>
    <row r="20" spans="1:8" ht="43.2" x14ac:dyDescent="0.25">
      <c r="A20" s="21"/>
      <c r="B20" s="28" t="s">
        <v>340</v>
      </c>
      <c r="C20" s="23" t="s">
        <v>21</v>
      </c>
      <c r="D20" s="29">
        <f>1850*0.06</f>
        <v>111</v>
      </c>
      <c r="E20" s="204">
        <v>52</v>
      </c>
      <c r="F20" s="212"/>
      <c r="G20" s="30"/>
      <c r="H20" s="31" t="s">
        <v>22</v>
      </c>
    </row>
    <row r="21" spans="1:8" x14ac:dyDescent="0.25">
      <c r="A21" s="21"/>
      <c r="B21" s="22" t="s">
        <v>23</v>
      </c>
      <c r="C21" s="23" t="s">
        <v>6</v>
      </c>
      <c r="D21" s="24">
        <v>3.85</v>
      </c>
      <c r="E21" s="25"/>
      <c r="F21" s="25"/>
      <c r="G21" s="25"/>
      <c r="H21" s="32"/>
    </row>
    <row r="22" spans="1:8" x14ac:dyDescent="0.25">
      <c r="A22" s="21"/>
      <c r="B22" s="28" t="s">
        <v>24</v>
      </c>
      <c r="C22" s="23" t="s">
        <v>21</v>
      </c>
      <c r="D22" s="24">
        <f>3.85*0.9</f>
        <v>3.4650000000000003</v>
      </c>
      <c r="E22" s="204">
        <v>20</v>
      </c>
      <c r="F22" s="212"/>
      <c r="G22" s="25"/>
      <c r="H22" s="31" t="s">
        <v>25</v>
      </c>
    </row>
    <row r="23" spans="1:8" ht="43.2" x14ac:dyDescent="0.25">
      <c r="A23" s="12"/>
      <c r="B23" s="36" t="s">
        <v>31</v>
      </c>
      <c r="C23" s="14" t="s">
        <v>32</v>
      </c>
      <c r="D23" s="15">
        <v>0.185</v>
      </c>
      <c r="E23" s="16"/>
      <c r="F23" s="16"/>
      <c r="G23" s="16"/>
      <c r="H23" s="17" t="s">
        <v>33</v>
      </c>
    </row>
    <row r="24" spans="1:8" ht="28.8" x14ac:dyDescent="0.25">
      <c r="A24" s="37"/>
      <c r="B24" s="13" t="s">
        <v>34</v>
      </c>
      <c r="C24" s="14" t="s">
        <v>35</v>
      </c>
      <c r="D24" s="38">
        <v>37</v>
      </c>
      <c r="E24" s="39"/>
      <c r="F24" s="39"/>
      <c r="G24" s="39"/>
      <c r="H24" s="17"/>
    </row>
    <row r="25" spans="1:8" x14ac:dyDescent="0.25">
      <c r="A25" s="21"/>
      <c r="B25" s="22" t="s">
        <v>13</v>
      </c>
      <c r="C25" s="23" t="s">
        <v>6</v>
      </c>
      <c r="D25" s="24">
        <v>11.84</v>
      </c>
      <c r="E25" s="25"/>
      <c r="F25" s="25"/>
      <c r="G25" s="25"/>
      <c r="H25" s="26"/>
    </row>
    <row r="26" spans="1:8" ht="43.2" x14ac:dyDescent="0.25">
      <c r="A26" s="21"/>
      <c r="B26" s="22" t="s">
        <v>14</v>
      </c>
      <c r="C26" s="23" t="s">
        <v>6</v>
      </c>
      <c r="D26" s="24">
        <v>11.84</v>
      </c>
      <c r="E26" s="25"/>
      <c r="F26" s="25"/>
      <c r="G26" s="25"/>
      <c r="H26" s="26" t="s">
        <v>29</v>
      </c>
    </row>
    <row r="27" spans="1:8" ht="28.8" x14ac:dyDescent="0.25">
      <c r="A27" s="21"/>
      <c r="B27" s="22" t="s">
        <v>36</v>
      </c>
      <c r="C27" s="23" t="s">
        <v>6</v>
      </c>
      <c r="D27" s="24">
        <v>11.84</v>
      </c>
      <c r="E27" s="25">
        <v>180</v>
      </c>
      <c r="F27" s="25"/>
      <c r="G27" s="25"/>
      <c r="H27" s="26" t="s">
        <v>37</v>
      </c>
    </row>
    <row r="28" spans="1:8" x14ac:dyDescent="0.25">
      <c r="A28" s="21"/>
      <c r="B28" s="22" t="s">
        <v>19</v>
      </c>
      <c r="C28" s="23" t="s">
        <v>9</v>
      </c>
      <c r="D28" s="29">
        <v>0.37</v>
      </c>
      <c r="E28" s="30"/>
      <c r="F28" s="30"/>
      <c r="G28" s="30"/>
      <c r="H28" s="31" t="s">
        <v>20</v>
      </c>
    </row>
    <row r="29" spans="1:8" ht="43.2" x14ac:dyDescent="0.25">
      <c r="A29" s="21"/>
      <c r="B29" s="28" t="s">
        <v>340</v>
      </c>
      <c r="C29" s="23" t="s">
        <v>21</v>
      </c>
      <c r="D29" s="29">
        <f>0.37*1850</f>
        <v>684.5</v>
      </c>
      <c r="E29" s="204">
        <v>52</v>
      </c>
      <c r="F29" s="212"/>
      <c r="G29" s="30"/>
      <c r="H29" s="31" t="s">
        <v>22</v>
      </c>
    </row>
    <row r="30" spans="1:8" x14ac:dyDescent="0.25">
      <c r="A30" s="21"/>
      <c r="B30" s="22" t="s">
        <v>23</v>
      </c>
      <c r="C30" s="23" t="s">
        <v>6</v>
      </c>
      <c r="D30" s="24">
        <v>11.84</v>
      </c>
      <c r="E30" s="25"/>
      <c r="F30" s="25"/>
      <c r="G30" s="25"/>
      <c r="H30" s="32"/>
    </row>
    <row r="31" spans="1:8" x14ac:dyDescent="0.25">
      <c r="A31" s="21"/>
      <c r="B31" s="28" t="s">
        <v>24</v>
      </c>
      <c r="C31" s="23" t="s">
        <v>21</v>
      </c>
      <c r="D31" s="24">
        <f>11.84*0.9</f>
        <v>10.656000000000001</v>
      </c>
      <c r="E31" s="204">
        <v>20</v>
      </c>
      <c r="F31" s="212"/>
      <c r="G31" s="25"/>
      <c r="H31" s="31" t="s">
        <v>25</v>
      </c>
    </row>
    <row r="32" spans="1:8" ht="28.8" x14ac:dyDescent="0.25">
      <c r="A32" s="12"/>
      <c r="B32" s="13" t="s">
        <v>38</v>
      </c>
      <c r="C32" s="14" t="s">
        <v>9</v>
      </c>
      <c r="D32" s="18">
        <v>3.19</v>
      </c>
      <c r="E32" s="19"/>
      <c r="F32" s="19"/>
      <c r="G32" s="40"/>
      <c r="H32" s="35"/>
    </row>
    <row r="33" spans="1:9" ht="28.8" x14ac:dyDescent="0.25">
      <c r="A33" s="37"/>
      <c r="B33" s="13" t="s">
        <v>39</v>
      </c>
      <c r="C33" s="14" t="s">
        <v>6</v>
      </c>
      <c r="D33" s="18">
        <v>319.2</v>
      </c>
      <c r="E33" s="19"/>
      <c r="F33" s="19"/>
      <c r="G33" s="19"/>
      <c r="H33" s="17"/>
    </row>
    <row r="34" spans="1:9" x14ac:dyDescent="0.25">
      <c r="A34" s="21"/>
      <c r="B34" s="22" t="s">
        <v>13</v>
      </c>
      <c r="C34" s="23" t="s">
        <v>6</v>
      </c>
      <c r="D34" s="24">
        <v>319.2</v>
      </c>
      <c r="E34" s="25"/>
      <c r="F34" s="25"/>
      <c r="G34" s="25"/>
      <c r="H34" s="26"/>
    </row>
    <row r="35" spans="1:9" ht="43.2" x14ac:dyDescent="0.25">
      <c r="A35" s="21"/>
      <c r="B35" s="22" t="s">
        <v>14</v>
      </c>
      <c r="C35" s="23" t="s">
        <v>6</v>
      </c>
      <c r="D35" s="24">
        <v>319.2</v>
      </c>
      <c r="E35" s="25"/>
      <c r="F35" s="25"/>
      <c r="G35" s="25"/>
      <c r="H35" s="26" t="s">
        <v>29</v>
      </c>
    </row>
    <row r="36" spans="1:9" x14ac:dyDescent="0.25">
      <c r="A36" s="21"/>
      <c r="B36" s="22" t="s">
        <v>19</v>
      </c>
      <c r="C36" s="23" t="s">
        <v>9</v>
      </c>
      <c r="D36" s="29">
        <v>3.19</v>
      </c>
      <c r="E36" s="30"/>
      <c r="F36" s="30"/>
      <c r="G36" s="30"/>
      <c r="H36" s="31" t="s">
        <v>20</v>
      </c>
    </row>
    <row r="37" spans="1:9" ht="43.2" x14ac:dyDescent="0.25">
      <c r="A37" s="21"/>
      <c r="B37" s="28" t="s">
        <v>340</v>
      </c>
      <c r="C37" s="23" t="s">
        <v>21</v>
      </c>
      <c r="D37" s="29">
        <f>3.19*1850</f>
        <v>5901.5</v>
      </c>
      <c r="E37" s="204">
        <v>52</v>
      </c>
      <c r="F37" s="212"/>
      <c r="G37" s="30"/>
      <c r="H37" s="31" t="s">
        <v>22</v>
      </c>
    </row>
    <row r="38" spans="1:9" x14ac:dyDescent="0.25">
      <c r="A38" s="21"/>
      <c r="B38" s="22" t="s">
        <v>23</v>
      </c>
      <c r="C38" s="23" t="s">
        <v>6</v>
      </c>
      <c r="D38" s="24">
        <v>319.2</v>
      </c>
      <c r="E38" s="25"/>
      <c r="F38" s="25"/>
      <c r="G38" s="25"/>
      <c r="H38" s="32"/>
    </row>
    <row r="39" spans="1:9" x14ac:dyDescent="0.25">
      <c r="A39" s="21"/>
      <c r="B39" s="28" t="s">
        <v>24</v>
      </c>
      <c r="C39" s="23" t="s">
        <v>21</v>
      </c>
      <c r="D39" s="24">
        <f>319.2*0.9</f>
        <v>287.27999999999997</v>
      </c>
      <c r="E39" s="204">
        <v>20</v>
      </c>
      <c r="F39" s="212"/>
      <c r="G39" s="25"/>
      <c r="H39" s="31" t="s">
        <v>25</v>
      </c>
    </row>
    <row r="40" spans="1:9" s="41" customFormat="1" ht="16.8" customHeight="1" x14ac:dyDescent="0.25">
      <c r="A40" s="1"/>
      <c r="B40" s="1" t="s">
        <v>40</v>
      </c>
      <c r="C40" s="1"/>
      <c r="D40" s="1"/>
      <c r="E40" s="2"/>
      <c r="F40" s="2"/>
      <c r="G40" s="2"/>
      <c r="H40" s="3"/>
      <c r="I40" s="216" t="s">
        <v>41</v>
      </c>
    </row>
    <row r="41" spans="1:9" x14ac:dyDescent="0.25">
      <c r="A41" s="21"/>
      <c r="B41" s="13" t="s">
        <v>42</v>
      </c>
      <c r="C41" s="42" t="s">
        <v>21</v>
      </c>
      <c r="D41" s="43">
        <v>96782.26</v>
      </c>
      <c r="E41" s="44"/>
      <c r="F41" s="44"/>
      <c r="G41" s="44"/>
      <c r="H41" s="45" t="s">
        <v>43</v>
      </c>
      <c r="I41" s="216"/>
    </row>
    <row r="42" spans="1:9" x14ac:dyDescent="0.25">
      <c r="A42" s="21"/>
      <c r="B42" s="46" t="s">
        <v>44</v>
      </c>
      <c r="C42" s="42"/>
      <c r="D42" s="43"/>
      <c r="E42" s="44"/>
      <c r="F42" s="44"/>
      <c r="G42" s="44"/>
      <c r="H42" s="45"/>
      <c r="I42" s="216"/>
    </row>
    <row r="43" spans="1:9" ht="28.8" x14ac:dyDescent="0.25">
      <c r="A43" s="21"/>
      <c r="B43" s="47" t="s">
        <v>45</v>
      </c>
      <c r="C43" s="23" t="s">
        <v>6</v>
      </c>
      <c r="D43" s="48">
        <f>16.7*43</f>
        <v>718.1</v>
      </c>
      <c r="E43" s="57"/>
      <c r="F43" s="57"/>
      <c r="G43" s="49"/>
      <c r="H43" s="31" t="s">
        <v>46</v>
      </c>
      <c r="I43" s="216"/>
    </row>
    <row r="44" spans="1:9" ht="30.6" customHeight="1" x14ac:dyDescent="0.25">
      <c r="A44" s="21"/>
      <c r="B44" s="47" t="s">
        <v>47</v>
      </c>
      <c r="C44" s="23" t="s">
        <v>6</v>
      </c>
      <c r="D44" s="48">
        <v>718</v>
      </c>
      <c r="E44" s="57"/>
      <c r="F44" s="57"/>
      <c r="G44" s="49"/>
      <c r="H44" s="31"/>
    </row>
    <row r="45" spans="1:9" s="51" customFormat="1" x14ac:dyDescent="0.25">
      <c r="A45" s="21"/>
      <c r="B45" s="50" t="s">
        <v>48</v>
      </c>
      <c r="C45" s="42" t="s">
        <v>21</v>
      </c>
      <c r="D45" s="43">
        <v>1100.5899999999999</v>
      </c>
      <c r="E45" s="44"/>
      <c r="F45" s="44"/>
      <c r="G45" s="44"/>
      <c r="H45" s="31" t="s">
        <v>49</v>
      </c>
    </row>
    <row r="46" spans="1:9" x14ac:dyDescent="0.25">
      <c r="A46" s="21"/>
      <c r="B46" s="52" t="s">
        <v>50</v>
      </c>
      <c r="C46" s="23" t="s">
        <v>21</v>
      </c>
      <c r="D46" s="24">
        <f>6*7.16</f>
        <v>42.96</v>
      </c>
      <c r="E46" s="207">
        <v>57</v>
      </c>
      <c r="F46" s="207">
        <f>E46*D46</f>
        <v>2448.7200000000003</v>
      </c>
      <c r="G46" s="25"/>
      <c r="H46" s="31" t="s">
        <v>51</v>
      </c>
      <c r="I46" s="177" t="s">
        <v>333</v>
      </c>
    </row>
    <row r="47" spans="1:9" x14ac:dyDescent="0.25">
      <c r="A47" s="21"/>
      <c r="B47" s="52" t="s">
        <v>52</v>
      </c>
      <c r="C47" s="23" t="s">
        <v>21</v>
      </c>
      <c r="D47" s="24">
        <f>6*9.31</f>
        <v>55.86</v>
      </c>
      <c r="E47" s="207">
        <v>57</v>
      </c>
      <c r="F47" s="207">
        <f t="shared" ref="F47:F54" si="0">E47*D47</f>
        <v>3184.02</v>
      </c>
      <c r="G47" s="25"/>
      <c r="H47" s="31" t="s">
        <v>53</v>
      </c>
    </row>
    <row r="48" spans="1:9" x14ac:dyDescent="0.25">
      <c r="A48" s="21"/>
      <c r="B48" s="217" t="s">
        <v>54</v>
      </c>
      <c r="C48" s="23" t="s">
        <v>21</v>
      </c>
      <c r="D48" s="24">
        <f>12*25.4</f>
        <v>304.79999999999995</v>
      </c>
      <c r="E48" s="207">
        <v>212.09</v>
      </c>
      <c r="F48" s="207">
        <f t="shared" si="0"/>
        <v>64645.031999999992</v>
      </c>
      <c r="G48" s="25"/>
      <c r="H48" s="31" t="s">
        <v>55</v>
      </c>
    </row>
    <row r="49" spans="1:8" x14ac:dyDescent="0.25">
      <c r="A49" s="21"/>
      <c r="B49" s="52" t="s">
        <v>56</v>
      </c>
      <c r="C49" s="23" t="s">
        <v>21</v>
      </c>
      <c r="D49" s="53">
        <v>147</v>
      </c>
      <c r="E49" s="207">
        <v>67</v>
      </c>
      <c r="F49" s="207">
        <f t="shared" si="0"/>
        <v>9849</v>
      </c>
      <c r="G49" s="54"/>
      <c r="H49" s="31" t="s">
        <v>57</v>
      </c>
    </row>
    <row r="50" spans="1:8" s="51" customFormat="1" x14ac:dyDescent="0.25">
      <c r="A50" s="21"/>
      <c r="B50" s="50" t="s">
        <v>58</v>
      </c>
      <c r="C50" s="42" t="s">
        <v>21</v>
      </c>
      <c r="D50" s="43">
        <v>1116.8900000000001</v>
      </c>
      <c r="E50" s="44"/>
      <c r="F50" s="44"/>
      <c r="G50" s="44"/>
      <c r="H50" s="31" t="s">
        <v>49</v>
      </c>
    </row>
    <row r="51" spans="1:8" x14ac:dyDescent="0.25">
      <c r="A51" s="21"/>
      <c r="B51" s="52" t="s">
        <v>50</v>
      </c>
      <c r="C51" s="23" t="s">
        <v>21</v>
      </c>
      <c r="D51" s="24">
        <f>6*7.16</f>
        <v>42.96</v>
      </c>
      <c r="E51" s="207">
        <v>57</v>
      </c>
      <c r="F51" s="207">
        <f t="shared" si="0"/>
        <v>2448.7200000000003</v>
      </c>
      <c r="G51" s="25"/>
      <c r="H51" s="31" t="s">
        <v>51</v>
      </c>
    </row>
    <row r="52" spans="1:8" x14ac:dyDescent="0.25">
      <c r="A52" s="21"/>
      <c r="B52" s="52" t="s">
        <v>52</v>
      </c>
      <c r="C52" s="23" t="s">
        <v>21</v>
      </c>
      <c r="D52" s="24">
        <v>55.84</v>
      </c>
      <c r="E52" s="207">
        <v>57</v>
      </c>
      <c r="F52" s="207">
        <f t="shared" si="0"/>
        <v>3182.88</v>
      </c>
      <c r="G52" s="25"/>
      <c r="H52" s="31" t="s">
        <v>53</v>
      </c>
    </row>
    <row r="53" spans="1:8" x14ac:dyDescent="0.25">
      <c r="A53" s="21"/>
      <c r="B53" s="217" t="s">
        <v>54</v>
      </c>
      <c r="C53" s="23" t="s">
        <v>21</v>
      </c>
      <c r="D53" s="24">
        <f>12*25.4</f>
        <v>304.79999999999995</v>
      </c>
      <c r="E53" s="207">
        <v>212.09</v>
      </c>
      <c r="F53" s="207">
        <f t="shared" si="0"/>
        <v>64645.031999999992</v>
      </c>
      <c r="G53" s="25"/>
      <c r="H53" s="31" t="s">
        <v>55</v>
      </c>
    </row>
    <row r="54" spans="1:8" x14ac:dyDescent="0.25">
      <c r="A54" s="21"/>
      <c r="B54" s="52" t="s">
        <v>59</v>
      </c>
      <c r="C54" s="23" t="s">
        <v>21</v>
      </c>
      <c r="D54" s="24">
        <f>2*77.43</f>
        <v>154.86000000000001</v>
      </c>
      <c r="E54" s="207">
        <v>67</v>
      </c>
      <c r="F54" s="207">
        <f t="shared" si="0"/>
        <v>10375.620000000001</v>
      </c>
      <c r="G54" s="25"/>
      <c r="H54" s="31" t="s">
        <v>60</v>
      </c>
    </row>
    <row r="55" spans="1:8" x14ac:dyDescent="0.25">
      <c r="A55" s="21"/>
      <c r="B55" s="47" t="s">
        <v>61</v>
      </c>
      <c r="C55" s="23" t="s">
        <v>6</v>
      </c>
      <c r="D55" s="48">
        <v>718</v>
      </c>
      <c r="E55" s="57"/>
      <c r="F55" s="57"/>
      <c r="G55" s="55"/>
      <c r="H55" s="31"/>
    </row>
    <row r="56" spans="1:8" ht="28.8" x14ac:dyDescent="0.25">
      <c r="A56" s="21"/>
      <c r="B56" s="47" t="s">
        <v>62</v>
      </c>
      <c r="C56" s="23" t="s">
        <v>6</v>
      </c>
      <c r="D56" s="48">
        <v>718</v>
      </c>
      <c r="E56" s="57"/>
      <c r="F56" s="57"/>
      <c r="G56" s="55"/>
      <c r="H56" s="31" t="s">
        <v>63</v>
      </c>
    </row>
    <row r="57" spans="1:8" x14ac:dyDescent="0.25">
      <c r="A57" s="21"/>
      <c r="B57" s="52" t="s">
        <v>64</v>
      </c>
      <c r="C57" s="23" t="s">
        <v>21</v>
      </c>
      <c r="D57" s="48">
        <f>718*0.115</f>
        <v>82.570000000000007</v>
      </c>
      <c r="E57" s="211">
        <v>195</v>
      </c>
      <c r="F57" s="207">
        <f t="shared" ref="F57" si="1">E57*D57</f>
        <v>16101.150000000001</v>
      </c>
      <c r="G57" s="49"/>
      <c r="H57" s="56" t="s">
        <v>65</v>
      </c>
    </row>
    <row r="58" spans="1:8" x14ac:dyDescent="0.25">
      <c r="A58" s="21"/>
      <c r="B58" s="47" t="s">
        <v>66</v>
      </c>
      <c r="C58" s="23" t="s">
        <v>6</v>
      </c>
      <c r="D58" s="48">
        <f>718*2</f>
        <v>1436</v>
      </c>
      <c r="E58" s="57"/>
      <c r="F58" s="57"/>
      <c r="G58" s="55"/>
      <c r="H58" s="32"/>
    </row>
    <row r="59" spans="1:8" x14ac:dyDescent="0.25">
      <c r="A59" s="21"/>
      <c r="B59" s="52" t="s">
        <v>67</v>
      </c>
      <c r="C59" s="23" t="s">
        <v>21</v>
      </c>
      <c r="D59" s="48">
        <f>1436*0.1</f>
        <v>143.6</v>
      </c>
      <c r="E59" s="211">
        <v>214.8</v>
      </c>
      <c r="F59" s="207">
        <f t="shared" ref="F59" si="2">E59*D59</f>
        <v>30845.279999999999</v>
      </c>
      <c r="G59" s="55"/>
      <c r="H59" s="31" t="s">
        <v>68</v>
      </c>
    </row>
    <row r="60" spans="1:8" x14ac:dyDescent="0.25">
      <c r="A60" s="21"/>
      <c r="B60" s="47" t="s">
        <v>69</v>
      </c>
      <c r="C60" s="23" t="s">
        <v>6</v>
      </c>
      <c r="D60" s="48">
        <v>718</v>
      </c>
      <c r="E60" s="57"/>
      <c r="F60" s="57"/>
      <c r="G60" s="55"/>
      <c r="H60" s="32"/>
    </row>
    <row r="61" spans="1:8" x14ac:dyDescent="0.25">
      <c r="A61" s="21"/>
      <c r="B61" s="52" t="s">
        <v>70</v>
      </c>
      <c r="C61" s="23" t="s">
        <v>21</v>
      </c>
      <c r="D61" s="48">
        <f>718*1.5</f>
        <v>1077</v>
      </c>
      <c r="E61" s="211">
        <v>760</v>
      </c>
      <c r="F61" s="207">
        <f t="shared" ref="F61" si="3">E61*D61</f>
        <v>818520</v>
      </c>
      <c r="G61" s="55"/>
      <c r="H61" s="31" t="s">
        <v>71</v>
      </c>
    </row>
    <row r="62" spans="1:8" x14ac:dyDescent="0.25">
      <c r="A62" s="21"/>
      <c r="B62" s="22" t="s">
        <v>72</v>
      </c>
      <c r="C62" s="23" t="s">
        <v>21</v>
      </c>
      <c r="D62" s="24">
        <v>33.26</v>
      </c>
      <c r="E62" s="25"/>
      <c r="F62" s="25"/>
      <c r="G62" s="25"/>
      <c r="H62" s="31"/>
    </row>
    <row r="63" spans="1:8" ht="28.8" x14ac:dyDescent="0.25">
      <c r="A63" s="21"/>
      <c r="B63" s="47" t="s">
        <v>73</v>
      </c>
      <c r="C63" s="23" t="s">
        <v>21</v>
      </c>
      <c r="D63" s="48">
        <f>33.26*1.9</f>
        <v>63.193999999999996</v>
      </c>
      <c r="E63" s="57"/>
      <c r="F63" s="57"/>
      <c r="G63" s="57" t="s">
        <v>74</v>
      </c>
      <c r="H63" s="31" t="s">
        <v>75</v>
      </c>
    </row>
    <row r="64" spans="1:8" ht="28.8" x14ac:dyDescent="0.25">
      <c r="A64" s="21"/>
      <c r="B64" s="13" t="s">
        <v>76</v>
      </c>
      <c r="C64" s="23" t="s">
        <v>21</v>
      </c>
      <c r="D64" s="58">
        <v>28615.439999999999</v>
      </c>
      <c r="E64" s="59"/>
      <c r="F64" s="59"/>
      <c r="G64" s="59"/>
      <c r="H64" s="45" t="s">
        <v>77</v>
      </c>
    </row>
    <row r="65" spans="1:9" x14ac:dyDescent="0.25">
      <c r="A65" s="21"/>
      <c r="B65" s="46" t="s">
        <v>44</v>
      </c>
      <c r="C65" s="42"/>
      <c r="D65" s="43"/>
      <c r="E65" s="44"/>
      <c r="F65" s="44"/>
      <c r="G65" s="44"/>
      <c r="H65" s="45"/>
    </row>
    <row r="66" spans="1:9" ht="28.8" x14ac:dyDescent="0.25">
      <c r="A66" s="21"/>
      <c r="B66" s="47" t="s">
        <v>45</v>
      </c>
      <c r="C66" s="23" t="s">
        <v>6</v>
      </c>
      <c r="D66" s="48">
        <f>8.13*26</f>
        <v>211.38000000000002</v>
      </c>
      <c r="E66" s="57"/>
      <c r="F66" s="57"/>
      <c r="G66" s="49"/>
      <c r="H66" s="31" t="s">
        <v>78</v>
      </c>
    </row>
    <row r="67" spans="1:9" ht="30.6" customHeight="1" x14ac:dyDescent="0.25">
      <c r="A67" s="21"/>
      <c r="B67" s="47" t="s">
        <v>47</v>
      </c>
      <c r="C67" s="23" t="s">
        <v>6</v>
      </c>
      <c r="D67" s="48">
        <v>211</v>
      </c>
      <c r="E67" s="57"/>
      <c r="F67" s="57"/>
      <c r="G67" s="49"/>
      <c r="H67" s="31"/>
    </row>
    <row r="68" spans="1:9" s="51" customFormat="1" ht="28.8" x14ac:dyDescent="0.25">
      <c r="A68" s="21"/>
      <c r="B68" s="50" t="s">
        <v>79</v>
      </c>
      <c r="C68" s="42" t="s">
        <v>21</v>
      </c>
      <c r="D68" s="43">
        <v>1100.5899999999999</v>
      </c>
      <c r="E68" s="44"/>
      <c r="F68" s="44"/>
      <c r="G68" s="44"/>
      <c r="H68" s="31" t="s">
        <v>80</v>
      </c>
    </row>
    <row r="69" spans="1:9" x14ac:dyDescent="0.25">
      <c r="A69" s="21"/>
      <c r="B69" s="52" t="s">
        <v>50</v>
      </c>
      <c r="C69" s="23" t="s">
        <v>21</v>
      </c>
      <c r="D69" s="24">
        <f>6*7.16</f>
        <v>42.96</v>
      </c>
      <c r="E69" s="207">
        <v>57</v>
      </c>
      <c r="F69" s="207">
        <f t="shared" ref="F69:F79" si="4">E69*D69</f>
        <v>2448.7200000000003</v>
      </c>
      <c r="G69" s="25"/>
      <c r="H69" s="31" t="s">
        <v>51</v>
      </c>
    </row>
    <row r="70" spans="1:9" x14ac:dyDescent="0.25">
      <c r="A70" s="21"/>
      <c r="B70" s="52" t="s">
        <v>52</v>
      </c>
      <c r="C70" s="23" t="s">
        <v>21</v>
      </c>
      <c r="D70" s="24">
        <v>55.84</v>
      </c>
      <c r="E70" s="207">
        <v>57</v>
      </c>
      <c r="F70" s="207">
        <f t="shared" si="4"/>
        <v>3182.88</v>
      </c>
      <c r="G70" s="25"/>
      <c r="H70" s="31" t="s">
        <v>53</v>
      </c>
    </row>
    <row r="71" spans="1:9" x14ac:dyDescent="0.25">
      <c r="A71" s="21"/>
      <c r="B71" s="217" t="s">
        <v>54</v>
      </c>
      <c r="C71" s="23" t="s">
        <v>21</v>
      </c>
      <c r="D71" s="24">
        <f>12*25.4</f>
        <v>304.79999999999995</v>
      </c>
      <c r="E71" s="207">
        <v>212.09</v>
      </c>
      <c r="F71" s="207">
        <f t="shared" si="4"/>
        <v>64645.031999999992</v>
      </c>
      <c r="G71" s="25"/>
      <c r="H71" s="31" t="s">
        <v>55</v>
      </c>
    </row>
    <row r="72" spans="1:9" x14ac:dyDescent="0.25">
      <c r="A72" s="21"/>
      <c r="B72" s="52" t="s">
        <v>56</v>
      </c>
      <c r="C72" s="23" t="s">
        <v>21</v>
      </c>
      <c r="D72" s="53">
        <v>147</v>
      </c>
      <c r="E72" s="207">
        <v>67</v>
      </c>
      <c r="F72" s="207">
        <f t="shared" si="4"/>
        <v>9849</v>
      </c>
      <c r="G72" s="54"/>
      <c r="H72" s="31" t="s">
        <v>57</v>
      </c>
    </row>
    <row r="73" spans="1:9" x14ac:dyDescent="0.25">
      <c r="A73" s="21"/>
      <c r="B73" s="47" t="s">
        <v>61</v>
      </c>
      <c r="C73" s="7" t="s">
        <v>6</v>
      </c>
      <c r="D73" s="48">
        <v>211</v>
      </c>
      <c r="E73" s="57"/>
      <c r="F73" s="207">
        <f t="shared" si="4"/>
        <v>0</v>
      </c>
      <c r="G73" s="57"/>
      <c r="H73" s="31"/>
    </row>
    <row r="74" spans="1:9" ht="28.8" x14ac:dyDescent="0.25">
      <c r="A74" s="21"/>
      <c r="B74" s="47" t="s">
        <v>62</v>
      </c>
      <c r="C74" s="7" t="s">
        <v>6</v>
      </c>
      <c r="D74" s="48">
        <v>211</v>
      </c>
      <c r="E74" s="57"/>
      <c r="F74" s="207">
        <f t="shared" si="4"/>
        <v>0</v>
      </c>
      <c r="G74" s="55"/>
      <c r="H74" s="31" t="s">
        <v>63</v>
      </c>
    </row>
    <row r="75" spans="1:9" x14ac:dyDescent="0.25">
      <c r="A75" s="21"/>
      <c r="B75" s="52" t="s">
        <v>64</v>
      </c>
      <c r="C75" s="23" t="s">
        <v>21</v>
      </c>
      <c r="D75" s="48">
        <f>211*0.115</f>
        <v>24.265000000000001</v>
      </c>
      <c r="E75" s="211">
        <v>195</v>
      </c>
      <c r="F75" s="207">
        <f t="shared" si="4"/>
        <v>4731.6750000000002</v>
      </c>
      <c r="G75" s="49"/>
      <c r="H75" s="56" t="s">
        <v>65</v>
      </c>
    </row>
    <row r="76" spans="1:9" x14ac:dyDescent="0.25">
      <c r="A76" s="21"/>
      <c r="B76" s="47" t="s">
        <v>66</v>
      </c>
      <c r="C76" s="23" t="s">
        <v>6</v>
      </c>
      <c r="D76" s="48">
        <f>211*2</f>
        <v>422</v>
      </c>
      <c r="E76" s="57"/>
      <c r="F76" s="207"/>
      <c r="G76" s="55"/>
      <c r="H76" s="32"/>
    </row>
    <row r="77" spans="1:9" x14ac:dyDescent="0.25">
      <c r="A77" s="21"/>
      <c r="B77" s="52" t="s">
        <v>67</v>
      </c>
      <c r="C77" s="23" t="s">
        <v>21</v>
      </c>
      <c r="D77" s="215">
        <f>422*0.1</f>
        <v>42.2</v>
      </c>
      <c r="E77" s="211">
        <v>214.8</v>
      </c>
      <c r="F77" s="207">
        <f t="shared" si="4"/>
        <v>9064.5600000000013</v>
      </c>
      <c r="G77" s="55"/>
      <c r="H77" s="31" t="s">
        <v>68</v>
      </c>
    </row>
    <row r="78" spans="1:9" x14ac:dyDescent="0.25">
      <c r="A78" s="21"/>
      <c r="B78" s="47" t="s">
        <v>69</v>
      </c>
      <c r="C78" s="23" t="s">
        <v>6</v>
      </c>
      <c r="D78" s="48">
        <v>211</v>
      </c>
      <c r="E78" s="57"/>
      <c r="F78" s="207"/>
      <c r="G78" s="55"/>
      <c r="H78" s="32"/>
    </row>
    <row r="79" spans="1:9" x14ac:dyDescent="0.25">
      <c r="A79" s="21"/>
      <c r="B79" s="52" t="s">
        <v>70</v>
      </c>
      <c r="C79" s="23" t="s">
        <v>21</v>
      </c>
      <c r="D79" s="48">
        <f>211*1.5</f>
        <v>316.5</v>
      </c>
      <c r="E79" s="211">
        <v>760</v>
      </c>
      <c r="F79" s="207">
        <f t="shared" si="4"/>
        <v>240540</v>
      </c>
      <c r="G79" s="55"/>
      <c r="H79" s="31" t="s">
        <v>71</v>
      </c>
      <c r="I79" s="27" t="s">
        <v>339</v>
      </c>
    </row>
    <row r="80" spans="1:9" x14ac:dyDescent="0.25">
      <c r="A80" s="21"/>
      <c r="B80" s="22" t="s">
        <v>72</v>
      </c>
      <c r="C80" s="23" t="s">
        <v>21</v>
      </c>
      <c r="D80" s="23">
        <v>16.63</v>
      </c>
      <c r="E80" s="60"/>
      <c r="F80" s="60"/>
      <c r="G80" s="60"/>
      <c r="H80" s="31"/>
    </row>
    <row r="81" spans="1:8" ht="28.8" x14ac:dyDescent="0.25">
      <c r="A81" s="21"/>
      <c r="B81" s="47" t="s">
        <v>73</v>
      </c>
      <c r="C81" s="23" t="s">
        <v>21</v>
      </c>
      <c r="D81" s="48">
        <f>16.63*1.9</f>
        <v>31.596999999999998</v>
      </c>
      <c r="E81" s="57"/>
      <c r="F81" s="57"/>
      <c r="G81" s="57" t="s">
        <v>74</v>
      </c>
      <c r="H81" s="31" t="s">
        <v>81</v>
      </c>
    </row>
    <row r="82" spans="1:8" x14ac:dyDescent="0.25">
      <c r="A82" s="21"/>
      <c r="B82" s="13" t="s">
        <v>82</v>
      </c>
      <c r="C82" s="42" t="s">
        <v>21</v>
      </c>
      <c r="D82" s="61">
        <v>50407.01</v>
      </c>
      <c r="E82" s="61"/>
      <c r="F82" s="61"/>
      <c r="G82" s="61"/>
      <c r="H82" s="45" t="s">
        <v>83</v>
      </c>
    </row>
    <row r="83" spans="1:8" x14ac:dyDescent="0.25">
      <c r="A83" s="21"/>
      <c r="B83" s="46" t="s">
        <v>44</v>
      </c>
      <c r="C83" s="42"/>
      <c r="D83" s="43"/>
      <c r="E83" s="44"/>
      <c r="F83" s="44"/>
      <c r="G83" s="44"/>
      <c r="H83" s="45"/>
    </row>
    <row r="84" spans="1:8" ht="28.8" x14ac:dyDescent="0.25">
      <c r="A84" s="21"/>
      <c r="B84" s="47" t="s">
        <v>84</v>
      </c>
      <c r="C84" s="23" t="s">
        <v>6</v>
      </c>
      <c r="D84" s="48">
        <f>13.1*27</f>
        <v>353.7</v>
      </c>
      <c r="E84" s="57"/>
      <c r="F84" s="57"/>
      <c r="G84" s="49"/>
      <c r="H84" s="31" t="s">
        <v>85</v>
      </c>
    </row>
    <row r="85" spans="1:8" ht="30.6" customHeight="1" x14ac:dyDescent="0.25">
      <c r="A85" s="21"/>
      <c r="B85" s="47" t="s">
        <v>47</v>
      </c>
      <c r="C85" s="23" t="s">
        <v>6</v>
      </c>
      <c r="D85" s="48">
        <v>354</v>
      </c>
      <c r="E85" s="57"/>
      <c r="F85" s="57"/>
      <c r="G85" s="49"/>
      <c r="H85" s="31"/>
    </row>
    <row r="86" spans="1:8" s="51" customFormat="1" x14ac:dyDescent="0.25">
      <c r="A86" s="21"/>
      <c r="B86" s="62" t="s">
        <v>86</v>
      </c>
      <c r="C86" s="42" t="s">
        <v>21</v>
      </c>
      <c r="D86" s="63">
        <v>911.15</v>
      </c>
      <c r="E86" s="63"/>
      <c r="F86" s="63"/>
      <c r="G86" s="63"/>
      <c r="H86" s="45" t="s">
        <v>49</v>
      </c>
    </row>
    <row r="87" spans="1:8" x14ac:dyDescent="0.25">
      <c r="A87" s="21"/>
      <c r="B87" s="52" t="s">
        <v>87</v>
      </c>
      <c r="C87" s="23" t="s">
        <v>21</v>
      </c>
      <c r="D87" s="25">
        <v>40.090000000000003</v>
      </c>
      <c r="E87" s="207">
        <v>57</v>
      </c>
      <c r="F87" s="207">
        <f t="shared" ref="F87:F95" si="5">E87*D87</f>
        <v>2285.13</v>
      </c>
      <c r="G87" s="25"/>
      <c r="H87" s="31" t="s">
        <v>88</v>
      </c>
    </row>
    <row r="88" spans="1:8" x14ac:dyDescent="0.25">
      <c r="A88" s="21"/>
      <c r="B88" s="52" t="s">
        <v>89</v>
      </c>
      <c r="C88" s="23" t="s">
        <v>21</v>
      </c>
      <c r="D88" s="25">
        <v>48.68</v>
      </c>
      <c r="E88" s="207">
        <v>57</v>
      </c>
      <c r="F88" s="207">
        <f t="shared" si="5"/>
        <v>2774.7599999999998</v>
      </c>
      <c r="G88" s="25"/>
      <c r="H88" s="31" t="s">
        <v>90</v>
      </c>
    </row>
    <row r="89" spans="1:8" x14ac:dyDescent="0.25">
      <c r="A89" s="21"/>
      <c r="B89" s="217" t="s">
        <v>91</v>
      </c>
      <c r="C89" s="23" t="s">
        <v>21</v>
      </c>
      <c r="D89" s="25">
        <f>12*23.23</f>
        <v>278.76</v>
      </c>
      <c r="E89" s="207">
        <v>212.09</v>
      </c>
      <c r="F89" s="207">
        <f t="shared" si="5"/>
        <v>59122.208399999996</v>
      </c>
      <c r="G89" s="25"/>
      <c r="H89" s="31" t="s">
        <v>92</v>
      </c>
    </row>
    <row r="90" spans="1:8" x14ac:dyDescent="0.25">
      <c r="A90" s="21"/>
      <c r="B90" s="52" t="s">
        <v>93</v>
      </c>
      <c r="C90" s="23" t="s">
        <v>21</v>
      </c>
      <c r="D90" s="64">
        <v>88</v>
      </c>
      <c r="E90" s="207">
        <v>66</v>
      </c>
      <c r="F90" s="207">
        <f t="shared" si="5"/>
        <v>5808</v>
      </c>
      <c r="G90" s="64"/>
      <c r="H90" s="31" t="s">
        <v>94</v>
      </c>
    </row>
    <row r="91" spans="1:8" s="51" customFormat="1" x14ac:dyDescent="0.25">
      <c r="A91" s="21"/>
      <c r="B91" s="62" t="s">
        <v>95</v>
      </c>
      <c r="C91" s="42" t="s">
        <v>21</v>
      </c>
      <c r="D91" s="63">
        <v>928.19</v>
      </c>
      <c r="E91" s="63"/>
      <c r="F91" s="63"/>
      <c r="G91" s="63"/>
      <c r="H91" s="45" t="s">
        <v>49</v>
      </c>
    </row>
    <row r="92" spans="1:8" x14ac:dyDescent="0.25">
      <c r="A92" s="21"/>
      <c r="B92" s="52" t="s">
        <v>87</v>
      </c>
      <c r="C92" s="23" t="s">
        <v>21</v>
      </c>
      <c r="D92" s="25">
        <v>40.090000000000003</v>
      </c>
      <c r="E92" s="207">
        <v>57</v>
      </c>
      <c r="F92" s="207">
        <f t="shared" si="5"/>
        <v>2285.13</v>
      </c>
      <c r="G92" s="25"/>
      <c r="H92" s="31" t="s">
        <v>88</v>
      </c>
    </row>
    <row r="93" spans="1:8" x14ac:dyDescent="0.25">
      <c r="A93" s="21"/>
      <c r="B93" s="52" t="s">
        <v>89</v>
      </c>
      <c r="C93" s="23" t="s">
        <v>21</v>
      </c>
      <c r="D93" s="25">
        <v>48.68</v>
      </c>
      <c r="E93" s="207">
        <v>57</v>
      </c>
      <c r="F93" s="207">
        <f t="shared" si="5"/>
        <v>2774.7599999999998</v>
      </c>
      <c r="G93" s="25"/>
      <c r="H93" s="31" t="s">
        <v>90</v>
      </c>
    </row>
    <row r="94" spans="1:8" x14ac:dyDescent="0.25">
      <c r="A94" s="21"/>
      <c r="B94" s="217" t="s">
        <v>91</v>
      </c>
      <c r="C94" s="23" t="s">
        <v>21</v>
      </c>
      <c r="D94" s="25">
        <f>12*23.23</f>
        <v>278.76</v>
      </c>
      <c r="E94" s="207">
        <v>212.09</v>
      </c>
      <c r="F94" s="207">
        <f t="shared" si="5"/>
        <v>59122.208399999996</v>
      </c>
      <c r="G94" s="25"/>
      <c r="H94" s="31" t="s">
        <v>92</v>
      </c>
    </row>
    <row r="95" spans="1:8" x14ac:dyDescent="0.25">
      <c r="A95" s="21"/>
      <c r="B95" s="52" t="s">
        <v>96</v>
      </c>
      <c r="C95" s="23" t="s">
        <v>21</v>
      </c>
      <c r="D95" s="64">
        <v>97</v>
      </c>
      <c r="E95" s="207">
        <v>66</v>
      </c>
      <c r="F95" s="207">
        <f t="shared" si="5"/>
        <v>6402</v>
      </c>
      <c r="G95" s="64"/>
      <c r="H95" s="31" t="s">
        <v>97</v>
      </c>
    </row>
    <row r="96" spans="1:8" x14ac:dyDescent="0.25">
      <c r="A96" s="21"/>
      <c r="B96" s="47" t="s">
        <v>61</v>
      </c>
      <c r="C96" s="23" t="s">
        <v>6</v>
      </c>
      <c r="D96" s="48">
        <v>354</v>
      </c>
      <c r="E96" s="57"/>
      <c r="F96" s="57"/>
      <c r="G96" s="49"/>
      <c r="H96" s="31"/>
    </row>
    <row r="97" spans="1:8" x14ac:dyDescent="0.25">
      <c r="A97" s="21"/>
      <c r="B97" s="47" t="s">
        <v>62</v>
      </c>
      <c r="C97" s="23" t="s">
        <v>6</v>
      </c>
      <c r="D97" s="48">
        <v>354</v>
      </c>
      <c r="E97" s="57"/>
      <c r="F97" s="57"/>
      <c r="G97" s="49"/>
      <c r="H97" s="31"/>
    </row>
    <row r="98" spans="1:8" x14ac:dyDescent="0.25">
      <c r="A98" s="21"/>
      <c r="B98" s="52" t="s">
        <v>64</v>
      </c>
      <c r="C98" s="23" t="s">
        <v>21</v>
      </c>
      <c r="D98" s="48">
        <f>354*0.115</f>
        <v>40.71</v>
      </c>
      <c r="E98" s="211">
        <v>195</v>
      </c>
      <c r="F98" s="207">
        <f t="shared" ref="F98" si="6">E98*D98</f>
        <v>7938.45</v>
      </c>
      <c r="G98" s="49"/>
      <c r="H98" s="56" t="s">
        <v>65</v>
      </c>
    </row>
    <row r="99" spans="1:8" x14ac:dyDescent="0.25">
      <c r="A99" s="21"/>
      <c r="B99" s="47" t="s">
        <v>66</v>
      </c>
      <c r="C99" s="23" t="s">
        <v>6</v>
      </c>
      <c r="D99" s="48">
        <f>354*2</f>
        <v>708</v>
      </c>
      <c r="E99" s="57"/>
      <c r="F99" s="57"/>
      <c r="G99" s="55"/>
      <c r="H99" s="32"/>
    </row>
    <row r="100" spans="1:8" x14ac:dyDescent="0.25">
      <c r="A100" s="21"/>
      <c r="B100" s="52" t="s">
        <v>67</v>
      </c>
      <c r="C100" s="23" t="s">
        <v>21</v>
      </c>
      <c r="D100" s="48">
        <f>708*0.1</f>
        <v>70.8</v>
      </c>
      <c r="E100" s="211">
        <v>214.8</v>
      </c>
      <c r="F100" s="207">
        <f t="shared" ref="F100" si="7">E100*D100</f>
        <v>15207.84</v>
      </c>
      <c r="G100" s="55"/>
      <c r="H100" s="31" t="s">
        <v>68</v>
      </c>
    </row>
    <row r="101" spans="1:8" x14ac:dyDescent="0.25">
      <c r="A101" s="21"/>
      <c r="B101" s="47" t="s">
        <v>69</v>
      </c>
      <c r="C101" s="23" t="s">
        <v>6</v>
      </c>
      <c r="D101" s="48">
        <v>354</v>
      </c>
      <c r="E101" s="57"/>
      <c r="F101" s="57"/>
      <c r="G101" s="55"/>
      <c r="H101" s="32"/>
    </row>
    <row r="102" spans="1:8" x14ac:dyDescent="0.25">
      <c r="A102" s="21"/>
      <c r="B102" s="52" t="s">
        <v>70</v>
      </c>
      <c r="C102" s="23" t="s">
        <v>21</v>
      </c>
      <c r="D102" s="48">
        <f>354*1.5</f>
        <v>531</v>
      </c>
      <c r="E102" s="211">
        <v>760</v>
      </c>
      <c r="F102" s="207">
        <f t="shared" ref="F102" si="8">E102*D102</f>
        <v>403560</v>
      </c>
      <c r="G102" s="55"/>
      <c r="H102" s="31" t="s">
        <v>71</v>
      </c>
    </row>
    <row r="103" spans="1:8" x14ac:dyDescent="0.25">
      <c r="A103" s="21"/>
      <c r="B103" s="22" t="s">
        <v>72</v>
      </c>
      <c r="C103" s="23" t="s">
        <v>21</v>
      </c>
      <c r="D103" s="25">
        <v>27.59</v>
      </c>
      <c r="E103" s="25"/>
      <c r="F103" s="25"/>
      <c r="G103" s="25"/>
      <c r="H103" s="31"/>
    </row>
    <row r="104" spans="1:8" ht="28.8" x14ac:dyDescent="0.25">
      <c r="A104" s="21"/>
      <c r="B104" s="47" t="s">
        <v>73</v>
      </c>
      <c r="C104" s="23" t="s">
        <v>21</v>
      </c>
      <c r="D104" s="48">
        <f>27.59*1.9</f>
        <v>52.420999999999999</v>
      </c>
      <c r="E104" s="57"/>
      <c r="F104" s="57"/>
      <c r="G104" s="57" t="s">
        <v>74</v>
      </c>
      <c r="H104" s="31" t="s">
        <v>98</v>
      </c>
    </row>
    <row r="105" spans="1:8" x14ac:dyDescent="0.25">
      <c r="A105" s="21"/>
      <c r="B105" s="13" t="s">
        <v>99</v>
      </c>
      <c r="C105" s="42" t="s">
        <v>21</v>
      </c>
      <c r="D105" s="63">
        <v>100814.02</v>
      </c>
      <c r="E105" s="63"/>
      <c r="F105" s="63"/>
      <c r="G105" s="63"/>
      <c r="H105" s="45" t="s">
        <v>100</v>
      </c>
    </row>
    <row r="106" spans="1:8" x14ac:dyDescent="0.25">
      <c r="A106" s="21"/>
      <c r="B106" s="46" t="s">
        <v>44</v>
      </c>
      <c r="C106" s="42"/>
      <c r="D106" s="43"/>
      <c r="E106" s="44"/>
      <c r="F106" s="44"/>
      <c r="G106" s="44"/>
      <c r="H106" s="45"/>
    </row>
    <row r="107" spans="1:8" ht="28.8" x14ac:dyDescent="0.25">
      <c r="A107" s="21"/>
      <c r="B107" s="47" t="s">
        <v>45</v>
      </c>
      <c r="C107" s="23" t="s">
        <v>6</v>
      </c>
      <c r="D107" s="48">
        <f>(11.87+12.47)*54</f>
        <v>1314.36</v>
      </c>
      <c r="E107" s="57"/>
      <c r="F107" s="57"/>
      <c r="G107" s="49"/>
      <c r="H107" s="31" t="s">
        <v>101</v>
      </c>
    </row>
    <row r="108" spans="1:8" ht="30.6" customHeight="1" x14ac:dyDescent="0.25">
      <c r="A108" s="21"/>
      <c r="B108" s="47" t="s">
        <v>47</v>
      </c>
      <c r="C108" s="23" t="s">
        <v>6</v>
      </c>
      <c r="D108" s="48">
        <v>1314</v>
      </c>
      <c r="E108" s="57"/>
      <c r="F108" s="57"/>
      <c r="G108" s="49"/>
      <c r="H108" s="31"/>
    </row>
    <row r="109" spans="1:8" s="51" customFormat="1" x14ac:dyDescent="0.25">
      <c r="A109" s="21"/>
      <c r="B109" s="62" t="s">
        <v>102</v>
      </c>
      <c r="C109" s="42" t="s">
        <v>21</v>
      </c>
      <c r="D109" s="63">
        <v>911.15</v>
      </c>
      <c r="E109" s="63"/>
      <c r="F109" s="63"/>
      <c r="G109" s="63"/>
      <c r="H109" s="45" t="s">
        <v>49</v>
      </c>
    </row>
    <row r="110" spans="1:8" x14ac:dyDescent="0.25">
      <c r="A110" s="21"/>
      <c r="B110" s="52" t="s">
        <v>103</v>
      </c>
      <c r="C110" s="23" t="s">
        <v>21</v>
      </c>
      <c r="D110" s="25">
        <v>40.090000000000003</v>
      </c>
      <c r="E110" s="207">
        <v>57</v>
      </c>
      <c r="F110" s="207">
        <f t="shared" ref="F110:F113" si="9">E110*D110</f>
        <v>2285.13</v>
      </c>
      <c r="G110" s="25"/>
      <c r="H110" s="31" t="s">
        <v>88</v>
      </c>
    </row>
    <row r="111" spans="1:8" x14ac:dyDescent="0.25">
      <c r="A111" s="21"/>
      <c r="B111" s="52" t="s">
        <v>104</v>
      </c>
      <c r="C111" s="23" t="s">
        <v>21</v>
      </c>
      <c r="D111" s="25">
        <v>48.68</v>
      </c>
      <c r="E111" s="207">
        <v>57</v>
      </c>
      <c r="F111" s="207">
        <f t="shared" si="9"/>
        <v>2774.7599999999998</v>
      </c>
      <c r="G111" s="25"/>
      <c r="H111" s="31" t="s">
        <v>90</v>
      </c>
    </row>
    <row r="112" spans="1:8" x14ac:dyDescent="0.25">
      <c r="A112" s="21"/>
      <c r="B112" s="217" t="s">
        <v>91</v>
      </c>
      <c r="C112" s="23" t="s">
        <v>21</v>
      </c>
      <c r="D112" s="25">
        <v>278.76</v>
      </c>
      <c r="E112" s="207">
        <v>212.09</v>
      </c>
      <c r="F112" s="207">
        <f t="shared" si="9"/>
        <v>59122.208399999996</v>
      </c>
      <c r="G112" s="25"/>
      <c r="H112" s="31" t="s">
        <v>92</v>
      </c>
    </row>
    <row r="113" spans="1:8" x14ac:dyDescent="0.25">
      <c r="A113" s="21"/>
      <c r="B113" s="52" t="s">
        <v>93</v>
      </c>
      <c r="C113" s="23" t="s">
        <v>21</v>
      </c>
      <c r="D113" s="25">
        <v>88</v>
      </c>
      <c r="E113" s="207">
        <v>66</v>
      </c>
      <c r="F113" s="207">
        <f t="shared" si="9"/>
        <v>5808</v>
      </c>
      <c r="G113" s="25"/>
      <c r="H113" s="31" t="s">
        <v>94</v>
      </c>
    </row>
    <row r="114" spans="1:8" s="51" customFormat="1" x14ac:dyDescent="0.25">
      <c r="A114" s="21"/>
      <c r="B114" s="62" t="s">
        <v>105</v>
      </c>
      <c r="C114" s="42" t="s">
        <v>21</v>
      </c>
      <c r="D114" s="63">
        <v>928.19</v>
      </c>
      <c r="E114" s="63"/>
      <c r="F114" s="63"/>
      <c r="G114" s="63"/>
      <c r="H114" s="45" t="s">
        <v>49</v>
      </c>
    </row>
    <row r="115" spans="1:8" x14ac:dyDescent="0.25">
      <c r="A115" s="21"/>
      <c r="B115" s="52" t="s">
        <v>103</v>
      </c>
      <c r="C115" s="23" t="s">
        <v>21</v>
      </c>
      <c r="D115" s="25">
        <v>40.090000000000003</v>
      </c>
      <c r="E115" s="207">
        <v>57</v>
      </c>
      <c r="F115" s="207">
        <f t="shared" ref="F115:F118" si="10">E115*D115</f>
        <v>2285.13</v>
      </c>
      <c r="G115" s="25"/>
      <c r="H115" s="31" t="s">
        <v>88</v>
      </c>
    </row>
    <row r="116" spans="1:8" x14ac:dyDescent="0.25">
      <c r="A116" s="21"/>
      <c r="B116" s="52" t="s">
        <v>106</v>
      </c>
      <c r="C116" s="23" t="s">
        <v>21</v>
      </c>
      <c r="D116" s="25">
        <v>48.68</v>
      </c>
      <c r="E116" s="207">
        <v>57</v>
      </c>
      <c r="F116" s="207">
        <f t="shared" si="10"/>
        <v>2774.7599999999998</v>
      </c>
      <c r="G116" s="25"/>
      <c r="H116" s="31" t="s">
        <v>90</v>
      </c>
    </row>
    <row r="117" spans="1:8" x14ac:dyDescent="0.25">
      <c r="A117" s="21"/>
      <c r="B117" s="217" t="s">
        <v>91</v>
      </c>
      <c r="C117" s="23" t="s">
        <v>21</v>
      </c>
      <c r="D117" s="25">
        <v>278.76</v>
      </c>
      <c r="E117" s="207">
        <v>212.09</v>
      </c>
      <c r="F117" s="207">
        <f t="shared" si="10"/>
        <v>59122.208399999996</v>
      </c>
      <c r="G117" s="25"/>
      <c r="H117" s="31" t="s">
        <v>92</v>
      </c>
    </row>
    <row r="118" spans="1:8" x14ac:dyDescent="0.25">
      <c r="A118" s="21"/>
      <c r="B118" s="52" t="s">
        <v>96</v>
      </c>
      <c r="C118" s="23" t="s">
        <v>21</v>
      </c>
      <c r="D118" s="25">
        <v>97</v>
      </c>
      <c r="E118" s="207">
        <v>66</v>
      </c>
      <c r="F118" s="207">
        <f t="shared" si="10"/>
        <v>6402</v>
      </c>
      <c r="G118" s="25"/>
      <c r="H118" s="31" t="s">
        <v>97</v>
      </c>
    </row>
    <row r="119" spans="1:8" x14ac:dyDescent="0.25">
      <c r="A119" s="21"/>
      <c r="B119" s="47" t="s">
        <v>61</v>
      </c>
      <c r="C119" s="7" t="s">
        <v>6</v>
      </c>
      <c r="D119" s="48">
        <v>1314</v>
      </c>
      <c r="E119" s="57"/>
      <c r="F119" s="57"/>
      <c r="G119" s="55"/>
      <c r="H119" s="31"/>
    </row>
    <row r="120" spans="1:8" ht="28.8" x14ac:dyDescent="0.25">
      <c r="A120" s="21"/>
      <c r="B120" s="47" t="s">
        <v>62</v>
      </c>
      <c r="C120" s="7" t="s">
        <v>6</v>
      </c>
      <c r="D120" s="48">
        <v>1314</v>
      </c>
      <c r="E120" s="57"/>
      <c r="F120" s="57"/>
      <c r="G120" s="55"/>
      <c r="H120" s="31" t="s">
        <v>63</v>
      </c>
    </row>
    <row r="121" spans="1:8" x14ac:dyDescent="0.25">
      <c r="A121" s="21"/>
      <c r="B121" s="52" t="s">
        <v>64</v>
      </c>
      <c r="C121" s="23" t="s">
        <v>21</v>
      </c>
      <c r="D121" s="48">
        <f>1314*0.115</f>
        <v>151.11000000000001</v>
      </c>
      <c r="E121" s="211">
        <v>195</v>
      </c>
      <c r="F121" s="207">
        <f t="shared" ref="F121" si="11">E121*D121</f>
        <v>29466.450000000004</v>
      </c>
      <c r="G121" s="49"/>
      <c r="H121" s="56" t="s">
        <v>65</v>
      </c>
    </row>
    <row r="122" spans="1:8" x14ac:dyDescent="0.25">
      <c r="A122" s="21"/>
      <c r="B122" s="47" t="s">
        <v>66</v>
      </c>
      <c r="C122" s="23" t="s">
        <v>6</v>
      </c>
      <c r="D122" s="48">
        <f>1314*2</f>
        <v>2628</v>
      </c>
      <c r="E122" s="57"/>
      <c r="F122" s="57"/>
      <c r="G122" s="55"/>
      <c r="H122" s="32"/>
    </row>
    <row r="123" spans="1:8" x14ac:dyDescent="0.25">
      <c r="A123" s="21"/>
      <c r="B123" s="52" t="s">
        <v>67</v>
      </c>
      <c r="C123" s="23" t="s">
        <v>21</v>
      </c>
      <c r="D123" s="48">
        <f>2628*0.1</f>
        <v>262.8</v>
      </c>
      <c r="E123" s="211">
        <v>214.8</v>
      </c>
      <c r="F123" s="207">
        <f t="shared" ref="F123" si="12">E123*D123</f>
        <v>56449.440000000002</v>
      </c>
      <c r="G123" s="55"/>
      <c r="H123" s="31" t="s">
        <v>68</v>
      </c>
    </row>
    <row r="124" spans="1:8" x14ac:dyDescent="0.25">
      <c r="A124" s="21"/>
      <c r="B124" s="47" t="s">
        <v>69</v>
      </c>
      <c r="C124" s="23" t="s">
        <v>6</v>
      </c>
      <c r="D124" s="48">
        <v>1314</v>
      </c>
      <c r="E124" s="57"/>
      <c r="F124" s="57"/>
      <c r="G124" s="55"/>
      <c r="H124" s="32"/>
    </row>
    <row r="125" spans="1:8" x14ac:dyDescent="0.25">
      <c r="A125" s="21"/>
      <c r="B125" s="52" t="s">
        <v>70</v>
      </c>
      <c r="C125" s="23" t="s">
        <v>21</v>
      </c>
      <c r="D125" s="48">
        <f>1314*1.5</f>
        <v>1971</v>
      </c>
      <c r="E125" s="211">
        <v>760</v>
      </c>
      <c r="F125" s="207">
        <f t="shared" ref="F125" si="13">E125*D125</f>
        <v>1497960</v>
      </c>
      <c r="G125" s="55"/>
      <c r="H125" s="31" t="s">
        <v>71</v>
      </c>
    </row>
    <row r="126" spans="1:8" s="51" customFormat="1" x14ac:dyDescent="0.25">
      <c r="A126" s="65"/>
      <c r="B126" s="66" t="s">
        <v>72</v>
      </c>
      <c r="C126" s="67" t="s">
        <v>21</v>
      </c>
      <c r="D126" s="68">
        <v>27.59</v>
      </c>
      <c r="E126" s="69"/>
      <c r="F126" s="69"/>
      <c r="G126" s="69"/>
      <c r="H126" s="45"/>
    </row>
    <row r="127" spans="1:8" ht="28.8" x14ac:dyDescent="0.25">
      <c r="A127" s="21"/>
      <c r="B127" s="47" t="s">
        <v>73</v>
      </c>
      <c r="C127" s="23" t="s">
        <v>21</v>
      </c>
      <c r="D127" s="48">
        <f>27.59*1.9</f>
        <v>52.420999999999999</v>
      </c>
      <c r="E127" s="57"/>
      <c r="F127" s="57"/>
      <c r="G127" s="57" t="s">
        <v>74</v>
      </c>
      <c r="H127" s="31" t="s">
        <v>98</v>
      </c>
    </row>
    <row r="128" spans="1:8" x14ac:dyDescent="0.25">
      <c r="A128" s="21"/>
      <c r="B128" s="13" t="s">
        <v>107</v>
      </c>
      <c r="C128" s="42" t="s">
        <v>21</v>
      </c>
      <c r="D128" s="70" t="s">
        <v>108</v>
      </c>
      <c r="E128" s="71"/>
      <c r="F128" s="71"/>
      <c r="G128" s="71"/>
      <c r="H128" s="45" t="s">
        <v>109</v>
      </c>
    </row>
    <row r="129" spans="1:9" x14ac:dyDescent="0.25">
      <c r="A129" s="21"/>
      <c r="B129" s="72" t="s">
        <v>44</v>
      </c>
      <c r="C129" s="42"/>
      <c r="D129" s="43"/>
      <c r="E129" s="44"/>
      <c r="F129" s="44"/>
      <c r="G129" s="44"/>
      <c r="H129" s="45"/>
    </row>
    <row r="130" spans="1:9" ht="30.6" customHeight="1" x14ac:dyDescent="0.25">
      <c r="A130" s="21"/>
      <c r="B130" s="47" t="s">
        <v>47</v>
      </c>
      <c r="C130" s="23" t="s">
        <v>6</v>
      </c>
      <c r="D130" s="73">
        <f>(7.19+6.69+7.59)*26</f>
        <v>558.22</v>
      </c>
      <c r="E130" s="73"/>
      <c r="F130" s="73"/>
      <c r="G130" s="49"/>
      <c r="H130" s="31" t="s">
        <v>110</v>
      </c>
      <c r="I130" s="27" t="s">
        <v>111</v>
      </c>
    </row>
    <row r="131" spans="1:9" s="51" customFormat="1" x14ac:dyDescent="0.25">
      <c r="A131" s="21"/>
      <c r="B131" s="74" t="s">
        <v>112</v>
      </c>
      <c r="C131" s="42" t="s">
        <v>21</v>
      </c>
      <c r="D131" s="70">
        <v>610.95000000000005</v>
      </c>
      <c r="E131" s="71"/>
      <c r="F131" s="71"/>
      <c r="G131" s="71"/>
      <c r="H131" s="45" t="s">
        <v>49</v>
      </c>
    </row>
    <row r="132" spans="1:9" x14ac:dyDescent="0.25">
      <c r="A132" s="21"/>
      <c r="B132" s="28" t="s">
        <v>113</v>
      </c>
      <c r="C132" s="23" t="s">
        <v>21</v>
      </c>
      <c r="D132" s="75">
        <v>40.090000000000003</v>
      </c>
      <c r="E132" s="207">
        <v>57</v>
      </c>
      <c r="F132" s="207">
        <f t="shared" ref="F132:F135" si="14">E132*D132</f>
        <v>2285.13</v>
      </c>
      <c r="G132" s="76"/>
      <c r="H132" s="31" t="s">
        <v>88</v>
      </c>
    </row>
    <row r="133" spans="1:9" x14ac:dyDescent="0.25">
      <c r="A133" s="21"/>
      <c r="B133" s="28" t="s">
        <v>114</v>
      </c>
      <c r="C133" s="23" t="s">
        <v>21</v>
      </c>
      <c r="D133" s="75">
        <v>34.36</v>
      </c>
      <c r="E133" s="207">
        <v>57</v>
      </c>
      <c r="F133" s="207">
        <f t="shared" si="14"/>
        <v>1958.52</v>
      </c>
      <c r="G133" s="76"/>
      <c r="H133" s="31" t="s">
        <v>115</v>
      </c>
    </row>
    <row r="134" spans="1:9" x14ac:dyDescent="0.25">
      <c r="A134" s="21"/>
      <c r="B134" s="210" t="s">
        <v>116</v>
      </c>
      <c r="C134" s="23" t="s">
        <v>21</v>
      </c>
      <c r="D134" s="75">
        <v>181.32</v>
      </c>
      <c r="E134" s="207">
        <v>212.09</v>
      </c>
      <c r="F134" s="207">
        <f t="shared" si="14"/>
        <v>38456.158799999997</v>
      </c>
      <c r="G134" s="76"/>
      <c r="H134" s="31" t="s">
        <v>117</v>
      </c>
    </row>
    <row r="135" spans="1:9" x14ac:dyDescent="0.25">
      <c r="A135" s="21"/>
      <c r="B135" s="28" t="s">
        <v>118</v>
      </c>
      <c r="C135" s="23" t="s">
        <v>21</v>
      </c>
      <c r="D135" s="77">
        <v>50</v>
      </c>
      <c r="E135" s="207">
        <v>66</v>
      </c>
      <c r="F135" s="207">
        <f t="shared" si="14"/>
        <v>3300</v>
      </c>
      <c r="G135" s="78"/>
      <c r="H135" s="31" t="s">
        <v>119</v>
      </c>
    </row>
    <row r="136" spans="1:9" s="51" customFormat="1" x14ac:dyDescent="0.25">
      <c r="A136" s="21"/>
      <c r="B136" s="74" t="s">
        <v>120</v>
      </c>
      <c r="C136" s="42" t="s">
        <v>21</v>
      </c>
      <c r="D136" s="79">
        <v>596.75</v>
      </c>
      <c r="E136" s="80"/>
      <c r="F136" s="80"/>
      <c r="G136" s="80"/>
      <c r="H136" s="45" t="s">
        <v>49</v>
      </c>
    </row>
    <row r="137" spans="1:9" x14ac:dyDescent="0.25">
      <c r="A137" s="21"/>
      <c r="B137" s="28" t="s">
        <v>113</v>
      </c>
      <c r="C137" s="23" t="s">
        <v>21</v>
      </c>
      <c r="D137" s="77">
        <v>40.090000000000003</v>
      </c>
      <c r="E137" s="207">
        <v>57</v>
      </c>
      <c r="F137" s="207">
        <f t="shared" ref="F137:F140" si="15">E137*D137</f>
        <v>2285.13</v>
      </c>
      <c r="G137" s="78"/>
      <c r="H137" s="31" t="s">
        <v>88</v>
      </c>
    </row>
    <row r="138" spans="1:9" x14ac:dyDescent="0.25">
      <c r="A138" s="21"/>
      <c r="B138" s="28" t="s">
        <v>114</v>
      </c>
      <c r="C138" s="23" t="s">
        <v>21</v>
      </c>
      <c r="D138" s="77">
        <v>34.36</v>
      </c>
      <c r="E138" s="207">
        <v>57</v>
      </c>
      <c r="F138" s="207">
        <f t="shared" si="15"/>
        <v>1958.52</v>
      </c>
      <c r="G138" s="78"/>
      <c r="H138" s="31" t="s">
        <v>115</v>
      </c>
    </row>
    <row r="139" spans="1:9" x14ac:dyDescent="0.25">
      <c r="A139" s="21"/>
      <c r="B139" s="210" t="s">
        <v>121</v>
      </c>
      <c r="C139" s="23" t="s">
        <v>21</v>
      </c>
      <c r="D139" s="77">
        <v>181.32</v>
      </c>
      <c r="E139" s="207">
        <v>212.09</v>
      </c>
      <c r="F139" s="207">
        <f t="shared" si="15"/>
        <v>38456.158799999997</v>
      </c>
      <c r="G139" s="78"/>
      <c r="H139" s="31" t="s">
        <v>117</v>
      </c>
    </row>
    <row r="140" spans="1:9" x14ac:dyDescent="0.25">
      <c r="A140" s="21"/>
      <c r="B140" s="28" t="s">
        <v>122</v>
      </c>
      <c r="C140" s="23" t="s">
        <v>21</v>
      </c>
      <c r="D140" s="77">
        <v>43</v>
      </c>
      <c r="E140" s="207">
        <v>66</v>
      </c>
      <c r="F140" s="207">
        <f t="shared" si="15"/>
        <v>2838</v>
      </c>
      <c r="G140" s="78"/>
      <c r="H140" s="31" t="s">
        <v>123</v>
      </c>
    </row>
    <row r="141" spans="1:9" s="51" customFormat="1" x14ac:dyDescent="0.25">
      <c r="A141" s="21"/>
      <c r="B141" s="74" t="s">
        <v>124</v>
      </c>
      <c r="C141" s="42" t="s">
        <v>21</v>
      </c>
      <c r="D141" s="79">
        <v>622.30999999999995</v>
      </c>
      <c r="E141" s="80"/>
      <c r="F141" s="80"/>
      <c r="G141" s="80"/>
      <c r="H141" s="45" t="s">
        <v>49</v>
      </c>
    </row>
    <row r="142" spans="1:9" x14ac:dyDescent="0.25">
      <c r="A142" s="21"/>
      <c r="B142" s="28" t="s">
        <v>125</v>
      </c>
      <c r="C142" s="23" t="s">
        <v>21</v>
      </c>
      <c r="D142" s="77">
        <v>40.090000000000003</v>
      </c>
      <c r="E142" s="207">
        <v>57</v>
      </c>
      <c r="F142" s="207">
        <f t="shared" ref="F142:F145" si="16">E142*D142</f>
        <v>2285.13</v>
      </c>
      <c r="G142" s="78"/>
      <c r="H142" s="31" t="s">
        <v>88</v>
      </c>
    </row>
    <row r="143" spans="1:9" x14ac:dyDescent="0.25">
      <c r="A143" s="21"/>
      <c r="B143" s="28" t="s">
        <v>126</v>
      </c>
      <c r="C143" s="23" t="s">
        <v>21</v>
      </c>
      <c r="D143" s="77">
        <v>34.36</v>
      </c>
      <c r="E143" s="207">
        <v>57</v>
      </c>
      <c r="F143" s="207">
        <f t="shared" si="16"/>
        <v>1958.52</v>
      </c>
      <c r="G143" s="78"/>
      <c r="H143" s="31" t="s">
        <v>115</v>
      </c>
    </row>
    <row r="144" spans="1:9" ht="13.2" customHeight="1" x14ac:dyDescent="0.25">
      <c r="A144" s="21"/>
      <c r="B144" s="28" t="s">
        <v>127</v>
      </c>
      <c r="C144" s="23" t="s">
        <v>21</v>
      </c>
      <c r="D144" s="77">
        <v>181.32</v>
      </c>
      <c r="E144" s="207">
        <v>57</v>
      </c>
      <c r="F144" s="207">
        <f t="shared" si="16"/>
        <v>10335.24</v>
      </c>
      <c r="G144" s="78"/>
      <c r="H144" s="31" t="s">
        <v>117</v>
      </c>
    </row>
    <row r="145" spans="1:9" x14ac:dyDescent="0.25">
      <c r="A145" s="21"/>
      <c r="B145" s="28" t="s">
        <v>128</v>
      </c>
      <c r="C145" s="23" t="s">
        <v>21</v>
      </c>
      <c r="D145" s="77">
        <v>55</v>
      </c>
      <c r="E145" s="207">
        <v>66</v>
      </c>
      <c r="F145" s="207">
        <f t="shared" si="16"/>
        <v>3630</v>
      </c>
      <c r="G145" s="78"/>
      <c r="H145" s="31" t="s">
        <v>129</v>
      </c>
    </row>
    <row r="146" spans="1:9" x14ac:dyDescent="0.25">
      <c r="A146" s="21"/>
      <c r="B146" s="47" t="s">
        <v>61</v>
      </c>
      <c r="C146" s="7" t="s">
        <v>6</v>
      </c>
      <c r="D146" s="73">
        <f>(7.19+6.69+7.59)*26</f>
        <v>558.22</v>
      </c>
      <c r="E146" s="73"/>
      <c r="F146" s="73"/>
      <c r="G146" s="55"/>
      <c r="H146" s="31"/>
    </row>
    <row r="147" spans="1:9" ht="28.8" x14ac:dyDescent="0.25">
      <c r="A147" s="21"/>
      <c r="B147" s="47" t="s">
        <v>62</v>
      </c>
      <c r="C147" s="7" t="s">
        <v>6</v>
      </c>
      <c r="D147" s="73">
        <v>558.22</v>
      </c>
      <c r="E147" s="73"/>
      <c r="F147" s="73"/>
      <c r="G147" s="55"/>
      <c r="H147" s="31" t="s">
        <v>63</v>
      </c>
    </row>
    <row r="148" spans="1:9" x14ac:dyDescent="0.25">
      <c r="A148" s="21"/>
      <c r="B148" s="52" t="s">
        <v>64</v>
      </c>
      <c r="C148" s="23" t="s">
        <v>21</v>
      </c>
      <c r="D148" s="81">
        <f>558.22*0.115</f>
        <v>64.195300000000003</v>
      </c>
      <c r="E148" s="211">
        <v>195</v>
      </c>
      <c r="F148" s="207">
        <f t="shared" ref="F148" si="17">E148*D148</f>
        <v>12518.083500000001</v>
      </c>
      <c r="G148" s="49"/>
      <c r="H148" s="56" t="s">
        <v>65</v>
      </c>
    </row>
    <row r="149" spans="1:9" x14ac:dyDescent="0.25">
      <c r="A149" s="21"/>
      <c r="B149" s="47" t="s">
        <v>66</v>
      </c>
      <c r="C149" s="23" t="s">
        <v>6</v>
      </c>
      <c r="D149" s="81">
        <v>558.22</v>
      </c>
      <c r="E149" s="201"/>
      <c r="F149" s="201"/>
      <c r="G149" s="55"/>
      <c r="H149" s="32"/>
    </row>
    <row r="150" spans="1:9" x14ac:dyDescent="0.25">
      <c r="A150" s="21"/>
      <c r="B150" s="52" t="s">
        <v>67</v>
      </c>
      <c r="C150" s="23" t="s">
        <v>21</v>
      </c>
      <c r="D150" s="81">
        <f>558.22*0.1</f>
        <v>55.822000000000003</v>
      </c>
      <c r="E150" s="211">
        <v>214.8</v>
      </c>
      <c r="F150" s="207">
        <f t="shared" ref="F150" si="18">E150*D150</f>
        <v>11990.565600000002</v>
      </c>
      <c r="G150" s="55"/>
      <c r="H150" s="31" t="s">
        <v>68</v>
      </c>
    </row>
    <row r="151" spans="1:9" x14ac:dyDescent="0.25">
      <c r="A151" s="21"/>
      <c r="B151" s="47" t="s">
        <v>69</v>
      </c>
      <c r="C151" s="23" t="s">
        <v>6</v>
      </c>
      <c r="D151" s="81">
        <v>558.22</v>
      </c>
      <c r="E151" s="201"/>
      <c r="F151" s="201"/>
      <c r="G151" s="55"/>
      <c r="H151" s="32"/>
    </row>
    <row r="152" spans="1:9" x14ac:dyDescent="0.25">
      <c r="A152" s="21"/>
      <c r="B152" s="52" t="s">
        <v>70</v>
      </c>
      <c r="C152" s="23" t="s">
        <v>21</v>
      </c>
      <c r="D152" s="81">
        <f>558.22*1.5</f>
        <v>837.33</v>
      </c>
      <c r="E152" s="211">
        <v>760</v>
      </c>
      <c r="F152" s="207">
        <f t="shared" ref="F152" si="19">E152*D152</f>
        <v>636370.80000000005</v>
      </c>
      <c r="G152" s="55"/>
      <c r="H152" s="31" t="s">
        <v>71</v>
      </c>
    </row>
    <row r="153" spans="1:9" s="51" customFormat="1" x14ac:dyDescent="0.25">
      <c r="A153" s="65"/>
      <c r="B153" s="66" t="s">
        <v>72</v>
      </c>
      <c r="C153" s="67" t="s">
        <v>21</v>
      </c>
      <c r="D153" s="68">
        <v>27.45</v>
      </c>
      <c r="E153" s="69"/>
      <c r="F153" s="69"/>
      <c r="G153" s="69"/>
      <c r="H153" s="45"/>
    </row>
    <row r="154" spans="1:9" ht="28.8" x14ac:dyDescent="0.25">
      <c r="A154" s="21"/>
      <c r="B154" s="47" t="s">
        <v>73</v>
      </c>
      <c r="C154" s="23" t="s">
        <v>21</v>
      </c>
      <c r="D154" s="48">
        <f>27.45*1.9</f>
        <v>52.154999999999994</v>
      </c>
      <c r="E154" s="57"/>
      <c r="F154" s="57"/>
      <c r="G154" s="57" t="s">
        <v>74</v>
      </c>
      <c r="H154" s="31" t="s">
        <v>130</v>
      </c>
    </row>
    <row r="155" spans="1:9" s="51" customFormat="1" x14ac:dyDescent="0.25">
      <c r="A155" s="82"/>
      <c r="B155" s="83" t="s">
        <v>131</v>
      </c>
      <c r="C155" s="84"/>
      <c r="D155" s="85"/>
      <c r="E155" s="86"/>
      <c r="F155" s="86"/>
      <c r="G155" s="86"/>
      <c r="H155" s="87"/>
    </row>
    <row r="156" spans="1:9" x14ac:dyDescent="0.25">
      <c r="A156" s="12"/>
      <c r="B156" s="88" t="s">
        <v>44</v>
      </c>
      <c r="C156" s="14"/>
      <c r="D156" s="14"/>
      <c r="E156" s="89"/>
      <c r="F156" s="89"/>
      <c r="G156" s="89"/>
      <c r="H156" s="17"/>
      <c r="I156" s="90"/>
    </row>
    <row r="157" spans="1:9" ht="28.8" x14ac:dyDescent="0.25">
      <c r="A157" s="21"/>
      <c r="B157" s="91" t="s">
        <v>132</v>
      </c>
      <c r="C157" s="7" t="s">
        <v>6</v>
      </c>
      <c r="D157" s="73">
        <v>2556.66</v>
      </c>
      <c r="E157" s="73"/>
      <c r="F157" s="73"/>
      <c r="G157" s="73"/>
      <c r="H157" s="31" t="s">
        <v>133</v>
      </c>
      <c r="I157" s="27" t="s">
        <v>134</v>
      </c>
    </row>
    <row r="158" spans="1:9" x14ac:dyDescent="0.25">
      <c r="A158" s="12"/>
      <c r="B158" s="13" t="s">
        <v>135</v>
      </c>
      <c r="C158" s="14" t="s">
        <v>21</v>
      </c>
      <c r="D158" s="14">
        <v>2903.9</v>
      </c>
      <c r="E158" s="89"/>
      <c r="F158" s="89"/>
      <c r="G158" s="89"/>
      <c r="H158" s="17" t="s">
        <v>136</v>
      </c>
      <c r="I158" s="90"/>
    </row>
    <row r="159" spans="1:9" x14ac:dyDescent="0.25">
      <c r="A159" s="21"/>
      <c r="B159" s="92" t="s">
        <v>137</v>
      </c>
      <c r="C159" s="42" t="s">
        <v>21</v>
      </c>
      <c r="D159" s="42">
        <v>76.17</v>
      </c>
      <c r="E159" s="61"/>
      <c r="F159" s="61"/>
      <c r="G159" s="61"/>
      <c r="H159" s="31"/>
    </row>
    <row r="160" spans="1:9" x14ac:dyDescent="0.25">
      <c r="A160" s="21"/>
      <c r="B160" s="28" t="s">
        <v>138</v>
      </c>
      <c r="C160" s="23" t="s">
        <v>21</v>
      </c>
      <c r="D160" s="93">
        <v>73.308000000000007</v>
      </c>
      <c r="E160" s="94">
        <v>64.5</v>
      </c>
      <c r="F160" s="207">
        <f t="shared" ref="F160:F164" si="20">E160*D160</f>
        <v>4728.3660000000009</v>
      </c>
      <c r="G160" s="94"/>
      <c r="H160" s="22" t="s">
        <v>139</v>
      </c>
    </row>
    <row r="161" spans="1:9" x14ac:dyDescent="0.25">
      <c r="A161" s="21"/>
      <c r="B161" s="28" t="s">
        <v>140</v>
      </c>
      <c r="C161" s="23" t="s">
        <v>21</v>
      </c>
      <c r="D161" s="93">
        <v>1.131</v>
      </c>
      <c r="E161" s="94">
        <v>59.5</v>
      </c>
      <c r="F161" s="207">
        <f t="shared" si="20"/>
        <v>67.294499999999999</v>
      </c>
      <c r="G161" s="94"/>
      <c r="H161" s="22" t="s">
        <v>141</v>
      </c>
    </row>
    <row r="162" spans="1:9" x14ac:dyDescent="0.25">
      <c r="A162" s="21"/>
      <c r="B162" s="28" t="s">
        <v>142</v>
      </c>
      <c r="C162" s="23" t="s">
        <v>21</v>
      </c>
      <c r="D162" s="93">
        <v>1.2749999999999999</v>
      </c>
      <c r="E162" s="94">
        <v>59.5</v>
      </c>
      <c r="F162" s="207">
        <f t="shared" si="20"/>
        <v>75.862499999999997</v>
      </c>
      <c r="G162" s="94"/>
      <c r="H162" s="22" t="s">
        <v>143</v>
      </c>
    </row>
    <row r="163" spans="1:9" x14ac:dyDescent="0.25">
      <c r="A163" s="21"/>
      <c r="B163" s="28" t="s">
        <v>144</v>
      </c>
      <c r="C163" s="23" t="s">
        <v>21</v>
      </c>
      <c r="D163" s="23">
        <v>0.46</v>
      </c>
      <c r="E163" s="94">
        <v>59.5</v>
      </c>
      <c r="F163" s="207">
        <f t="shared" si="20"/>
        <v>27.37</v>
      </c>
      <c r="G163" s="60"/>
      <c r="H163" s="22" t="s">
        <v>145</v>
      </c>
    </row>
    <row r="164" spans="1:9" x14ac:dyDescent="0.25">
      <c r="A164" s="21"/>
      <c r="B164" s="22" t="s">
        <v>146</v>
      </c>
      <c r="C164" s="23" t="s">
        <v>21</v>
      </c>
      <c r="D164" s="95">
        <v>2.87</v>
      </c>
      <c r="E164" s="94">
        <v>59.5</v>
      </c>
      <c r="F164" s="207">
        <f t="shared" si="20"/>
        <v>170.76500000000001</v>
      </c>
      <c r="G164" s="96"/>
      <c r="H164" s="22" t="s">
        <v>147</v>
      </c>
      <c r="I164" s="97" t="s">
        <v>148</v>
      </c>
    </row>
    <row r="165" spans="1:9" x14ac:dyDescent="0.25">
      <c r="A165" s="21"/>
      <c r="B165" s="22" t="s">
        <v>149</v>
      </c>
      <c r="C165" s="23" t="s">
        <v>21</v>
      </c>
      <c r="D165" s="23">
        <v>0.37</v>
      </c>
      <c r="E165" s="60"/>
      <c r="F165" s="60"/>
      <c r="G165" s="60"/>
      <c r="H165" s="22" t="s">
        <v>150</v>
      </c>
    </row>
    <row r="166" spans="1:9" ht="28.8" x14ac:dyDescent="0.25">
      <c r="A166" s="21"/>
      <c r="B166" s="47" t="s">
        <v>73</v>
      </c>
      <c r="C166" s="23" t="s">
        <v>21</v>
      </c>
      <c r="D166" s="98">
        <f>0.37*1.9</f>
        <v>0.70299999999999996</v>
      </c>
      <c r="E166" s="73"/>
      <c r="F166" s="73"/>
      <c r="G166" s="57" t="s">
        <v>74</v>
      </c>
      <c r="H166" s="31" t="s">
        <v>151</v>
      </c>
    </row>
    <row r="167" spans="1:9" s="51" customFormat="1" x14ac:dyDescent="0.25">
      <c r="A167" s="21"/>
      <c r="B167" s="92" t="s">
        <v>152</v>
      </c>
      <c r="C167" s="42" t="s">
        <v>21</v>
      </c>
      <c r="D167" s="42">
        <v>76.17</v>
      </c>
      <c r="E167" s="99"/>
      <c r="F167" s="99"/>
      <c r="G167" s="99"/>
      <c r="H167" s="45"/>
    </row>
    <row r="168" spans="1:9" x14ac:dyDescent="0.25">
      <c r="A168" s="21"/>
      <c r="B168" s="28" t="s">
        <v>138</v>
      </c>
      <c r="C168" s="23" t="s">
        <v>21</v>
      </c>
      <c r="D168" s="93">
        <v>73.308000000000007</v>
      </c>
      <c r="E168" s="94">
        <v>64.5</v>
      </c>
      <c r="F168" s="207">
        <f t="shared" ref="F168:F172" si="21">E168*D168</f>
        <v>4728.3660000000009</v>
      </c>
      <c r="G168" s="100"/>
      <c r="H168" s="101" t="s">
        <v>139</v>
      </c>
    </row>
    <row r="169" spans="1:9" x14ac:dyDescent="0.25">
      <c r="A169" s="21"/>
      <c r="B169" s="28" t="s">
        <v>140</v>
      </c>
      <c r="C169" s="23" t="s">
        <v>21</v>
      </c>
      <c r="D169" s="93">
        <v>1.131</v>
      </c>
      <c r="E169" s="94">
        <v>59.5</v>
      </c>
      <c r="F169" s="207">
        <f t="shared" si="21"/>
        <v>67.294499999999999</v>
      </c>
      <c r="G169" s="94"/>
      <c r="H169" s="22" t="s">
        <v>141</v>
      </c>
    </row>
    <row r="170" spans="1:9" x14ac:dyDescent="0.25">
      <c r="A170" s="21"/>
      <c r="B170" s="28" t="s">
        <v>142</v>
      </c>
      <c r="C170" s="23" t="s">
        <v>21</v>
      </c>
      <c r="D170" s="93">
        <v>1.2749999999999999</v>
      </c>
      <c r="E170" s="94">
        <v>59.5</v>
      </c>
      <c r="F170" s="207">
        <f t="shared" si="21"/>
        <v>75.862499999999997</v>
      </c>
      <c r="G170" s="94"/>
      <c r="H170" s="22" t="s">
        <v>143</v>
      </c>
    </row>
    <row r="171" spans="1:9" x14ac:dyDescent="0.25">
      <c r="A171" s="21"/>
      <c r="B171" s="28" t="s">
        <v>144</v>
      </c>
      <c r="C171" s="23" t="s">
        <v>21</v>
      </c>
      <c r="D171" s="23">
        <v>0.46</v>
      </c>
      <c r="E171" s="94">
        <v>59.5</v>
      </c>
      <c r="F171" s="207">
        <f t="shared" si="21"/>
        <v>27.37</v>
      </c>
      <c r="G171" s="60"/>
      <c r="H171" s="22" t="s">
        <v>145</v>
      </c>
    </row>
    <row r="172" spans="1:9" x14ac:dyDescent="0.25">
      <c r="A172" s="21"/>
      <c r="B172" s="22" t="s">
        <v>146</v>
      </c>
      <c r="C172" s="24" t="s">
        <v>21</v>
      </c>
      <c r="D172" s="95">
        <v>2.87</v>
      </c>
      <c r="E172" s="94">
        <v>59.5</v>
      </c>
      <c r="F172" s="207">
        <f t="shared" si="21"/>
        <v>170.76500000000001</v>
      </c>
      <c r="G172" s="96"/>
      <c r="H172" s="22" t="s">
        <v>147</v>
      </c>
      <c r="I172" s="97" t="s">
        <v>148</v>
      </c>
    </row>
    <row r="173" spans="1:9" x14ac:dyDescent="0.25">
      <c r="A173" s="21"/>
      <c r="B173" s="22" t="s">
        <v>149</v>
      </c>
      <c r="C173" s="23" t="s">
        <v>21</v>
      </c>
      <c r="D173" s="24">
        <v>0.37</v>
      </c>
      <c r="E173" s="102"/>
      <c r="F173" s="102"/>
      <c r="G173" s="102"/>
      <c r="H173" s="22" t="s">
        <v>153</v>
      </c>
    </row>
    <row r="174" spans="1:9" ht="28.8" x14ac:dyDescent="0.25">
      <c r="A174" s="21"/>
      <c r="B174" s="47" t="s">
        <v>73</v>
      </c>
      <c r="C174" s="23" t="s">
        <v>21</v>
      </c>
      <c r="D174" s="98">
        <f>0.37*1.9</f>
        <v>0.70299999999999996</v>
      </c>
      <c r="E174" s="73"/>
      <c r="F174" s="73"/>
      <c r="G174" s="57" t="s">
        <v>74</v>
      </c>
      <c r="H174" s="31" t="s">
        <v>151</v>
      </c>
    </row>
    <row r="175" spans="1:9" s="51" customFormat="1" x14ac:dyDescent="0.25">
      <c r="A175" s="21"/>
      <c r="B175" s="92" t="s">
        <v>154</v>
      </c>
      <c r="C175" s="42" t="s">
        <v>21</v>
      </c>
      <c r="D175" s="103">
        <v>1.94</v>
      </c>
      <c r="E175" s="104"/>
      <c r="F175" s="104"/>
      <c r="G175" s="104"/>
      <c r="H175" s="105"/>
    </row>
    <row r="176" spans="1:9" x14ac:dyDescent="0.25">
      <c r="A176" s="21"/>
      <c r="B176" s="28" t="s">
        <v>155</v>
      </c>
      <c r="C176" s="23" t="s">
        <v>21</v>
      </c>
      <c r="D176" s="106">
        <f>0.16*5.38</f>
        <v>0.86080000000000001</v>
      </c>
      <c r="E176" s="107">
        <v>57.6</v>
      </c>
      <c r="F176" s="207">
        <f t="shared" ref="F176:F179" si="22">E176*D176</f>
        <v>49.582080000000005</v>
      </c>
      <c r="G176" s="107"/>
      <c r="H176" s="101" t="s">
        <v>156</v>
      </c>
    </row>
    <row r="177" spans="1:9" x14ac:dyDescent="0.25">
      <c r="A177" s="21"/>
      <c r="B177" s="28" t="s">
        <v>157</v>
      </c>
      <c r="C177" s="23" t="s">
        <v>21</v>
      </c>
      <c r="D177" s="106">
        <v>0.49</v>
      </c>
      <c r="E177" s="94">
        <v>59.5</v>
      </c>
      <c r="F177" s="207">
        <f t="shared" si="22"/>
        <v>29.155000000000001</v>
      </c>
      <c r="G177" s="107"/>
      <c r="H177" s="101" t="s">
        <v>158</v>
      </c>
    </row>
    <row r="178" spans="1:9" x14ac:dyDescent="0.25">
      <c r="A178" s="21"/>
      <c r="B178" s="28" t="s">
        <v>159</v>
      </c>
      <c r="C178" s="23" t="s">
        <v>21</v>
      </c>
      <c r="D178" s="106">
        <v>0.59</v>
      </c>
      <c r="E178" s="94">
        <v>59.5</v>
      </c>
      <c r="F178" s="207">
        <f t="shared" si="22"/>
        <v>35.104999999999997</v>
      </c>
      <c r="G178" s="107"/>
      <c r="H178" s="101" t="s">
        <v>160</v>
      </c>
    </row>
    <row r="179" spans="1:9" x14ac:dyDescent="0.25">
      <c r="A179" s="21"/>
      <c r="B179" s="22" t="s">
        <v>146</v>
      </c>
      <c r="C179" s="29" t="s">
        <v>21</v>
      </c>
      <c r="D179" s="108">
        <v>1.08</v>
      </c>
      <c r="E179" s="94">
        <v>59.5</v>
      </c>
      <c r="F179" s="207">
        <f t="shared" si="22"/>
        <v>64.260000000000005</v>
      </c>
      <c r="G179" s="109"/>
      <c r="H179" s="101" t="s">
        <v>161</v>
      </c>
      <c r="I179" s="97" t="s">
        <v>148</v>
      </c>
    </row>
    <row r="180" spans="1:9" x14ac:dyDescent="0.25">
      <c r="A180" s="21"/>
      <c r="B180" s="22" t="s">
        <v>162</v>
      </c>
      <c r="C180" s="29" t="s">
        <v>21</v>
      </c>
      <c r="D180" s="110">
        <v>0.1</v>
      </c>
      <c r="E180" s="202"/>
      <c r="F180" s="202"/>
      <c r="G180" s="111"/>
      <c r="H180" s="101" t="s">
        <v>163</v>
      </c>
    </row>
    <row r="181" spans="1:9" ht="28.8" x14ac:dyDescent="0.25">
      <c r="A181" s="21"/>
      <c r="B181" s="47" t="s">
        <v>73</v>
      </c>
      <c r="C181" s="23" t="s">
        <v>21</v>
      </c>
      <c r="D181" s="98">
        <f>0.1*1.9</f>
        <v>0.19</v>
      </c>
      <c r="E181" s="73"/>
      <c r="F181" s="73"/>
      <c r="G181" s="57" t="s">
        <v>74</v>
      </c>
      <c r="H181" s="31" t="s">
        <v>164</v>
      </c>
    </row>
    <row r="182" spans="1:9" s="51" customFormat="1" x14ac:dyDescent="0.25">
      <c r="A182" s="112"/>
      <c r="B182" s="92" t="s">
        <v>165</v>
      </c>
      <c r="C182" s="113" t="s">
        <v>21</v>
      </c>
      <c r="D182" s="114">
        <v>3.17</v>
      </c>
      <c r="E182" s="115"/>
      <c r="F182" s="115"/>
      <c r="G182" s="115"/>
      <c r="H182" s="105"/>
      <c r="I182" s="116"/>
    </row>
    <row r="183" spans="1:9" x14ac:dyDescent="0.25">
      <c r="A183" s="21"/>
      <c r="B183" s="28" t="s">
        <v>166</v>
      </c>
      <c r="C183" s="29" t="s">
        <v>21</v>
      </c>
      <c r="D183" s="117">
        <v>3.17</v>
      </c>
      <c r="E183" s="94">
        <v>59.5</v>
      </c>
      <c r="F183" s="207">
        <f t="shared" ref="F183:F184" si="23">E183*D183</f>
        <v>188.61500000000001</v>
      </c>
      <c r="G183" s="118"/>
      <c r="H183" s="101" t="s">
        <v>167</v>
      </c>
      <c r="I183" s="97"/>
    </row>
    <row r="184" spans="1:9" x14ac:dyDescent="0.25">
      <c r="A184" s="21"/>
      <c r="B184" s="22" t="s">
        <v>146</v>
      </c>
      <c r="C184" s="29" t="s">
        <v>21</v>
      </c>
      <c r="D184" s="117">
        <v>3.17</v>
      </c>
      <c r="E184" s="94">
        <v>59.5</v>
      </c>
      <c r="F184" s="207">
        <f t="shared" si="23"/>
        <v>188.61500000000001</v>
      </c>
      <c r="G184" s="118"/>
      <c r="H184" s="101" t="s">
        <v>168</v>
      </c>
      <c r="I184" s="97" t="s">
        <v>148</v>
      </c>
    </row>
    <row r="185" spans="1:9" x14ac:dyDescent="0.25">
      <c r="A185" s="12"/>
      <c r="B185" s="13" t="s">
        <v>169</v>
      </c>
      <c r="C185" s="119" t="s">
        <v>21</v>
      </c>
      <c r="D185" s="14">
        <v>688.68</v>
      </c>
      <c r="E185" s="89"/>
      <c r="F185" s="89"/>
      <c r="G185" s="89"/>
      <c r="H185" s="17" t="s">
        <v>170</v>
      </c>
    </row>
    <row r="186" spans="1:9" s="51" customFormat="1" x14ac:dyDescent="0.25">
      <c r="A186" s="21"/>
      <c r="B186" s="92" t="s">
        <v>171</v>
      </c>
      <c r="C186" s="112" t="s">
        <v>21</v>
      </c>
      <c r="D186" s="112">
        <v>74.540000000000006</v>
      </c>
      <c r="E186" s="120"/>
      <c r="F186" s="120"/>
      <c r="G186" s="120"/>
      <c r="H186" s="105"/>
    </row>
    <row r="187" spans="1:9" x14ac:dyDescent="0.25">
      <c r="A187" s="21"/>
      <c r="B187" s="28" t="s">
        <v>172</v>
      </c>
      <c r="C187" s="29" t="s">
        <v>21</v>
      </c>
      <c r="D187" s="29">
        <f>12.9*5.7</f>
        <v>73.53</v>
      </c>
      <c r="E187" s="209">
        <v>114</v>
      </c>
      <c r="F187" s="207">
        <f t="shared" ref="F187:F189" si="24">E187*D187</f>
        <v>8382.42</v>
      </c>
      <c r="G187" s="30"/>
      <c r="H187" s="101" t="s">
        <v>173</v>
      </c>
    </row>
    <row r="188" spans="1:9" x14ac:dyDescent="0.25">
      <c r="A188" s="21"/>
      <c r="B188" s="28" t="s">
        <v>174</v>
      </c>
      <c r="C188" s="29" t="s">
        <v>21</v>
      </c>
      <c r="D188" s="110">
        <f>6*0.169</f>
        <v>1.014</v>
      </c>
      <c r="E188" s="94">
        <v>59.5</v>
      </c>
      <c r="F188" s="207">
        <f t="shared" si="24"/>
        <v>60.332999999999998</v>
      </c>
      <c r="G188" s="121"/>
      <c r="H188" s="101" t="s">
        <v>175</v>
      </c>
    </row>
    <row r="189" spans="1:9" x14ac:dyDescent="0.25">
      <c r="A189" s="21"/>
      <c r="B189" s="28" t="s">
        <v>146</v>
      </c>
      <c r="C189" s="29" t="s">
        <v>21</v>
      </c>
      <c r="D189" s="29">
        <v>1.01</v>
      </c>
      <c r="E189" s="94">
        <v>59.5</v>
      </c>
      <c r="F189" s="207">
        <f t="shared" si="24"/>
        <v>60.094999999999999</v>
      </c>
      <c r="G189" s="30"/>
      <c r="H189" s="101" t="s">
        <v>161</v>
      </c>
    </row>
    <row r="190" spans="1:9" x14ac:dyDescent="0.25">
      <c r="A190" s="21"/>
      <c r="B190" s="22" t="s">
        <v>149</v>
      </c>
      <c r="C190" s="29" t="s">
        <v>21</v>
      </c>
      <c r="D190" s="29">
        <v>0.23</v>
      </c>
      <c r="E190" s="30"/>
      <c r="F190" s="30"/>
      <c r="G190" s="30"/>
      <c r="H190" s="101" t="s">
        <v>176</v>
      </c>
    </row>
    <row r="191" spans="1:9" ht="28.8" x14ac:dyDescent="0.25">
      <c r="A191" s="21"/>
      <c r="B191" s="47" t="s">
        <v>73</v>
      </c>
      <c r="C191" s="23" t="s">
        <v>21</v>
      </c>
      <c r="D191" s="98">
        <f>0.23*1.9</f>
        <v>0.437</v>
      </c>
      <c r="E191" s="73"/>
      <c r="F191" s="73"/>
      <c r="G191" s="57" t="s">
        <v>74</v>
      </c>
      <c r="H191" s="31" t="s">
        <v>177</v>
      </c>
    </row>
    <row r="192" spans="1:9" x14ac:dyDescent="0.25">
      <c r="A192" s="21"/>
      <c r="B192" s="92" t="s">
        <v>178</v>
      </c>
      <c r="C192" s="29"/>
      <c r="D192" s="29"/>
      <c r="E192" s="30"/>
      <c r="F192" s="30"/>
      <c r="G192" s="30"/>
      <c r="H192" s="101"/>
    </row>
    <row r="193" spans="1:9" x14ac:dyDescent="0.25">
      <c r="A193" s="21"/>
      <c r="B193" s="28" t="s">
        <v>179</v>
      </c>
      <c r="C193" s="23" t="s">
        <v>21</v>
      </c>
      <c r="D193" s="93">
        <f>5.8*0.16</f>
        <v>0.92799999999999994</v>
      </c>
      <c r="E193" s="107">
        <v>57.6</v>
      </c>
      <c r="F193" s="207">
        <f t="shared" ref="F193" si="25">E193*D193</f>
        <v>53.452799999999996</v>
      </c>
      <c r="G193" s="94"/>
      <c r="H193" s="22" t="s">
        <v>180</v>
      </c>
    </row>
    <row r="194" spans="1:9" x14ac:dyDescent="0.25">
      <c r="A194" s="21"/>
      <c r="B194" s="92" t="s">
        <v>181</v>
      </c>
      <c r="C194" s="29"/>
      <c r="D194" s="29"/>
      <c r="E194" s="30"/>
      <c r="F194" s="30"/>
      <c r="G194" s="30"/>
      <c r="H194" s="101"/>
    </row>
    <row r="195" spans="1:9" x14ac:dyDescent="0.25">
      <c r="A195" s="21"/>
      <c r="B195" s="28" t="s">
        <v>182</v>
      </c>
      <c r="C195" s="23" t="s">
        <v>21</v>
      </c>
      <c r="D195" s="42">
        <f>12*0.165</f>
        <v>1.98</v>
      </c>
      <c r="E195" s="94">
        <v>59.5</v>
      </c>
      <c r="F195" s="207">
        <f t="shared" ref="F195" si="26">E195*D195</f>
        <v>117.81</v>
      </c>
      <c r="G195" s="61"/>
      <c r="H195" s="22" t="s">
        <v>183</v>
      </c>
    </row>
    <row r="196" spans="1:9" x14ac:dyDescent="0.25">
      <c r="A196" s="21"/>
      <c r="B196" s="22" t="s">
        <v>146</v>
      </c>
      <c r="C196" s="23" t="s">
        <v>21</v>
      </c>
      <c r="D196" s="122">
        <v>1.98</v>
      </c>
      <c r="E196" s="123"/>
      <c r="F196" s="123"/>
      <c r="G196" s="123"/>
      <c r="H196" s="22" t="s">
        <v>184</v>
      </c>
      <c r="I196" s="90" t="s">
        <v>185</v>
      </c>
    </row>
    <row r="197" spans="1:9" x14ac:dyDescent="0.25">
      <c r="A197" s="12"/>
      <c r="B197" s="13" t="s">
        <v>186</v>
      </c>
      <c r="C197" s="14" t="s">
        <v>21</v>
      </c>
      <c r="D197" s="14">
        <v>39352.25</v>
      </c>
      <c r="E197" s="89"/>
      <c r="F197" s="89"/>
      <c r="G197" s="89"/>
      <c r="H197" s="17" t="s">
        <v>187</v>
      </c>
    </row>
    <row r="198" spans="1:9" s="51" customFormat="1" x14ac:dyDescent="0.25">
      <c r="A198" s="21"/>
      <c r="B198" s="92" t="s">
        <v>188</v>
      </c>
      <c r="C198" s="42" t="s">
        <v>21</v>
      </c>
      <c r="D198" s="42">
        <v>76.17</v>
      </c>
      <c r="E198" s="99"/>
      <c r="F198" s="99"/>
      <c r="G198" s="99"/>
      <c r="H198" s="45"/>
    </row>
    <row r="199" spans="1:9" x14ac:dyDescent="0.25">
      <c r="A199" s="21"/>
      <c r="B199" s="28" t="s">
        <v>138</v>
      </c>
      <c r="C199" s="23" t="s">
        <v>21</v>
      </c>
      <c r="D199" s="93">
        <v>73.308000000000007</v>
      </c>
      <c r="E199" s="94">
        <v>64.5</v>
      </c>
      <c r="F199" s="207">
        <f t="shared" ref="F199:F203" si="27">E199*D199</f>
        <v>4728.3660000000009</v>
      </c>
      <c r="G199" s="100"/>
      <c r="H199" s="101" t="s">
        <v>139</v>
      </c>
    </row>
    <row r="200" spans="1:9" x14ac:dyDescent="0.25">
      <c r="A200" s="21"/>
      <c r="B200" s="28" t="s">
        <v>140</v>
      </c>
      <c r="C200" s="23" t="s">
        <v>21</v>
      </c>
      <c r="D200" s="93">
        <v>1.131</v>
      </c>
      <c r="E200" s="94">
        <v>59.5</v>
      </c>
      <c r="F200" s="207">
        <f t="shared" si="27"/>
        <v>67.294499999999999</v>
      </c>
      <c r="G200" s="94"/>
      <c r="H200" s="22" t="s">
        <v>141</v>
      </c>
    </row>
    <row r="201" spans="1:9" x14ac:dyDescent="0.25">
      <c r="A201" s="21"/>
      <c r="B201" s="28" t="s">
        <v>142</v>
      </c>
      <c r="C201" s="23" t="s">
        <v>21</v>
      </c>
      <c r="D201" s="93">
        <v>1.2749999999999999</v>
      </c>
      <c r="E201" s="94">
        <v>59.5</v>
      </c>
      <c r="F201" s="207">
        <f t="shared" si="27"/>
        <v>75.862499999999997</v>
      </c>
      <c r="G201" s="94"/>
      <c r="H201" s="22" t="s">
        <v>143</v>
      </c>
    </row>
    <row r="202" spans="1:9" x14ac:dyDescent="0.25">
      <c r="A202" s="21"/>
      <c r="B202" s="28" t="s">
        <v>144</v>
      </c>
      <c r="C202" s="23" t="s">
        <v>21</v>
      </c>
      <c r="D202" s="23">
        <v>0.46</v>
      </c>
      <c r="E202" s="94">
        <v>59.5</v>
      </c>
      <c r="F202" s="207">
        <f t="shared" si="27"/>
        <v>27.37</v>
      </c>
      <c r="G202" s="60"/>
      <c r="H202" s="22" t="s">
        <v>145</v>
      </c>
    </row>
    <row r="203" spans="1:9" x14ac:dyDescent="0.25">
      <c r="A203" s="21"/>
      <c r="B203" s="22" t="s">
        <v>146</v>
      </c>
      <c r="C203" s="24" t="s">
        <v>21</v>
      </c>
      <c r="D203" s="95">
        <v>2.87</v>
      </c>
      <c r="E203" s="94">
        <v>59.5</v>
      </c>
      <c r="F203" s="207">
        <f t="shared" si="27"/>
        <v>170.76500000000001</v>
      </c>
      <c r="G203" s="96"/>
      <c r="H203" s="22" t="s">
        <v>147</v>
      </c>
      <c r="I203" s="97" t="s">
        <v>148</v>
      </c>
    </row>
    <row r="204" spans="1:9" x14ac:dyDescent="0.25">
      <c r="A204" s="21"/>
      <c r="B204" s="22" t="s">
        <v>149</v>
      </c>
      <c r="C204" s="23" t="s">
        <v>21</v>
      </c>
      <c r="D204" s="24">
        <v>0.37</v>
      </c>
      <c r="E204" s="102"/>
      <c r="F204" s="102"/>
      <c r="G204" s="102"/>
      <c r="H204" s="22" t="s">
        <v>153</v>
      </c>
    </row>
    <row r="205" spans="1:9" ht="28.8" x14ac:dyDescent="0.25">
      <c r="A205" s="21"/>
      <c r="B205" s="47" t="s">
        <v>73</v>
      </c>
      <c r="C205" s="23" t="s">
        <v>21</v>
      </c>
      <c r="D205" s="98">
        <f>0.37*1.9</f>
        <v>0.70299999999999996</v>
      </c>
      <c r="E205" s="73"/>
      <c r="F205" s="73"/>
      <c r="G205" s="57" t="s">
        <v>74</v>
      </c>
      <c r="H205" s="31" t="s">
        <v>151</v>
      </c>
    </row>
    <row r="206" spans="1:9" s="51" customFormat="1" x14ac:dyDescent="0.25">
      <c r="A206" s="21"/>
      <c r="B206" s="92" t="s">
        <v>188</v>
      </c>
      <c r="C206" s="42" t="s">
        <v>21</v>
      </c>
      <c r="D206" s="42">
        <v>76.17</v>
      </c>
      <c r="E206" s="99"/>
      <c r="F206" s="99"/>
      <c r="G206" s="99"/>
      <c r="H206" s="45"/>
    </row>
    <row r="207" spans="1:9" x14ac:dyDescent="0.25">
      <c r="A207" s="21"/>
      <c r="B207" s="28" t="s">
        <v>138</v>
      </c>
      <c r="C207" s="23" t="s">
        <v>21</v>
      </c>
      <c r="D207" s="93">
        <v>73.308000000000007</v>
      </c>
      <c r="E207" s="94">
        <v>64.5</v>
      </c>
      <c r="F207" s="207">
        <f t="shared" ref="F207:F211" si="28">E207*D207</f>
        <v>4728.3660000000009</v>
      </c>
      <c r="G207" s="100"/>
      <c r="H207" s="101" t="s">
        <v>139</v>
      </c>
    </row>
    <row r="208" spans="1:9" x14ac:dyDescent="0.25">
      <c r="A208" s="21"/>
      <c r="B208" s="28" t="s">
        <v>140</v>
      </c>
      <c r="C208" s="23" t="s">
        <v>21</v>
      </c>
      <c r="D208" s="93">
        <v>1.131</v>
      </c>
      <c r="E208" s="94">
        <v>59.5</v>
      </c>
      <c r="F208" s="207">
        <f t="shared" si="28"/>
        <v>67.294499999999999</v>
      </c>
      <c r="G208" s="94"/>
      <c r="H208" s="22" t="s">
        <v>141</v>
      </c>
    </row>
    <row r="209" spans="1:9" x14ac:dyDescent="0.25">
      <c r="A209" s="21"/>
      <c r="B209" s="28" t="s">
        <v>142</v>
      </c>
      <c r="C209" s="23" t="s">
        <v>21</v>
      </c>
      <c r="D209" s="93">
        <v>1.2749999999999999</v>
      </c>
      <c r="E209" s="94">
        <v>59.5</v>
      </c>
      <c r="F209" s="207">
        <f t="shared" si="28"/>
        <v>75.862499999999997</v>
      </c>
      <c r="G209" s="94"/>
      <c r="H209" s="22" t="s">
        <v>143</v>
      </c>
    </row>
    <row r="210" spans="1:9" x14ac:dyDescent="0.25">
      <c r="A210" s="21"/>
      <c r="B210" s="28" t="s">
        <v>144</v>
      </c>
      <c r="C210" s="23" t="s">
        <v>21</v>
      </c>
      <c r="D210" s="23">
        <v>0.46</v>
      </c>
      <c r="E210" s="94">
        <v>59.5</v>
      </c>
      <c r="F210" s="207">
        <f t="shared" si="28"/>
        <v>27.37</v>
      </c>
      <c r="G210" s="60"/>
      <c r="H210" s="22" t="s">
        <v>145</v>
      </c>
    </row>
    <row r="211" spans="1:9" x14ac:dyDescent="0.25">
      <c r="A211" s="21"/>
      <c r="B211" s="22" t="s">
        <v>146</v>
      </c>
      <c r="C211" s="24" t="s">
        <v>21</v>
      </c>
      <c r="D211" s="95">
        <v>2.87</v>
      </c>
      <c r="E211" s="94">
        <v>59.5</v>
      </c>
      <c r="F211" s="207">
        <f t="shared" si="28"/>
        <v>170.76500000000001</v>
      </c>
      <c r="G211" s="96"/>
      <c r="H211" s="22" t="s">
        <v>147</v>
      </c>
      <c r="I211" s="97" t="s">
        <v>148</v>
      </c>
    </row>
    <row r="212" spans="1:9" x14ac:dyDescent="0.25">
      <c r="A212" s="21"/>
      <c r="B212" s="22" t="s">
        <v>149</v>
      </c>
      <c r="C212" s="23" t="s">
        <v>21</v>
      </c>
      <c r="D212" s="24">
        <v>0.37</v>
      </c>
      <c r="E212" s="102"/>
      <c r="F212" s="102"/>
      <c r="G212" s="102"/>
      <c r="H212" s="22" t="s">
        <v>153</v>
      </c>
    </row>
    <row r="213" spans="1:9" ht="28.8" x14ac:dyDescent="0.25">
      <c r="A213" s="21"/>
      <c r="B213" s="47" t="s">
        <v>73</v>
      </c>
      <c r="C213" s="23" t="s">
        <v>21</v>
      </c>
      <c r="D213" s="98">
        <f>0.37*1.9</f>
        <v>0.70299999999999996</v>
      </c>
      <c r="E213" s="73"/>
      <c r="F213" s="73"/>
      <c r="G213" s="57" t="s">
        <v>74</v>
      </c>
      <c r="H213" s="31" t="s">
        <v>151</v>
      </c>
    </row>
    <row r="214" spans="1:9" s="51" customFormat="1" x14ac:dyDescent="0.25">
      <c r="A214" s="21"/>
      <c r="B214" s="92" t="s">
        <v>189</v>
      </c>
      <c r="C214" s="42" t="s">
        <v>21</v>
      </c>
      <c r="D214" s="103">
        <v>5.82</v>
      </c>
      <c r="E214" s="104"/>
      <c r="F214" s="104"/>
      <c r="G214" s="104"/>
      <c r="H214" s="105" t="s">
        <v>190</v>
      </c>
    </row>
    <row r="215" spans="1:9" x14ac:dyDescent="0.25">
      <c r="A215" s="21"/>
      <c r="B215" s="28" t="s">
        <v>155</v>
      </c>
      <c r="C215" s="23" t="s">
        <v>21</v>
      </c>
      <c r="D215" s="106">
        <f>0.16*5.38</f>
        <v>0.86080000000000001</v>
      </c>
      <c r="E215" s="107">
        <v>57.6</v>
      </c>
      <c r="F215" s="207">
        <f t="shared" ref="F215:F219" si="29">E215*D215</f>
        <v>49.582080000000005</v>
      </c>
      <c r="G215" s="107"/>
      <c r="H215" s="101" t="s">
        <v>156</v>
      </c>
    </row>
    <row r="216" spans="1:9" x14ac:dyDescent="0.25">
      <c r="A216" s="21"/>
      <c r="B216" s="28" t="s">
        <v>157</v>
      </c>
      <c r="C216" s="23" t="s">
        <v>21</v>
      </c>
      <c r="D216" s="106">
        <v>0.49</v>
      </c>
      <c r="E216" s="94">
        <v>59.5</v>
      </c>
      <c r="F216" s="207">
        <f t="shared" si="29"/>
        <v>29.155000000000001</v>
      </c>
      <c r="G216" s="107"/>
      <c r="H216" s="101" t="s">
        <v>158</v>
      </c>
    </row>
    <row r="217" spans="1:9" x14ac:dyDescent="0.25">
      <c r="A217" s="21"/>
      <c r="B217" s="28" t="s">
        <v>159</v>
      </c>
      <c r="C217" s="23" t="s">
        <v>21</v>
      </c>
      <c r="D217" s="106">
        <v>0.59</v>
      </c>
      <c r="E217" s="94">
        <v>59.5</v>
      </c>
      <c r="F217" s="207">
        <f t="shared" si="29"/>
        <v>35.104999999999997</v>
      </c>
      <c r="G217" s="107"/>
      <c r="H217" s="101" t="s">
        <v>160</v>
      </c>
    </row>
    <row r="218" spans="1:9" x14ac:dyDescent="0.25">
      <c r="A218" s="21"/>
      <c r="B218" s="22" t="s">
        <v>146</v>
      </c>
      <c r="C218" s="29" t="s">
        <v>21</v>
      </c>
      <c r="D218" s="108">
        <v>1.08</v>
      </c>
      <c r="E218" s="94">
        <v>59.5</v>
      </c>
      <c r="F218" s="207">
        <f t="shared" si="29"/>
        <v>64.260000000000005</v>
      </c>
      <c r="G218" s="109"/>
      <c r="H218" s="101" t="s">
        <v>161</v>
      </c>
      <c r="I218" s="97" t="s">
        <v>148</v>
      </c>
    </row>
    <row r="219" spans="1:9" x14ac:dyDescent="0.25">
      <c r="A219" s="21"/>
      <c r="B219" s="22" t="s">
        <v>191</v>
      </c>
      <c r="C219" s="29" t="s">
        <v>21</v>
      </c>
      <c r="D219" s="29">
        <v>0.1</v>
      </c>
      <c r="E219" s="94">
        <v>59.5</v>
      </c>
      <c r="F219" s="207">
        <f t="shared" si="29"/>
        <v>5.95</v>
      </c>
      <c r="G219" s="111"/>
      <c r="H219" s="101" t="s">
        <v>163</v>
      </c>
    </row>
    <row r="220" spans="1:9" ht="28.8" x14ac:dyDescent="0.25">
      <c r="A220" s="21"/>
      <c r="B220" s="47" t="s">
        <v>73</v>
      </c>
      <c r="C220" s="23" t="s">
        <v>21</v>
      </c>
      <c r="D220" s="98">
        <f>0.1*1.9</f>
        <v>0.19</v>
      </c>
      <c r="E220" s="73"/>
      <c r="F220" s="73"/>
      <c r="G220" s="57" t="s">
        <v>74</v>
      </c>
      <c r="H220" s="31" t="s">
        <v>164</v>
      </c>
    </row>
    <row r="221" spans="1:9" x14ac:dyDescent="0.25">
      <c r="A221" s="21"/>
      <c r="B221" s="92" t="s">
        <v>192</v>
      </c>
      <c r="C221" s="42" t="s">
        <v>21</v>
      </c>
      <c r="D221" s="124">
        <v>1.81</v>
      </c>
      <c r="E221" s="125"/>
      <c r="F221" s="125"/>
      <c r="G221" s="125"/>
      <c r="H221" s="101"/>
    </row>
    <row r="222" spans="1:9" x14ac:dyDescent="0.25">
      <c r="A222" s="21"/>
      <c r="B222" s="28" t="s">
        <v>179</v>
      </c>
      <c r="C222" s="23" t="s">
        <v>21</v>
      </c>
      <c r="D222" s="93">
        <v>1.81</v>
      </c>
      <c r="E222" s="107">
        <v>57.6</v>
      </c>
      <c r="F222" s="207">
        <f t="shared" ref="F222" si="30">E222*D222</f>
        <v>104.256</v>
      </c>
      <c r="G222" s="94"/>
      <c r="H222" s="22" t="s">
        <v>193</v>
      </c>
    </row>
    <row r="223" spans="1:9" s="51" customFormat="1" x14ac:dyDescent="0.25">
      <c r="A223" s="12"/>
      <c r="B223" s="13" t="s">
        <v>194</v>
      </c>
      <c r="C223" s="14" t="s">
        <v>21</v>
      </c>
      <c r="D223" s="126">
        <v>9558.4</v>
      </c>
      <c r="E223" s="127"/>
      <c r="F223" s="127"/>
      <c r="G223" s="127"/>
      <c r="H223" s="92" t="s">
        <v>195</v>
      </c>
    </row>
    <row r="224" spans="1:9" s="11" customFormat="1" ht="28.8" x14ac:dyDescent="0.25">
      <c r="A224" s="128"/>
      <c r="B224" s="129" t="s">
        <v>196</v>
      </c>
      <c r="C224" s="7" t="s">
        <v>197</v>
      </c>
      <c r="D224" s="98">
        <v>121</v>
      </c>
      <c r="E224" s="73"/>
      <c r="F224" s="73"/>
      <c r="G224" s="73"/>
      <c r="H224" s="130"/>
      <c r="I224" s="131"/>
    </row>
    <row r="225" spans="1:9" s="51" customFormat="1" x14ac:dyDescent="0.25">
      <c r="A225" s="21"/>
      <c r="B225" s="92" t="s">
        <v>198</v>
      </c>
      <c r="C225" s="112" t="s">
        <v>21</v>
      </c>
      <c r="D225" s="112">
        <v>74.540000000000006</v>
      </c>
      <c r="E225" s="120"/>
      <c r="F225" s="120"/>
      <c r="G225" s="120"/>
      <c r="H225" s="105"/>
    </row>
    <row r="226" spans="1:9" x14ac:dyDescent="0.25">
      <c r="A226" s="21"/>
      <c r="B226" s="28" t="s">
        <v>172</v>
      </c>
      <c r="C226" s="29" t="s">
        <v>21</v>
      </c>
      <c r="D226" s="29">
        <f>12.9*5.7</f>
        <v>73.53</v>
      </c>
      <c r="E226" s="209">
        <v>114</v>
      </c>
      <c r="F226" s="207">
        <f t="shared" ref="F226:F235" si="31">E226*D226</f>
        <v>8382.42</v>
      </c>
      <c r="G226" s="30"/>
      <c r="H226" s="101" t="s">
        <v>173</v>
      </c>
    </row>
    <row r="227" spans="1:9" x14ac:dyDescent="0.25">
      <c r="A227" s="21"/>
      <c r="B227" s="28" t="s">
        <v>174</v>
      </c>
      <c r="C227" s="29" t="s">
        <v>21</v>
      </c>
      <c r="D227" s="110">
        <f>6*0.169</f>
        <v>1.014</v>
      </c>
      <c r="E227" s="94">
        <v>59.5</v>
      </c>
      <c r="F227" s="207">
        <f t="shared" si="31"/>
        <v>60.332999999999998</v>
      </c>
      <c r="G227" s="121"/>
      <c r="H227" s="101" t="s">
        <v>175</v>
      </c>
    </row>
    <row r="228" spans="1:9" x14ac:dyDescent="0.25">
      <c r="A228" s="21"/>
      <c r="B228" s="28" t="s">
        <v>149</v>
      </c>
      <c r="C228" s="29" t="s">
        <v>21</v>
      </c>
      <c r="D228" s="29">
        <v>0.23</v>
      </c>
      <c r="E228" s="30"/>
      <c r="F228" s="207"/>
      <c r="G228" s="30"/>
      <c r="H228" s="101" t="s">
        <v>176</v>
      </c>
    </row>
    <row r="229" spans="1:9" x14ac:dyDescent="0.25">
      <c r="A229" s="21"/>
      <c r="B229" s="28" t="s">
        <v>146</v>
      </c>
      <c r="C229" s="29" t="s">
        <v>21</v>
      </c>
      <c r="D229" s="29">
        <v>1.01</v>
      </c>
      <c r="E229" s="94">
        <v>59.5</v>
      </c>
      <c r="F229" s="207">
        <f t="shared" si="31"/>
        <v>60.094999999999999</v>
      </c>
      <c r="G229" s="30"/>
      <c r="H229" s="101" t="s">
        <v>161</v>
      </c>
    </row>
    <row r="230" spans="1:9" x14ac:dyDescent="0.25">
      <c r="A230" s="21"/>
      <c r="B230" s="92" t="s">
        <v>199</v>
      </c>
      <c r="C230" s="42" t="s">
        <v>21</v>
      </c>
      <c r="D230" s="124">
        <f>5.8*0.16</f>
        <v>0.92799999999999994</v>
      </c>
      <c r="E230" s="125"/>
      <c r="F230" s="207"/>
      <c r="G230" s="125"/>
      <c r="H230" s="101"/>
    </row>
    <row r="231" spans="1:9" x14ac:dyDescent="0.25">
      <c r="A231" s="21"/>
      <c r="B231" s="28" t="s">
        <v>179</v>
      </c>
      <c r="C231" s="23" t="s">
        <v>21</v>
      </c>
      <c r="D231" s="93">
        <f>5.8*0.16</f>
        <v>0.92799999999999994</v>
      </c>
      <c r="E231" s="107">
        <v>57.6</v>
      </c>
      <c r="F231" s="207">
        <f t="shared" si="31"/>
        <v>53.452799999999996</v>
      </c>
      <c r="G231" s="94"/>
      <c r="H231" s="22" t="s">
        <v>180</v>
      </c>
    </row>
    <row r="232" spans="1:9" x14ac:dyDescent="0.25">
      <c r="A232" s="21"/>
      <c r="B232" s="92" t="s">
        <v>200</v>
      </c>
      <c r="C232" s="42" t="s">
        <v>21</v>
      </c>
      <c r="D232" s="42">
        <v>4.46</v>
      </c>
      <c r="E232" s="61"/>
      <c r="F232" s="207"/>
      <c r="G232" s="61"/>
      <c r="H232" s="101"/>
    </row>
    <row r="233" spans="1:9" x14ac:dyDescent="0.25">
      <c r="A233" s="21"/>
      <c r="B233" s="28" t="s">
        <v>182</v>
      </c>
      <c r="C233" s="23" t="s">
        <v>21</v>
      </c>
      <c r="D233" s="23">
        <v>4.46</v>
      </c>
      <c r="E233" s="94">
        <v>59.5</v>
      </c>
      <c r="F233" s="207">
        <f t="shared" si="31"/>
        <v>265.37</v>
      </c>
      <c r="G233" s="60"/>
      <c r="H233" s="22" t="s">
        <v>201</v>
      </c>
    </row>
    <row r="234" spans="1:9" x14ac:dyDescent="0.25">
      <c r="A234" s="21"/>
      <c r="B234" s="92" t="s">
        <v>202</v>
      </c>
      <c r="C234" s="113" t="s">
        <v>21</v>
      </c>
      <c r="D234" s="132">
        <v>1.6</v>
      </c>
      <c r="E234" s="132"/>
      <c r="F234" s="207"/>
      <c r="G234" s="132"/>
      <c r="H234" s="101"/>
    </row>
    <row r="235" spans="1:9" x14ac:dyDescent="0.25">
      <c r="A235" s="21"/>
      <c r="B235" s="133" t="s">
        <v>203</v>
      </c>
      <c r="C235" s="29" t="s">
        <v>21</v>
      </c>
      <c r="D235" s="30">
        <v>1.6</v>
      </c>
      <c r="E235" s="209">
        <v>176</v>
      </c>
      <c r="F235" s="207">
        <f t="shared" si="31"/>
        <v>281.60000000000002</v>
      </c>
      <c r="G235" s="30"/>
      <c r="H235" s="101" t="s">
        <v>204</v>
      </c>
    </row>
    <row r="236" spans="1:9" x14ac:dyDescent="0.25">
      <c r="A236" s="21"/>
      <c r="B236" s="129" t="s">
        <v>205</v>
      </c>
      <c r="C236" s="29" t="s">
        <v>197</v>
      </c>
      <c r="D236" s="30">
        <f>2*121</f>
        <v>242</v>
      </c>
      <c r="E236" s="30"/>
      <c r="F236" s="30"/>
      <c r="G236" s="30"/>
      <c r="H236" s="101"/>
    </row>
    <row r="237" spans="1:9" x14ac:dyDescent="0.25">
      <c r="A237" s="21"/>
      <c r="B237" s="92" t="s">
        <v>206</v>
      </c>
      <c r="C237" s="113"/>
      <c r="D237" s="132"/>
      <c r="E237" s="132"/>
      <c r="F237" s="132"/>
      <c r="G237" s="132"/>
      <c r="H237" s="101"/>
    </row>
    <row r="238" spans="1:9" x14ac:dyDescent="0.25">
      <c r="A238" s="21"/>
      <c r="B238" s="133" t="s">
        <v>207</v>
      </c>
      <c r="C238" s="29" t="s">
        <v>208</v>
      </c>
      <c r="D238" s="30">
        <v>4840</v>
      </c>
      <c r="E238" s="214">
        <v>16.3</v>
      </c>
      <c r="F238" s="214">
        <f>E238*D238</f>
        <v>78892</v>
      </c>
      <c r="G238" s="30"/>
      <c r="H238" s="101" t="s">
        <v>338</v>
      </c>
      <c r="I238" s="27" t="s">
        <v>337</v>
      </c>
    </row>
    <row r="239" spans="1:9" x14ac:dyDescent="0.25">
      <c r="A239" s="21"/>
      <c r="B239" s="22" t="s">
        <v>146</v>
      </c>
      <c r="C239" s="29" t="s">
        <v>21</v>
      </c>
      <c r="D239" s="108">
        <v>4.46</v>
      </c>
      <c r="E239" s="94">
        <v>59.5</v>
      </c>
      <c r="F239" s="94"/>
      <c r="G239" s="109"/>
      <c r="H239" s="101" t="s">
        <v>209</v>
      </c>
      <c r="I239" s="97" t="s">
        <v>148</v>
      </c>
    </row>
    <row r="240" spans="1:9" x14ac:dyDescent="0.25">
      <c r="A240" s="12"/>
      <c r="B240" s="134" t="s">
        <v>210</v>
      </c>
      <c r="C240" s="135"/>
      <c r="D240" s="136"/>
      <c r="E240" s="136"/>
      <c r="F240" s="136"/>
      <c r="G240" s="136"/>
      <c r="H240" s="35" t="s">
        <v>133</v>
      </c>
      <c r="I240" s="97"/>
    </row>
    <row r="241" spans="1:9" x14ac:dyDescent="0.25">
      <c r="A241" s="21"/>
      <c r="B241" s="47" t="s">
        <v>61</v>
      </c>
      <c r="C241" s="7" t="s">
        <v>6</v>
      </c>
      <c r="D241" s="73">
        <v>2556.66</v>
      </c>
      <c r="E241" s="73"/>
      <c r="F241" s="73"/>
      <c r="G241" s="55"/>
      <c r="H241" s="31"/>
    </row>
    <row r="242" spans="1:9" ht="28.8" x14ac:dyDescent="0.25">
      <c r="A242" s="21"/>
      <c r="B242" s="47" t="s">
        <v>62</v>
      </c>
      <c r="C242" s="7" t="s">
        <v>6</v>
      </c>
      <c r="D242" s="73">
        <v>2556.66</v>
      </c>
      <c r="E242" s="73"/>
      <c r="F242" s="73"/>
      <c r="G242" s="55"/>
      <c r="H242" s="31" t="s">
        <v>63</v>
      </c>
    </row>
    <row r="243" spans="1:9" x14ac:dyDescent="0.25">
      <c r="A243" s="21"/>
      <c r="B243" s="52" t="s">
        <v>64</v>
      </c>
      <c r="C243" s="23" t="s">
        <v>21</v>
      </c>
      <c r="D243" s="81">
        <f>2556.66*0.115</f>
        <v>294.01589999999999</v>
      </c>
      <c r="E243" s="211">
        <v>195</v>
      </c>
      <c r="F243" s="214">
        <f>E243*D243</f>
        <v>57333.1005</v>
      </c>
      <c r="G243" s="49"/>
      <c r="H243" s="56" t="s">
        <v>65</v>
      </c>
    </row>
    <row r="244" spans="1:9" x14ac:dyDescent="0.25">
      <c r="A244" s="21"/>
      <c r="B244" s="47" t="s">
        <v>66</v>
      </c>
      <c r="C244" s="23" t="s">
        <v>6</v>
      </c>
      <c r="D244" s="81">
        <f>2556.66*2</f>
        <v>5113.32</v>
      </c>
      <c r="E244" s="201"/>
      <c r="F244" s="214"/>
      <c r="G244" s="55"/>
      <c r="H244" s="32"/>
    </row>
    <row r="245" spans="1:9" x14ac:dyDescent="0.25">
      <c r="A245" s="21"/>
      <c r="B245" s="52" t="s">
        <v>67</v>
      </c>
      <c r="C245" s="23" t="s">
        <v>21</v>
      </c>
      <c r="D245" s="81">
        <f>D244*0.1</f>
        <v>511.33199999999999</v>
      </c>
      <c r="E245" s="211">
        <v>214.8</v>
      </c>
      <c r="F245" s="214">
        <f t="shared" ref="F245:F247" si="32">E245*D245</f>
        <v>109834.11360000001</v>
      </c>
      <c r="G245" s="55"/>
      <c r="H245" s="31" t="s">
        <v>68</v>
      </c>
    </row>
    <row r="246" spans="1:9" x14ac:dyDescent="0.25">
      <c r="A246" s="21"/>
      <c r="B246" s="47" t="s">
        <v>69</v>
      </c>
      <c r="C246" s="23" t="s">
        <v>6</v>
      </c>
      <c r="D246" s="73">
        <v>2556.66</v>
      </c>
      <c r="E246" s="73"/>
      <c r="F246" s="214"/>
      <c r="G246" s="55"/>
      <c r="H246" s="32"/>
    </row>
    <row r="247" spans="1:9" x14ac:dyDescent="0.25">
      <c r="A247" s="21"/>
      <c r="B247" s="52" t="s">
        <v>70</v>
      </c>
      <c r="C247" s="23" t="s">
        <v>21</v>
      </c>
      <c r="D247" s="81">
        <f>D246*1.5</f>
        <v>3834.99</v>
      </c>
      <c r="E247" s="211">
        <v>760</v>
      </c>
      <c r="F247" s="214">
        <f t="shared" si="32"/>
        <v>2914592.4</v>
      </c>
      <c r="G247" s="55"/>
      <c r="H247" s="31" t="s">
        <v>71</v>
      </c>
    </row>
    <row r="248" spans="1:9" x14ac:dyDescent="0.25">
      <c r="A248" s="82"/>
      <c r="B248" s="137" t="s">
        <v>211</v>
      </c>
      <c r="C248" s="82"/>
      <c r="D248" s="138"/>
      <c r="E248" s="139"/>
      <c r="F248" s="139"/>
      <c r="G248" s="139"/>
      <c r="H248" s="140"/>
    </row>
    <row r="249" spans="1:9" ht="28.8" x14ac:dyDescent="0.25">
      <c r="A249" s="21"/>
      <c r="B249" s="91" t="s">
        <v>212</v>
      </c>
      <c r="C249" s="23" t="s">
        <v>6</v>
      </c>
      <c r="D249" s="23">
        <v>350.3</v>
      </c>
      <c r="E249" s="60"/>
      <c r="F249" s="60"/>
      <c r="G249" s="60"/>
      <c r="H249" s="10" t="s">
        <v>213</v>
      </c>
      <c r="I249" s="27" t="s">
        <v>134</v>
      </c>
    </row>
    <row r="250" spans="1:9" s="20" customFormat="1" x14ac:dyDescent="0.25">
      <c r="A250" s="5"/>
      <c r="B250" s="36" t="s">
        <v>214</v>
      </c>
      <c r="C250" s="141" t="s">
        <v>21</v>
      </c>
      <c r="D250" s="142">
        <v>2746.45</v>
      </c>
      <c r="E250" s="143"/>
      <c r="F250" s="143"/>
      <c r="G250" s="143"/>
      <c r="H250" s="144" t="s">
        <v>215</v>
      </c>
      <c r="I250" s="20" t="s">
        <v>216</v>
      </c>
    </row>
    <row r="251" spans="1:9" s="20" customFormat="1" x14ac:dyDescent="0.25">
      <c r="A251" s="5"/>
      <c r="B251" s="145" t="s">
        <v>217</v>
      </c>
      <c r="C251" s="141"/>
      <c r="D251" s="142"/>
      <c r="E251" s="143"/>
      <c r="F251" s="143"/>
      <c r="G251" s="143"/>
      <c r="H251" s="144"/>
    </row>
    <row r="252" spans="1:9" ht="18" customHeight="1" x14ac:dyDescent="0.25">
      <c r="A252" s="21"/>
      <c r="B252" s="210" t="s">
        <v>218</v>
      </c>
      <c r="C252" s="29" t="s">
        <v>21</v>
      </c>
      <c r="D252" s="29">
        <v>98.72</v>
      </c>
      <c r="E252" s="30">
        <v>59.5</v>
      </c>
      <c r="F252" s="214">
        <f t="shared" ref="F252:F267" si="33">E252*D252</f>
        <v>5873.84</v>
      </c>
      <c r="G252" s="30"/>
      <c r="H252" s="101" t="s">
        <v>219</v>
      </c>
      <c r="I252" s="177" t="s">
        <v>336</v>
      </c>
    </row>
    <row r="253" spans="1:9" x14ac:dyDescent="0.25">
      <c r="A253" s="21"/>
      <c r="B253" s="74" t="s">
        <v>220</v>
      </c>
      <c r="C253" s="29"/>
      <c r="D253" s="113"/>
      <c r="E253" s="132"/>
      <c r="F253" s="214"/>
      <c r="G253" s="132"/>
      <c r="H253" s="101"/>
    </row>
    <row r="254" spans="1:9" x14ac:dyDescent="0.25">
      <c r="A254" s="21"/>
      <c r="B254" s="28" t="s">
        <v>221</v>
      </c>
      <c r="C254" s="29" t="s">
        <v>21</v>
      </c>
      <c r="D254" s="24">
        <v>38.76</v>
      </c>
      <c r="E254" s="25">
        <v>55</v>
      </c>
      <c r="F254" s="214">
        <f t="shared" si="33"/>
        <v>2131.7999999999997</v>
      </c>
      <c r="G254" s="25"/>
      <c r="H254" s="101" t="s">
        <v>222</v>
      </c>
    </row>
    <row r="255" spans="1:9" x14ac:dyDescent="0.25">
      <c r="A255" s="21"/>
      <c r="B255" s="74" t="s">
        <v>223</v>
      </c>
      <c r="C255" s="29"/>
      <c r="D255" s="113"/>
      <c r="E255" s="132"/>
      <c r="F255" s="214"/>
      <c r="G255" s="132"/>
      <c r="H255" s="101"/>
    </row>
    <row r="256" spans="1:9" x14ac:dyDescent="0.25">
      <c r="A256" s="21"/>
      <c r="B256" s="28" t="s">
        <v>224</v>
      </c>
      <c r="C256" s="29" t="s">
        <v>21</v>
      </c>
      <c r="D256" s="24">
        <v>325.08</v>
      </c>
      <c r="E256" s="25">
        <v>63</v>
      </c>
      <c r="F256" s="214">
        <f t="shared" si="33"/>
        <v>20480.039999999997</v>
      </c>
      <c r="G256" s="25"/>
      <c r="H256" s="101" t="s">
        <v>225</v>
      </c>
    </row>
    <row r="257" spans="1:9" s="51" customFormat="1" x14ac:dyDescent="0.25">
      <c r="A257" s="21"/>
      <c r="B257" s="36" t="s">
        <v>226</v>
      </c>
      <c r="C257" s="113" t="s">
        <v>21</v>
      </c>
      <c r="D257" s="146">
        <v>274.95</v>
      </c>
      <c r="E257" s="147"/>
      <c r="F257" s="214"/>
      <c r="G257" s="147"/>
      <c r="H257" s="105" t="s">
        <v>227</v>
      </c>
    </row>
    <row r="258" spans="1:9" s="20" customFormat="1" x14ac:dyDescent="0.25">
      <c r="A258" s="5"/>
      <c r="B258" s="145" t="s">
        <v>217</v>
      </c>
      <c r="C258" s="141"/>
      <c r="D258" s="142"/>
      <c r="E258" s="143"/>
      <c r="F258" s="214"/>
      <c r="G258" s="143"/>
      <c r="H258" s="144"/>
    </row>
    <row r="259" spans="1:9" x14ac:dyDescent="0.25">
      <c r="A259" s="21"/>
      <c r="B259" s="210" t="s">
        <v>218</v>
      </c>
      <c r="C259" s="29" t="s">
        <v>21</v>
      </c>
      <c r="D259" s="29">
        <v>98.72</v>
      </c>
      <c r="E259" s="30">
        <v>59.5</v>
      </c>
      <c r="F259" s="214">
        <f t="shared" si="33"/>
        <v>5873.84</v>
      </c>
      <c r="G259" s="30"/>
      <c r="H259" s="101" t="s">
        <v>219</v>
      </c>
      <c r="I259" s="177" t="s">
        <v>336</v>
      </c>
    </row>
    <row r="260" spans="1:9" x14ac:dyDescent="0.25">
      <c r="A260" s="21"/>
      <c r="B260" s="74" t="s">
        <v>220</v>
      </c>
      <c r="C260" s="29"/>
      <c r="D260" s="113"/>
      <c r="E260" s="132"/>
      <c r="F260" s="214"/>
      <c r="G260" s="132"/>
      <c r="H260" s="101"/>
    </row>
    <row r="261" spans="1:9" x14ac:dyDescent="0.25">
      <c r="A261" s="21"/>
      <c r="B261" s="28" t="s">
        <v>221</v>
      </c>
      <c r="C261" s="29" t="s">
        <v>21</v>
      </c>
      <c r="D261" s="24">
        <v>38.76</v>
      </c>
      <c r="E261" s="25">
        <v>55</v>
      </c>
      <c r="F261" s="214">
        <f t="shared" si="33"/>
        <v>2131.7999999999997</v>
      </c>
      <c r="G261" s="25"/>
      <c r="H261" s="101" t="s">
        <v>222</v>
      </c>
    </row>
    <row r="262" spans="1:9" s="51" customFormat="1" x14ac:dyDescent="0.25">
      <c r="A262" s="21"/>
      <c r="B262" s="36" t="s">
        <v>228</v>
      </c>
      <c r="C262" s="113" t="s">
        <v>21</v>
      </c>
      <c r="D262" s="146">
        <v>132.04</v>
      </c>
      <c r="E262" s="147"/>
      <c r="F262" s="214"/>
      <c r="G262" s="147"/>
      <c r="H262" s="105" t="s">
        <v>229</v>
      </c>
    </row>
    <row r="263" spans="1:9" s="20" customFormat="1" x14ac:dyDescent="0.25">
      <c r="A263" s="5"/>
      <c r="B263" s="145" t="s">
        <v>230</v>
      </c>
      <c r="C263" s="141"/>
      <c r="D263" s="141"/>
      <c r="E263" s="148"/>
      <c r="F263" s="214"/>
      <c r="G263" s="148"/>
      <c r="H263" s="144"/>
    </row>
    <row r="264" spans="1:9" x14ac:dyDescent="0.25">
      <c r="A264" s="21"/>
      <c r="B264" s="28" t="s">
        <v>231</v>
      </c>
      <c r="C264" s="29" t="s">
        <v>21</v>
      </c>
      <c r="D264" s="29">
        <v>16.5</v>
      </c>
      <c r="E264" s="209">
        <v>56.5</v>
      </c>
      <c r="F264" s="214">
        <f t="shared" si="33"/>
        <v>932.25</v>
      </c>
      <c r="G264" s="30"/>
      <c r="H264" s="101" t="s">
        <v>232</v>
      </c>
    </row>
    <row r="265" spans="1:9" x14ac:dyDescent="0.25">
      <c r="A265" s="21"/>
      <c r="B265" s="36" t="s">
        <v>233</v>
      </c>
      <c r="C265" s="29"/>
      <c r="D265" s="29"/>
      <c r="E265" s="30"/>
      <c r="F265" s="214"/>
      <c r="G265" s="30"/>
      <c r="H265" s="101"/>
    </row>
    <row r="266" spans="1:9" s="20" customFormat="1" x14ac:dyDescent="0.25">
      <c r="A266" s="5"/>
      <c r="B266" s="145" t="s">
        <v>234</v>
      </c>
      <c r="C266" s="113" t="s">
        <v>21</v>
      </c>
      <c r="D266" s="146">
        <v>1277.92</v>
      </c>
      <c r="E266" s="147"/>
      <c r="F266" s="214"/>
      <c r="G266" s="147"/>
      <c r="H266" s="105" t="s">
        <v>235</v>
      </c>
    </row>
    <row r="267" spans="1:9" x14ac:dyDescent="0.25">
      <c r="A267" s="21"/>
      <c r="B267" s="28" t="s">
        <v>236</v>
      </c>
      <c r="C267" s="29" t="s">
        <v>21</v>
      </c>
      <c r="D267" s="24">
        <v>53.25</v>
      </c>
      <c r="E267" s="25">
        <v>55.5</v>
      </c>
      <c r="F267" s="214">
        <f t="shared" si="33"/>
        <v>2955.375</v>
      </c>
      <c r="G267" s="25"/>
      <c r="H267" s="101" t="s">
        <v>237</v>
      </c>
    </row>
    <row r="268" spans="1:9" x14ac:dyDescent="0.25">
      <c r="A268" s="12"/>
      <c r="B268" s="134" t="s">
        <v>210</v>
      </c>
      <c r="C268" s="135"/>
      <c r="D268" s="136"/>
      <c r="E268" s="136"/>
      <c r="F268" s="136"/>
      <c r="G268" s="136"/>
      <c r="H268" s="35" t="s">
        <v>213</v>
      </c>
      <c r="I268" s="97"/>
    </row>
    <row r="269" spans="1:9" x14ac:dyDescent="0.25">
      <c r="A269" s="21"/>
      <c r="B269" s="47" t="s">
        <v>61</v>
      </c>
      <c r="C269" s="7" t="s">
        <v>6</v>
      </c>
      <c r="D269" s="23">
        <v>350.3</v>
      </c>
      <c r="E269" s="60"/>
      <c r="F269" s="60"/>
      <c r="G269" s="55"/>
      <c r="H269" s="31"/>
    </row>
    <row r="270" spans="1:9" ht="28.8" x14ac:dyDescent="0.25">
      <c r="A270" s="21"/>
      <c r="B270" s="47" t="s">
        <v>62</v>
      </c>
      <c r="C270" s="7" t="s">
        <v>6</v>
      </c>
      <c r="D270" s="73">
        <v>350.3</v>
      </c>
      <c r="E270" s="73"/>
      <c r="F270" s="73"/>
      <c r="G270" s="55"/>
      <c r="H270" s="31" t="s">
        <v>63</v>
      </c>
    </row>
    <row r="271" spans="1:9" x14ac:dyDescent="0.25">
      <c r="A271" s="21"/>
      <c r="B271" s="52" t="s">
        <v>64</v>
      </c>
      <c r="C271" s="23" t="s">
        <v>21</v>
      </c>
      <c r="D271" s="81">
        <f>350.3*0.115</f>
        <v>40.284500000000001</v>
      </c>
      <c r="E271" s="211">
        <v>195</v>
      </c>
      <c r="F271" s="214">
        <f t="shared" ref="F271:F275" si="34">E271*D271</f>
        <v>7855.4775</v>
      </c>
      <c r="G271" s="49"/>
      <c r="H271" s="56" t="s">
        <v>65</v>
      </c>
    </row>
    <row r="272" spans="1:9" x14ac:dyDescent="0.25">
      <c r="A272" s="21"/>
      <c r="B272" s="47" t="s">
        <v>66</v>
      </c>
      <c r="C272" s="23" t="s">
        <v>6</v>
      </c>
      <c r="D272" s="81">
        <f>350.3*2</f>
        <v>700.6</v>
      </c>
      <c r="E272" s="201"/>
      <c r="F272" s="214"/>
      <c r="G272" s="55"/>
      <c r="H272" s="32"/>
    </row>
    <row r="273" spans="1:8" x14ac:dyDescent="0.25">
      <c r="A273" s="21"/>
      <c r="B273" s="52" t="s">
        <v>67</v>
      </c>
      <c r="C273" s="23" t="s">
        <v>21</v>
      </c>
      <c r="D273" s="81">
        <f>D272*0.1</f>
        <v>70.06</v>
      </c>
      <c r="E273" s="211">
        <v>214.8</v>
      </c>
      <c r="F273" s="214">
        <f t="shared" si="34"/>
        <v>15048.888000000001</v>
      </c>
      <c r="G273" s="55"/>
      <c r="H273" s="31" t="s">
        <v>68</v>
      </c>
    </row>
    <row r="274" spans="1:8" x14ac:dyDescent="0.25">
      <c r="A274" s="21"/>
      <c r="B274" s="47" t="s">
        <v>69</v>
      </c>
      <c r="C274" s="23" t="s">
        <v>6</v>
      </c>
      <c r="D274" s="73">
        <v>2556.66</v>
      </c>
      <c r="E274" s="73"/>
      <c r="F274" s="214"/>
      <c r="G274" s="55"/>
      <c r="H274" s="32"/>
    </row>
    <row r="275" spans="1:8" x14ac:dyDescent="0.25">
      <c r="A275" s="21"/>
      <c r="B275" s="52" t="s">
        <v>70</v>
      </c>
      <c r="C275" s="23" t="s">
        <v>21</v>
      </c>
      <c r="D275" s="81">
        <f>D274*1.5</f>
        <v>3834.99</v>
      </c>
      <c r="E275" s="211">
        <v>760</v>
      </c>
      <c r="F275" s="214">
        <f t="shared" si="34"/>
        <v>2914592.4</v>
      </c>
      <c r="G275" s="55"/>
      <c r="H275" s="31" t="s">
        <v>71</v>
      </c>
    </row>
    <row r="276" spans="1:8" s="11" customFormat="1" x14ac:dyDescent="0.25">
      <c r="A276" s="82"/>
      <c r="B276" s="137" t="s">
        <v>238</v>
      </c>
      <c r="C276" s="82"/>
      <c r="D276" s="138"/>
      <c r="E276" s="139"/>
      <c r="F276" s="139"/>
      <c r="G276" s="139"/>
      <c r="H276" s="140"/>
    </row>
    <row r="277" spans="1:8" s="11" customFormat="1" x14ac:dyDescent="0.25">
      <c r="A277" s="5"/>
      <c r="B277" s="149" t="s">
        <v>239</v>
      </c>
      <c r="C277" s="23" t="s">
        <v>12</v>
      </c>
      <c r="D277" s="23">
        <v>5.54</v>
      </c>
      <c r="E277" s="60"/>
      <c r="F277" s="60"/>
      <c r="G277" s="60"/>
      <c r="H277" s="150"/>
    </row>
    <row r="278" spans="1:8" x14ac:dyDescent="0.25">
      <c r="A278" s="21"/>
      <c r="B278" s="22" t="s">
        <v>240</v>
      </c>
      <c r="C278" s="23" t="s">
        <v>35</v>
      </c>
      <c r="D278" s="60">
        <v>6</v>
      </c>
      <c r="E278" s="60"/>
      <c r="F278" s="60"/>
      <c r="G278" s="61"/>
      <c r="H278" s="151" t="s">
        <v>241</v>
      </c>
    </row>
    <row r="279" spans="1:8" x14ac:dyDescent="0.25">
      <c r="A279" s="21"/>
      <c r="B279" s="13" t="s">
        <v>242</v>
      </c>
      <c r="C279" s="21"/>
      <c r="D279" s="112"/>
      <c r="E279" s="152"/>
      <c r="F279" s="152"/>
      <c r="G279" s="152"/>
      <c r="H279" s="151"/>
    </row>
    <row r="280" spans="1:8" ht="43.2" x14ac:dyDescent="0.25">
      <c r="A280" s="21"/>
      <c r="B280" s="91" t="s">
        <v>243</v>
      </c>
      <c r="C280" s="21" t="s">
        <v>6</v>
      </c>
      <c r="D280" s="21">
        <v>27.44</v>
      </c>
      <c r="E280" s="172"/>
      <c r="F280" s="172"/>
      <c r="G280" s="152"/>
      <c r="H280" s="151"/>
    </row>
    <row r="281" spans="1:8" x14ac:dyDescent="0.25">
      <c r="A281" s="12"/>
      <c r="B281" s="13" t="s">
        <v>244</v>
      </c>
      <c r="C281" s="12"/>
      <c r="D281" s="37"/>
      <c r="E281" s="153"/>
      <c r="F281" s="153"/>
      <c r="G281" s="153"/>
      <c r="H281" s="154"/>
    </row>
    <row r="282" spans="1:8" s="51" customFormat="1" x14ac:dyDescent="0.25">
      <c r="A282" s="21"/>
      <c r="B282" s="13" t="s">
        <v>245</v>
      </c>
      <c r="C282" s="112" t="s">
        <v>35</v>
      </c>
      <c r="D282" s="112">
        <v>3</v>
      </c>
      <c r="E282" s="152"/>
      <c r="F282" s="152"/>
      <c r="G282" s="152"/>
      <c r="H282" s="155"/>
    </row>
    <row r="283" spans="1:8" x14ac:dyDescent="0.25">
      <c r="A283" s="21"/>
      <c r="B283" s="28" t="s">
        <v>236</v>
      </c>
      <c r="C283" s="23" t="s">
        <v>21</v>
      </c>
      <c r="D283" s="23">
        <v>26.65</v>
      </c>
      <c r="E283" s="25">
        <v>55.5</v>
      </c>
      <c r="F283" s="214">
        <f t="shared" ref="F283:F294" si="35">E283*D283</f>
        <v>1479.0749999999998</v>
      </c>
      <c r="G283" s="60"/>
      <c r="H283" s="22" t="s">
        <v>246</v>
      </c>
    </row>
    <row r="284" spans="1:8" x14ac:dyDescent="0.25">
      <c r="A284" s="21"/>
      <c r="B284" s="22" t="s">
        <v>149</v>
      </c>
      <c r="C284" s="23" t="s">
        <v>21</v>
      </c>
      <c r="D284" s="23">
        <v>0.08</v>
      </c>
      <c r="E284" s="60"/>
      <c r="F284" s="214"/>
      <c r="G284" s="60"/>
      <c r="H284" s="22" t="s">
        <v>247</v>
      </c>
    </row>
    <row r="285" spans="1:8" ht="28.8" x14ac:dyDescent="0.25">
      <c r="A285" s="21"/>
      <c r="B285" s="47" t="s">
        <v>73</v>
      </c>
      <c r="C285" s="23" t="s">
        <v>21</v>
      </c>
      <c r="D285" s="98">
        <f>0.08*1.9</f>
        <v>0.152</v>
      </c>
      <c r="E285" s="73"/>
      <c r="F285" s="214"/>
      <c r="G285" s="57" t="s">
        <v>74</v>
      </c>
      <c r="H285" s="31" t="s">
        <v>248</v>
      </c>
    </row>
    <row r="286" spans="1:8" x14ac:dyDescent="0.25">
      <c r="A286" s="21"/>
      <c r="B286" s="13" t="s">
        <v>249</v>
      </c>
      <c r="C286" s="42" t="s">
        <v>35</v>
      </c>
      <c r="D286" s="61">
        <v>6</v>
      </c>
      <c r="E286" s="61"/>
      <c r="F286" s="214"/>
      <c r="G286" s="60"/>
      <c r="H286" s="22"/>
    </row>
    <row r="287" spans="1:8" x14ac:dyDescent="0.25">
      <c r="A287" s="21"/>
      <c r="B287" s="28" t="s">
        <v>250</v>
      </c>
      <c r="C287" s="23" t="s">
        <v>21</v>
      </c>
      <c r="D287" s="23">
        <v>86.24</v>
      </c>
      <c r="E287" s="60">
        <v>115.5</v>
      </c>
      <c r="F287" s="214">
        <f t="shared" si="35"/>
        <v>9960.7199999999993</v>
      </c>
      <c r="G287" s="60"/>
      <c r="H287" s="22" t="s">
        <v>251</v>
      </c>
    </row>
    <row r="288" spans="1:8" x14ac:dyDescent="0.25">
      <c r="A288" s="21"/>
      <c r="B288" s="22" t="s">
        <v>149</v>
      </c>
      <c r="C288" s="23" t="s">
        <v>21</v>
      </c>
      <c r="D288" s="23">
        <v>0.27</v>
      </c>
      <c r="E288" s="60"/>
      <c r="F288" s="214"/>
      <c r="G288" s="60"/>
      <c r="H288" s="22" t="s">
        <v>252</v>
      </c>
    </row>
    <row r="289" spans="1:9" ht="28.8" x14ac:dyDescent="0.25">
      <c r="A289" s="21"/>
      <c r="B289" s="47" t="s">
        <v>73</v>
      </c>
      <c r="C289" s="23" t="s">
        <v>21</v>
      </c>
      <c r="D289" s="98">
        <f>0.27*1.9</f>
        <v>0.51300000000000001</v>
      </c>
      <c r="E289" s="73"/>
      <c r="F289" s="214"/>
      <c r="G289" s="57" t="s">
        <v>74</v>
      </c>
      <c r="H289" s="31" t="s">
        <v>253</v>
      </c>
    </row>
    <row r="290" spans="1:9" x14ac:dyDescent="0.25">
      <c r="B290" s="13" t="s">
        <v>254</v>
      </c>
      <c r="C290" s="29"/>
      <c r="D290" s="113"/>
      <c r="E290" s="203"/>
      <c r="F290" s="214"/>
      <c r="H290" s="157"/>
    </row>
    <row r="291" spans="1:9" x14ac:dyDescent="0.25">
      <c r="A291" s="21"/>
      <c r="B291" s="22" t="s">
        <v>255</v>
      </c>
      <c r="C291" s="23" t="s">
        <v>6</v>
      </c>
      <c r="D291" s="93">
        <f>27.44*2</f>
        <v>54.88</v>
      </c>
      <c r="E291" s="94"/>
      <c r="F291" s="214"/>
      <c r="G291" s="94"/>
      <c r="H291" s="22"/>
    </row>
    <row r="292" spans="1:9" x14ac:dyDescent="0.25">
      <c r="A292" s="21"/>
      <c r="B292" s="52" t="s">
        <v>67</v>
      </c>
      <c r="C292" s="23" t="s">
        <v>21</v>
      </c>
      <c r="D292" s="81">
        <f>54.88*0.1</f>
        <v>5.4880000000000004</v>
      </c>
      <c r="E292" s="211">
        <v>214.8</v>
      </c>
      <c r="F292" s="214">
        <f t="shared" si="35"/>
        <v>1178.8224000000002</v>
      </c>
      <c r="G292" s="55"/>
      <c r="H292" s="31" t="s">
        <v>68</v>
      </c>
    </row>
    <row r="293" spans="1:9" x14ac:dyDescent="0.25">
      <c r="A293" s="21"/>
      <c r="B293" s="22" t="s">
        <v>256</v>
      </c>
      <c r="C293" s="23" t="s">
        <v>6</v>
      </c>
      <c r="D293" s="93">
        <v>27.439800000000002</v>
      </c>
      <c r="E293" s="94"/>
      <c r="F293" s="214"/>
      <c r="G293" s="94"/>
      <c r="H293" s="31"/>
    </row>
    <row r="294" spans="1:9" x14ac:dyDescent="0.25">
      <c r="A294" s="21"/>
      <c r="B294" s="52" t="s">
        <v>70</v>
      </c>
      <c r="C294" s="23" t="s">
        <v>21</v>
      </c>
      <c r="D294" s="81">
        <f>27.44*1.5</f>
        <v>41.160000000000004</v>
      </c>
      <c r="E294" s="211">
        <v>760</v>
      </c>
      <c r="F294" s="214">
        <f t="shared" si="35"/>
        <v>31281.600000000002</v>
      </c>
      <c r="G294" s="55"/>
      <c r="H294" s="31" t="s">
        <v>71</v>
      </c>
    </row>
    <row r="295" spans="1:9" x14ac:dyDescent="0.25">
      <c r="A295" s="82"/>
      <c r="B295" s="158" t="s">
        <v>257</v>
      </c>
      <c r="C295" s="84"/>
      <c r="D295" s="159"/>
      <c r="E295" s="160"/>
      <c r="F295" s="160"/>
      <c r="G295" s="160"/>
      <c r="H295" s="161"/>
    </row>
    <row r="296" spans="1:9" s="11" customFormat="1" ht="28.8" x14ac:dyDescent="0.25">
      <c r="A296" s="5"/>
      <c r="B296" s="6" t="s">
        <v>258</v>
      </c>
      <c r="C296" s="7" t="s">
        <v>197</v>
      </c>
      <c r="D296" s="162">
        <v>22</v>
      </c>
      <c r="E296" s="163"/>
      <c r="F296" s="163"/>
      <c r="G296" s="163"/>
      <c r="H296" s="10"/>
      <c r="I296" s="11" t="s">
        <v>259</v>
      </c>
    </row>
    <row r="297" spans="1:9" s="11" customFormat="1" ht="28.8" x14ac:dyDescent="0.25">
      <c r="A297" s="5"/>
      <c r="B297" s="6" t="s">
        <v>260</v>
      </c>
      <c r="C297" s="7" t="s">
        <v>6</v>
      </c>
      <c r="D297" s="162">
        <v>237</v>
      </c>
      <c r="E297" s="163"/>
      <c r="F297" s="163"/>
      <c r="G297" s="163"/>
      <c r="H297" s="164" t="s">
        <v>261</v>
      </c>
    </row>
    <row r="298" spans="1:9" s="11" customFormat="1" x14ac:dyDescent="0.25">
      <c r="A298" s="5"/>
      <c r="B298" s="6" t="s">
        <v>262</v>
      </c>
      <c r="C298" s="7" t="s">
        <v>9</v>
      </c>
      <c r="D298" s="162">
        <f>2.69*22</f>
        <v>59.18</v>
      </c>
      <c r="E298" s="163"/>
      <c r="F298" s="163"/>
      <c r="G298" s="163"/>
      <c r="H298" s="10" t="s">
        <v>263</v>
      </c>
    </row>
    <row r="299" spans="1:9" s="11" customFormat="1" x14ac:dyDescent="0.25">
      <c r="A299" s="5"/>
      <c r="B299" s="6" t="s">
        <v>264</v>
      </c>
      <c r="C299" s="7" t="s">
        <v>6</v>
      </c>
      <c r="D299" s="162">
        <v>98.6</v>
      </c>
      <c r="E299" s="163"/>
      <c r="F299" s="163"/>
      <c r="G299" s="163"/>
      <c r="H299" s="10"/>
      <c r="I299" s="11" t="s">
        <v>265</v>
      </c>
    </row>
    <row r="300" spans="1:9" s="11" customFormat="1" x14ac:dyDescent="0.25">
      <c r="A300" s="5"/>
      <c r="B300" s="6" t="s">
        <v>266</v>
      </c>
      <c r="C300" s="7" t="s">
        <v>6</v>
      </c>
      <c r="D300" s="162">
        <v>98.6</v>
      </c>
      <c r="E300" s="163"/>
      <c r="F300" s="163"/>
      <c r="G300" s="163"/>
      <c r="H300" s="10"/>
    </row>
    <row r="301" spans="1:9" x14ac:dyDescent="0.25">
      <c r="A301" s="21"/>
      <c r="B301" s="47" t="s">
        <v>66</v>
      </c>
      <c r="C301" s="23" t="s">
        <v>6</v>
      </c>
      <c r="D301" s="81">
        <f>98.6*2</f>
        <v>197.2</v>
      </c>
      <c r="E301" s="201"/>
      <c r="F301" s="201"/>
      <c r="G301" s="55"/>
      <c r="H301" s="32"/>
    </row>
    <row r="302" spans="1:9" x14ac:dyDescent="0.25">
      <c r="A302" s="21"/>
      <c r="B302" s="52" t="s">
        <v>67</v>
      </c>
      <c r="C302" s="23" t="s">
        <v>21</v>
      </c>
      <c r="D302" s="81">
        <f>98.6*2*0.1</f>
        <v>19.72</v>
      </c>
      <c r="E302" s="211">
        <v>214.8</v>
      </c>
      <c r="F302" s="214">
        <f t="shared" ref="F302:F304" si="36">E302*D302</f>
        <v>4235.8559999999998</v>
      </c>
      <c r="G302" s="55"/>
      <c r="H302" s="31" t="s">
        <v>68</v>
      </c>
    </row>
    <row r="303" spans="1:9" x14ac:dyDescent="0.25">
      <c r="A303" s="21"/>
      <c r="B303" s="22" t="s">
        <v>16</v>
      </c>
      <c r="C303" s="23" t="s">
        <v>6</v>
      </c>
      <c r="D303" s="24">
        <v>98.6</v>
      </c>
      <c r="E303" s="25"/>
      <c r="F303" s="214">
        <f t="shared" si="36"/>
        <v>0</v>
      </c>
      <c r="G303" s="25"/>
      <c r="H303" s="26" t="s">
        <v>17</v>
      </c>
    </row>
    <row r="304" spans="1:9" ht="43.2" x14ac:dyDescent="0.25">
      <c r="A304" s="21"/>
      <c r="B304" s="22" t="s">
        <v>329</v>
      </c>
      <c r="C304" s="23" t="s">
        <v>18</v>
      </c>
      <c r="D304" s="24">
        <f>98.6*3.68</f>
        <v>362.84800000000001</v>
      </c>
      <c r="E304" s="204">
        <f>46500/25</f>
        <v>1860</v>
      </c>
      <c r="F304" s="214">
        <f t="shared" si="36"/>
        <v>674897.28</v>
      </c>
      <c r="G304" s="25"/>
      <c r="H304" s="26"/>
    </row>
    <row r="305" spans="1:9" s="11" customFormat="1" x14ac:dyDescent="0.25">
      <c r="A305" s="165"/>
      <c r="B305" s="166" t="s">
        <v>267</v>
      </c>
      <c r="C305" s="167"/>
      <c r="D305" s="168"/>
      <c r="E305" s="169"/>
      <c r="F305" s="169"/>
      <c r="G305" s="169"/>
      <c r="H305" s="35"/>
    </row>
    <row r="306" spans="1:9" x14ac:dyDescent="0.25">
      <c r="A306" s="21"/>
      <c r="B306" s="13" t="s">
        <v>268</v>
      </c>
      <c r="C306" s="23" t="s">
        <v>21</v>
      </c>
      <c r="D306" s="170">
        <v>5122.13</v>
      </c>
      <c r="E306" s="171"/>
      <c r="F306" s="171"/>
      <c r="G306" s="171"/>
      <c r="H306" s="22" t="s">
        <v>269</v>
      </c>
    </row>
    <row r="307" spans="1:9" x14ac:dyDescent="0.25">
      <c r="A307" s="21"/>
      <c r="B307" s="52" t="s">
        <v>270</v>
      </c>
      <c r="C307" s="23" t="s">
        <v>21</v>
      </c>
      <c r="D307" s="23">
        <v>190.16</v>
      </c>
      <c r="E307" s="207">
        <v>128</v>
      </c>
      <c r="F307" s="214">
        <f t="shared" ref="F307:F311" si="37">E307*D307</f>
        <v>24340.48</v>
      </c>
      <c r="G307" s="60"/>
      <c r="H307" s="22" t="s">
        <v>271</v>
      </c>
    </row>
    <row r="308" spans="1:9" x14ac:dyDescent="0.25">
      <c r="A308" s="21"/>
      <c r="B308" s="52" t="s">
        <v>272</v>
      </c>
      <c r="C308" s="23" t="s">
        <v>21</v>
      </c>
      <c r="D308" s="23">
        <f>4*1.23</f>
        <v>4.92</v>
      </c>
      <c r="E308" s="207">
        <v>60.5</v>
      </c>
      <c r="F308" s="214">
        <f t="shared" si="37"/>
        <v>297.65999999999997</v>
      </c>
      <c r="G308" s="60"/>
      <c r="H308" s="31" t="s">
        <v>273</v>
      </c>
    </row>
    <row r="309" spans="1:9" x14ac:dyDescent="0.25">
      <c r="A309" s="21"/>
      <c r="B309" s="52" t="s">
        <v>274</v>
      </c>
      <c r="C309" s="23" t="s">
        <v>21</v>
      </c>
      <c r="D309" s="23">
        <f>24*0.75</f>
        <v>18</v>
      </c>
      <c r="E309" s="207">
        <v>60.5</v>
      </c>
      <c r="F309" s="214">
        <f t="shared" si="37"/>
        <v>1089</v>
      </c>
      <c r="G309" s="60"/>
      <c r="H309" s="31" t="s">
        <v>275</v>
      </c>
    </row>
    <row r="310" spans="1:9" x14ac:dyDescent="0.25">
      <c r="A310" s="21"/>
      <c r="B310" s="52" t="s">
        <v>276</v>
      </c>
      <c r="C310" s="23" t="s">
        <v>21</v>
      </c>
      <c r="D310" s="23">
        <f>2*9.87</f>
        <v>19.739999999999998</v>
      </c>
      <c r="E310" s="207">
        <v>60.5</v>
      </c>
      <c r="F310" s="214">
        <f t="shared" si="37"/>
        <v>1194.27</v>
      </c>
      <c r="G310" s="60"/>
      <c r="H310" s="31" t="s">
        <v>277</v>
      </c>
    </row>
    <row r="311" spans="1:9" x14ac:dyDescent="0.25">
      <c r="A311" s="21"/>
      <c r="B311" s="52" t="s">
        <v>278</v>
      </c>
      <c r="C311" s="23" t="s">
        <v>21</v>
      </c>
      <c r="D311" s="24">
        <v>42.66</v>
      </c>
      <c r="E311" s="207">
        <v>60.5</v>
      </c>
      <c r="F311" s="214">
        <f t="shared" si="37"/>
        <v>2580.9299999999998</v>
      </c>
      <c r="G311" s="25"/>
      <c r="H311" s="31" t="s">
        <v>279</v>
      </c>
      <c r="I311" s="97" t="s">
        <v>148</v>
      </c>
    </row>
    <row r="312" spans="1:9" x14ac:dyDescent="0.25">
      <c r="A312" s="21"/>
      <c r="B312" s="47" t="s">
        <v>280</v>
      </c>
      <c r="C312" s="23" t="s">
        <v>21</v>
      </c>
      <c r="D312" s="24">
        <v>4.16</v>
      </c>
      <c r="E312" s="25"/>
      <c r="F312" s="25"/>
      <c r="G312" s="25"/>
      <c r="H312" s="31" t="s">
        <v>281</v>
      </c>
    </row>
    <row r="313" spans="1:9" ht="28.8" x14ac:dyDescent="0.25">
      <c r="A313" s="21"/>
      <c r="B313" s="47" t="s">
        <v>73</v>
      </c>
      <c r="C313" s="23" t="s">
        <v>21</v>
      </c>
      <c r="D313" s="98">
        <f>4.165*1.9</f>
        <v>7.9135</v>
      </c>
      <c r="E313" s="73"/>
      <c r="F313" s="73"/>
      <c r="G313" s="57" t="s">
        <v>74</v>
      </c>
      <c r="H313" s="31" t="s">
        <v>282</v>
      </c>
    </row>
    <row r="314" spans="1:9" x14ac:dyDescent="0.25">
      <c r="A314" s="21"/>
      <c r="B314" s="13" t="s">
        <v>283</v>
      </c>
      <c r="C314" s="23" t="s">
        <v>21</v>
      </c>
      <c r="D314" s="170">
        <v>5122.13</v>
      </c>
      <c r="E314" s="171"/>
      <c r="F314" s="171"/>
      <c r="G314" s="171"/>
      <c r="H314" s="22" t="s">
        <v>269</v>
      </c>
    </row>
    <row r="315" spans="1:9" x14ac:dyDescent="0.25">
      <c r="A315" s="21"/>
      <c r="B315" s="52" t="s">
        <v>270</v>
      </c>
      <c r="C315" s="23" t="s">
        <v>21</v>
      </c>
      <c r="D315" s="23">
        <v>190.16</v>
      </c>
      <c r="E315" s="207">
        <v>128</v>
      </c>
      <c r="F315" s="214">
        <f t="shared" ref="F315:F320" si="38">E315*D315</f>
        <v>24340.48</v>
      </c>
      <c r="G315" s="60"/>
      <c r="H315" s="22" t="s">
        <v>271</v>
      </c>
    </row>
    <row r="316" spans="1:9" x14ac:dyDescent="0.25">
      <c r="A316" s="21"/>
      <c r="B316" s="52" t="s">
        <v>272</v>
      </c>
      <c r="C316" s="23" t="s">
        <v>21</v>
      </c>
      <c r="D316" s="23">
        <f>4*1.23</f>
        <v>4.92</v>
      </c>
      <c r="E316" s="207">
        <v>60.5</v>
      </c>
      <c r="F316" s="214">
        <f t="shared" si="38"/>
        <v>297.65999999999997</v>
      </c>
      <c r="G316" s="60"/>
      <c r="H316" s="31" t="s">
        <v>273</v>
      </c>
    </row>
    <row r="317" spans="1:9" x14ac:dyDescent="0.25">
      <c r="A317" s="21"/>
      <c r="B317" s="52" t="s">
        <v>274</v>
      </c>
      <c r="C317" s="23" t="s">
        <v>21</v>
      </c>
      <c r="D317" s="23">
        <f>24*0.75</f>
        <v>18</v>
      </c>
      <c r="E317" s="207">
        <v>60.5</v>
      </c>
      <c r="F317" s="214">
        <f t="shared" si="38"/>
        <v>1089</v>
      </c>
      <c r="G317" s="60"/>
      <c r="H317" s="31" t="s">
        <v>275</v>
      </c>
    </row>
    <row r="318" spans="1:9" x14ac:dyDescent="0.25">
      <c r="A318" s="21"/>
      <c r="B318" s="52" t="s">
        <v>276</v>
      </c>
      <c r="C318" s="23" t="s">
        <v>21</v>
      </c>
      <c r="D318" s="23">
        <f>2*9.87</f>
        <v>19.739999999999998</v>
      </c>
      <c r="E318" s="207">
        <v>60.5</v>
      </c>
      <c r="F318" s="214">
        <f t="shared" si="38"/>
        <v>1194.27</v>
      </c>
      <c r="G318" s="60"/>
      <c r="H318" s="31" t="s">
        <v>277</v>
      </c>
    </row>
    <row r="319" spans="1:9" x14ac:dyDescent="0.25">
      <c r="A319" s="21"/>
      <c r="B319" s="47" t="s">
        <v>278</v>
      </c>
      <c r="C319" s="23" t="s">
        <v>21</v>
      </c>
      <c r="D319" s="24">
        <v>42.66</v>
      </c>
      <c r="E319" s="207">
        <v>60.5</v>
      </c>
      <c r="F319" s="214">
        <f t="shared" si="38"/>
        <v>2580.9299999999998</v>
      </c>
      <c r="G319" s="25"/>
      <c r="H319" s="31" t="s">
        <v>279</v>
      </c>
      <c r="I319" s="97" t="s">
        <v>148</v>
      </c>
    </row>
    <row r="320" spans="1:9" x14ac:dyDescent="0.25">
      <c r="A320" s="21"/>
      <c r="B320" s="47" t="s">
        <v>280</v>
      </c>
      <c r="C320" s="23" t="s">
        <v>21</v>
      </c>
      <c r="D320" s="24">
        <v>4.16</v>
      </c>
      <c r="E320" s="207">
        <v>60.5</v>
      </c>
      <c r="F320" s="214">
        <f t="shared" si="38"/>
        <v>251.68</v>
      </c>
      <c r="G320" s="25"/>
      <c r="H320" s="31" t="s">
        <v>281</v>
      </c>
    </row>
    <row r="321" spans="1:9" ht="28.8" x14ac:dyDescent="0.25">
      <c r="A321" s="21"/>
      <c r="B321" s="47" t="s">
        <v>73</v>
      </c>
      <c r="C321" s="23" t="s">
        <v>21</v>
      </c>
      <c r="D321" s="98">
        <f>4.165*1.9</f>
        <v>7.9135</v>
      </c>
      <c r="E321" s="73"/>
      <c r="F321" s="73"/>
      <c r="G321" s="57" t="s">
        <v>74</v>
      </c>
      <c r="H321" s="31" t="s">
        <v>282</v>
      </c>
    </row>
    <row r="322" spans="1:9" s="51" customFormat="1" x14ac:dyDescent="0.25">
      <c r="A322" s="21"/>
      <c r="B322" s="13" t="s">
        <v>284</v>
      </c>
      <c r="C322" s="112"/>
      <c r="D322" s="112"/>
      <c r="E322" s="152"/>
      <c r="F322" s="152"/>
      <c r="G322" s="152"/>
      <c r="H322" s="45"/>
    </row>
    <row r="323" spans="1:9" s="51" customFormat="1" x14ac:dyDescent="0.25">
      <c r="A323" s="21"/>
      <c r="B323" s="52" t="s">
        <v>285</v>
      </c>
      <c r="C323" s="21" t="s">
        <v>21</v>
      </c>
      <c r="D323" s="21">
        <v>35.53</v>
      </c>
      <c r="E323" s="207">
        <v>60.5</v>
      </c>
      <c r="F323" s="214">
        <f t="shared" ref="F323" si="39">E323*D323</f>
        <v>2149.5650000000001</v>
      </c>
      <c r="G323" s="172"/>
      <c r="H323" s="31" t="s">
        <v>286</v>
      </c>
    </row>
    <row r="324" spans="1:9" s="51" customFormat="1" x14ac:dyDescent="0.25">
      <c r="A324" s="21"/>
      <c r="B324" s="13" t="s">
        <v>287</v>
      </c>
      <c r="C324" s="112"/>
      <c r="D324" s="112"/>
      <c r="E324" s="152"/>
      <c r="F324" s="152"/>
      <c r="G324" s="152"/>
      <c r="H324" s="45"/>
    </row>
    <row r="325" spans="1:9" s="11" customFormat="1" x14ac:dyDescent="0.25">
      <c r="A325" s="5"/>
      <c r="B325" s="52" t="s">
        <v>288</v>
      </c>
      <c r="C325" s="5" t="s">
        <v>21</v>
      </c>
      <c r="D325" s="5">
        <f>2*12.06</f>
        <v>24.12</v>
      </c>
      <c r="E325" s="211">
        <v>57.5</v>
      </c>
      <c r="F325" s="214">
        <f t="shared" ref="F325" si="40">E325*D325</f>
        <v>1386.9</v>
      </c>
      <c r="G325" s="173"/>
      <c r="H325" s="10" t="s">
        <v>289</v>
      </c>
    </row>
    <row r="326" spans="1:9" x14ac:dyDescent="0.25">
      <c r="A326" s="37"/>
      <c r="B326" s="174" t="s">
        <v>290</v>
      </c>
      <c r="C326" s="14"/>
      <c r="D326" s="18"/>
      <c r="E326" s="19"/>
      <c r="F326" s="19"/>
      <c r="G326" s="19"/>
      <c r="H326" s="175"/>
      <c r="I326" s="97"/>
    </row>
    <row r="327" spans="1:9" s="51" customFormat="1" x14ac:dyDescent="0.25">
      <c r="A327" s="21"/>
      <c r="B327" s="13" t="s">
        <v>291</v>
      </c>
      <c r="C327" s="112"/>
      <c r="D327" s="112"/>
      <c r="E327" s="152"/>
      <c r="F327" s="152"/>
      <c r="G327" s="152"/>
      <c r="H327" s="45"/>
    </row>
    <row r="328" spans="1:9" ht="28.8" x14ac:dyDescent="0.25">
      <c r="A328" s="21"/>
      <c r="B328" s="47" t="s">
        <v>292</v>
      </c>
      <c r="C328" s="21" t="s">
        <v>21</v>
      </c>
      <c r="D328" s="21">
        <v>83.64</v>
      </c>
      <c r="E328" s="207">
        <v>200</v>
      </c>
      <c r="F328" s="214">
        <f t="shared" ref="F328" si="41">E328*D328</f>
        <v>16728</v>
      </c>
      <c r="G328" s="172"/>
      <c r="H328" s="31" t="s">
        <v>293</v>
      </c>
    </row>
    <row r="329" spans="1:9" x14ac:dyDescent="0.25">
      <c r="A329" s="37"/>
      <c r="B329" s="174" t="s">
        <v>294</v>
      </c>
      <c r="C329" s="14"/>
      <c r="D329" s="18"/>
      <c r="E329" s="19"/>
      <c r="F329" s="19"/>
      <c r="G329" s="19"/>
      <c r="H329" s="175"/>
      <c r="I329" s="97"/>
    </row>
    <row r="330" spans="1:9" s="11" customFormat="1" ht="28.8" x14ac:dyDescent="0.25">
      <c r="A330" s="128"/>
      <c r="B330" s="129" t="s">
        <v>295</v>
      </c>
      <c r="C330" s="7" t="s">
        <v>197</v>
      </c>
      <c r="D330" s="98">
        <v>44</v>
      </c>
      <c r="E330" s="73"/>
      <c r="F330" s="214"/>
      <c r="G330" s="73"/>
      <c r="H330" s="130"/>
      <c r="I330" s="131"/>
    </row>
    <row r="331" spans="1:9" s="11" customFormat="1" ht="28.8" x14ac:dyDescent="0.25">
      <c r="A331" s="128"/>
      <c r="B331" s="129" t="s">
        <v>296</v>
      </c>
      <c r="C331" s="7" t="s">
        <v>197</v>
      </c>
      <c r="D331" s="98">
        <v>44</v>
      </c>
      <c r="E331" s="73"/>
      <c r="F331" s="73"/>
      <c r="G331" s="44"/>
      <c r="H331" s="130"/>
      <c r="I331" s="131"/>
    </row>
    <row r="332" spans="1:9" s="11" customFormat="1" x14ac:dyDescent="0.25">
      <c r="B332" s="176" t="s">
        <v>297</v>
      </c>
      <c r="C332" s="7" t="s">
        <v>298</v>
      </c>
      <c r="D332" s="98">
        <v>2626.14</v>
      </c>
      <c r="E332" s="73"/>
      <c r="F332" s="73"/>
      <c r="G332" s="73"/>
      <c r="H332" s="10" t="s">
        <v>299</v>
      </c>
      <c r="I332" s="131"/>
    </row>
    <row r="333" spans="1:9" ht="28.8" x14ac:dyDescent="0.25">
      <c r="A333" s="21"/>
      <c r="B333" s="47" t="s">
        <v>300</v>
      </c>
      <c r="C333" s="29" t="s">
        <v>21</v>
      </c>
      <c r="D333" s="29">
        <v>121.9</v>
      </c>
      <c r="E333" s="209">
        <v>48.5</v>
      </c>
      <c r="F333" s="214">
        <f t="shared" ref="F333:F334" si="42">E333*D333</f>
        <v>5912.1500000000005</v>
      </c>
      <c r="G333" s="30"/>
      <c r="H333" s="32" t="s">
        <v>301</v>
      </c>
      <c r="I333" s="177" t="s">
        <v>302</v>
      </c>
    </row>
    <row r="334" spans="1:9" x14ac:dyDescent="0.25">
      <c r="A334" s="21"/>
      <c r="B334" s="47" t="s">
        <v>303</v>
      </c>
      <c r="C334" s="21" t="s">
        <v>21</v>
      </c>
      <c r="D334" s="21">
        <v>820.42</v>
      </c>
      <c r="E334" s="209">
        <v>49</v>
      </c>
      <c r="F334" s="214">
        <f t="shared" si="42"/>
        <v>40200.579999999994</v>
      </c>
      <c r="G334" s="172"/>
      <c r="H334" s="31" t="s">
        <v>304</v>
      </c>
    </row>
    <row r="335" spans="1:9" s="11" customFormat="1" ht="28.8" x14ac:dyDescent="0.25">
      <c r="B335" s="178" t="s">
        <v>305</v>
      </c>
      <c r="C335" s="7"/>
      <c r="D335" s="98"/>
      <c r="E335" s="73"/>
      <c r="F335" s="73"/>
      <c r="G335" s="73"/>
      <c r="H335" s="10"/>
      <c r="I335" s="131"/>
    </row>
    <row r="336" spans="1:9" x14ac:dyDescent="0.25">
      <c r="A336" s="21"/>
      <c r="B336" s="47" t="s">
        <v>280</v>
      </c>
      <c r="C336" s="21" t="s">
        <v>21</v>
      </c>
      <c r="D336" s="21">
        <v>0.97</v>
      </c>
      <c r="E336" s="207">
        <v>95</v>
      </c>
      <c r="F336" s="214">
        <f t="shared" ref="F336:F337" si="43">E336*D336</f>
        <v>92.149999999999991</v>
      </c>
      <c r="G336" s="172"/>
      <c r="H336" s="31" t="s">
        <v>306</v>
      </c>
    </row>
    <row r="337" spans="1:9" x14ac:dyDescent="0.25">
      <c r="A337" s="21"/>
      <c r="B337" s="47" t="s">
        <v>307</v>
      </c>
      <c r="C337" s="21" t="s">
        <v>21</v>
      </c>
      <c r="D337" s="21">
        <v>0.08</v>
      </c>
      <c r="E337" s="207">
        <v>95</v>
      </c>
      <c r="F337" s="214">
        <f t="shared" si="43"/>
        <v>7.6000000000000005</v>
      </c>
      <c r="G337" s="172"/>
      <c r="H337" s="31" t="s">
        <v>308</v>
      </c>
    </row>
    <row r="338" spans="1:9" ht="28.8" x14ac:dyDescent="0.25">
      <c r="A338" s="21"/>
      <c r="B338" s="47" t="s">
        <v>73</v>
      </c>
      <c r="C338" s="23" t="s">
        <v>21</v>
      </c>
      <c r="D338" s="98">
        <f>(0.97+0.08)*1.9</f>
        <v>1.9949999999999999</v>
      </c>
      <c r="E338" s="73"/>
      <c r="F338" s="73"/>
      <c r="G338" s="57" t="s">
        <v>74</v>
      </c>
      <c r="H338" s="31" t="s">
        <v>309</v>
      </c>
    </row>
    <row r="339" spans="1:9" x14ac:dyDescent="0.25">
      <c r="A339" s="37"/>
      <c r="B339" s="174" t="s">
        <v>310</v>
      </c>
      <c r="C339" s="37"/>
      <c r="D339" s="37"/>
      <c r="E339" s="153"/>
      <c r="F339" s="153"/>
      <c r="G339" s="153"/>
      <c r="H339" s="175"/>
    </row>
    <row r="340" spans="1:9" x14ac:dyDescent="0.25">
      <c r="A340" s="21"/>
      <c r="B340" s="52" t="s">
        <v>311</v>
      </c>
      <c r="C340" s="23" t="s">
        <v>9</v>
      </c>
      <c r="D340" s="21">
        <v>11.15</v>
      </c>
      <c r="E340" s="207">
        <v>7200</v>
      </c>
      <c r="F340" s="214">
        <f t="shared" ref="F340" si="44">E340*D340</f>
        <v>80280</v>
      </c>
      <c r="G340" s="172"/>
      <c r="H340" s="31" t="s">
        <v>312</v>
      </c>
    </row>
    <row r="341" spans="1:9" s="51" customFormat="1" x14ac:dyDescent="0.25">
      <c r="A341" s="12"/>
      <c r="B341" s="13" t="s">
        <v>313</v>
      </c>
      <c r="C341" s="14" t="s">
        <v>314</v>
      </c>
      <c r="D341" s="179">
        <v>263.12</v>
      </c>
      <c r="E341" s="180"/>
      <c r="F341" s="180"/>
      <c r="G341" s="180"/>
      <c r="H341" s="17"/>
    </row>
    <row r="342" spans="1:9" s="20" customFormat="1" x14ac:dyDescent="0.25">
      <c r="A342" s="5"/>
      <c r="B342" s="149" t="s">
        <v>315</v>
      </c>
      <c r="C342" s="7" t="s">
        <v>6</v>
      </c>
      <c r="D342" s="181">
        <v>82.88</v>
      </c>
      <c r="E342" s="181"/>
      <c r="F342" s="181"/>
      <c r="G342" s="181"/>
      <c r="H342" s="182"/>
    </row>
    <row r="343" spans="1:9" ht="28.8" x14ac:dyDescent="0.25">
      <c r="A343" s="21"/>
      <c r="B343" s="22" t="s">
        <v>316</v>
      </c>
      <c r="C343" s="7" t="s">
        <v>6</v>
      </c>
      <c r="D343" s="181">
        <v>82.88</v>
      </c>
      <c r="E343" s="181"/>
      <c r="F343" s="181"/>
      <c r="G343" s="181"/>
      <c r="H343" s="26"/>
    </row>
    <row r="344" spans="1:9" s="20" customFormat="1" x14ac:dyDescent="0.25">
      <c r="A344" s="5"/>
      <c r="B344" s="149" t="s">
        <v>317</v>
      </c>
      <c r="C344" s="7" t="s">
        <v>6</v>
      </c>
      <c r="D344" s="181">
        <v>82.88</v>
      </c>
      <c r="E344" s="181"/>
      <c r="F344" s="181"/>
      <c r="G344" s="181"/>
      <c r="H344" s="182"/>
    </row>
    <row r="345" spans="1:9" s="20" customFormat="1" ht="18.600000000000001" customHeight="1" x14ac:dyDescent="0.25">
      <c r="A345" s="5"/>
      <c r="B345" s="208" t="s">
        <v>318</v>
      </c>
      <c r="C345" s="7" t="s">
        <v>314</v>
      </c>
      <c r="D345" s="183">
        <v>263.12</v>
      </c>
      <c r="E345" s="181"/>
      <c r="F345" s="214">
        <f t="shared" ref="F345:F346" si="45">E345*D345</f>
        <v>0</v>
      </c>
      <c r="G345" s="181"/>
      <c r="I345" s="206" t="s">
        <v>332</v>
      </c>
    </row>
    <row r="346" spans="1:9" ht="43.2" x14ac:dyDescent="0.25">
      <c r="A346" s="21"/>
      <c r="B346" s="28" t="s">
        <v>340</v>
      </c>
      <c r="C346" s="95" t="s">
        <v>9</v>
      </c>
      <c r="D346" s="29">
        <v>4.79</v>
      </c>
      <c r="E346" s="204">
        <v>104000</v>
      </c>
      <c r="F346" s="214">
        <f t="shared" si="45"/>
        <v>498160</v>
      </c>
      <c r="G346" s="30"/>
      <c r="H346" s="31" t="s">
        <v>20</v>
      </c>
    </row>
    <row r="347" spans="1:9" ht="28.8" x14ac:dyDescent="0.25">
      <c r="A347" s="21"/>
      <c r="B347" s="22" t="s">
        <v>319</v>
      </c>
      <c r="C347" s="23" t="s">
        <v>21</v>
      </c>
      <c r="D347" s="24">
        <v>11.84</v>
      </c>
      <c r="E347" s="25"/>
      <c r="F347" s="25"/>
      <c r="G347" s="25"/>
      <c r="H347" s="31" t="s">
        <v>320</v>
      </c>
    </row>
    <row r="348" spans="1:9" ht="28.8" x14ac:dyDescent="0.25">
      <c r="A348" s="21"/>
      <c r="B348" s="22" t="s">
        <v>321</v>
      </c>
      <c r="C348" s="23" t="s">
        <v>21</v>
      </c>
      <c r="D348" s="60">
        <v>11.84</v>
      </c>
      <c r="E348" s="207">
        <v>20</v>
      </c>
      <c r="F348" s="207"/>
      <c r="G348" s="60"/>
      <c r="H348" s="184"/>
    </row>
    <row r="349" spans="1:9" s="191" customFormat="1" ht="15.6" x14ac:dyDescent="0.3">
      <c r="A349" s="185"/>
      <c r="B349" s="186" t="s">
        <v>322</v>
      </c>
      <c r="C349" s="187" t="s">
        <v>9</v>
      </c>
      <c r="D349" s="187">
        <v>99.05</v>
      </c>
      <c r="E349" s="188"/>
      <c r="F349" s="188"/>
      <c r="G349" s="188"/>
      <c r="H349" s="189"/>
      <c r="I349" s="190"/>
    </row>
    <row r="350" spans="1:9" s="191" customFormat="1" ht="43.2" x14ac:dyDescent="0.3">
      <c r="A350" s="185"/>
      <c r="B350" s="192" t="s">
        <v>323</v>
      </c>
      <c r="C350" s="193" t="s">
        <v>324</v>
      </c>
      <c r="D350" s="193"/>
      <c r="E350" s="194"/>
      <c r="F350" s="194"/>
      <c r="G350" s="194"/>
      <c r="H350" s="189"/>
      <c r="I350" s="190"/>
    </row>
    <row r="351" spans="1:9" s="191" customFormat="1" ht="43.2" x14ac:dyDescent="0.3">
      <c r="A351" s="185"/>
      <c r="B351" s="192" t="s">
        <v>325</v>
      </c>
      <c r="C351" s="193" t="s">
        <v>324</v>
      </c>
      <c r="D351" s="193"/>
      <c r="E351" s="194"/>
      <c r="F351" s="194"/>
      <c r="G351" s="194"/>
      <c r="H351" s="189"/>
      <c r="I351" s="195" t="s">
        <v>326</v>
      </c>
    </row>
    <row r="352" spans="1:9" s="191" customFormat="1" ht="15.6" x14ac:dyDescent="0.3">
      <c r="A352" s="185"/>
      <c r="B352" s="196" t="s">
        <v>327</v>
      </c>
      <c r="C352" s="197" t="str">
        <f>C351</f>
        <v>1 т груза</v>
      </c>
      <c r="D352" s="197"/>
      <c r="E352" s="198"/>
      <c r="F352" s="198"/>
      <c r="G352" s="198"/>
      <c r="H352" s="189"/>
      <c r="I352" s="190"/>
    </row>
    <row r="353" spans="6:6" x14ac:dyDescent="0.25">
      <c r="F353" s="218">
        <f>SUM(F2:F352)</f>
        <v>15488011.488059994</v>
      </c>
    </row>
  </sheetData>
  <autoFilter ref="B1:H350" xr:uid="{C499C02C-3388-43F3-8596-2C9675FE6161}"/>
  <mergeCells count="1">
    <mergeCell ref="I40:I43"/>
  </mergeCells>
  <hyperlinks>
    <hyperlink ref="J8" r:id="rId1" xr:uid="{56437EED-80A9-4F26-910E-3006340B86A8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Admin</cp:lastModifiedBy>
  <dcterms:created xsi:type="dcterms:W3CDTF">2025-10-06T08:57:06Z</dcterms:created>
  <dcterms:modified xsi:type="dcterms:W3CDTF">2025-11-14T06:16:52Z</dcterms:modified>
</cp:coreProperties>
</file>