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ШЕЛЛРОКК\Коломна\М6\"/>
    </mc:Choice>
  </mc:AlternateContent>
  <xr:revisionPtr revIDLastSave="0" documentId="13_ncr:1_{01B8B786-4924-421D-92EC-FC3CD378C313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heet1" sheetId="1" r:id="rId1"/>
  </sheets>
  <definedNames>
    <definedName name="_xlnm._FilterDatabase" localSheetId="0" hidden="1">Sheet1!$A$1:$O$1119</definedName>
  </definedName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85" i="1" l="1"/>
  <c r="G344" i="1"/>
  <c r="G927" i="1"/>
  <c r="G911" i="1"/>
  <c r="G910" i="1"/>
  <c r="G909" i="1"/>
  <c r="G908" i="1"/>
  <c r="G907" i="1"/>
  <c r="G906" i="1"/>
  <c r="G905" i="1"/>
  <c r="G904" i="1"/>
  <c r="G903" i="1"/>
  <c r="G902" i="1"/>
  <c r="G901" i="1"/>
  <c r="G900" i="1"/>
  <c r="G899" i="1"/>
  <c r="G898" i="1" s="1"/>
  <c r="G914" i="1"/>
  <c r="G913" i="1"/>
  <c r="G912" i="1"/>
  <c r="G888" i="1"/>
  <c r="G887" i="1"/>
  <c r="G886" i="1"/>
  <c r="G861" i="1"/>
  <c r="G6" i="1"/>
  <c r="G19" i="1"/>
  <c r="G30" i="1"/>
  <c r="G43" i="1"/>
  <c r="G56" i="1"/>
  <c r="G66" i="1"/>
  <c r="G80" i="1"/>
  <c r="G94" i="1"/>
  <c r="G107" i="1"/>
  <c r="G854" i="1"/>
  <c r="G853" i="1"/>
  <c r="G849" i="1"/>
  <c r="G838" i="1"/>
  <c r="G839" i="1"/>
  <c r="G840" i="1"/>
  <c r="G823" i="1"/>
  <c r="G824" i="1"/>
  <c r="G814" i="1"/>
  <c r="G811" i="1"/>
  <c r="G806" i="1"/>
  <c r="G789" i="1"/>
  <c r="G787" i="1"/>
  <c r="G786" i="1"/>
  <c r="G784" i="1"/>
  <c r="G774" i="1"/>
  <c r="G763" i="1"/>
  <c r="G759" i="1"/>
  <c r="G755" i="1"/>
  <c r="G747" i="1"/>
  <c r="G746" i="1"/>
  <c r="G737" i="1"/>
  <c r="G743" i="1"/>
  <c r="G744" i="1"/>
  <c r="G745" i="1"/>
  <c r="G742" i="1"/>
  <c r="G939" i="1"/>
  <c r="G938" i="1"/>
  <c r="G937" i="1"/>
  <c r="G936" i="1"/>
  <c r="G720" i="1"/>
  <c r="G711" i="1"/>
  <c r="G708" i="1"/>
  <c r="G707" i="1"/>
  <c r="G705" i="1"/>
  <c r="G704" i="1"/>
  <c r="G703" i="1"/>
  <c r="G701" i="1"/>
  <c r="G700" i="1"/>
  <c r="G698" i="1"/>
  <c r="G695" i="1"/>
  <c r="G694" i="1"/>
  <c r="G677" i="1"/>
  <c r="G671" i="1"/>
  <c r="G665" i="1"/>
  <c r="G656" i="1"/>
  <c r="G636" i="1"/>
  <c r="G644" i="1"/>
  <c r="G643" i="1"/>
  <c r="G642" i="1"/>
  <c r="G641" i="1"/>
  <c r="G633" i="1"/>
  <c r="G631" i="1"/>
  <c r="G630" i="1"/>
  <c r="G627" i="1"/>
  <c r="G626" i="1"/>
  <c r="G625" i="1"/>
  <c r="G622" i="1"/>
  <c r="G623" i="1"/>
  <c r="G621" i="1"/>
  <c r="G616" i="1"/>
  <c r="G615" i="1"/>
  <c r="G614" i="1"/>
  <c r="G613" i="1"/>
  <c r="G612" i="1"/>
  <c r="G611" i="1"/>
  <c r="G604" i="1"/>
  <c r="G592" i="1"/>
  <c r="G563" i="1"/>
  <c r="G579" i="1"/>
  <c r="G578" i="1"/>
  <c r="G542" i="1"/>
  <c r="G574" i="1"/>
  <c r="G573" i="1"/>
  <c r="G561" i="1"/>
  <c r="G526" i="1"/>
  <c r="G560" i="1"/>
  <c r="G529" i="1"/>
  <c r="G530" i="1"/>
  <c r="G528" i="1" s="1"/>
  <c r="G524" i="1"/>
  <c r="G509" i="1"/>
  <c r="G502" i="1"/>
  <c r="G496" i="1"/>
  <c r="G451" i="1"/>
  <c r="G428" i="1" l="1"/>
  <c r="G410" i="1"/>
  <c r="G396" i="1"/>
  <c r="G395" i="1"/>
  <c r="G388" i="1"/>
  <c r="G387" i="1"/>
  <c r="G377" i="1"/>
  <c r="G371" i="1"/>
  <c r="G363" i="1"/>
  <c r="G361" i="1"/>
  <c r="G360" i="1"/>
  <c r="G358" i="1"/>
  <c r="G357" i="1" s="1"/>
  <c r="G356" i="1"/>
  <c r="G355" i="1"/>
  <c r="G348" i="1"/>
  <c r="G334" i="1"/>
  <c r="G330" i="1"/>
  <c r="G325" i="1"/>
  <c r="G322" i="1"/>
  <c r="G320" i="1"/>
  <c r="G323" i="1"/>
  <c r="G312" i="1"/>
  <c r="G308" i="1"/>
  <c r="G304" i="1"/>
  <c r="G302" i="1"/>
  <c r="G300" i="1"/>
  <c r="G297" i="1"/>
  <c r="G293" i="1"/>
  <c r="G287" i="1"/>
  <c r="G285" i="1"/>
  <c r="G281" i="1"/>
  <c r="G277" i="1"/>
  <c r="G273" i="1"/>
  <c r="G268" i="1"/>
  <c r="G272" i="1"/>
  <c r="G271" i="1" s="1"/>
  <c r="G263" i="1"/>
  <c r="G266" i="1"/>
  <c r="G267" i="1"/>
  <c r="G260" i="1"/>
  <c r="G256" i="1"/>
  <c r="G253" i="1"/>
  <c r="G246" i="1"/>
  <c r="G240" i="1"/>
  <c r="G233" i="1"/>
  <c r="G226" i="1"/>
  <c r="G219" i="1"/>
  <c r="G212" i="1"/>
  <c r="G209" i="1"/>
  <c r="G206" i="1"/>
  <c r="G205" i="1"/>
  <c r="G204" i="1"/>
  <c r="G203" i="1"/>
  <c r="G202" i="1"/>
  <c r="G200" i="1"/>
  <c r="G192" i="1"/>
  <c r="G197" i="1"/>
  <c r="G158" i="1"/>
  <c r="G151" i="1"/>
  <c r="G354" i="1" l="1"/>
  <c r="G359" i="1"/>
  <c r="G143" i="1"/>
  <c r="G135" i="1"/>
  <c r="G122" i="1"/>
  <c r="G133" i="1"/>
  <c r="G132" i="1"/>
  <c r="G131" i="1"/>
  <c r="G130" i="1"/>
  <c r="G129" i="1" l="1"/>
  <c r="G116" i="1"/>
  <c r="G115" i="1"/>
  <c r="G112" i="1"/>
  <c r="G106" i="1"/>
  <c r="G103" i="1"/>
  <c r="G101" i="1"/>
  <c r="G100" i="1"/>
  <c r="G96" i="1"/>
  <c r="G95" i="1"/>
  <c r="G88" i="1"/>
  <c r="G87" i="1"/>
  <c r="G83" i="1"/>
  <c r="G82" i="1"/>
  <c r="G74" i="1"/>
  <c r="G73" i="1"/>
  <c r="G70" i="1"/>
  <c r="G67" i="1"/>
  <c r="G62" i="1"/>
  <c r="G59" i="1"/>
  <c r="G58" i="1"/>
  <c r="G53" i="1"/>
  <c r="G48" i="1"/>
  <c r="G47" i="1"/>
  <c r="G46" i="1"/>
  <c r="G45" i="1"/>
  <c r="G38" i="1"/>
  <c r="G37" i="1"/>
  <c r="G34" i="1"/>
  <c r="G33" i="1"/>
  <c r="G32" i="1"/>
  <c r="G31" i="1"/>
  <c r="G27" i="1"/>
  <c r="G23" i="1"/>
  <c r="G22" i="1"/>
  <c r="G21" i="1"/>
  <c r="G20" i="1"/>
  <c r="G14" i="1"/>
  <c r="G13" i="1"/>
  <c r="G12" i="1"/>
  <c r="G9" i="1"/>
  <c r="G8" i="1"/>
  <c r="G7" i="1"/>
</calcChain>
</file>

<file path=xl/sharedStrings.xml><?xml version="1.0" encoding="utf-8"?>
<sst xmlns="http://schemas.openxmlformats.org/spreadsheetml/2006/main" count="3198" uniqueCount="1475">
  <si>
    <t>№ поз.по ВОР</t>
  </si>
  <si>
    <t>Кол-во</t>
  </si>
  <si>
    <t>Комментарий/вопросы</t>
  </si>
  <si>
    <t>№ поз.п/п</t>
  </si>
  <si>
    <t>111</t>
  </si>
  <si>
    <t>112</t>
  </si>
  <si>
    <t>Наименование работ</t>
  </si>
  <si>
    <t>Демонтажные работы</t>
  </si>
  <si>
    <t>Демонтаж покрытия кровли в осях А-Их2-16' (Участок I)</t>
  </si>
  <si>
    <t>демонтаж
Рубероид (2 слоя)</t>
  </si>
  <si>
    <t>демонтаж
Цементо-песчаная стяжка</t>
  </si>
  <si>
    <t>демонтаж
Мелкоразмерные плиты покрытия (2250х500х100 мм - П-1)</t>
  </si>
  <si>
    <t>демонтаж
Мелкоразмерные плиты покрытия (1800х500х100 мм П-3)</t>
  </si>
  <si>
    <t>демонтаж
Мелкоразмерные плиты покрытия (850х500х100 мм П-4)</t>
  </si>
  <si>
    <t>демонтаж
Стальные отливы переменной ширины</t>
  </si>
  <si>
    <t>демонтаж
Рубероид на вертикальных и горизонтальных поверхностях парапета (2 слоя), h переменная</t>
  </si>
  <si>
    <t>демонтаж
Металлическая лестница №1</t>
  </si>
  <si>
    <t>демонтаж
Металлическая лестница №2</t>
  </si>
  <si>
    <t>демонтаж
Металлическая лестница №3</t>
  </si>
  <si>
    <t>демонтаж
Воронка без листоуловителя</t>
  </si>
  <si>
    <t>Демонтаж покрытия кровли в осях И-Сх2-16' (Участок II)</t>
  </si>
  <si>
    <t>демонтаж
Рубероид (3 слоя)</t>
  </si>
  <si>
    <t>демонтаж
Рубероид (1 слой)</t>
  </si>
  <si>
    <t>демонтаж
Мелкоразмерные плиты покрытия (2250х500х100 мм П-1)</t>
  </si>
  <si>
    <t>демонтаж
Мелкоразмерные плиты покрытия (2000х500х100 мм - П-5)</t>
  </si>
  <si>
    <t>демонтаж
Металлическая лестница №5</t>
  </si>
  <si>
    <t>Демонтаж покрытия кровли в осях С-Шх2-16' (Участок III)</t>
  </si>
  <si>
    <t>демонтаж
Металлическая лестница №4</t>
  </si>
  <si>
    <t xml:space="preserve">демонтаж
Листвоуловитель в комплекте с воронкой </t>
  </si>
  <si>
    <t>Демонтаж покрытия кровли в осях Ш-Юх2-16' (Участок IV)</t>
  </si>
  <si>
    <t>Рубероид (1 слой)</t>
  </si>
  <si>
    <t>Цементо-песчаная стяжка</t>
  </si>
  <si>
    <t>Рубероид в 2 слоя по битумной мастике</t>
  </si>
  <si>
    <t>Асфальто-бетонная стяжка</t>
  </si>
  <si>
    <t>Мелкоразмерные плиты покрытия (2250х500х100 мм П-1)</t>
  </si>
  <si>
    <t>Мелкоразмерные плиты покрытия (1500х500х100 мм П-2)</t>
  </si>
  <si>
    <t>Мелкоразмерные плиты покрытия (1800х500х100 мм П-3)</t>
  </si>
  <si>
    <t>Стальные отливы переменной ширины</t>
  </si>
  <si>
    <t>Рубероид на вертикальных и горизонтальных поверхностях парапета (2 слоя), h переменная</t>
  </si>
  <si>
    <t xml:space="preserve">Листвоуловитель в комплекте с воронкой </t>
  </si>
  <si>
    <t>Воронка без листоуловителя</t>
  </si>
  <si>
    <t>Металлическая лестница №5</t>
  </si>
  <si>
    <t>Демонтаж покрытия кровли в осях Ю-А'х2-16' (Участок V)</t>
  </si>
  <si>
    <t>Демонтаж покрытия фонаря в осях И-Сх4-22 (Участок VII)</t>
  </si>
  <si>
    <t>Рубероид (4 слоя)</t>
  </si>
  <si>
    <t>Рубероид (2 слоя)</t>
  </si>
  <si>
    <t>Мелкоразмерные плиты покрытия (2000х500х100 мм - П-5)</t>
  </si>
  <si>
    <t xml:space="preserve">Бортовые плиты </t>
  </si>
  <si>
    <t>Заполнение светоаэрационных фонарей из поликарбоната (остекление)</t>
  </si>
  <si>
    <t xml:space="preserve">Торец светоаэрационного фонаря </t>
  </si>
  <si>
    <t>Стальные отливы (кровельные, подоконные)</t>
  </si>
  <si>
    <t>Рубероид на вертикальных поверхностях бортовых плит (2 слоя)</t>
  </si>
  <si>
    <t>Деревянная доска</t>
  </si>
  <si>
    <t>Демонтаж покрытия фонаря в осях С-Шх4-22 (Участок VIII)</t>
  </si>
  <si>
    <t>Рубероид (3 слоя)</t>
  </si>
  <si>
    <t>Стеклоизол (1 слой)</t>
  </si>
  <si>
    <t>Каркас остектения из металлических элементов</t>
  </si>
  <si>
    <t>Демонтаж покрытия фонаря в осях Ш/М-Юх4-22 (Участок IХ)</t>
  </si>
  <si>
    <t>Демонтаж покрытия фонаря в осях Ш/М-Юх4-22 (Участок Х)</t>
  </si>
  <si>
    <t>Утеплитель мин. вата 3 слоя</t>
  </si>
  <si>
    <t>Пароизоляционная пленка</t>
  </si>
  <si>
    <t>Профлист</t>
  </si>
  <si>
    <t>Монтажные работы</t>
  </si>
  <si>
    <t>Усиление ферм ФС-1 и ФФ-1</t>
  </si>
  <si>
    <t>Усиление ферм фонаря ФФ-1: доращивание сечения ВП - уголком 56х5 по ГОСТ 8509-93, доращивание сечения раскосов - уголком 50х5 по ГОСТ 8509-93, установка шпренгелей из спаренных уголков 50х5 по ГОСТ 8509-93</t>
  </si>
  <si>
    <t>Усиление ферм ФС-1: доращивание сечения ВП -полосовым прокатом 75х5 по ГОСТ 103—2006, установка шпренгелей из спаренных уголков 63х6 по ГОСТ 8509-93</t>
  </si>
  <si>
    <t>Усиление ферм ФС-2 и ФФ-2</t>
  </si>
  <si>
    <t>Усиление ферм фонаря ФФ-2: доращивание сечения ВП - уголком 56х5 по ГОСТ 8509-93, доращивание сечения стоек - уголком 56х5 по ГОСТ 8509-93, доращивание сечения раскосов - уголком 50х5 по ГОСТ 8509-93,  доращивание сечения крайних стоек - полосовой сталью по ГОСТ 103-2006, установка шпренгелей из спаренных уголков 50х5 по ГОСТ 8509-93</t>
  </si>
  <si>
    <t>Усиление ферм ФС-2: доращивание сечения стоек -уголком 56х5 по ГОСТ 8509-93, установка шпренгелей из спаренных уголков 56х5 и 90х8 по ГОСТ 8509-93</t>
  </si>
  <si>
    <t>Усиление ферм ФС-3 и ФФ-3</t>
  </si>
  <si>
    <t>Усиление ферм фонаря ФФ-3: доращивание сечения раскосов - уголком 50х5 по ГОСТ 8509-93, установка шпренгелей из спаренных уголков 50х5 по ГОСТ 8509-93</t>
  </si>
  <si>
    <t xml:space="preserve">Усиление ферм ФС-4 </t>
  </si>
  <si>
    <t>Усиление ферм ФС-4: установка шпренгелей из спаренных уголков 50х5 по ГОСТ 8509-93</t>
  </si>
  <si>
    <t>Демонтажные работы по прогонам</t>
  </si>
  <si>
    <t>Демонтаж прогонов Пр-2 (5 пролет) из швеллера 22а по ГОСТ 8240-56 по фермам ФС-4</t>
  </si>
  <si>
    <t>Демонтаж прогонов Пр-2 (4 пролет) из швеллера 22а по ГОСТ 8240-56 по фермам ФС-3</t>
  </si>
  <si>
    <t>Демонтаж прогонов Пр-1 (3 пролет) из швеллера 20а по ГОСТ 8240-56 по фермам ФС-2</t>
  </si>
  <si>
    <t>Демонтаж прогонов Пр-1 (1 и 2 пролет) из швеллера 20а по ГОСТ 8240-56 по фермам ФС-1</t>
  </si>
  <si>
    <t>Демонтаж прогонов Пр-2 (5 и 4 пролеты) из швеллера 22а по ГОСТ 8240-56 по фермам ФС-4 и ФС-3 в осях 2-3</t>
  </si>
  <si>
    <t>Демонтаж прогонов Пр-2 (5 и 4 пролеты) из швеллера 22а по ГОСТ 8240-56 по фермам ФС-4 и ФС-3 в осях 16-16'</t>
  </si>
  <si>
    <t>Демонтаж прогонов Пр-1 (1, 2 и 3 пролеты) из швеллера 22а по ГОСТ 8240-56 по фермам ФС-2 и ФС-1 в осях 2-3</t>
  </si>
  <si>
    <t>Демонтаж прогонов Пр-1 (1, 2 и 3 пролеты) из швеллера 22а по ГОСТ 8240-56 по фермам ФС-2 и ФС-1 в осях 16-16'</t>
  </si>
  <si>
    <t>Демонтаж прогонов Пр-1 из швеллера 22а по ГОСТ 8240-56 с заменой их на новые аналогичного сечения</t>
  </si>
  <si>
    <t>Демонтаж прогонов Пр-3 из двутавра 22 по ГОСТ 8239-89 с заменой их на новые аналогичного сечения</t>
  </si>
  <si>
    <t>Демонтаж прогонов Пр-1 из швеллера 20а по ГОСТ 8240-56 с заменой их на новые аналогичного сечения</t>
  </si>
  <si>
    <t>Монтажные работы по прогонам</t>
  </si>
  <si>
    <t xml:space="preserve">Установка новых прогонов </t>
  </si>
  <si>
    <t>Установка новых прогонов из двутавра 20К2 по ГОСТ Р 57837-2017 (Пр-4)</t>
  </si>
  <si>
    <t>Установка новых прогонов из двутавра 20К2 по ГОСТ Р 57837-2017 (Пр-5)</t>
  </si>
  <si>
    <t>Установка новых прогонов из двутавра 20К2 по ГОСТ Р 57837-2017 (Пр-6)</t>
  </si>
  <si>
    <t>Крепление новых прогонов болтами ∅20 по ГОСТ 7798-70, полосовой сталью по ГОСТ 103-2006 и листовой по ГОСТ 19903-2015</t>
  </si>
  <si>
    <t>Устройство гнезд в кирпичной стене  для опирания новых прогонов</t>
  </si>
  <si>
    <t>Устройство бетонной подушки для опирания новых прогонов, бетон В15</t>
  </si>
  <si>
    <t>Заполнение полости (пазух) гнезд в кирпичной кладке стен после установки новых прогонов -  заложение (забивка) кирпичом</t>
  </si>
  <si>
    <t>Заполнение полости (пазух) гнезд в кирпичной кладке стен после заложения (забивки) кирпичом  обетонировать узлы</t>
  </si>
  <si>
    <t xml:space="preserve">Замена существующих прогонов </t>
  </si>
  <si>
    <t>Установка новых прогонов из швеллера 20 по ГОСТ 8240-97 (Пр-1)</t>
  </si>
  <si>
    <t>Установка новых прогонов из двутавра 22 по ГОСТ ГОСТ 8239-89 (Пр-3)</t>
  </si>
  <si>
    <t>Демонтажные работы по распоркам, вертикальным и горизонтальным связям покрытия</t>
  </si>
  <si>
    <t>Демонтаж распорок Р-1 из двух уголков 90х56х6 по ГОСТ 8510-57 (в осях Ш/М-А'х3-4, Ш/М-А'х10-11, Ш/М-А'х22-16 по НП ферм)</t>
  </si>
  <si>
    <t>Демонтаж распорок Р-2 из одиночного уголка 56х5 по ГОСТ 8509-57 (в осях Ш/М-Юх5-21, Ю-А'х5-21 по НП ферм)</t>
  </si>
  <si>
    <t>Демонтаж распорок Р-2 из одиночного уголка 56х5 по ГОСТ 8509-57 (в осях Ш/М-Юх5-21, Ю-А'х5-21, И-Сх5-21 по ВП ферм)</t>
  </si>
  <si>
    <t>Демонтаж распорок Р-5 из одиночного уголка 63х5 по ГОСТ 8509-57 (в осях А-Их5-21, С-Шх5-21, И-Сх3-4 и И-Сх22-16  по НП ферм)</t>
  </si>
  <si>
    <t>Демонтаж распорок Р-12 из одиночного уголка 50х5 по ГОСТ 8509-57 (в осях И-Сх3-4 и И-Сх22-16 по НП ферм)</t>
  </si>
  <si>
    <t>Демонтаж распорок Р-5 из одиночного уголка 63х5 по ГОСТ 8509-57 (в осях С-Шх5-21 по ВП ферм)</t>
  </si>
  <si>
    <t>Демонтаж распорок Р-6 двух уголков 56х5 по ГОСТ 8509-57 (в осях С-Шх5-21 по НП ферм и колоннам)</t>
  </si>
  <si>
    <t>Демонтаж распорок Р-10 двух уголков 63х6 по ГОСТ 8509-57 (в осях С-Шх3-4, С-Шх22-16 по НП ферм)</t>
  </si>
  <si>
    <t>Демонтаж распорок Р-11 из двух уголков 75х6 по ГОСТ 8509-57 (в осях С-Шх10-11 по НП ферм)</t>
  </si>
  <si>
    <t>Демонтаж распорок Р-7 из двух уголков 100х75х8 по ОСТ 10015-39 (в осях И-Сх13-14 по НП ферм)</t>
  </si>
  <si>
    <t>Демонтаж распорок Р-3 из двух уголков 75х6 по ГОСТ 8509-57 (в осях Ш/М-Юх5-15 по НП ферм)</t>
  </si>
  <si>
    <t xml:space="preserve">Демонтаж горизонтальных связей СГ-1 из одиночного уголка 63х6 по ГОСТ 8509-57 (по НП ферм) с заменой их на новые </t>
  </si>
  <si>
    <t xml:space="preserve">Демонтаж горизонтальных связей СГ-1 из одиночного уголка 63х6 по ГОСТ 8509-57 (по ВП ферм) с заменой их на новые </t>
  </si>
  <si>
    <t>Демонтаж вертикальных связей СВ-11 из одиночного уголка 56х5 по ГОСТ 8509-57 (по фермам фонаря) в осях Ш/М-Юх4-5, Ш/М-Юх10-11, Ш/М-Юх21-22, Ю-А'х4-5, Ю-А'х10-11, Ю-А'х21-22</t>
  </si>
  <si>
    <t>Демонтаж вертикальных связей СВ-13 из одиночного уголка 56х5 по ГОСТ 8509-57 (по фермам фонаря) в осях С-Шх4-5, С-Шх10-11, С-Шх21-22</t>
  </si>
  <si>
    <t>Демонтаж вертикальных связей СВ-15 из одиночного уголка 56х5 по ГОСТ 8509-57 (по фермам фонаря) в осях И-Сх4-5, И-Сх10-11, И-Сх21-22</t>
  </si>
  <si>
    <t>Демонтаж вертикальных связей СВ-12 из двух уголков 56х5 по ГОСТ 8509-57 (по фермам фонаря) в осях Ю-А'х4-5, Ю-А'х10-11, Ш/М-Юх10-11</t>
  </si>
  <si>
    <t>Демонтаж элемента вертикальных связей СВ-12 из двух уголков 56х5 по ГОСТ 8509-57 (по фермам фонаря) в осях Ю-А'х21-22</t>
  </si>
  <si>
    <t>Демонтаж элемента вертикальных связей СВ-1 из уголков 63х6 и 50х5 по ГОСТ 8509-57 (по фермам) в осях Ш/Мх21-22 и Юх21-22</t>
  </si>
  <si>
    <t>Демонтаж элемента вертикальной связи СВ-3 из уголков 56х5 и 75х6 по ГОСТ 8509-57 (по фермам) в осях Шх21-22</t>
  </si>
  <si>
    <t>Монтажные работы по  по распоркам, вертикальным и горизонтальным связям покрытия</t>
  </si>
  <si>
    <t>Установка распорок Р-10 (нов.) по НП ферм</t>
  </si>
  <si>
    <t>Установка распорок Р-2 (нов.) по НП ферм</t>
  </si>
  <si>
    <t>Установка распорок Р-6 (нов.) по НП ферм</t>
  </si>
  <si>
    <t>Установка распорок Р-5 (нов.) по ВП ферм</t>
  </si>
  <si>
    <t>Замена распорок Р-3 по колоннам</t>
  </si>
  <si>
    <t>Замена распорки Р-7 по НП ферм</t>
  </si>
  <si>
    <t>Установка распорки Р-8 по колоннам</t>
  </si>
  <si>
    <t>Установка распорок Р-12 (нов.) по НП ферм</t>
  </si>
  <si>
    <t>Усиление вертикальных связей ВС-1</t>
  </si>
  <si>
    <t>Усиление вертикальных связей ВС-2</t>
  </si>
  <si>
    <t>Усиление вертикальных связей ВС-4</t>
  </si>
  <si>
    <t>Усиление вертикальных связей ВС-5</t>
  </si>
  <si>
    <t>Усиление вертикальных связей ВС-6</t>
  </si>
  <si>
    <t>Усиление вертикальных связей ВС-8</t>
  </si>
  <si>
    <t>Усиление вертикальных связей ВС-12</t>
  </si>
  <si>
    <t>Усиление вертикальных связей ВС-14</t>
  </si>
  <si>
    <t>Усиление вертикальных связей ВС-16</t>
  </si>
  <si>
    <t>Установка новых ВС-13, ВС-15, ВС-11</t>
  </si>
  <si>
    <t>Замена элементов вертикальной связи ВС-1</t>
  </si>
  <si>
    <t>Замена элементов вертикальной связи ВС-3</t>
  </si>
  <si>
    <t>Замена элементов вертикальной связи ВС-12</t>
  </si>
  <si>
    <t>Замена элементов вертикальной связи ВС-14</t>
  </si>
  <si>
    <t>Замена элемента вертикальной связи ВС-12</t>
  </si>
  <si>
    <t>Усиление горизонтальных связей СГ-1</t>
  </si>
  <si>
    <t>Замена горизонтальных связей СГ-1</t>
  </si>
  <si>
    <t>Установка новой горизонтальной связи СГ-1</t>
  </si>
  <si>
    <t>Обработка существующих и новых (монтируемых) элементов металлоконструкций покрытия</t>
  </si>
  <si>
    <t>Обработка сущ. эл.-в м/к покрытия в осях А-А'-2-16': Зачистка от окрасочного слоя абразивным инструментом (металлические щетки, шлифовальные машинки)</t>
  </si>
  <si>
    <t>Обработка сущ. эл.-в м/к покрытия в осях А-А'-2-16': обработка преобразователем ржавчины - химическая очистка</t>
  </si>
  <si>
    <t>Обработка сущ. эл.-в м/к покрытия в осях А-А'-2-16': покрытие одним слоем грунтовки ГФ-021 ГОСТ25129-2020</t>
  </si>
  <si>
    <t>Обработка сущ. эл.-в м/к покрытия в осях А-А'-2-16': покрытие огнезащитной краской КЕДР МЕТ КО</t>
  </si>
  <si>
    <t>Обработка сущ. эл.-в м/к покрытия в осях А-А'-2-16':  покрытие слоем эмали ПФ-115 ГОСТ 6465-76 за 2 раза, цвет RAL9016</t>
  </si>
  <si>
    <t>Обработка новых (монтируемых) эл.-в м/к покрытия в осях А-А'-2-16': Покрытие одним слоем грунтовки ГФ-021 ГОСТ25129-2020</t>
  </si>
  <si>
    <t>Обработка новых (монтируемых) эл.-в м/к покрытия в осях А-А'-2-16':  покрытие огнезащитной краской КЕДР МЕТ КО</t>
  </si>
  <si>
    <t>Обработка новых (монтируемых) эл.-в м/к покрытия в осях А-А'-2-16':  покрытие слоем эмали ПФ-115 ГОСТ 6465-76 за 2 раза, цвет RAL9016</t>
  </si>
  <si>
    <t>Общие реморнтные работы металлических эл-ов покрытия</t>
  </si>
  <si>
    <t>Устраниение штучной погнутости металлических элементов покрытия с помощью ручного молотка для правки стали</t>
  </si>
  <si>
    <t xml:space="preserve">Выправка металлических элементов  </t>
  </si>
  <si>
    <t>Ревизия всех болтовых соединений, затяжка существующих гаек</t>
  </si>
  <si>
    <t>Замена болтового крепление</t>
  </si>
  <si>
    <t>Усиление (доращивание сечения) металлических элементов (после выполнения выправки) путем наваривания элементов аналогичного сечения</t>
  </si>
  <si>
    <t xml:space="preserve">Демонтажные работы по опорному столику </t>
  </si>
  <si>
    <t xml:space="preserve">Дем. болтов крепления НП фермы к опорному столику </t>
  </si>
  <si>
    <t>Дем. опорного столика из уголка 140х90х10 по ГОСТ 8510-57</t>
  </si>
  <si>
    <t>Зачистка поверхности от окрасочного слоя, обработка преобразователем ржавчины</t>
  </si>
  <si>
    <t xml:space="preserve">Монтажные работы по опорному столику </t>
  </si>
  <si>
    <t>Устройство новых опорных столиков (Типовой узел №1)</t>
  </si>
  <si>
    <t>Огрунтовка ГФ-021 (1 слой), зетем покрытие новых элементов усиления слоем эмали ПФ-115 ГОСТ 6465-76 за 2 раза, цвет RAL9016</t>
  </si>
  <si>
    <t>Усиление существующих опорных столиков</t>
  </si>
  <si>
    <t>Монтажные работы  по фермам фонарей</t>
  </si>
  <si>
    <t>Устройство каркаса обшивки фонарей из уголка 75х5 по ГОСТ 8510-86 и трубы 70х4 по ГОСТ 30245-2003</t>
  </si>
  <si>
    <t>Обшивка торцов и продольных стен cтеновыми сэндвич-панелями</t>
  </si>
  <si>
    <t>Устройство остекления фонарей</t>
  </si>
  <si>
    <t>Установка дверных блоков</t>
  </si>
  <si>
    <t>Устройство Узла опирания профилированного настила</t>
  </si>
  <si>
    <t xml:space="preserve">Монтаж опорных уголков </t>
  </si>
  <si>
    <t xml:space="preserve">Устройство нового пирага кровли ТН-Кровля Смарт PIR (Технониколь) </t>
  </si>
  <si>
    <t>Устройство настила из Профилированного стального листа Н60-845-0,8 оцинкованный</t>
  </si>
  <si>
    <t>Укладка Рулонного битумного материала - Паробарьер СА500</t>
  </si>
  <si>
    <t>Укладка утеплителя с креплением саморезами</t>
  </si>
  <si>
    <t>Устройство механического крепления фиксаторами утеплителя</t>
  </si>
  <si>
    <t>Укладка Полимерной мембраны - LOGICROOF V-RP 1,5мм</t>
  </si>
  <si>
    <t>Монтаж Датчик снега DW</t>
  </si>
  <si>
    <t>Монтаж Приемного устройства системы мониторинга снеговой нагрузки</t>
  </si>
  <si>
    <t>Монтаж Щитка системы мониторинга снеговой нагрузки (WiFi)</t>
  </si>
  <si>
    <t>Прочие материалы</t>
  </si>
  <si>
    <t xml:space="preserve">Укладка полиэтиленовой пленки марки М поверх защитных сеток по НП ферм </t>
  </si>
  <si>
    <t>Защита оборудования от пыли - укладка полиэтиленовой пленки марки М (повышенной прочности) по ГОСТ 10354-82</t>
  </si>
  <si>
    <t>Установка Профилей С-образных 100х40х2,5, п.м.</t>
  </si>
  <si>
    <t>Ремонт верт. поверхностей кирпичных парапетов - оштукатуривание Цементно-песчаным раствором М50</t>
  </si>
  <si>
    <t xml:space="preserve">Устройство узлов кровельной системы  ТН-Кровля Смарт PIR (Технониколь) </t>
  </si>
  <si>
    <t>Установка опорного уголка из оцинкованной стали толщиной 0,7 мм (к коньку)</t>
  </si>
  <si>
    <t>Устройство телоизоляции с креплением саморезами</t>
  </si>
  <si>
    <t>Устройство Примыкания кровельной системы к обшивке фонаря (Н=650мм)</t>
  </si>
  <si>
    <t>Устройство конька</t>
  </si>
  <si>
    <t>Установка опорного уголка из оцинкованной стали толщиной 0,7 мм, размер 325*х100 мм</t>
  </si>
  <si>
    <t>Установка теплоизоляционных плит ТЕХНОРУФ Н ПРОФ, 50 мм с креплением саморезами</t>
  </si>
  <si>
    <t>Огрунтовка оснований праймером</t>
  </si>
  <si>
    <t>Устройство примыканий из ПВХ мембраны</t>
  </si>
  <si>
    <t xml:space="preserve">Устройство Отлива из оцинкованной стали с полимер. покрытием RAL7004, t=0,7мм </t>
  </si>
  <si>
    <t>Устройство ограждения кровли ТЕХНОНИКОЛЬ КО/PRO/PH/800-3</t>
  </si>
  <si>
    <t>Установка элементов кровельного ограждения ТЕХНОНИКОЛЬ КО/PRO/PH/800-3</t>
  </si>
  <si>
    <t>Устройство свеса кровли</t>
  </si>
  <si>
    <t>Укладка Антисептированного бруса (сечение 140*х80* мм)</t>
  </si>
  <si>
    <t>Укладка листа ЛПП (или ЦСП-1) в 2 слоя, t листа 10* мм, ширина листа 700 мм</t>
  </si>
  <si>
    <t>Покрытие вертикальной поверхности Праймером битумным ТЕХНОНИКОЛЬ № 01</t>
  </si>
  <si>
    <t xml:space="preserve">Укладка слоя Полимерной мембраны LOGICROOF V-RP 1,5мм </t>
  </si>
  <si>
    <t>Устройство отлива (карнизного свеса) из ПВХ металла LOGICROOF</t>
  </si>
  <si>
    <t>Устройство ограждения кровли ТЕХНОНИКОЛЬ KKO/CK, h=1200мм</t>
  </si>
  <si>
    <t>Установка элементов кровельного ограждения ТЕХНОНИКОЛЬ KKO/CK, h=1200мм</t>
  </si>
  <si>
    <t>Устройство пешеходных дорожек из готовых элементов LOGICROOF Walkway Puzzle</t>
  </si>
  <si>
    <t>Устройство воронок</t>
  </si>
  <si>
    <t>Устройство аэраторов</t>
  </si>
  <si>
    <t>Устройство Примыкания к вертикали с
доутеплением для каменных стен</t>
  </si>
  <si>
    <t>Установка опорного каркаса</t>
  </si>
  <si>
    <t>Установка утеплителя с креплением саморезами</t>
  </si>
  <si>
    <t>Огрунтовка праймером</t>
  </si>
  <si>
    <t>Устройство Примыкания к вертикали из ПВХ-мембраны</t>
  </si>
  <si>
    <t>Установка отлива</t>
  </si>
  <si>
    <t>Устройство Кровельного свеса</t>
  </si>
  <si>
    <t>Огрунтовка оснований</t>
  </si>
  <si>
    <t>Устройство кровельного свеса из ПВХ-мембраны</t>
  </si>
  <si>
    <t>Устройство свеса из ПВХ металла LOGICROOF</t>
  </si>
  <si>
    <t>Устройство крнизного свеса</t>
  </si>
  <si>
    <t>Установка Карнизного отлива из оц.стали с полимер.покрытием RAL7004, t=0,7 мм, м2</t>
  </si>
  <si>
    <t>Устройство уклонообразующего слоя из Ц.п. раствора М50</t>
  </si>
  <si>
    <t>Установка лестниц металлических Лм-1</t>
  </si>
  <si>
    <t>Установка дополнительных прогонов</t>
  </si>
  <si>
    <t>Огрунтовка ГФ-021 1слой</t>
  </si>
  <si>
    <t>Окраска ПФ-115 2 слоя</t>
  </si>
  <si>
    <t>Укладка утеплителя
Минеральная вата легких марок (Технониколь или аналог)</t>
  </si>
  <si>
    <t>Устройство примыканий к стойкам</t>
  </si>
  <si>
    <t>Монтаж фасонных элементов</t>
  </si>
  <si>
    <t>Монтаж фасонных элементов из оц. стали, t=0,5мм (АТР МеталлПрофиль)</t>
  </si>
  <si>
    <t>Монтаж фасонных элементов из оц. стали, t=0,7мм индивидуального изготовления</t>
  </si>
  <si>
    <t>Монтаж фасонных элементов Bauder</t>
  </si>
  <si>
    <t>Установка лестниц металлических Лм-2</t>
  </si>
  <si>
    <t>Устройство внутренних ходовых площадок в уровне фонаря</t>
  </si>
  <si>
    <t>Монтаж элементов внутренних ходовых площадок</t>
  </si>
  <si>
    <t>Устройство защитных сеток</t>
  </si>
  <si>
    <t>Установка защитных стенок фонарей СП-2</t>
  </si>
  <si>
    <t>Крепление защитных сеток СП-2</t>
  </si>
  <si>
    <t>Прочие работы (мусор)</t>
  </si>
  <si>
    <t>Погрузка м/к от демонтажа</t>
  </si>
  <si>
    <t>Перевозка м/к на склад Заказчика на расстояние до 2км</t>
  </si>
  <si>
    <t>Разгрузка м/к на складе</t>
  </si>
  <si>
    <t>Погрузка мусора строительного экскаваторами емкостью ковша до 0,5 м3</t>
  </si>
  <si>
    <t>Вывоз и утилизация строительного мусора автомобилями-самосвалами расстояние до 47км</t>
  </si>
  <si>
    <t>Архитектурно-строительная часть АС2</t>
  </si>
  <si>
    <t>Демонтаж покрытия кровли в осях А/4-А'/Ях1-2 (Участок VI)</t>
  </si>
  <si>
    <t>Демонтаж:
Рубероид (2 слоя)</t>
  </si>
  <si>
    <t>Демонтаж:
Стеклоизол (1 слой)</t>
  </si>
  <si>
    <t>Демонтаж:
Цементо-песчаная стяжка армированная</t>
  </si>
  <si>
    <t>Демонтаж:
Пенопласт</t>
  </si>
  <si>
    <t>Демонтаж:
Профиллированный лист</t>
  </si>
  <si>
    <t>Демонтаж:
Асбестоцементный лист 40/150</t>
  </si>
  <si>
    <t>Демонтаж:
Монолитный железобетонный участок</t>
  </si>
  <si>
    <t>Демонтаж:
Стальные отливы переменной ширины</t>
  </si>
  <si>
    <t>Демонтаж:
Рубероид на вертикальных и горизонтальных поверхностях парапета (2 слоя)</t>
  </si>
  <si>
    <t xml:space="preserve">Демонтаж:
Листвоуловитель в комплекте с воронкой </t>
  </si>
  <si>
    <t>Демонтаж:
Воронка без листоуловителя</t>
  </si>
  <si>
    <t>Демонтаж покрытия фонаря в осях С/3-С/2х1/2-2/1, С-Фх1/2-2/1, М-Щх1/2-2/1 (Участок ХI)</t>
  </si>
  <si>
    <t>Демонтаж:
Профлист</t>
  </si>
  <si>
    <t>Демонтаж:
Торец светоаэрационного фонаря из асбестоцементного волнистого листа 40/150</t>
  </si>
  <si>
    <t>Демонтаж:
Бортовая подоконная обшивка из асбестоцементного волнистого листа 40/150</t>
  </si>
  <si>
    <t>Демонтаж:
Рубероид на вертикальных поверхностях фонаря (2 слоя)</t>
  </si>
  <si>
    <t>Демонтаж:
Шибер из асбестоцементного волнистого листа 40/150</t>
  </si>
  <si>
    <t xml:space="preserve">Демонтаж:
Деревянный настил (уложенный в двух фонарях для перекрытия проема) из деревянной доски (150х30 мм)  </t>
  </si>
  <si>
    <t>Демонтаж покрытия фонаря в осях А/3-А/1х1/2-2/1 (Участок ХII)</t>
  </si>
  <si>
    <t>Демонтаж:
Асбестоцементный волнистый лист 40/150</t>
  </si>
  <si>
    <t>Демонтаж:
Торец светоаэрационного фонаря (ц.п. штукатурка 15 мм, деревянная доска в два слоя - 60 мм, дранка - 5 мм, ц.п. штукатурка 20 мм</t>
  </si>
  <si>
    <t xml:space="preserve">Демонтаж:
Бортовые плиты </t>
  </si>
  <si>
    <t>Демонтаж:
Рубероид на вертикальных поверхностях бортовых плит (2 слоя)</t>
  </si>
  <si>
    <t>Демонтаж:
Деревянная доска (150х25 мм) бортовой обшивки</t>
  </si>
  <si>
    <t>Демонтаж:
Стальные отливы (подоконные)</t>
  </si>
  <si>
    <t>Демонтаж:
Заполнение светоаэрационных фонарей из поликарбоната (остекление)</t>
  </si>
  <si>
    <t>Демонтаж:
Каркас остектения из металлических элементов</t>
  </si>
  <si>
    <t>Демонтаж прогонов по фермам покрытия</t>
  </si>
  <si>
    <t>Демонтаж прогонов Пр-2 из швеллера 22а по ГОСТ 8240-56 по фермам ФС-5 и ФС-6</t>
  </si>
  <si>
    <t>Демонтаж  прогонов Пр-2 из швеллера 22а по ГОСТ 8240-56 по фермам ФС-5 и ФС-6</t>
  </si>
  <si>
    <t xml:space="preserve">Демонтаж прогонов Пр-2 из швеллера 22а по ГОСТ 8240-56 по фермам ФС-5 </t>
  </si>
  <si>
    <t>Демонтаж  прогонов Пр-3 из двутавра 22 по ГОСТ 8239-56 по коланнам</t>
  </si>
  <si>
    <t>Демонтаж прогонов Пр-3 из двутавра 22 по ГОСТ 8239-56 по коланнам</t>
  </si>
  <si>
    <t xml:space="preserve">Демонтаж  опорных пластин (листов) t=10 для крепления прогонов Пр-3 </t>
  </si>
  <si>
    <t>Демонтаж  затяжки, установленной между прогонами, из арматурного стержня ∅14* по ГОСТ 5781-82</t>
  </si>
  <si>
    <t>Демонтаж  поперечных прогонов (в усл. обозначениях замаркированы "1") из швеллера 5 по ГОСТ 8240-56 (для укладки асбестоцементного волнистого листа)</t>
  </si>
  <si>
    <t>Демонтаж элементов по фермам фонарей</t>
  </si>
  <si>
    <t xml:space="preserve">Демонтаж прогонов Пр-6 из швеллера 16 по ГОСТ 8240-56 по фермам фонарей ФФ-4 </t>
  </si>
  <si>
    <t>Демонтаж  участка ВП ферм фонаря ФФ-4 (в осях 1/2-2/1хС/3-С/2, 1/2-2/1хС-Ф, 1/2-2/1хМ-Щ) из спаренных швеллеров №12 по ГОСТ 8240-56</t>
  </si>
  <si>
    <t>Демонтаж  элементов шибера ферм фонарей ФФ-4 (СВ-18 - 6 шт) (в осях 1/2-2/1хС/3-С/2, 1/2-2/1хС-Ф, 1/2-2/1хМ-Щ) из уголка 40х4, 45х5, 90х8 по ГОСТ 8509-57</t>
  </si>
  <si>
    <t>Демонтаж вертикальных связей СВ-17 из уголка 40х4 по ГОСТ 8509-57</t>
  </si>
  <si>
    <t>Замена прогонов по фермам</t>
  </si>
  <si>
    <t>Установка новых прогонов из Швеллера №22У по ГОСТ 8240-97 (Пр-2 (нов))</t>
  </si>
  <si>
    <t>Установка новых прогонов из Швеллера №22У по ГОСТ 8240-97 (Пр-1 (нов))</t>
  </si>
  <si>
    <t>Установка новых прогонов из Швеллера №22У по ГОСТ 8240-97 (Пр-3 (нов))</t>
  </si>
  <si>
    <t>Крепление новых прогонов</t>
  </si>
  <si>
    <t>Узел опирания крайних прогонов Пр-1 на кирпичные стены</t>
  </si>
  <si>
    <t>Замена прогонов по колоннам</t>
  </si>
  <si>
    <t>Установка новых прогонов из Двутавра 22 по ГОСТ 8239-89 (Пр-4 (нов))</t>
  </si>
  <si>
    <t>Установка новых прогонов из Двутавра 22 по ГОСТ 8239-89 (Пр-5 (нов))</t>
  </si>
  <si>
    <t>Узел опирания крайних прогонов Пр-5 на кирпичные стены</t>
  </si>
  <si>
    <t>Установка новых прогонов по фермам фонарей</t>
  </si>
  <si>
    <t>Установка новых прогонов из швеллера №16У по ГОСТ 8240-97 (Пр-6 (нов))</t>
  </si>
  <si>
    <t>Установка затяжек</t>
  </si>
  <si>
    <t>Установка затяжки из арм. ∅14 А240 по ГОСТ 5781-82</t>
  </si>
  <si>
    <t>Демонтаж при ремонте кирпичных парапетов</t>
  </si>
  <si>
    <t>Демонтаж кладки папапета из керамического кирпича</t>
  </si>
  <si>
    <t>Извлечение поврежденных/разрушенных керамических кирпичей</t>
  </si>
  <si>
    <t>Демонтаж карнизных плит</t>
  </si>
  <si>
    <t xml:space="preserve">Демонтаж отливов из оцинкованной стали </t>
  </si>
  <si>
    <t>Перекладка участка парапета</t>
  </si>
  <si>
    <t>Замена карнизных плит на монолитный участок</t>
  </si>
  <si>
    <t>Устройство нового карнизного участка из бетона</t>
  </si>
  <si>
    <t>Армирование нового карнизного участка</t>
  </si>
  <si>
    <t>Ремонт кирпичной кладки на локальных участках фасада в осях А'/Ях2-1</t>
  </si>
  <si>
    <t xml:space="preserve">Ремонт кирпичной кладки отдельным местами
</t>
  </si>
  <si>
    <t>Заложение отверстий под водоотвод в кирпичной кладке парапетов в осях А/1-А'/Ях2</t>
  </si>
  <si>
    <t>Керамический кирпич марки М125 (аналогичной существующей кладки)</t>
  </si>
  <si>
    <t>Ремонт верт. поверхностей кирпичных парапетов</t>
  </si>
  <si>
    <t>Штукатурка парапета
Цементно-песчаный раствор М50 (оштукатуривание по сетке)</t>
  </si>
  <si>
    <t>Устройство карнизного свеса</t>
  </si>
  <si>
    <t>Установка Карнизного отлива из оц.стали с полимер.покрытием RAL7004, t=0,7 мм</t>
  </si>
  <si>
    <t>Герметизирование стыков: Герметик ТехноНИКОЛЬ ПУ 600 мл (Технониколь или аналог)</t>
  </si>
  <si>
    <t>Устройство уклонообразующего слоя из ц.п. раствора М50</t>
  </si>
  <si>
    <t>Усиление ферм ФС-6 и ФФ-5</t>
  </si>
  <si>
    <t>Усиление ферм ФС-6: установка шпренгелей №1 и №2, устройство усиления УС-1 и УС-2</t>
  </si>
  <si>
    <t>Усиление ферм фонаря ФФ-5: устройство усиления УС-3</t>
  </si>
  <si>
    <t>Усиление ферм ФС-5 и ФФ-4</t>
  </si>
  <si>
    <t>Усиление ферм ФС-5: установка шпренгелей №3, устройство усиления УС-4, УС-5 и УС-6</t>
  </si>
  <si>
    <t>Усиление ферм фонаря ФФ-4: устройство усиления УС-7</t>
  </si>
  <si>
    <t>Усиление горизонтальных связей</t>
  </si>
  <si>
    <t>Устройство усиления №1 (2 горизонтальные связи)</t>
  </si>
  <si>
    <t>Устройство усиления №2  (7 горизонтальных связей)</t>
  </si>
  <si>
    <t>Замена стойки фермы ФС-6</t>
  </si>
  <si>
    <t>Демонтаж стойки фермы ФС-6 из двух уголков 63х6 по ГОСТ 8509-57 (в осях А/2х2/1-2)</t>
  </si>
  <si>
    <t>Установка новой стойки (1 шт) фермы ФС-6</t>
  </si>
  <si>
    <t>Устройство узла опирания профилированного настила</t>
  </si>
  <si>
    <t>Замена распорок Р1, Р2, Р6, Р9</t>
  </si>
  <si>
    <t>Демонтаж распорок Р-1 из двух уголков 90х56х6 по ГОСТ 8510-57 (в осях Я-А'/Ях1, Я-А'/Ях2)</t>
  </si>
  <si>
    <t>Демонтаж распорок Р-2 из одиночного уголка 56х5 по ГОСТ 8509-57 (в осях Б/2-Юх1/2-2/1)</t>
  </si>
  <si>
    <t>Демонтаж распорок Р-9 из двух уголков 56х5 по ГОСТ 8509-57 (в осях Б/2-Юх1 и Б/2-Юх2)</t>
  </si>
  <si>
    <t>Демонтаж распорок Р-6 из двух уголков 56х5 по ГОСТ 8509-57 (в осях А/3-А/2х1-2, А/0-Б/1х1-2, С-Фх1-2, Я-А'/Ях1-2)</t>
  </si>
  <si>
    <t>Установка распорок Р-1 (нов.) по колоннам</t>
  </si>
  <si>
    <t>Установка распорок Р-2 (нов.)</t>
  </si>
  <si>
    <t>Установка распорок Р-9 (нов.) по колоннам</t>
  </si>
  <si>
    <t>Установка распорок Р-3 (нов.)</t>
  </si>
  <si>
    <t>Замена связей СВ1, СВ9,СВ10,СВ19</t>
  </si>
  <si>
    <t>Демонтаж верхнего пояса СВ-9 из двух уголков 56х5 по ГОСТ 8509-57 (в осях Ю-Ях1/2-2/1, С-Фх1/2-2/1, Б/1-Б/2х1/2-2/1)</t>
  </si>
  <si>
    <t>Демонтаж нижнего пояса СВ-9 из двух уголков 56х5 по ГОСТ 8509-57 (в осях С-Фх1/2-2/1, Б/1-Б/2х1/2-2/1)</t>
  </si>
  <si>
    <t>Демонтаж верхнего пояса СВ-10 из двух уголков 56х5 по ГОСТ 8509-57 (в осях А/3-А/2х1)</t>
  </si>
  <si>
    <t>Демонтаж СВ-10 из спареных уголков 56х5 и 50х5 по ГОСТ 8509-57 (в осях А/3-А/2х1)</t>
  </si>
  <si>
    <t>Усиление СВ-1 (в осях Ю-Ях1, Ю-Ях2, С-Фх1, С-Фх2, Б/1-Б/2х1, Б/1-Б/2х2)</t>
  </si>
  <si>
    <t>Усиление СВ-9 (в осях Ю-Ях1/2-2/1, С-Фх1/2-2/1, Б/1-Б/2х1/2-2/1)</t>
  </si>
  <si>
    <t>Усиление СВ-9 (в осях С-Фх1/2-2/1, Б/1-Б/2х1/2-2/1)</t>
  </si>
  <si>
    <t>Усиление СВ-10 (в осях А/3-А/2х1)</t>
  </si>
  <si>
    <t>Усстройство новой СВ-10 (в осях А/3-А/2х2)</t>
  </si>
  <si>
    <t>Усиление СВ-19 (в осях А/3-А/2х1/2-2/1)</t>
  </si>
  <si>
    <t>Очистка всех существующих металлических элементв покрытия от пыли</t>
  </si>
  <si>
    <t xml:space="preserve">Обработка сущ. эл.-в м/к покрытия в осях А-А'-2-16': обработка преобразователем ржавчины </t>
  </si>
  <si>
    <t>Устройство каркаса обшивки фонарей из уголка 75х5 по ГОСТ 8509-93,  уголка 75х50х5 по ГОСТ 8510-86, трубы 70х4 по ГОСТ 30245-2003</t>
  </si>
  <si>
    <t>Обшивка торцов и продольных стен фонарей cтеновыми сэндвич-панелями</t>
  </si>
  <si>
    <t>Установка фасонных элементов индивидуального изготовления из стали оц. с полимер. покрытием RAL7004, t=0,7 мм (МеталлПрофиль или аналог)</t>
  </si>
  <si>
    <t>Установка фасонных элементов ФИ11 из сталь оц. с полимер. покрытием RAL7004, t=0,5 мм производителя МеталлПрофиль (или аналог)</t>
  </si>
  <si>
    <t>Кровля</t>
  </si>
  <si>
    <t>Укладка Рулонного материала - Паробарьер СА500</t>
  </si>
  <si>
    <t>Укладка утеплителя на саморезах</t>
  </si>
  <si>
    <t>Установка фасонных элементов (ФИ37, ФИ17-78, ФИ18х71, ФИ16х53) из стали оц. с полимер. покрытием RAL7004, t=0,7 мм (МеталлПрофиль или аналог)</t>
  </si>
  <si>
    <t>Устройство примыкания к обшивке фонаря (Узел 4)</t>
  </si>
  <si>
    <t>Устройство тепло- и звукоизоляции сплошной из плит на саморезах</t>
  </si>
  <si>
    <t>Устройство примыкания кровельной системы к обшивке фонаря Н=450мм из ПВХ мембран</t>
  </si>
  <si>
    <t>Устройство фасонных элементов</t>
  </si>
  <si>
    <t>Устройство конька (Узел 7)</t>
  </si>
  <si>
    <t>Устройство конька(узел 7)</t>
  </si>
  <si>
    <t>Устройство парапета  (Узел 3)</t>
  </si>
  <si>
    <t>Устройство примыкания кровельной системы к обшивке фонаря Н=560мм из ПВХ мембран</t>
  </si>
  <si>
    <t>Монтаж фасонных элементов парапета</t>
  </si>
  <si>
    <t>Устройство свеса кровли (Узел 12)</t>
  </si>
  <si>
    <t>Установка каркаса под облицовку свеса из Профилей С-образных 100х40х2,5, п.м.</t>
  </si>
  <si>
    <t>Устройство пароизоляции</t>
  </si>
  <si>
    <t>Устройство фасонных элементов (свес)</t>
  </si>
  <si>
    <t>Устройство воронок (узел 9)</t>
  </si>
  <si>
    <t>Устройство аэраторов(узел 10)</t>
  </si>
  <si>
    <t>Огрунтовка (один слой грунтовки ГФ-021 ГОСТ251-82) металлической лестницы Лм-1</t>
  </si>
  <si>
    <t>Окраска (слой эмали ПФ-115 ГОСТ 6465-76 за 2 раза) металлической лестницы Лм-1</t>
  </si>
  <si>
    <t>Устройство примыканий к лестнице Лм1(1шт)</t>
  </si>
  <si>
    <t>Огрунтовка (один слой грунтовки ГФ-021 ГОСТ251-82) металлической лестницы Лм-2</t>
  </si>
  <si>
    <t>Окраска (слой эмали ПФ-115 ГОСТ 6465-76 за 2 раза) металлической лестницы Лм-2</t>
  </si>
  <si>
    <t>Устройство примыканий к лестнице Лм2 (3шт)</t>
  </si>
  <si>
    <t xml:space="preserve">Установка фасонных элементов: Жесть ламинированная ПВХ Bauder (Баудер) FB12 1,2мм, b=400мм, l=2000мм </t>
  </si>
  <si>
    <t>Установка защитных сеток фонарей СП-1 по серии 1.464.2-26.93</t>
  </si>
  <si>
    <t>Огрунтовка (один слой грунтовки ГФ-021 ГОСТ251-82) защитных сеток</t>
  </si>
  <si>
    <t>Окраска (слой эмали ПФ-115 ГОСТ 6465-76 за 2 раза) защитных сеток</t>
  </si>
  <si>
    <t>Огрунтовка (один слой грунтовки ГФ-021 ГОСТ251-82) элементов крепления защитных сеток</t>
  </si>
  <si>
    <t>Окраска (слой эмали ПФ-115 ГОСТ 6465-76 за 2 раза) элементов крепления защитных сеток</t>
  </si>
  <si>
    <t>Прочие работы</t>
  </si>
  <si>
    <t>Внутренний водосток ВК (воронки)</t>
  </si>
  <si>
    <t>Демонтажные работы:</t>
  </si>
  <si>
    <t>Демонтаж воронок кровельных водосточных</t>
  </si>
  <si>
    <t>Монтажные работы:</t>
  </si>
  <si>
    <t>Установка воронок кровельных водосточных</t>
  </si>
  <si>
    <t>Обогрев водосточных воронок ЭС.</t>
  </si>
  <si>
    <t>Монтаж распределительного щита ЩР</t>
  </si>
  <si>
    <t>Кабельные сети:</t>
  </si>
  <si>
    <t>Монтаж кабельного лотка от ШС к ЩР</t>
  </si>
  <si>
    <t>Монтаж кабельного лотка в оси 3 по стене</t>
  </si>
  <si>
    <t>Монтаж кабельного лотка по фермам</t>
  </si>
  <si>
    <t>Монтаж металлорукова</t>
  </si>
  <si>
    <t>Затягивание кабеля в металлорукав</t>
  </si>
  <si>
    <t xml:space="preserve">Прокладка кабеля в лотках </t>
  </si>
  <si>
    <t>Заземление кабельных лотков</t>
  </si>
  <si>
    <t>Заземление и молниезащита:</t>
  </si>
  <si>
    <t>Монтаж системы молниезащиты из прутка на кровле</t>
  </si>
  <si>
    <t>Монтаж системы молниезащиты из полосы по фасаду (опуски)</t>
  </si>
  <si>
    <t>Монтаж системы молниезащиты из полосы в траншее</t>
  </si>
  <si>
    <t xml:space="preserve">Монтаж системы молниезащиты из штырей </t>
  </si>
  <si>
    <t>Земляные работы:</t>
  </si>
  <si>
    <t>Разработка траншей 0,7х0,5 м в ручную</t>
  </si>
  <si>
    <t xml:space="preserve">Засыпка траншей в ручную </t>
  </si>
  <si>
    <t>Пуско-наладочные работы:</t>
  </si>
  <si>
    <t>Измерение сопротивления контура с диагональю до 200 м</t>
  </si>
  <si>
    <t>Проверка наличия цепи между заземлителями и заземленными элементами</t>
  </si>
  <si>
    <t>Внутренний водосток ВК (Ливневая система)</t>
  </si>
  <si>
    <t>Демонтаж водосточной трубы стальной 108х4 мм</t>
  </si>
  <si>
    <t>Демонтаж водосточной трубы стальной 159х4 мм</t>
  </si>
  <si>
    <t>Монтажные работы. Система внутреннего водостока К2:</t>
  </si>
  <si>
    <t>Прокладка водостока из полиэтиленовых труб DN 100х4,2 мм</t>
  </si>
  <si>
    <t>Прокладка водостока из полиэтиленовых труб DN 160х6,2 мм</t>
  </si>
  <si>
    <t>Прокладка водостока из полиэтиленовых труб DN 200х7,7 мм</t>
  </si>
  <si>
    <t>Прокладка водостока из труб полиэтиленовых труб DN 250х9,6 мм</t>
  </si>
  <si>
    <t>Прокладка водостока из труб полиэтиленовых труб DN 315х12,1 мм</t>
  </si>
  <si>
    <t>Система пожарной сигнализации. Система оповещения и управления эвакуацией людей при пожаре</t>
  </si>
  <si>
    <t>Монтаж оборудования по пожарной сигнализации:</t>
  </si>
  <si>
    <t>Установка пожарного шкафа сигнализации ШПС-12 исп.12 на стене h=1,5м</t>
  </si>
  <si>
    <t>Установка аккумулятора 12В, 17 Ач (АБ1217С) в ШПС-12 исп.12</t>
  </si>
  <si>
    <t>Установка ППКУП «Сириус» на стене h=1,5м</t>
  </si>
  <si>
    <t>Установка аккумулятора 12В, 17 Ач (АБ1217С) в Сириус</t>
  </si>
  <si>
    <t xml:space="preserve">Установка контроллер двухпроводной линии связи С2000-КДЛ-С в «Сириус» </t>
  </si>
  <si>
    <t>Монтаж извещателя пожарного ручного электронного ИПР 513-3АМ исп.1 на стене h=1,5м</t>
  </si>
  <si>
    <t>Монтаж извещателя пожарного дымового оптико-электронного аналогово-адресного со встроенным изолятором короткого замыкания ДИП-34А-04 на высоте свыше 2 до 5м</t>
  </si>
  <si>
    <t>Монтаж извещателя пожарного дымового оптико-электронного линейного С2000-ИПДЛ исп. 60 на высоте от 5 до 15м</t>
  </si>
  <si>
    <t>Монтаж извещателя пожарного дымового оптико-электронного линейного С2000-ИПДЛ исп. 120 на высоте от 5 до 15м</t>
  </si>
  <si>
    <t>Монтаж блока контрольно-пускового С2000-КПБ в ШПС-12 исп.12</t>
  </si>
  <si>
    <t>Монтаж блока разветвительно-изолирующего БРИЗ на высоте от 5 до 15м</t>
  </si>
  <si>
    <t>Оборудования оповещения и управления эвакуацией людей при пожаре:</t>
  </si>
  <si>
    <t>Монтаж блока речевого оповещения Рупор-300 на стене h=1,5м</t>
  </si>
  <si>
    <t>Установка аккумулятора 12В, 9 Ач (АБ1217С) в Рупор-300</t>
  </si>
  <si>
    <t>Монтаж адресного модуля контроля линий Рупор-300-МК на высоте 2м</t>
  </si>
  <si>
    <t>Монтаж оповещателя пожарного речевого всепогодного ОПР-У150.1 на высоте 2,3</t>
  </si>
  <si>
    <t>Монтаж опопвещателя светового табличного адресного С2000-ОСТ исп.01 на 
высоте от 2 до 5 м</t>
  </si>
  <si>
    <t>Монтаж проводов, кабелей и аксессуаров пожарной сигнализации</t>
  </si>
  <si>
    <t>Монтаж гофрированной ПВХ трубы Ду 16 мм с протяжкой без галогена ПЛЛ ПВ-0 на высоте от 2 до 5 м</t>
  </si>
  <si>
    <t>Затяжка кабеля КПСЭнг(А) FRLS 1х2x0,75 в трубу гофрированную</t>
  </si>
  <si>
    <t>Затяжка кабеля КПСнг(А) FRLS 1х2x1 в трубу гофрированную</t>
  </si>
  <si>
    <t>Затяжка кабеля КПСЭнг(А) FRLS 2х2x1 в трубу гофрированную</t>
  </si>
  <si>
    <t>Монтаж кабельного канала из поливинилхлоридной композиции, неперфорированный, типоразмер 20х10 на высоте 2м</t>
  </si>
  <si>
    <t>Укладка кабеля КПСЭнг(А) FRLS 2х2x1 в кабель-канал 20х16</t>
  </si>
  <si>
    <t>Затяжка кабеля КВПЭфнг(А)-HF-5е 4х2х0.52 в трубу гофрированную</t>
  </si>
  <si>
    <t>Монтаж джек RJ-45 8P-8C FD-6034</t>
  </si>
  <si>
    <t>Установка коробки огнестойкой для о/п 40-0210-FR1.5-4 Е15-Е120 RAL2004 80х80х40 на высоте 2,3 м</t>
  </si>
  <si>
    <t>Сверление отверстий в кирпичных перегородках толщ. 0,5м под стальную трубу Ду50</t>
  </si>
  <si>
    <t>Монтаж в перегородки трубы стальной водогазопроводной Ду 50 (гильза)</t>
  </si>
  <si>
    <t>Заделка пеной однокомпонентной огнезащитной баллон 750мл (REMONTIX PRO ОГНЕСТОЙКАЯ)</t>
  </si>
  <si>
    <t>ПНР:</t>
  </si>
  <si>
    <t>Проведение пусконаладочных работ автоматизированной системы 1 категории с общим количеством каналов 122,72</t>
  </si>
  <si>
    <t>Дымоудаление.</t>
  </si>
  <si>
    <t>Монтаж стенового клапана "Гермик-ДУ-3-1700х1700</t>
  </si>
  <si>
    <t>Монтаж стенового клапана "Гермик-ДУ-3-1600х1600</t>
  </si>
  <si>
    <t>Монтаж стенового клапана "Гермик-ДУ-3-1400х1400</t>
  </si>
  <si>
    <t>Установка вентиляторов  "Веза ВРАН 9 ДУВ 125 Л270 У1 N=22кВт" снаружи здания на ж/боснование</t>
  </si>
  <si>
    <t>Установка вентиляторов "Веза ВРАН 9 ДУ/ДУВ 125 Л270 У1 N=15кВт" снаружи здания на ж/боснование</t>
  </si>
  <si>
    <t>Прокладка воздуховодов из листовой, оцинкованной стали</t>
  </si>
  <si>
    <t>Противодымная вентиляция (вытяжная)</t>
  </si>
  <si>
    <t>Монтаж стенового клапана Дымозор-300-1000х1700-У-40-230-0-С (масса 106 кг)</t>
  </si>
  <si>
    <t>Монтаж стенового клапана Дымозор-100-1500х1500-У-3000-230-Р-С (масса 144 кг)</t>
  </si>
  <si>
    <t>Монтаж стенового клапана Дымозор-300-1400х900-У-40-230-0-С (масса 80 кг)</t>
  </si>
  <si>
    <t>Монтаж стенового клапана Дымозор-300-1800х900-У-40-230-0-С (масса 97 кг)</t>
  </si>
  <si>
    <t>Монтаж стенового клапана Дымозор-300-1200х1100-У-40-230-0-С (масса 83 кг)</t>
  </si>
  <si>
    <t>Внутреннее электрооборудование. ЭМ</t>
  </si>
  <si>
    <t>Монтаж щитов ШРНН-1.x; ШРНН-2.x:</t>
  </si>
  <si>
    <t>Монтаж напольного шкафа 800х1600х400</t>
  </si>
  <si>
    <t xml:space="preserve">Установка в шкафу автоматических выключателей </t>
  </si>
  <si>
    <t>Установка в шкафу медных шин</t>
  </si>
  <si>
    <t>Монтаж кабеля силового с медными жилами, сечением 5х185 мм2 в металлический кабель канал</t>
  </si>
  <si>
    <t>Монтаж щитов ШРНН-3.x; ШРНН-4.x:</t>
  </si>
  <si>
    <t>Монтаж щита управления выключателя автоматического</t>
  </si>
  <si>
    <t>Монтаж щита распределительного ЩРН-12 (265х310х120)</t>
  </si>
  <si>
    <t>Монтаж кнопки управления</t>
  </si>
  <si>
    <t xml:space="preserve">Монтаж сигнальной лампы </t>
  </si>
  <si>
    <t>Прокладка трубы гофрированной</t>
  </si>
  <si>
    <t>Пркладка кабеля с креплением по всей длине</t>
  </si>
  <si>
    <t>Затягивание кабеля в проложенные трубы гофрированные в две нити</t>
  </si>
  <si>
    <t>Монтаж лотковой кабельной системы:</t>
  </si>
  <si>
    <t>Монтаж лотка неперфорированного замкового оцинкованного</t>
  </si>
  <si>
    <t>Силовое электроснабжение. Шинопроводы</t>
  </si>
  <si>
    <t xml:space="preserve">Демонтаж существующих шинопроводов </t>
  </si>
  <si>
    <t>Монтаж шинопровода:</t>
  </si>
  <si>
    <t>Монтаж шинопровлда ШП1_1600A_AL_IP55_4W_(3P+N+PE(КОРПУС))</t>
  </si>
  <si>
    <t>Монтаж выключателя автоматического</t>
  </si>
  <si>
    <t>Монтаж шинопровлда ШП2_1600A_AL_IP55_4W_(3P+N+PE(КОРПУС))</t>
  </si>
  <si>
    <t>Монтаж узлов крепления шинопровода:</t>
  </si>
  <si>
    <t>Монтаж настенного крепление шинопровода</t>
  </si>
  <si>
    <t>Монтаж потолочного крепления шинопровода</t>
  </si>
  <si>
    <t>Монтаж узлов крепления для блоков питания</t>
  </si>
  <si>
    <t>Монтаж узлов крепления для концевых коробок</t>
  </si>
  <si>
    <t>Монтаж кабельных линий:</t>
  </si>
  <si>
    <t>Монтаж кабеля силового с медными жилами ВВГнг(А)-LS 1х185 мм2</t>
  </si>
  <si>
    <t>Монтаж кабельной муфты</t>
  </si>
  <si>
    <t>Пусконаладочные работы электрической части</t>
  </si>
  <si>
    <t>Наружный водосток</t>
  </si>
  <si>
    <t>Разработка грунта эксковатором с погрузкой в а/самосвалы для прокладки трубопроводов канализации</t>
  </si>
  <si>
    <t>Разработка грунта в ручную для прокладки трубопроводов канализации</t>
  </si>
  <si>
    <t>Устройство песчанного основания под трубопровод толщиной 100 мм</t>
  </si>
  <si>
    <t>Обратная засыпка траншеи ранее разработанным грунтом при помощи экскаватора</t>
  </si>
  <si>
    <t xml:space="preserve">Вывоз и утилизация излишнеотработанного грунта </t>
  </si>
  <si>
    <t>Демонтаж круглых ж/б колодцев</t>
  </si>
  <si>
    <t>Разборка керамического канализационного трубопровода диаметром 200 мм</t>
  </si>
  <si>
    <t>Разборка керамического канализационного трубопровода диаметром 250 мм</t>
  </si>
  <si>
    <t>Погрузка отходов строительного производства от демонтажных работ экскаватором</t>
  </si>
  <si>
    <t>Вывоз и утилизация  отходов строительного производства от демонтажных работ</t>
  </si>
  <si>
    <t>Укладка канализационных труб диаметром 250 мм</t>
  </si>
  <si>
    <t>Укладка канализационных труб диаметром 315 мм</t>
  </si>
  <si>
    <t>Укладка канализационных труб диаметром 350 мм</t>
  </si>
  <si>
    <t>Монтаж круглых сборных железобетонных канализационных колодцев</t>
  </si>
  <si>
    <t>Гидроизоляция колодцев битумной мастикой</t>
  </si>
  <si>
    <t>Пробивка в стенках колодца отверстий для прохода труб</t>
  </si>
  <si>
    <t xml:space="preserve">Монтаж предохранительных муфт </t>
  </si>
  <si>
    <t>Система электроснабжения и автоматизации противодымной вентиляции</t>
  </si>
  <si>
    <t>Автоматизация системы противодымной вентиляции (приточная)</t>
  </si>
  <si>
    <t>Монтаж оборудования:</t>
  </si>
  <si>
    <t>Монтаж шкафа управления системой вентиляции</t>
  </si>
  <si>
    <t>Монтаж распределительной коробки</t>
  </si>
  <si>
    <t xml:space="preserve">Монтаж терминальной платы </t>
  </si>
  <si>
    <t xml:space="preserve">Монтаж ответтвительной коробки </t>
  </si>
  <si>
    <t>Прокладка гофрированной ПВХ трубы для защиты кабеля</t>
  </si>
  <si>
    <t>Затягивание кабеля в проложенную гофротрубу</t>
  </si>
  <si>
    <t xml:space="preserve">Монтаж гильз из стальной тубы для прохода кабеля </t>
  </si>
  <si>
    <t>Герметизация проходов</t>
  </si>
  <si>
    <t>Автоматизация системы противодымной вентиляции (вытяжная)</t>
  </si>
  <si>
    <t>Монтаж шкаф управления пожарными люками</t>
  </si>
  <si>
    <t xml:space="preserve">Монтаж устройства дистанционного пуска «УДП 513-3АМ исп.02» </t>
  </si>
  <si>
    <t xml:space="preserve">Монтаж блока сигнально-пускового С2000 КПБ </t>
  </si>
  <si>
    <t xml:space="preserve">Монтаж  модуля  подключения нагрузки </t>
  </si>
  <si>
    <t>ИТОГО по объекту</t>
  </si>
  <si>
    <t>НДС-20%</t>
  </si>
  <si>
    <t>ВСЕГО с НДС</t>
  </si>
  <si>
    <t>Ед. изм.</t>
  </si>
  <si>
    <t>м2</t>
  </si>
  <si>
    <t>шт</t>
  </si>
  <si>
    <t>п.м.</t>
  </si>
  <si>
    <t>кг</t>
  </si>
  <si>
    <t>т</t>
  </si>
  <si>
    <t>м3</t>
  </si>
  <si>
    <t>м2/м3</t>
  </si>
  <si>
    <t>м.п.</t>
  </si>
  <si>
    <t>м2/м3/т</t>
  </si>
  <si>
    <t>м</t>
  </si>
  <si>
    <t>л</t>
  </si>
  <si>
    <t>шт/т</t>
  </si>
  <si>
    <t>м.п</t>
  </si>
  <si>
    <t>п.м./шт</t>
  </si>
  <si>
    <t>шт/кг</t>
  </si>
  <si>
    <t>м/м3</t>
  </si>
  <si>
    <t>измерение</t>
  </si>
  <si>
    <t>шт /м</t>
  </si>
  <si>
    <t>система</t>
  </si>
  <si>
    <t>шт.</t>
  </si>
  <si>
    <t xml:space="preserve">м </t>
  </si>
  <si>
    <t>комплекс</t>
  </si>
  <si>
    <t>шт/ м3</t>
  </si>
  <si>
    <t xml:space="preserve">шт </t>
  </si>
  <si>
    <t xml:space="preserve">
95,203</t>
  </si>
  <si>
    <t>625,3/7,82</t>
  </si>
  <si>
    <t>359,6/600</t>
  </si>
  <si>
    <t>1/179,18</t>
  </si>
  <si>
    <t>429/150,15</t>
  </si>
  <si>
    <t>20/0,5</t>
  </si>
  <si>
    <t>20/10</t>
  </si>
  <si>
    <t>6/4,94</t>
  </si>
  <si>
    <t>5/42,5475</t>
  </si>
  <si>
    <t>18/  0,05</t>
  </si>
  <si>
    <t>2</t>
  </si>
  <si>
    <t>12</t>
  </si>
  <si>
    <t>Общая стоимость , руб (без НДС)</t>
  </si>
  <si>
    <t>Работа</t>
  </si>
  <si>
    <t>Материалы</t>
  </si>
  <si>
    <t>Общая стоимость ВСЕГО, руб. (без НДС)</t>
  </si>
  <si>
    <t>Стоимость за ед. , руб (без НДС)</t>
  </si>
  <si>
    <t>Общая стоимость за ед., руб. (без НДС)</t>
  </si>
  <si>
    <t>Примечания (расшифровка)</t>
  </si>
  <si>
    <t>Суммарная толщина 2 слоев рубероида - 8 мм. S=18,431мх91,949м=1694,7 м2 (общая площадь одного слоя). S двух слоев= 1694,7м2*2=3389,42 м2. Нагрузка на 1м2 от 1 слоя рубероида - 2 кг/м2 (или 0,002т/м2). Общая масса: (1694,7м2*2кг/м2)*2слоя=6778,85кг=6,78 т</t>
  </si>
  <si>
    <t>Толщина стяжки - 35 мм</t>
  </si>
  <si>
    <t>На одну плиту: V=0,1125 м3, масса=111 кг</t>
  </si>
  <si>
    <t>На одну плиту: V=0,09 м3, масса=89 кг</t>
  </si>
  <si>
    <t>На одну плиту: V=0,0425 м3, масса=42 кг</t>
  </si>
  <si>
    <t>S=(18,429*0,21)+(18,429*0,69)+(91,95*0,29)+(92,39*0,69)=107,0 м2</t>
  </si>
  <si>
    <t>Суммарная толщина слоев рубероида - 10 мм. S=(18,249*0,855)+(18,249*0,78) +(91,95*0,6)+(91,95*0,82)=160,4 м2 (общая площадь одного слоя). S двух слоев= 160,4м2*2=320,81 м2. Нагрузка на 1м2 от 1 слоя рубероида - 2 кг/м2 (или 0,002т/м2). Общая масса: (160,4м2*2кг/м2)*2слоя=641,624кг=0,642 т</t>
  </si>
  <si>
    <t>Косоуры из уголка 65х50х6 L=3,5 м, ступени из арматурного стержня ∅16 L=0,64 м и листового проката 80х5 L=0,64 м, 11 ступеней</t>
  </si>
  <si>
    <t>Косоуры из швеллера №10 L=3,4 м, ступени из арматурных стержней ∅16 L=0,67 м, 13 ступеней</t>
  </si>
  <si>
    <t>Косоуры из уголка 63х40х6 L=3,6 м, ступени из арматурного стержня ∅16 L=0,78 м и листового проката 80х5 L=0,78 м, 11 ступеней. Масса одной лестницы 73,83 кг</t>
  </si>
  <si>
    <t>Воронка - стальная труба ∅100 мм 4 шт, ∅130 мм 3 шт, ∅120 мм 1 шт</t>
  </si>
  <si>
    <t>Суммарная толщина 3 слоев рубероида - 13 мм. S=((4,712+4,764)*78)+((10,805+10,82)*(7,14+6,809))=1040,8 м2 (общая площадь одного слоя). S трех слоев= 1040,8м2*3=3122,33 м2. Нагрузка на 1м2 от 1 слоя рубероида - 2 кг/м2 (или 0,002т/м2). Общая масса: (1040,8м2*2кг/м2)*3слоя=6244,65кг=6,245 т</t>
  </si>
  <si>
    <t>Толщина 1 слоя рубероида на битумной мастике - 6,5 мм. S=((4,712+4,764)*78)+((10,805+10,82)*(7,14+6,809))=1040,8 м2 (общая площадь одного слоя). Нагрузка на 1м2 от 1 слоя рубероида - 2 кг/м2 (или 0,002т/м2). Общая масса: (1040,8м2*2кг/м2)*1слой=2081,55кг=2,082 т</t>
  </si>
  <si>
    <t>Толщина стяжки - 57 мм</t>
  </si>
  <si>
    <t>На одну плиту: V=0,1 м3, масса=99 кг</t>
  </si>
  <si>
    <t>S=(91,95*0,73)+(91,95*0,73)+(21,625*0,735)=150,1 м2</t>
  </si>
  <si>
    <t>Суммарная толщина слоев рубероида - 10 мм. S=(21,625*0,98)+(21,625*0,5)+(91,95*0,7)+(91,95*0,7)=160,74 м2 (общая площадь одного слоя). S двух слоев= 160,74м2*2=321,48 м2. Нагрузка на 1м2 от 1 слоя рубероида - 2 кг/м2 (или 0,002т/м2). Общая масса: (160,74м2*2кг/м2)*2слоя=642,96кг=0,643 т</t>
  </si>
  <si>
    <t>Косоуры из уголка 65х50х6 L=3,55 м, ступени из арматурного стержня ∅16 L=0,7 м, 9* ступеней</t>
  </si>
  <si>
    <t>Толщина 1 слоя рубероида - 7 мм. S=((4,232+4,851)*78)+((8,785+9,381)*(7,14+6,809))=961,9 м2 (общая площадь одного слоя). Нагрузка на 1м2 от 1 слоя рубероида - 2 кг/м2 (или 0,002т/м2). Общая масса: (961,9м2*2кг/м2)*1слой=1923,74кг=1,924 т</t>
  </si>
  <si>
    <t>Толщина стяжки - 29 мм</t>
  </si>
  <si>
    <t>S=(91,95*0,29)+(18,166*0,69)=39,2 м2</t>
  </si>
  <si>
    <t>Суммарная толщина слоев рубероида - 10 мм. S=(18,166*0,5)+(18,166*0,77)+(91,95*0,6)=78,2 м2 (общая площадь одного слоя). S двух слоев= 78,2м2*2=156,48 м2. Нагрузка на 1м2 от 1 слоя рубероида - 2 кг/м2 (или 0,002т/м2). Общая масса: (78,2м2*2кг/м2)*2слоя=312,96кг=0,313 т</t>
  </si>
  <si>
    <t>Косоуры из уголка 63х40х6 L=3,6 м, ступени из арматурного стержня ∅16 L=0,78 м и листового проката 80х5 L=0,78 м, 11 ступеней. Масса одной лестницы 73,83</t>
  </si>
  <si>
    <t>Косоуры из уголка 65х50х6 L=3,55 м, ступени из арматурного стержня ∅16 L=0,7 м, 9* ступеней. . Масса одной лестницы 46,73</t>
  </si>
  <si>
    <t>Воронка - стальная труба ∅130 мм 2 шт, труба ПВХ ∅105 мм 1 шт</t>
  </si>
  <si>
    <t>Воронка - стальная труба ∅90 мм 3 шт, ∅130 мм 1 шт, труба ПВХ ∅105 мм 1 шт</t>
  </si>
  <si>
    <t>Толщина 1 слоя рубероида - 5,5 мм. S=((10,146+4,509)*78)+((14,659+9,162)*(7,14+6,809))=1475,4 м2 (общая площадь одного слоя). Нагрузка на 1м2 от 1 слоя рубероида - 2 кг/м2 (или 0,002т/м2). Общая масса: (1475,4м2*2кг/м2)*1слой=2950,74кг=2,951 т</t>
  </si>
  <si>
    <t>Толщина стяжки - 8 мм</t>
  </si>
  <si>
    <t>Суммарная толщина 2 слоев рубероида - 13 мм. S=((10,146+4,509)*78)+((14,659+9,162)*(7,14+6,809))=1475,4 м2 (общая площадь одного слоя). S двух слоев= 1475,4м2*2=2950,74 м2. Нагрузка на 1м2 от 1 слоя рубероида - 2 кг/м2 (или 0,002т/м2). Общая масса: (1475,4м2*2кг/м2)*2слоя=5901,48кг=5,901 т</t>
  </si>
  <si>
    <t>Толщина стяжки - 17 мм</t>
  </si>
  <si>
    <t>На одну плиту: V=0,075 м3, масса=74 кг</t>
  </si>
  <si>
    <t>S=(23,82*0,69)=16,4 м2</t>
  </si>
  <si>
    <t>Суммарная толщина слоев рубероида - 10 мм. S=(23,82*0,5)+(23,82*0,78)=30,5 м2 (общая площадь одного слоя). S двух слоев= 30,5м2*2=61,0 м2. Нагрузка на 1м2 от 1 слоя рубероида - 2 кг/м2 (или 0,002т/м2). Общая масса: (30,5м2*2кг/м2)*2слоя=121,94 кг=0,122 т</t>
  </si>
  <si>
    <t>Воронка - стальная труба ∅130 мм 1 шт</t>
  </si>
  <si>
    <t>Воронка - стальная труба ∅120 мм 1 шт, ∅130 мм 2 шт</t>
  </si>
  <si>
    <t>Толщина 1 слоя рубероида - 7 мм. S=((4,466+4,568)*78)+((8,978+9,101)*(7,14+6,809))=956,8 м2 (общая площадь одного слоя). Нагрузка на 1м2 от 1 слоя рубероида - 2 кг/м2 (или 0,002т/м2). Общая масса: (956,8м2*2кг/м2)*1слой=1913,67кг=1,914 т</t>
  </si>
  <si>
    <t>Толщина стяжки - 14 мм</t>
  </si>
  <si>
    <t>Суммарная толщина 2 слоев рубероида - 9 мм. S=((4,466+4,568)*78)+((8,978+9,101)*(7,14+6,809))=956,8 м2 (общая площадь одного слоя). S двух слоев= 956,8м2*2=1913,67 м2. Нагрузка на 1м2 от 1 слоя рубероида - 2 кг/м2 (или 0,002т/м2). Общая масса: (956,8м2*2кг/м2)*2слоя=3827,34 кг=3,827 т</t>
  </si>
  <si>
    <t>Толщина стяжки - 24 мм</t>
  </si>
  <si>
    <t>S=(18,08*0,69)+(91,95*0,2)=30,86 м2</t>
  </si>
  <si>
    <t>Суммарная толщина слоев рубероида - 10 мм. S=((8,978+9,101)*0,78)+((8,978+9,101)*0,5)+91,95*0,3=50,7 м2 (общая площадь одного слоя). S двух слоев= 50,7м2*2=101,452 м2. Нагрузка на 1м2 от 1 слоя рубероида - 2 кг/м2 (или 0,002т/м2). Общая масса: (50,7м2*2кг/м2)*2слоя=202,904 кг=0,203 т</t>
  </si>
  <si>
    <t>Суммарная толщина 4 слоев рубероида - 11 мм. S=12,234мх78,52м=960,6 м2 (общая площадь одного слоя). S четырех слоев= 960,6м2*4=3842,45 м2. Нагрузка на 1м2 от 1 слоя рубероида - 1,2 кг/м2 (или 0,0012т/м2). Общая масса: (960,6м2*1,2кг/м2)*4слоя=4610,95кг=4,61 т</t>
  </si>
  <si>
    <t>Суммарная толщина 2 слоев рубероида - 9,5 мм. S=12,234мх78,52м=960,6 м2 (общая площадь одного слоя). S двух слоев= 960,6м2*2=1921,23 м2. Нагрузка на 1м2 от 1 слоя рубероида - 1,2 кг/м2 (или 0,0012т/м2). Общая масса: (960,6м2*1,2кг/м2)*2слоя=2305,47кг=2,31 т</t>
  </si>
  <si>
    <t>Толщина стяжки - 37 мм</t>
  </si>
  <si>
    <t>Воронка - стальная труба ∅100 мм</t>
  </si>
  <si>
    <t>Воронка - стальная труба ∅95 мм</t>
  </si>
  <si>
    <t>Размер плиты 800(h)х500х100 мм, На одну плиту: V=0,04 м3, масса=40 кг</t>
  </si>
  <si>
    <t>Остекление выполено в два ряда, общая высота листов 1,141+1,155=2,296 м; общая длина остекления = 78 п.м.*2 стороны=156 п.м.; толщина листа поликарбоната 4 мм; Sобщ = 2,296м*156м=358,2 м2. Удельный вес - 840 г/м2</t>
  </si>
  <si>
    <t>Уголок 63х6 по ГОСТ 8509-57, L=156,0м, m=5,72кг/м*156м=892,32 кг. Уголок 100х10 по ГОСТ 8509-57, L=156,0м, m=15,1кг/м*156м=2355,6 кг. Уголок 90х9 по ГОСТ 8509-57, L=156,0м, m=12,2кг/м*156м=1903,2 кг. Уголок 100х12 по ГОСТ 8509-57, L=156,0м, m=17,9кг/м*156м=2792,4 кг. Т-образный профиль 35х35х4 марки ≈ AISI 304, m п.м. = 2,07 кг/м, L= (1,141м+1,155м)*130шт*2 стороны=597 м, m=597 м*2,07кг/м=1237,1 кг. Швеллер №5 по ГОСТ 8240-56, L=78м*4=312 м, m=4,84кг/м*312м=1510,08 кг</t>
  </si>
  <si>
    <t>Общая толщина стены торца 183 мм, см. вскрытие Вскр- Сф4. Металлический лист t=1мм, 4 слоя, m=(35,5м2*4сл)*7,85кг/м2=1116,0кг; Мин.вата t=(16+43+27/2+29+10)=111,5мм= 0,1115м, m=(35,54м2*0,1115м)*125кг/м3=495,34 кг; Доска t=(27мм*2+27/2)=67,5 мм=0,0675 м, m= (0,0675м*35,54м2)*520кг/м3=1247,45 кг; Рубероид 1 слой, m=35,54м2*1,2кг/м2=42,65кг. Общая масса демонтажа торца фонаря=1116кг+495,34кг+1247,45кг+42,65кг=2901,4кг. Масса демонтажа 1м2 торца фонаря = (1116кг+495,34кг+1247,45кг+42,65кг)/35,54м2≈81,64 кг/м2</t>
  </si>
  <si>
    <t>Общая толщина стены торца 150 мм, см. вскрытие Вскр- Сф5. Металлический лист t=1мм, 4 слоя, m=(35,54м2*4сл)*7,85кг/м2=1116,0кг; Мин.вата t=(21+24/2+54)=87мм= 0,087м, m=(35,54м2*0,087м)*125кг/м3=386,5 кг; Доска t=(23+24/2+24)=59 мм=0,059 м, m= (0,059м*35,54м2)*520кг/м3=1090,37 кг. Общая масса демонтажа торца фонаря=1116кг+386,5кг+1090,37кг=2592,82кг. Масса демонтажа 1м2 торца фонаря = (1116кг+386,5кг+1090,37кг)/35,54м2≈72,96 кг/м2</t>
  </si>
  <si>
    <t>Ширина стальных фартуков/отливов - переменная. Общая S отливов = 78,52м*(0,5м+0,4м+0,18м+0,18м+0,5м+0,772м) +12,225м*(0,35м+0,35м)=207,4 м2. Длина фонаря 78,52 м, ширина 12,225 м. Общая L=78,52м*6+12,225м*2=495,6 м</t>
  </si>
  <si>
    <t>Суммарная толщина слоев рубероида - 10 мм. S=(78,52*2+12*2)*0,8=144,8 м2 (общая площадь одного слоя). S двух слоев= 144,8м2*2=289,66 м2. Нагрузка на 1м2 от 1 слоя рубероида - 2 кг/м2 (или 0,002т/м2). Общая масса: (144,8м2*2кг/м2)*2слоя=579,33кг=0,579 т</t>
  </si>
  <si>
    <t>Доска 120х30 мм, L=156 м, V=0,12м*0,03м*156м=0,56м3; Доска 220х30 мм, L=156 м, V=0,22м*0,03м* 156м=1,03м3; Доска 220х25 мм, L=156 м, V=0,22м*0,025м*156м=0,86м3; Общ.S=(0,12*156)+(0,22*156)=53,04 м2</t>
  </si>
  <si>
    <t>Суммарная толщина 3 слоев рубероида - 8 мм. S=9,153мх78,52м= 718,7 м2 (общая площадь одного слоя). S трех слоев= 718,7м2*3=2156,08 м2. Нагрузка на 1м2 от 1 слоя рубероида - 2 кг/м2 (или 0,002т/м2). Общая масса: (718,7м2*2кг/м2)*3слоя=4312,16кг=4,312 т</t>
  </si>
  <si>
    <t>Толщина 1 слоя стеклоизола - 6 мм. S=9,153мх78,52м= 718,7 м2 (общая площадь одного слоя). Нагрузка на 1м2 от 1 слоя стеклоизола - 2,5 кг/м2. Общая масса: (718,7м2*2,5кг/м2)*1слой=1796,73кг=1,797 т</t>
  </si>
  <si>
    <t xml:space="preserve">Общая толщина стены торца 153 мм, см. вскрытие Вскр- Сф3. Масса демонтажа 1м2 торца фонаря ≈72,96 кг/м2 </t>
  </si>
  <si>
    <t xml:space="preserve">Общая толщина стены торца 150 мм, см. вскрытие Вскр- Сф6. Масса демонтажа 1м2 торца фонаря ≈72,96 кг/м2 </t>
  </si>
  <si>
    <t>Ширина стальных фартуков/отливов - переменная. Общая S отливов = 78,52м*(0,45м+0,76м0,18м+0,18м+0,5м+0,4м) +9,179м*(0,35м+0,35м)=200,4 м2. Длина фонаря 78,52 м, ширина 9,179 м. Общая L=78,52м*6+9,179м*2=489,5 м</t>
  </si>
  <si>
    <t>Суммарная толщина слоев рубероида - 10 мм. S=(78,52*2+9,4*2)*0,8=140,7 м2 (общая площадь одного слоя). S двух слоев= 140,7м2*2=281,344 м2. Нагрузка на 1м2 от 1 слоя рубероида - 2 кг/м2 (или 0,002т/м2). Общая масса: (140,7м2*2кг/м2)*2слоя=562,69кг=0,563 т</t>
  </si>
  <si>
    <t>Толщина 1 слоя рубероида - 7 мм. S=9,453мх78,52м=742,2 м2 (общая площадь одного слоя). Нагрузка на 1м2 от 1 слоя рубероида - 2 кг/м2. Общая масса: (742,2м2*2кг/м2)*1слой=1484,5 кг=1,484 т</t>
  </si>
  <si>
    <t>Общая толщина стены торца 111 мм, см. вскрытие Вскр- Сф1. Металлический лист t=1мм, 4 слоя, m=(27,21м2*4сл)*7,85кг/м2=854,4кг; Мин.вата t=(21,5+21,5/2+21,5)=53,75мм= 0,05375м, m=(27,21м2*0,05375м)*125кг/м3=182,82 кг; Доска t=(21,5+21,5/2+21,5)=53,75 мм=0,05375 м, m= (0,05375м*27,21м2)*520кг/м3=760,52 кг. Общая масса демонтажа торца фонаря=854,4кг+182,82кг+760,52кг=1797,73кг. Масса демонтажа 1м2 торца фонаря = (854,4кг+182,82кг+760,52кг)/27,21м2≈66,07 кг/м2</t>
  </si>
  <si>
    <t>Общая толщина стены торца 166 мм, см. вскрытие Вскр- Сф7. Масса демонтажа 1м2 торца фонаря ≈72,96 кг/м2</t>
  </si>
  <si>
    <t>Ширина стальных фартуков/отливов - переменная. Общая S отливов = 78,52м*(0,593м+0,45м+0,18м+0,18м+0,61м+0,45м)+9,405м*(0,35м+0,35м)=200 м2. Длина фонаря 78,52 м, ширина 9,405 м. Общая L=78,52м*6+9,405м*2=489,9 м</t>
  </si>
  <si>
    <t>Доска 120х30 мм, L=156 м, V=0,12м*0,03м*156м=0,56м3; Доска 220х30 мм, L=156 м, V=0,22м*0,03м* 156м=1,03м3; Доска 220х25 мм, L=156 м, V=0,22м*0,025м*156м=0,86м3;  Общ.S=(0,12*156)+(0,22*156)=53,04 м2</t>
  </si>
  <si>
    <t>Толщина стяжки - 18 мм</t>
  </si>
  <si>
    <t>Толщина трех слоев утеплителя из мин. ваты - 155 мм. S=9,491мх78,52м=745,2 м2 (общая площадь одного слоя). S трех слоев= 745,2м2*3=2235,7 м2. V=745,2м2*0,155м=115,5м3. Плотность мин.ваты  ≈ 0,125 т/м3. Общая масса: 115,5м3*0,125т/м3=14,44 т</t>
  </si>
  <si>
    <t>S=9,491мх78,52м=745,2 м2</t>
  </si>
  <si>
    <t>S=9,491мх78,52м=745,2 м2, h≈60 мм</t>
  </si>
  <si>
    <t>Воронка - ПВХ труба ∅110 мм</t>
  </si>
  <si>
    <t>Общая толщина стены торца 174 мм, см. вскрытие Вскр- Сф2. Масса демонтажа 1м2 торца фонаря ≈81,64 кг/м2</t>
  </si>
  <si>
    <t>Общая толщина стены торца 140 мм, см. вскрытие Вскр- Сф8. Масса демонтажа 1м2 торца фонаря ≈72,96 кг/м2</t>
  </si>
  <si>
    <t>Ширина стальных фартуков/отливов - переменная. Общая S отливов = 78,52м*(0,55м+0,65м+0,18м+0,18м+0,65м+0,55м) +9,491м*(0,35м+0,35м)=223,4 м2. Длина фонаря 78,52 м, ширина 9,491 м. Общая L=78,52м*6+9,491м*2=490,1 м</t>
  </si>
  <si>
    <t>Суммарная толщина слоев рубероида - 10 мм. S=(78,52*2+9,491*2)*0,8=140,8 м2 (общая площадь одного слоя). S двух слоев= 140,8м2*2=281,64 м2. Нагрузка на 1м2 от 1 слоя рубероида - 2 кг/м2 (или 0,002т/м2). Общая масса: (140,8м2*2кг/м2)*2слоя=563,27кг=0,563 т</t>
  </si>
  <si>
    <t>Усиление одной фермы фонаря ФФ-1: уголок 50х5 по ГОСТ 8509-93 общ.длина 6,669 п.м., общ. масса 25,14 кг; полоса 50х8х70 (сухарик), 8 шт., общ. масса 1,76 кг; уголок 56х5 по ГОСТ 8509-93 общ.длина 17,24 п.м., общ. масса 73,27 кг; уголок 50х5 (шпренгель) по ГОСТ 8509-93 общ.длина 7,2 п.м., общ. масса 27,14 кг; фасонные элементы из полосовой стали по ГОСТ 103—2006, 4 шт, общ. масса 12,12 кг; полоса 50х8х70 (сухарик), 4 шт., общ. масса 0,88 кг. Общая масса усиления на одну ФФ-1 = 140,32 кг. Всего усиливаемых ферм фонаря ФФ-1 - 28 шт. Общая масса усиления: 28шт х 140,32 кг=3928,9 кг=3,93 т.</t>
  </si>
  <si>
    <t>Усиление одной фермы ФС-1:  полоса 75х5, общ. длина 10м, общ. масса 29,44 кг; уголок 63х6 (шпренгель) по ГОСТ 8509-93 общ.длина 11,67 п.м., общ. масса 66,75 кг; фасонные элементы из полосовой стали по ГОСТ 103—2006 и листовой по ГОСТ 19903-2015, 6 шт, общ. масса 11,04 кг; полоса 50х8х80 (сухарик), 6 шт., общ. масса 1,51 кг.  Общая масса усиления на одну ФС-1 = 108,74 кг.  Всего усиливаемых ферм ФС-1 - 32 шт. Общая масса усиления: 32шт х 108,74 кг=3479,63 кг=3,48 т.</t>
  </si>
  <si>
    <t xml:space="preserve">Усиление одной фермы фонаря ФФ-2: уголок 50х5 по ГОСТ 8509-93 общ.длина 6,788 п.м., общ. масса 25,59 кг; полоса 50х8х70 (сухарик), 8 шт., общ. масса 1,76 кг; уголок 56х5 по ГОСТ 8509-93 общ.длина 29,21 п.м., общ. масса 124,14 кг; полоса 160х6 по ГОСТ 103-2006  общ.длина 6,9 п.м., общ. масса 52,0 кг; уголок 50х5 (шпренгель) по ГОСТ 8509-93 общ.длина 7,36 п.м., общ. масса 27,75 кг; фасонные элементы из полосовой стали по ГОСТ 103—2006, 2 шт, общ. масса 2,35 кг; полоса 50х8х70 (сухарик), 4 шт., общ. масса 0,88 кг. Общая масса усиления на одну ФФ-2 = 234,47 кг. Всего усиливаемых ферм фонаря ФФ-2 - 14 шт. Общая масса усиления: 14шт х 234,47 кг=3282,55 кг=3,28 т. </t>
  </si>
  <si>
    <t xml:space="preserve">Усиление одной фермы ФС-2: уголок 90х8 (шпренгель) по ГОСТ 8509-93 общ.длина 4,77 п.м., общ. масса 52,14 кг; уголок 56х5 (шпренгель) по ГОСТ 8509-93 общ.длина 11,8 п.м., общ. масса 50,15 кг; фасонные элементы из полосовой стали по ГОСТ 103—2006 и листовой по ГОСТ 19903-2015, 12 шт, общ. масса 27,54 кг; полоса 50х8х110 (сухарик), 2 шт., общ. масса 0,69 кг; полоса 50х8х75 (сухарик), 8 шт., общ. масса 1,88 кг; уголок 56х5 по ГОСТ 8509-93 общ.длина 8,87 п.м., общ. масса 37,7 кг.  Общая масса усиления на одну ФС-2 = 170,1 кг.  Всего усиливаемых ферм ФС-2 - 16 шт. Общая масса усиления: 16шт х 170,1 кг=2721,6 кг=2,72 т. </t>
  </si>
  <si>
    <t xml:space="preserve">Усиление одной фермы фонаря ФФ-3: уголок 50х5 (шпренгель) по ГОСТ 8509-93 общ.длина 6,5 п.м., общ. масса 24,51 кг; фасонные элементы из полосовой стали по ГОСТ 103—2006, 4 шт, общ. масса 7,65 кг; полоса 50х8х70 (сухарик), 4 шт., общ. масса 0,88 кг; уголок 50х5 по ГОСТ 8509-93 общ.длина 5,902 п.м., общ. масса 22,25 кг; полоса 50х8х70 (сухарик), 8 шт., общ. масса 1,76 кг. Общая масса усиления на одну ФФ-3 = 57,05 кг. Всего усиливаемых ферм фонаря ФФ-3 - 14 шт. Общая масса усиления: 14шт х 57,05 кг=798,63 кг=0,799 т. </t>
  </si>
  <si>
    <t>Усиление одной фермы ФС-4: уголок 50х5 (шпренгель) по ГОСТ 8509-93 общ.длина 16,86 п.м., общ. масса 63,56 кг; фасонные элементы из полосовой стали по ГОСТ 103—2006 и листовой по ГОСТ 19903-2015, 12 шт, общ. масса 19,4 кг; полоса 50х8х70 (сухарик), 12 шт, общ. масса 2,64 кг.  Общая масса усиления на одну ФС-4 = 85,6 кг.  Всего усиливаемых ферм ФС-4 - 16 шт. Общая масса усиления: 16шт х 85,6 кг=1369,67 кг=1,37 т.</t>
  </si>
  <si>
    <t>Длина одного прогона 6 м. Общая длина прогонов: 6п.м. х 30шт = 180 п.м. Масса погонного метра 22,6 кг/п.м., общая масса: 180п.м. х 22,6кг/п.м. = 4068 кг = 4,068 т</t>
  </si>
  <si>
    <t>Длина одного прогона 6 м. Общая длина прогонов: 6п.м. х 60шт = 360 п.м. Масса погонного метра 22,6 кг/п.м., общая масса: 360п.м. х 22,6кг/п.м. = 8136 кг = 8,136 т</t>
  </si>
  <si>
    <t>Длина одного прогона 6 м. Общая длина прогонов: 6п.м. х 60шт = 360 п.м. Масса погонного метра 19,8 кг/п.м., общая масса: 360п.м. х 19,8кг/п.м. = 7128 кг = 7,128 т</t>
  </si>
  <si>
    <t>Длина одного прогона 6 м. Общая длина прогонов: 6п.м. х 120шт = 720 п.м. Масса погонного метра 19,8 кг/п.м., общая масса: 720п.м. х 19,8кг/п.м. = 14256 кг = 14,256 т</t>
  </si>
  <si>
    <t>Длина одного прогона 1,29 м. Общая длина прогонов: 1,29п.м. х 6шт = 7,74 п.м. Масса погонного метра 22,6 кг/п.м., общая масса: 7,74п.м. х 22,6кг/п.м. = 174,9 кг = 0,175 т</t>
  </si>
  <si>
    <t>Длина одного прогона 0,87 м. Общая длина прогонов: 0,87п.м. х 6шт = 5,22 п.м. Масса погонного метра 22,6 кг/п.м., общая масса: 5,22п.м. х 22,6кг/п.м. = 118 кг = 0,118 т</t>
  </si>
  <si>
    <t>Длина одного прогона 1,29 м. Общая длина прогонов: 1,29п.м. х 12шт = 15,48 п.м. Масса погонного метра 19,8 кг/п.м., общая масса: 15,48п.м. х 19,8кг/п.м. = 306,5 кг = 0,307 т</t>
  </si>
  <si>
    <t>Длина одного прогона 0,87 м. Общая длина прогонов: 0,87п.м. х 12шт = 10,44 п.м. Масса погонного метра 19,8 кг/п.м., общая масса: 10,44п.м. х 19,8кг/п.м. = 206,7 кг = 0,207 т</t>
  </si>
  <si>
    <t>Длина одного прогона 6 м. Общая длина прогонов: 6п.м. х 34шт = 204 п.м. Масса погонного метра 19,8 кг/п.м., общая масса: 204п.м. х 19,8кг/п.м. = 4039 кг = 4,04 т</t>
  </si>
  <si>
    <t>Длина одного прогона 6 м. Общая длина прогонов: 6п.м. х 2шт = 12 п.м. Масса погонного метра 24 кг/п.м., общая масса: 12п.м. х 24кг/п.м. = 288 кг = 0,29 т</t>
  </si>
  <si>
    <t>Длина одного прогона 6 м. Общая длина прогонов: 6п.м. х 11шт = 66 п.м. Масса погонного метра 19,8 кг/п.м., общая масса: 66п.м. х 19,8кг/п.м. = 1307 кг = 1,31 т</t>
  </si>
  <si>
    <t xml:space="preserve">Длина одного прогона 5,99 м, общая длина прогонов: 5,99м*270шт= 1617,3 м. Масса одного прогона 298,9 кг, общая масса: 298,9кг х 270шт =80703 кг=80,703т.  </t>
  </si>
  <si>
    <t xml:space="preserve">Длина одного прогона 0,865 м, общая длина прогонов: 0,865м*18шт= 15,57 м. Масса одного прогона 43,16 кг, общая масса: 43,16кг х 18шт =776,88 кг.  </t>
  </si>
  <si>
    <t xml:space="preserve">Длина одного прогона 1,285 м, общая длина прогонов: 1,285м*18шт= 23,13 м. Масса одного прогона 64,12 кг, общая масса: 64,12кг х 18шт =1154,2 кг=1,154 т.  </t>
  </si>
  <si>
    <t>Болт М20-6дх70.58 (S30) по ГОСТ 7798-70 - 1152 шт, общ.масса 277,3 кг; Гайка М20-6Н.5 (S30) по ГОСТ 5915-70 - 2304 шт, общ.масса 164,6 кг; Шайба А.20.01.08кп.016 по ГОСТ 11371-78 2304 шт, общ.масса 39,5 кг; 
Полоса 150х10 х250 (фасонка), 576 шт, масса одной фасонки 2,94 кг, общ.масса: 2,94кгх576 шт=1695,6 кг; Лист 100х21х180 (клин), всего 36 шт. общая масса 106,8 кг. Общая масса элементов 2283,8 кг=2,284 т</t>
  </si>
  <si>
    <t>Vодного гнезда =0,38м*0,3м*0,13м=0,015м3, Общ.V гнезд: 0,015м3 х36шт =0,53 м3</t>
  </si>
  <si>
    <t>Vодной подушки =0,3м*0,13м*0,15м=0,006м3, Общ.V: 0,006м3 х36шт =0,21 м3</t>
  </si>
  <si>
    <t>V≈0,53м3-0,21м3=0,32м3 на заделку 36 отверстий (гнезд). Из них V кирп.пладки≈ 0,32м3*0,8=0,256м3 - заложение кирпичом (марка не менее М75)</t>
  </si>
  <si>
    <t>V≈0,53м3-0,21м3=0,32м3 на заделку 36 отверстий (гнезд). Из них V раствора ≈ 0,32м3*0,2=0,064м3 - обетонирование узлов (бетон В15)</t>
  </si>
  <si>
    <t xml:space="preserve">Длина одного прогона 6,0* м, общая длина прогонов: 6м*45шт= 270 м. Масса одного прогона 110,4 кг, общая масса: 110,4кг х 45шт =4968,0 кг=4,968т.  </t>
  </si>
  <si>
    <t xml:space="preserve">Длина одного прогона 6,0* м, общая длина прогонов: 6м*2шт= 12,0 м. Масса одного прогона 144,0 кг, общая масса: 144кг х 2шт =288 кг.  </t>
  </si>
  <si>
    <t>Длина одной распорки 5,8 м. Общая длина распорок: 5,8п.м. х 18шт х2 уголка = 208,8 п.м. Масса погонного метра 6,7 кг/п.м., общая масса: 208,8п.м. х 6,7кг/п.м. = 1399 кг = 1,399 т</t>
  </si>
  <si>
    <t>Длина одной распорки 5,8 м. Общая длина распорок: 5,8п.м. х 20шт = 116 п.м. Масса погонного метра 4,25 кг/п.м., общая масса: 116п.м. х 4,25кг/п.м. = 493 кг = 0,493 т</t>
  </si>
  <si>
    <t>Длина одной распорки 5,8 м. Общая длина распорок: 5,8п.м. х 49шт = 284,2 п.м. Масса погонного метра 4,25 кг/п.м., общая масса: 284,2 п.м. х 4,25кг/п.м. = 1208 кг = 1,21 т</t>
  </si>
  <si>
    <t>Длина одной распорки 5,8 м. Общая длина распорок: 5,8п.м. х 20шт = 116 п.м. Масса погонного метра 4,81 кг/п.м., общая масса: 116п.м. х 4,81кг/п.м.=558кг =0,558т</t>
  </si>
  <si>
    <t>Длина одной распорки 2,9 м. Общая длина распорок: 2,9п.м. х 2шт = 5,8п.м. Масса погонного метра 3,77 кг/п.м., общая масса: 5,8п.м. х3,77кг/п.м.=21,87кг</t>
  </si>
  <si>
    <t>Длина одной распорки 5,8 м. Общая длина распорок: 5,8п.м. х 10шт = 58 п.м. Масса погонного метра 4,81 кг/п.м., общая масса: 58п.м. х 4,81кг/п.м. = 279 кг = 0,279 т</t>
  </si>
  <si>
    <t>Длина одной распорки 5,8 м. Общая длина распорок: 5,8п.м. х 20шт = 116 п.м., общая длина уголка: 116*2=232 п.м. Масса погонного метра 4,25 кг/п.м., общая масса: 232п.м. х 4,25кг/п.м. = 986 кг = 0,986 т</t>
  </si>
  <si>
    <t>Длина одной распорки 5,8 м. Общая длина распорок: 5,8п.м. х 8шт = 46,4 п.м., общая длина уголков: 46,4*2=92,8 п.м. Масса погонного метра 5,72 кг/п.м., общая масса: 92,8п.м. х 5,72кг/п.м. = 530,8 кг = 0,531 т</t>
  </si>
  <si>
    <t>Длина одной распорки 5,8 м. Общая длина распорок: 5,8п.м. х 4шт = 23,2 п.м., общая длина уголка: 23,2*2=46,4 п.м. Масса погонного метра 6,89 кг/п.м., общая масса: 46,4п.м. х 6,89кг/п.м. = 319,7 кг = 0,320 т</t>
  </si>
  <si>
    <t>Длина одной распорки 5,8 м. Общая длина распорок: 5,8п.м. х 1шт = 5,8 п.м., общая длина уголка: 5,8*2=11,6 п.м. Масса погонного метра 10,6 кг/п.м., общая масса: 11,6п.м. х 10,6кг/п.м. = 123 кг</t>
  </si>
  <si>
    <t>Длина одной распорки 5,8 м. Общая длина распорок: 5,8п.м. х 7шт х2 уголка = 81,2 п.м. Масса погонного метра 6,89 кг/п.м., общая масса: 81,2п.м. х 6,89кг/п.м. = 559,6 кг = 0,56 т</t>
  </si>
  <si>
    <t>Масса погонного метра 5,72 кг/п.м., общая масса: 404,1п.м. х 5,72кг/п.м. = 2311,5 кг = 2,3 т</t>
  </si>
  <si>
    <t>Масса погонного метра 5,72 кг/п.м., общая масса: 15,4п.м. х 5,72кг/п.м. = 88,11 кг</t>
  </si>
  <si>
    <t>Общая длина элементов СВ: 6,752п.м. х 12шт х2 уголка = 162,1 п.м. Масса погонного метра 4,25 кг/п.м., общая масса: 162,1п.м. х 4,25кг/п.м. = 688,9 кг = 0,689 т</t>
  </si>
  <si>
    <t xml:space="preserve">Общая длина элементов СВ: 6,708п.м. х 6шт х2 уголка = 80,50 п.м. Масса погонного метра 4,25 кг/п.м., общая масса: 80,5 п.м. х 4,25кг/п.м. = 342,11 кг </t>
  </si>
  <si>
    <t>Общая длина элементов СВ: 6,997п.м. х 6шт х2 уголка = 83,96 п.м. Масса погонного метра 4,25 кг/п.м., общая масса: 83,96 п.м. х 4,25кг/п.м. = 356,85 кг = 0,357 т</t>
  </si>
  <si>
    <t xml:space="preserve">Общая длина элементов СВ: (4,036п.м. х4 уголка) х 3шт = 48,43 п.м. Масса погонного метра 4,25 кг/п.м., общая масса: 48,43 п.м. х 4,25кг/п.м. = 205,84 кг </t>
  </si>
  <si>
    <t xml:space="preserve">Общая длина элементов СВ: (4,036п.м. х2 уголка) х 1шт = 8,072 п.м. Масса погонного метра 4,25 кг/п.м., общая масса: 8,072 п.м. х 4,25кг/п.м. = 34,31 кг </t>
  </si>
  <si>
    <t>На одну ВС-1: уголок 63х6 массой m=(6м*2 уголка)*5,72кг/м=68,64 кг; уголок 50х5 массой m=(2,267м*8 уголков)*3,77кг/м=68,37 кг; на одну СВ-1 общая масса m=68,64кг+68,37кг=137,01 кг. Всего две СВ-1, m=137,01кг*2 шт= 274,03 кг</t>
  </si>
  <si>
    <t>На одну ВС-3: уголок 75х6 массой m=(6м*2 уголка)*6,89кг/м=82,68 кг; уголок 56х5 массой m=(2,193м*8  уголков+1,6м*4 уголка)*4,25кг/м =101,76 кг; на одну СВ-3 общая масса m=82,68кг+101,76кг=184,44 кг</t>
  </si>
  <si>
    <t xml:space="preserve">Одна распорка состоит из: одной трубы 80х4 длиной 5,522 м по ГОСТ 30245-2003, масса одной распорки 50,91 кг; Полосы 100х5х45 (заглушка) по ГОСТ 103—2006, 4 шт, общ.масса 0,71 кг. Общая масса одной распорки: 50,91кг+0,71кг=51,619 кг. Всего распорок - 28 шт. Общ.масса распорок: 28шт х51,619кг= 1445,33кг= 1,445 т. </t>
  </si>
  <si>
    <t xml:space="preserve">Одна распорка состоит из: одна труба 80х4 длиной 5,48 м по ГОСТ 30245-2003, масса 50,53 кг; Полоса 100х5х45 (заглушка) по ГОСТ 103—2006, 4 шт, общ.масса 0,71 кг; Лист 180х10х240 (фасонка) по ГОСТ 19903-2015, 2 шт,  общ.масса 6,78 кг. Общая масса одной распорки 58,02 кг. Всего распорок - 12 шт. Общ.масса распорок: 12шт х 58,02 кг= 696,24 кг. 
Болт М20 по ГОСТ 7798-70, 4 шт, общ.масса 0,96 кг; Гайка М20 по ГОСТ 5915-70, 8 шт,  общ.масса 0,57 кг; Шайба А.20 по ГОСТ 11371-78, 8 шт, общ.масса 0,14 кг.  Общая масса= 1,67 кг*12шт=20,04кг. </t>
  </si>
  <si>
    <t xml:space="preserve">Одна распорка состоит из: одна труба 80х4 длиной 5,836 м по ГОСТ 30245-2003, масса 53,8 кг; Полоса 100х5х45 (заглушка) по ГОСТ 103—2006, 4 шт, общ.масса 0,71 кг; Лист 210х10х220 (фасонка) по ГОСТ 19903-2015, 2 шт,  общ.масса 7,3 кг. Общая масса одной распорки 61,8 кг. Всего распорок - 60 шт. Общ.масса распорок: 60шт х 61,8кг= 3708,0кг. 
Болт М20 по ГОСТ 7798-70, 4 шт, общ.масса 0,9 кг; Гайка М20 по ГОСТ 5915-70, 8 шт,  общ.масса 0,6 кг; Шайба А.20 по ГОСТ 11371-78, 8 шт, общ.масса 0,1 кг.  Общая масса= 1,6 кг*60шт=96,0кг. </t>
  </si>
  <si>
    <t>Одна распорка состоит из: двух уголков 75х6 по ГОСТ 8509-93 длиной  5,54, масса 76,3 кг;  Полоса 200х10х270 (фасонка) по ГОСТ 103—2006, 2 шт, общ.масса 8,5 кг; полоса 50х10х120 (сухарик), 7 шт., общ. масса 3,3 кг. Общая масса одной распорки 88,1 кг. Всего распорок - 7 шт. Общ.масса распорок: 7шт х 88,1кг= 616,7 кг.
Болт М20 по ГОСТ 7798-70, 4 шт, общ.масса 0,9 кг; Гайка М20 по ГОСТ 5915-70, 8 шт,  общ.масса 0,6 кг; Шайба А.20 по ГОСТ 11371-78, 8 шт, общ.масса 0,1 кг. Общая масса= 1,6 кг*7шт=11,2кг.</t>
  </si>
  <si>
    <t>Одна распорка состоит из: двух уголков 110х70х8 по ГОСТ 8510-86 длиной  5,852, масса 127,92 кг;  Лист 210х10х220 (фасонка) по ГОСТ 19903-2015, 2 шт, общ.масса 7,25 кг. Общая масса одной распорки 135,17 кг. Всего распорок - 1 шт. 
Болт М20 по ГОСТ 7798-70, 4 шт, общ.масса 0,91 кг; Гайка М20 по ГОСТ 5915-70, 8 шт,  общ.масса 0,57 кг; Шайба А.20 по ГОСТ 11371-78, 8 шт, общ.масса 0,14 кг. Общая масса= 1,62 кг*1шт=1,62кг.</t>
  </si>
  <si>
    <t>Одна распорка состоит из: двух уголков 110х70х8 по ГОСТ 8510-86 длиной  5,54 м, масса 121,10 кг.; Полоса 50х10 (сухарик), 7 шт, m= 4,4 кг; Лист 270х10 (фасонка), 2 шт,  m= 10,6 кг. Общая масса одной распорки 136,1 кг. Всего распорок - 1 шт. 
болт М20, 4 шт, m= 0,9 кг; Гайка М20, 8 шт, m= 0,6 кг; Шайба А.20, 8 шт,  m= 0,1 кг. Общая масса= 1,6 кг*1шт=1,6кг.</t>
  </si>
  <si>
    <t xml:space="preserve">Одна распорка состоит из: одна труба 80х4 длиной 2,675 м по ГОСТ 30245-2003, масса 24,7 кг; Полоса 100х5х45 (заглушка) по ГОСТ 103—2006, 4 шт, общ.масса 0,71 кг. Общая масса одной распорки 25,37 кг. Всего распорок - 2 шт. Общ.масса распорок: 2шт х 25,37кг= 50,74кг. </t>
  </si>
  <si>
    <t xml:space="preserve">Усиление одной ВС-1 состоит: уголок 63х6 по ГОСТ 8509-93, длиной 12,0 м, масса 68,64 кг; уголок 50х5 по ГОСТ 8509-93, длиной 18,14 м, масса 68,37 кг.  Общая масса усиления на одну ВС-1 = 137,01 кг. Всего усиливаемых ВС-1 - 7 шт. Общая масса усиления: 7шт х 137,01 кг=959,09 кг=0,959 т. </t>
  </si>
  <si>
    <t xml:space="preserve">Усиление одной ВС-2 состоит: уголок 63х6 по ГОСТ 8509-93, длиной 12,0 м, масса 68,64 кг; уголок 56х5 по ГОСТ 8509-93, длиной 22,64 м, масса 96,22 кг.  Общая масса усиления на одну ВС-2 = 164,86 кг. Всего усиливаемых ВС-2 - 9 шт. Общая масса усиления: 9шт х 164,86 кг=1483,74 кг=1,484 т.  </t>
  </si>
  <si>
    <t>Усиление одной ВС-4 состоит: уголок 56х5 по ГОСТ 8509-93, длиной 12,0 м, масса 51,0 кг; уголок 50х5 по ГОСТ 8509-93, длиной 22,64 м, масса 85,35 кг.  Общая масса усиления на одну ВС-4 = 136,35 кг. Всего усиливаемых ВС-4 - 2 шт. Общая масса усиления: 2шт х 136,35 кг=272,71 кг.</t>
  </si>
  <si>
    <t xml:space="preserve">Усиление одной ВС-5 состоит: Полоса 100х5 по ГОСТ 103—2006, длиной 6,0 м, масса 23,55 кг. Всего усиливаемых ВС-5 - 6 шт. Общая масса усиления: 6шт х 23,55 кг=141,3 кг. </t>
  </si>
  <si>
    <t>Усиление одной ВС-6 состоит: Полоса 100х5 по ГОСТ 103—2006, длиной 6,0 м, масса 23,55 кг; уголок 50х5 по ГОСТ 8509-93, длиной 24,02 м, масса 90,54 кг.  Общая масса усиления на одну ВС-6 = 114,09 кг. Всего усиливаемых ВС-6 - 3 шт. Общая масса усиления: 3шт х 114,09 кг=342,27 кг.</t>
  </si>
  <si>
    <t>Усиление одной ВС-8 состоит: уголок 25х5 по ГОСТ 8509-93, длиной 12 м, масса 21,36 кг. Всего усиливаемых ВС-8 - 2 шт. Общая масса усиления: 2шт х 21,36 кг=42,72 кг.</t>
  </si>
  <si>
    <t xml:space="preserve">Усиление одной ВС-12 состоит: уголок 56х5 по ГОСТ 8509-93, длиной 5,58 м, масса 23,72 кг; Полоса 85х8х315 (фасонка) по ГОСТ 103—2006, 2 шт, масса 3,36 кг; Полоса 50х8х70 (сухарик) по ГОСТ 103—2006, 3 шт, масса 0,66 кг. Всего усиливаемых ВС-12 - 6 шт. Общая масса усиления на одну ВС-12 = 27,74 кг. Общая масса усиления: 6шт х 27,74 кг=166,42 кг.  </t>
  </si>
  <si>
    <t xml:space="preserve">Усиление одной ВС-14 состоит: уголок 56х5 по ГОСТ 8509-93, длиной 5,58 м, масса 23,72 кг; Полоса 85х8х317 (фасонка) по ГОСТ 103—2006, 2 шт, масса 3,38 кг; Полоса 50х8х70 (сухарик) по ГОСТ 103—2006, 3 шт, масса 0,66 кг. Всего усиливаемых ВС-14 - 3 шт. Общая масса усиления на одну ВС-14 = 27,76 кг. Общая масса усиления: 3шт х 27,76 кг=83,28 кг. </t>
  </si>
  <si>
    <t xml:space="preserve">Усиление одной ВС-16 состоит: уголок 56х5 по ГОСТ 8509-93, длиной 5,57 м, масса 23,67 кг; Полоса 85х8х323 (фасонка) по ГОСТ 103—2006, 2 шт, масса 3,45 кг; Полоса 50х8х70 (сухарик) по ГОСТ 103—2006, 3 шт, масса 0,66 кг. Всего усиливаемых ВС-16 - 3 шт. Общая масса усиления на одну ВС-16 = 27,78 кг. Общая масса усиления: 3шт х 27,78 кг=83,34 кг. </t>
  </si>
  <si>
    <t xml:space="preserve">ВС-11: общ. длина=12,48м*12шт=149,76 м, труба 70х4 по ГОСТ 30245-2003; ВС-13: общ. длина=12,49м*6шт=74,94 м, труба 70х4 по ГОСТ 30245-2003; ВС-15: общ. длина=12,48м*6шт=74,88 м, труба 70х4 по ГОСТ 30245-2003. Общая длина = 149,76+74,94+74,88=299,58 п.м. Общая масса=299,58п.м.*7,97 кг/м=2387,65 кг=2,3877т. </t>
  </si>
  <si>
    <t>Замена элементов одной ВС-1 состоит: Труба 70х7 поГОСТ 30245-2003, длиной 5,46 м, масса 68,4 кг; листовая стал (фасонка) по ГОСТ 19903-2015, 3 шт, масса 18,5 кг; Полоса 90х5х40 (заглушка) по ГОСТ 103—2006, 4 шт, масса 0,6 кг; уголок 63х6 по ГОСТ 8509-93, длиной 15,6 м, масса 89,4 кг. Всего ремонтируемых ВС-1 - 2 шт. Ощая масса замены на одну ВС-1 = 176,9 кг. Общая масса: 2шт х 176,9 кг=353,8 кг. 
Болт М20 по ГОСТ 7798-70, 4 шт, общ.масса 0,96 кг; Гайка М20 по ГОСТ 5915-70, 8 шт,  общ.масса 0,6 кг; Шайба А.20 по ГОСТ 11371-78, 8 шт, общ.масса 0,1 кг. Общая масса= 1,66 кг*2шт=3,32кг.</t>
  </si>
  <si>
    <t>Замена элементов одной ВС-3 состоит: уголок 75х6 по ГОСТ 8509-93, длиной 12 м, масса 82,68 кг; уголок 56х5 по ГОСТ 8509-93, длиной 23,9 м, масса 101,76 кг. Всего ремонтируемых ВС-3 - 1 шт. Общая масса замены на одну ВС-3 = 184,44 кг. 
Болт М20 по ГОСТ 7798-70, 4 шт, общ.масса 0,96 кг; Гайка М20 по ГОСТ 5915-70, 8 шт,  общ.масса 0,6 кг; Шайба А.20 по ГОСТ 11371-78, 8 шт, общ.масса 0,1 кг. Общая масса= 1,7 кг*1шт=1,7кг.</t>
  </si>
  <si>
    <t>Замена элементов одной ВС-12 состоит: уголок 56х5 по ГОСТ 8509-93, длиной 16,1 м, масса 68,6 кг. Всего ремонтируемых ВС-12 - 3 шт. Общая масса замены на одну ВС-12 = 68,6 кг. Общая масса: 3шт х 68,6 кг=205,8 кг. 
Болт М20 по ГОСТ 7798-70, 8 шт, общ.масса 1,9 кг; Гайка М20 по ГОСТ 5915-70, 16 шт,  общ.масса 1,1 кг; Шайба А.20 по ГОСТ 11371-78, 16 шт, общ.масса 0,3 кг. Общая масса= 3,3 кг*3шт=9,9кг.</t>
  </si>
  <si>
    <t xml:space="preserve">Замена элементов одной ВС-14 состоит: уголок 56х5 по ГОСТ 8509-93, длиной 8 м, масса 34,0 кг. Всего ремонтируемых ВС-14 - 1 шт.  </t>
  </si>
  <si>
    <t xml:space="preserve">Замена элемента одной ВС-12 состоит: уголок 56х5 по ГОСТ 8509-93, длиной 8,1 м, масса 34,3 кг. Всего ремонтируемых ВС-12 - 1 шт. </t>
  </si>
  <si>
    <t>Усиление одной СГ-1 состоит: уголок 63х6 по ГОСТ 8509-93, длиной 14,13 м, масса 80,81 кг; полоса 50х8х85 (сухарик) по ГОСТ, 16 шт, общ. масса 4,27 кг. Всего ремонтируемых СГ-1 - 15 шт. Общая масса усиления на одну СГ-1 = 85,08 кг. Общая масса: 15шт х85,08 кг = 1276,2 кг. 
Болт М16 по ГОСТ 7798-70, 11 шт, общ.масса 1,34 кг; Гайка М16 по ГОСТ 5915-70, 22 шт,  общ.масса 0,83 кг; Шайба А.16 по ГОСТ 11371-78, 22 шт, общ.масса 0,25 кг. Общая масса= 2,42 кг*15шт=36,3кг.</t>
  </si>
  <si>
    <t>Ода новая СГ-1 состоит:  уголок 63х6 по ГОСТ 8509-93, длиной 15,08 м, масса 86,26 кг; Лист (фасонка) 220х480х10  по ГОСТ 19903-2015, 1 шт, масса 8,29 кг; Лист (фасонка) 313х370х10  по ГОСТ 19903-2015, 4 шт, масса 36,36 кг. Всего новых СГ-1 -1 шт. Общая масса на одну СГ-1 = 130,91 кг. 
Болт М20 по ГОСТ 7798-70, 4 шт, общ.масса 0,81 кг; Гайка М20 по ГОСТ 5915-70, 4 шт,  общ.масса 0,29 кг; Шайба А.20 по ГОСТ 11371-78, 8 шт, общ.масса 0,14 кг; Болт М16 по ГОСТ 7798-70, 16 шт, общ.масса 1,94 кг; Гайка М16 по ГОСТ 5915-70, 16 шт,  общ.масса 0,6 кг; Шайба А.16 по ГОСТ 11371-78, 32 шт, общ.масса 0,36 кг. Общая масса= 414 кг*1шт=4,14 кг.</t>
  </si>
  <si>
    <t xml:space="preserve">преобразователь ржавчины </t>
  </si>
  <si>
    <t>Расход грунтовки ГФ-021 ГОСТ25129-2020 на однослойное покрытие - 60-100 г/м².</t>
  </si>
  <si>
    <t>Усредненный расход огнезащитной краской КЕДР МЕТ КО в кг/м2: 4037кг / 9354м2= 0,432кг/м2.</t>
  </si>
  <si>
    <t>Расход эмали ПФ-115 ГОСТ 6465-76 на однослойное покрытие 100-180 г/м²</t>
  </si>
  <si>
    <t>Усредненный расход огнезащитной краской КЕДР МЕТ КО в кг/м2: 1043кг / 3842м2= 0,271кг/м2.</t>
  </si>
  <si>
    <t>Всего ремонтируемых участков - 57 шт, длина одного участка правки≈50-100 мм, общая длина правки=(57участков*0,1м) =5,7 п.м.</t>
  </si>
  <si>
    <t>На одно болтовое крепление:   Болт М20 по ГОСТ 7798-70, 1 шт, масса 0,241 кг; Гайка М20 по ГОСТ 5915-70, 2 шт, масса 0,143 кг; Шайба А.20 по ГОСТ 11371-78, 2 шт, масса 0,034 кг. Всего болтовых соединений 45 шт. Масса на одно болтовое соединение: 0,241кг+0,143кг+0,034кг=0,418 кг. 
Общая масса: 45шт х 0,418кг = 18,8 кг</t>
  </si>
  <si>
    <t xml:space="preserve">Требуемое количество элементов: Уголок 63х6 по ГОСТ 8509-93, длиной 116,3 м, масса 1п.м/кг=5,72 кг, общ. Масса = 116,3*5,72= 665,236 кг; Уголок 80х6 по ГОСТ 8509-93, длиной 11,5 м, масса 1п.м/кг=7,36 кг, общ. Масса = 11,5*7,36= 84,64 кг; Уголок 75х6 по ГОСТ 8509-93, длиной 5,4 м, масса 1п.м/кг=6,89 кг, общ. Масса = 5,4*6,89= 37,206 кг; Уголок 56х5 по ГОСТ 8509-93, длиной 62,6 м, масса 1п.м/кг=4,25 кг, общ. Масса = 62,6*4,25= 266,05 кг; Уголок 90х8 по ГОСТ 8509-93, длиной 11,3 м, масса 1п.м/кг=10,93 кг, общ. Масса = 11,3*10,93= 123,509 кг; Уголок 100х63х10 по ГОСТ 8509-93, длиной 4,9 м, масса 1п.м/кг=12,14 кг, общ. Масса = 4,9*12,14= 59,486 кг; Сухарик металлический 78 шт, масса одного ≈0,73 кг, общ. масса =0,73*78 =56,944 кг. Общая масса на доращивание сечения = 1293,071 кг=1,293 т. </t>
  </si>
  <si>
    <t>Всего ремонтируемых узлов 4 шт. Один узел состоит из 4 болтов, 8 шайб, 4 гаек</t>
  </si>
  <si>
    <t>Всего ремонтируемых узлов 4 шт. Один узел состоит одного уголка 140х90х10 по ГОСТ 8510-57 длиной 195 мм</t>
  </si>
  <si>
    <t>Всего ремонтируемых узлов 4 шт</t>
  </si>
  <si>
    <t>Всего ремонтируемых узлов 12 шт</t>
  </si>
  <si>
    <t>На один узел: Уголок 140х10 по ГОСТ 8509-93, длина 0,26 м, 1 шт, масса 5,58 кг; Полоса 125х8 (ребро), длина 0,125м, 2 шт, масса 1,962 кг. Всего узлов 4 шт. Масса одного узла 7,54 кг. Общая масса: 4шт х 7,54кг=30,17 кг. 
Болт М18 по ГОСТ 7798-70, 4 шт, масса 0,73 кг; Гайка М18 по ГОСТ 5915-70, 8 шт, масса 0,43 кг; Шайба А.18 по ГОСТ 11371-78, 8 шт, масса 0,12 кг. Общая масса= 1,28 кг*4шт=5,12кг.</t>
  </si>
  <si>
    <t>Расход грунтовки ГФ-021 ГОСТ25129-2020 на однослойное покрытие - 60-100 г/м². Расход эмали ПФ-115 ГОСТ 6465-76 на однослойное покрытие 100-180 г/м²</t>
  </si>
  <si>
    <t xml:space="preserve">На один узел: Полоса 75х10 (ребро) по ГОСТ 103—2006, длина 0,125 м, 1 шт, масса 0,74 кг. Всего узлов 12 шт. Масса одного узла 0,74 кг. Общая масса: 12шт х 0,74кг= 8,83 кг. </t>
  </si>
  <si>
    <t>На один фонарь ФФ-3: Уголок 75х5 по ГОСТ 8509-93, длина 72,1 м (на 2 торца), масса 418,2 кг; Труба 70х4 по ГОСТ 30245-2003, длина 310,75 м, масса 2476,7 кг. На один фонарь ФФ-2: Уголок 75х5 по ГОСТ 8509-93, длина 64,77 м (на 2 торца), масса 375,7 кг; Труба 70х4 по ГОСТ 30245-2003, длина 310,75 м, масса 2476,7 кг.  На два фонаря ФФ-1: Уголок 75х5 по ГОСТ 8509-93, длина 127,94 м (на 4 торца), масса 742,0 кг; Труба 70х4 по ГОСТ 30245-2003, длина 621,92 м, масса 4956,7 кг. Общая масса: 418,2кг +2476,7 кг+375,7 кг +2476,7кг+ 742,0+4956,7 кг= 11446,0 кг= 11,45 т</t>
  </si>
  <si>
    <t>МП-ТСП-Z-50-перем.-Н-Г-МВ (ПЭ-01-RAL7004-0.5/ПЭ-0.1-RAL9016-0.5) по ГОСТ 32603-2012</t>
  </si>
  <si>
    <t xml:space="preserve">На ФФ-3: ОАК (4М1-16-4М1) 1700-77866-24 Д2 РП ГОСТ21519-2003 ЛСКОС ПР-П ГОСТ Р 56288-2014 - 2шт; на ФФ-2: ОАК (4М1-16-4М1) 1660-77812-24 Д2 РП ГОСТ21519-2003  ЛСКОС ПР-П ГОСТ Р 56288-2014 - 2 шт; на ФФ-1: ОАК (4М1-16-4М1) 1650-77880-24 Д2 РП ГОСТ21519-2003 ЛСКОС ПР-П ГОСТ Р 56288-2014 - 4 шт. Общая длина: 77,866м*2+77,812м*2+77,880м*4= 622,876 м. Общая площадь: 77,866м*2*1,7м+77,812м*2*1,66м+77,88м*4*1,65м=1037,088 м2. </t>
  </si>
  <si>
    <t xml:space="preserve">ДСН, А, Оп, Л, Брг, Н, Псп, УЗ, М3 1500х800 - ГОСТ31173-2016 - 8шт, ДСН, А, Оп, П, Брг, Н, Псп, УЗ, М3 1500х800 - ГОСТ31173-2016 - 8 шт. Площадь одной двери: 0,8м*1,5м=1,2 м2. </t>
  </si>
  <si>
    <t>Общая Sкровли=1695,0+1045,1+517,0+1506,5+1382,9=6146,5 м2, общая Sкровли фонарей=1036,3+800,4+797,3*2=3431,3м2</t>
  </si>
  <si>
    <t>Общ.S кровли согласно проекту: 6146,5м2+3431,3м2=9577,8м2. Коэффициент расхода k по материалу: для паробарьера СА500 k=1,18</t>
  </si>
  <si>
    <t>Плиты ТЕХНОРУФ Н ПРОФ λ/Б=0,037Вт/(м·°С) - 60мм -574,7м2 (расход 1,03)
Плиты LOGICPIR SLOPE СХ/СХ (1,7% элемент А) -110,88м2/2,22м3 (расход 1,05)
Плиты LOGICPIR SLOPE СХ/СХ (1,7% элемент В) - 110,88 м2/4,44 м3 (расход 1,05)
Плиты LOGICPIR SLOPE СХ/СХ (3,4% элемент J)-5073,12м2/152,19м3 (расход 1,1)
Плиты LOGICPIR SLOPE СХ/СХ (элемент С40 мм) -486,72м2/19,47м3 (расход 1,1)
Плиты из PIR - LOGICPIR PROF Ф/Ф λ/Б=0,025Вт/(м·°С) - 40мм-383,1м3 (расход 1,03)</t>
  </si>
  <si>
    <t>саморезы
9577,8*5(расход 5шт/м2)</t>
  </si>
  <si>
    <t>Общ.S кровли согласно проекту: 6146,5м2+3431,3м2=9577,8м2. Коэффициент расхода k по материалу: для полимерной мембраны - LOGICROOF V-RP 1,5мм k=1,11</t>
  </si>
  <si>
    <t>Общая площадь: 2896,5м2+965,5м2=3862м2</t>
  </si>
  <si>
    <t>Масса= 717,2 п.м.*3,36кг/п.м.=2409,8 кг. Масса погонного метра 3,36 кг. S=L*h= 717,2п.м.*0,1м= 71,72 м2</t>
  </si>
  <si>
    <t>Общая площадь оштукатуривания 625,3 м2. V=625,3м2*0,0125м=7,82м3</t>
  </si>
  <si>
    <t xml:space="preserve"> Уголок из оцинкованной стали толщиной 0,7 мм (развертка листа: 325мм+80 мм = 405 мм) </t>
  </si>
  <si>
    <t>ТЕХНОРУФ Н ПРОФ, 50 мм - 0,015м3  (учесть k=1,03)
Саморезы (расход 5шт/м2)</t>
  </si>
  <si>
    <t xml:space="preserve">Общая длина конька - 646,8 м.п (L=91,949м*3+6,986м+6,991м*3+6,66м*3+6,655м+79,098м*3+79,108м =646,843 п.м. ≈646,8 п.м.). Расход материала на 1п.м.: Компенсатор из оцинкованной стали толщиной 0,7 мм  (развертка листа: 250мм*2+20мм*2 = 540 мм) - 1п.м. (общ.S на всю позицию= 0,54м*646,8п.м.=349,272м2); Саморез сверлоконечный (с прессшайбой) Ø4,2x, 25 мм - 20 шт. </t>
  </si>
  <si>
    <t>Общая длина обустраиваемого парапета = 91,949м*3+18,054м+ 21,612м+59,777м=375,29п.м.≈375,3п.м</t>
  </si>
  <si>
    <t>Развертка листа=325+100=425 мм
Саморезы</t>
  </si>
  <si>
    <t xml:space="preserve">Праймером битумным ТЕХНОНИКОЛЬ № 01 </t>
  </si>
  <si>
    <t>Общая длина ограждения - 367,6 м.п. Кровельное ограждение ТЕХНОНИКОЛЬ КО/PRO/PH/800-3 представляет собой готовый установочный комплект с длиной секции 3,0м.п.</t>
  </si>
  <si>
    <t>Общая длина свеса - 91,949 м.п</t>
  </si>
  <si>
    <t>Развертка листа=325+80=405 мм</t>
  </si>
  <si>
    <t>V=(0,14м*0,08м)*91,949м=1,03 м3
91,949/0,14=12,9м2</t>
  </si>
  <si>
    <t>Общ. S листов на 1 п.м. устраиваемого узла: (0,7м*1м)*2 слоя=1,4 м2. Общ.S = 1,4м2/п.м.*91,949п.м.=128,73 м2</t>
  </si>
  <si>
    <t>S=(0,08м+0,43м)*1м=0,51м2. Общ.S покрытия = 0,51м2/п.м.*91,949п.м.=46,89м2. Расход праймера —0,25–0,35 л/м2</t>
  </si>
  <si>
    <t>Общ.S = 0,8м2/п.м.*91,949п.м.=73,56м2. Коэффициент расхода k по материалу: для полимерной мембраны - LOGICROOF V-RP 1,5мм k=1,11
Паробарьер СА500-60,69м2
Геотекстиля иглопробивнойго термообработанного 300 г/м2-46,9м2</t>
  </si>
  <si>
    <t>Общая длина ограждения - 90,8 м.п (L=2,425п.м.+88,424п.м.=90,849≈90,8 п.м.). Кровельное ограждение ТЕХНОНИКОЛЬ KKO/CK, представляет собой готовый установочный комплект с длиной секции 3,0м.п.</t>
  </si>
  <si>
    <t>Общая длина ограждения - 90,8 м.п. На 1.п.м. устанавливается 1 ст. огражд. Расчет: 90,8 п.м ограждения:3п.м. = 30,267шт ≈ 31 шт (установочных комплектов)
Шуруп для бетона Rusconnect PBW 10130 10,5x130 мм, шестигранная головка с прессшайбой-186шт
Герметик ТЕХНОНИКОЛЬ ПУ-42шт (0,025м3/25,1л)
Подкладки из ЭПДМ мембраны (150*х150*мм - размер одной подкладки)-93шт/2,09м3</t>
  </si>
  <si>
    <t>Всего монтируется 1023,45 м.п. ходовой дорожки (88,225м*6+83,065м+83,069м+83,064м*2+ (18,054м-0,8м)+(21,612м-0,8м) +(59,777м-0,8м)+(12,157м+1м) +(9,165м+1м)+(9,154м+1м)*2  +(2,225м*4)+(3,065м*4)=1023,45 п.м.), что соответствует 1706 шт (1023,45п.м./0,6=1705,74≈1706 шт) ПВХ Logicroof Walkway Puzzle дорожки серая 0,6*0,6м. Коэффициент расхода k по материалу: для ПВХ Logicroof Walkway Puzzle дорожки k=1,03, в смете учесть коэф. расхода</t>
  </si>
  <si>
    <t>На одну воронку расход материала: 
Фартук из ПВХ мембраны для воронки ТН - 1шт; 
Листвоуловитель (комплект с воронкой) - 1 шт; 
Воронка с ПВХ-фланцем XL503 Ø110 - 1 шт; 
Паробарьер СА500 - 0,2 м2 (учесть  k=1,18);  
Жидкий ПВХ (на S≈(0,65м*0,65м)=0,42 м2) - 1,762 л.
Лист оцинкованной стали толщиной 0,7 мм (0,83м*0,83м=0,7 м2) - 0,7 м2</t>
  </si>
  <si>
    <t>На установку одного аэратора: ПВХ Кровельный аэратор 75 х 375 мм - 1 ш</t>
  </si>
  <si>
    <t xml:space="preserve"> Уголок из оцинкованной стали толщиной 0,7 мм (развертка листа: 325мм+80мм=405 мм) - 1 п.м.;</t>
  </si>
  <si>
    <t>ТЕХНОРУФ Н ПРОФ, 50 мм - 0,015 м3 (учесть k=1,03)
Саморезы (5 шт/м2)</t>
  </si>
  <si>
    <t xml:space="preserve">Праймер битумный ТЕХНОНИКОЛЬ № 01 - 0,1м2 (0,07кг);  </t>
  </si>
  <si>
    <t>Общая длина примыкания - 283,285 м.п (L=18,054м+21,612м+59,721м+91,949м*2=283,285 п.м.≈283,3п.м.).  Расход материала на 1п.м.: 
LOGICROOF V-RP, ширина 2.1 м, 1.5 мм (ширина листа мембраны 650*мм) - 0,65 м2 (учесть k=1,11); 
Рейка прижимная алюминиевая ТехноНИКОЛЬ - 1 п.м.; 
Паробарьер СА500 - 0,25м2 (учесть  k=1,18); 
Рейка краевая алюминиевая ТехноНИКОЛЬ - 1п.м.; 
Геотекстиль термообработанный ПЭТ 300 гр/м2 -(учесть  k=1,1)</t>
  </si>
  <si>
    <t>Отлив из оцинкованной стали (в развертке 0,29 м) - 1 п.м.; Саморез остроконечный ТЕХНОНИКОЛЬ 4,8хL с анкерным элементом ТЕХНОНИКОЛЬ 8х45 - 5 ш
Герметик ТехноНИКОЛЬ ПУ 600 мл - 0,25шт</t>
  </si>
  <si>
    <t xml:space="preserve">Расход материала на 1п.м.: 
ТЕХНОЛАЙТ ЭКСТРА (в верхних гофрах) ((0,4м*0,06м)*1п.м./2=0,012 м3) - 0,012м3; 
Минеральная вата легких марок   ((0,275м*0,12м+0,15м*0,06м)*1п.м.=0,042 м3) - 0,042м3. </t>
  </si>
  <si>
    <t>Праймер битумный</t>
  </si>
  <si>
    <t>ПВХ металл LOGICROOF 
Жидкий ПВХ ТН серый 1л с флаконом-апликатором  (расход 0,25л/м)</t>
  </si>
  <si>
    <t>Развертка листа 705 мм. S=0,705м*92,39п.м.=65,13 м2
Костыль (575*х110), сталь оц. с полимер. Покрытием t=0,7 мм-185*2=370шт</t>
  </si>
  <si>
    <t>V=0,0206м2*92,39п.м.=1,9 м3. Толщина уклоноотразующего слоя переменная = 0-122* мм, в расчете примем среднюю толщину - 61*мм. Ширина поверхности =345 мм. Общ.V=0,345мм*0,061мм*92,39м=1,9м3. S=92,39п.м.*0,345м= 31,87м2</t>
  </si>
  <si>
    <t>На одну металлическую лестницу Лм-1: Уголок 75х6 по ГОСТ 8509-93 L=3,655м, 2 шт, m=50,37 кг; Стержень ∅20 по ГОСТ Р 52544-2006 L=0,72м, 7 шт, m=12,43 кг;  Уголок 75х6 по ГОСТ 8509-93 L=0,51 м, 2 шт, m=7,03 кг;  Уголок 75х6 по ГОСТ 8509-93 L=0,589 м, 2 шт, m=8,12 кг;  Полоса 130х9х390 (фасрнка) по ГОСТ 103—2006, 1 шт, m=3,58 кг; Полоса 130х9х404 (фасрнка) по ГОСТ 103—2006, 1 шт, m=3,71 кг; Лист 235х10х235 по ГОСТ 19903-2015, 2 шт, m=8,67 кг; Труба 80х6 по ГОСТ 30245-2003 L=0,267 м, 2 шт, m=7,05 кг; Лист 125х8х115 по ГОСТ 19903-2015 2 шт, m=1,81 кг; Уголок 50х4 по ГОСТ 8509-93 L=1,02м, 2 шт,  m=6,22кг; Полоса 40х4 (ограждение) по ГОСТ 103—2006 L=1,365 м, 4 шт, m=6,86 кг; Швеллер 10 по ГОСТ 8240-89 L=1,305 м, 2 шт, m=22,42 кг;  Уголок 50х4 по ГОСТ 8509-93 L=0,658 м, 2 шт, m=4,01 кг; Стержень диам.14 по ГОСТ Р 52544-2006 L=0,72м, 22 шт, m=19,13 кг. Общ. масса на одну Лм-1=161,41 кг. На 4 лестницы Лм-1: 161,41кг*4шт =645,64 кг.</t>
  </si>
  <si>
    <t>Труба 60х40х4 по ГОСТ 30245-2003 L=18,85 п.м., масса 1 п.м.=5,45 кг, общ. Масса 102,73 кг</t>
  </si>
  <si>
    <t>На 8 торцевых свеса кровли V=0,0249м2*86,8м=2,1613м3, S=(0,301м+0,083)*86,8м=33,33м2, t≈60 мм (переменная)</t>
  </si>
  <si>
    <t>Паробарьер СА500 (Технониколь)-0,92м2 (расход 1,18)
LOGICROOF V-SR  (Технониколь)-5,08 (расход 1,18)
LOGICROOF V-RP (Технониколь)-0,58 (расход 1,11)
Пена монтажная ТЕХНОНИКОЛЬ PROFESSIONAL 70-0,01м3
Герметик ТехноНИКОЛЬ ПУ 600 мл-2шт
Обжимной металлический хомут-8шт
Подкладка паронитовая (толщиной не менее 5мм) 235*ммх235*мм (Технониколь)-8шт/0,44м2</t>
  </si>
  <si>
    <t>S=56,3*0,416+192,9*0,208+1245,8*0,156+1245,8*0,25+622,9*0,178 =680,215 м2. 
L=56,3+192,9+1245,8+1245,8+622,9=3363,6 п.м.</t>
  </si>
  <si>
    <t>S=20*0,142+6,64*0,162+630,4*0,5+86,8*0,348+282,2*0,275=426,93 м2. L=20+6,64+630,4+86,8+282,2=1026,04 п.м.</t>
  </si>
  <si>
    <t>Жесть ламинированная ПВХ Bauder (Баудер) FB12 1,2мм, b=400мм, l=2000мм. L=717,2*1,02 =731,5 п.м.
731,5*0,4=292,6м2</t>
  </si>
  <si>
    <t>На одну металлическую лестницу Лм-2: Уголок 75х6 по ГОСТ 8509-93 m=85,50 кг; Уголок 50х4 по ГОСТ 8509-93 m=7,05 кг; Стержень ∅20 по ГОСТ Р 52544-2006 m=14,20 кг; Труба 80х6 по ГОСТ 30245-2003 m=21,0 кг;  Полоса 105х8х105 (фасрнка) по ГОСТ 103—2006 m=4,15кг; Лист 170х10х190 по ГОСТ 19903-2015 m=10,14 кг; Лист 170х10 по ГОСТ 19903-2015 m=4,54 кг; Полоса 40х4 (ограждение) по ГОСТ 103—2006 m=5,22 кг; Лист ПВ 508х710х890 по ГОСТ 8706-78 S=0,632 м2, m=13,21 кг. Общая масса одной металлической лестницы Лм-2 = 165,02 кг. Общая масса на 5 лестниц Лм-2: 165,02кг*5шт=825,1 кг
Элементы крепления: гайи, шайбы-2,64кг
Крепление Лм-2: G M GVZ 8.8 Анкерная шпилька fischer резьбовая оц. сталь, M12x1000 мм-20шт
Клеевой состав Магификс Е500 производителя Росатом-0,5л
Герметик ТехноНИКОЛЬ ПУ 600 мл (Технониколь)-2,5шт
Пластиковый элемент (подкладка размером 265ммх150ммх35мм(h))-10шт (14,625кг)
Подкладки из ЭПДМ мембраны (190*х170*) (Технониколь)-30шт/0,97м2</t>
  </si>
  <si>
    <t>В одном фонаре 2 ходовые площадки. Всего фонарей 4 шт. Элементы ходовых площадок на один фонарь: Уголок 50х6 (стойка) по ГОСТ 8509-93 m=2271,65 кг; Уголок 125х80х8 по ГОСТ 8510-86 m=609,38 кг; Болт М12 по ГОСТ 7798-70 m=45,54 кг; Гайка М12 по ГОСТ 5915-70 m= 13,16 кг; Шайба А.12 по ГОСТ 11371-78 m=10,53 кг; Полоса 40х4 (ограждение) по ГОСТ 103—2006 m=1175,62 кг; Уголок 50х6 (распорка огр.) по ГОСТ 8509-93 m=164,96 кг; Уголок 50х5 (перила) по ГОСТ 8509-93 m=1176,24 кг; Лист ПВ 508х600х6000 по  ГОСТ 8706—78 m=1956,24 кг. Общая масса площадок на один фонарь = 7423,33 кг. Общ. масса на 4 фонаря: 7423,33 кг*4 шт=29693,3 кг= 29,693 т</t>
  </si>
  <si>
    <t>В одном фонаре 2 ходовые площадки. Всего фонарей 4 шт. S=414,05 м2* 4 шт=1656,2 м2</t>
  </si>
  <si>
    <t>Масса одной сетки СП-2: 20,291 кг. Всего 312 сеток СП-2. Общая масса сеток: 20,291кг*312шт =6330,7 кг= 6,331т</t>
  </si>
  <si>
    <t>Всего устанавливиются 312 сеток СП-2. Пруток круг 10-В ГОСТ2590-88: 95,0кг+89,23 кг+175,56 кг = 359,79 кг. Полоса 60х8: 821,76 кг. Общая масса: 359,79+821,76=1181,55 кг= 1,182т</t>
  </si>
  <si>
    <t>Толщина 2 слоев рубероида - 6 мм. S=(7,868+7,944)*12+(10,893+10,945)*(3,855+3)+(8,776+8,721)*(6*3)+(10,936+10,881)*(24+12+24+18,875)=2375,2 м2. S двух слоев= 2375,2м2*2=4750,4 м2. Нагрузка на 1м2 от 1 слоя рубероида - 2 кг/м2 (или 0,002т/м2). Общая масса: (2375,2м2*2кг/м2) *2слоя=9500,8кг=9,501 т</t>
  </si>
  <si>
    <t>Толщина 1 слоя стеклоизола - 5 мм. Нагрузка на 1м2 от 1 слоя рубероида - 2,5 кг/м2. Общ. масса: 2375,2м2*2,5кг/м2=5938,01кг=5,938 т</t>
  </si>
  <si>
    <t>Толщина стяжки - 25 мм. Ц.п. стяжка армирована сеткой яч. 55х45х3мм, масса 1м2 сетки 2,42 кг. Общ. масса сетки: 2375,2м2*2,42кг/м2/1000=5,75 т. Масса 1м3 ц.п. стяжки 1800кг/м3. Общ. масса стяжки: 59,38*1800/1000=106,88т. Общ. Масса: 106,88+5,75=112,63т</t>
  </si>
  <si>
    <t xml:space="preserve">Толщина слоя пенопласта - 55 мм </t>
  </si>
  <si>
    <t>S=(8,776+8,721)*(6*3)+(10,936+10,881)*(24+12+24+18,875)=2035,8м2</t>
  </si>
  <si>
    <t>S=(7,868+7,944)*12+(10,893+10,945)*(3,855+3)=339,4</t>
  </si>
  <si>
    <t>Толщина монолитного участка 200 мм. S=18,855*(0,5+0,55)=19,8 м2.</t>
  </si>
  <si>
    <t>Общ. длина: (116,67*2+21,525*2)=276,39 п.м. Развертка отлива из оц.стали: (0,45+0,11*2+0,02*2)=0,71 м. Общ. S стальных отливов =276,39п.м.*0,71м=196,24 м2</t>
  </si>
  <si>
    <t>Суммарная толщина слоев рубероида - 10 мм. Общ. Длина отделки парапета: 116,67*2+21,525*2 =276,39п.м. Развертка листа рубероида: 0,4+0,41+0,171=0,981м. Общ. S 1 слоя: 276,39*0,981=271,14 м2. Площадь 2 слоев: 271,14*2=524,28м2. Нагрузка на 1м2 от 1 слоя рубероида - 2 кг/м2. Общая масса: (271,14м2*2кг/м2)*2слоя=1084,55кг=1,085 т</t>
  </si>
  <si>
    <t>Воронка - стальная труба ∅110 мм 2 шт</t>
  </si>
  <si>
    <t>Воронка - стальная труба ∅110 мм 3 шт</t>
  </si>
  <si>
    <t>S покрытия 1 фонаря: (2,771*2)*6,426=35,61м2. Общая S на 3 фонаря: 35,61м2*3=106,84 м2</t>
  </si>
  <si>
    <t>S одного торца 7,336 м2. Всего на 3 фонаря 6 торцов. Sобщ.: (7,336*2)*3=44,02 м2</t>
  </si>
  <si>
    <t>Высота обшивки 580 мм. Общ. S бортовой подоконной обшивки на 1 фонарь: S=(0,58*6)*2=6,96 м2. Общ. S на 3 фонаря: 6,69м2*3=20,88 м2</t>
  </si>
  <si>
    <t>Суммарная толщина слоев рубероида - 10 мм. S 1 слоя на 3 фонаря: ((0,25*6)*2)*3=9м2. Общ. S двух слоев: 9м2*2=18,0м2. Нагрузка на 1м2 от 1 слоя рубероида - 2 кг/м2. Общая масса: (9м2*2кг/м2) *2слоя=36 кг</t>
  </si>
  <si>
    <t xml:space="preserve">S листов на один фонарь: (1,13*6)*2=13,56 м2. S листов на три фонаря: 13,56м2*3=40,68 м2      </t>
  </si>
  <si>
    <t>Общ. длина досок на один фонарь: (13+14)*6+(2,306+2,318)*39=342,3 п.м. Общ. Длина досок на два фонаря: 342,3п.м.*2=684,7 п.м. Общ. V досок: (0,15*0,03)*684,7п.м.=3,08 м3. Общ. вес: 3,08м3*500кг/м3=1540,51 кг=1,541 т. 
Общ.S на два фонаря: ((2,306м+2,318м)*5,8м)*2шт=53,6м2</t>
  </si>
  <si>
    <t>S покрытия 1 фонаря: (3,322*2)*12,517=83,16 м2</t>
  </si>
  <si>
    <t>Толщина слоя пенопласта - 55 мм. S=83,16 м2</t>
  </si>
  <si>
    <t>Толщина стяжки - 25 мм. Ц.п. стяжка армирована сеткой яч. 55х45х3мм, масса 1м2 сетки 2,42 кг. Общ. масса сетки: 83,16м2*2,42кг/м2=201,25 кг. Масса 1м3 ц.п. стяжки 1800кг/м3. Общ. масса стяжки: 2,08*1800=3742,33 кг. Общ. масса: 3742,33кг+201,25 кг=3943,59кг=3,944 т</t>
  </si>
  <si>
    <t>Толщина 1 слоя стеклоизола - 5 мм. Нагрузка на 1м2 от 1 слоя стеклоизола - 2,5 кг/м2. Общ. масса: 83,16м2*2,5кг/м2=207,91 кг</t>
  </si>
  <si>
    <t>Толщина 2 слоев рубероида - 6 мм. S одного слоя 83,16 м2. S двух слоев= 83,16м2*2=166,33 м2. Нагрузка на 1м2 от 1 слоя рубероида - 2 кг/м2. Общая масса: (83,16м2*2кг/м2)*2слоя=332,65 кг</t>
  </si>
  <si>
    <t>Площадь одного торца 14,379 м2. Всего торцов 2 шт, Общ. S двух торцов: 14,379*2=28,76 м2. Общая толщина стены торца 100 мм. Масса одного торца светоаэрац. фонаря: дерев.доска=(14,379м2*0,06м)*500кг/м3=431,37 кг, штукатурка=(14,379м2*0,035м)*1500кг/м3=754,90 кг, общ.масса торца= 754,9кг+431,37кг=1186,27кг. Общая масса двух торцов: 1186,27кг*2=2372,54 кг. Итого получается масса 1м2 торца=1186,27кг/14,379м2=82,5 кг/м2</t>
  </si>
  <si>
    <t>Размер плиты 800х600(h)х70 мм. На одну плиту: V=0,048 м3, масса=47,4кг</t>
  </si>
  <si>
    <t>Суммарная толщина слоев рубероида - 10 мм. S одного слоя: 0,415*(12,517*2+3,025*2+3,002*2)=15,39 м2. Общ. S двух слоев: 15,39м2*2=30,78 м2. Нагрузка на 1м2 от 1 слоя рубероида - 2 кг/м2. Общая масса: (15,39м2*2кг/м2)*2слоя=61,57 кг</t>
  </si>
  <si>
    <t>Общ. S: (0,45м*12)*2 стороны=10,8 м2. Общ. V: 10,8м2*0,025 м=0,27 м3. Общ. вес: 0,27м3*500кг/м3=135 кг</t>
  </si>
  <si>
    <t>Ширина стальных фартуков/отливов 0,3м. Общ. S листов: (12,517*2)*0,3=7,51 м2</t>
  </si>
  <si>
    <t>Остекление выполено в один ряд, высота листа 1,51м; общая длина остекления = 12 п.м.*2 стороны=24 п.м.; толщина листа поликарбоната 4 мм; Общ. S: 1,51м*24м=36,24 м2. Удельный вес - 0,8кг/м2</t>
  </si>
  <si>
    <t>Т-образный профиль 35х35х4 марки ≈ AISI 304, m 1п.м. = 2,07 кг/м, L=(1,51м*21шт)*2 стороны=63,42 м, m=63,42 м*2,07кг/м=131,28 кг. Уголок 63х6 по ГОСТ 8509-57, L=12*4=48м, m=5,72кг/м*48м=274,56 кг. Уголок 100х12 по ГОСТ 8509-57, L=12*4=48м, m=17,9кг/м*48м=859,2 кг. Уголок 32х4 по ГОСТ 8509-57, L=12*2=24м, m=1,91кг/м*24м=45,84 кг. Общ. масса: 131,28кг+274,56кг+859,2кг+ 45,84кг=1310,88кг =1,311т</t>
  </si>
  <si>
    <t>Длина одного прогона 6 м. Общая длина прогонов: 6п.м. х 5шт = 30 п.м. Масса погонного метра 22,6 кг/п.м., общая масса: 30п.м. х 22,6кг/п.м. = 678,0 кг</t>
  </si>
  <si>
    <t>Длина одного прогона 3 м. Масса погонного метра 22,6 кг/п.м., общая масса: 3п.м. х 22,6кг/п.м. = 67,8 кг</t>
  </si>
  <si>
    <t>Длина одного прогона 1 м. Общая длина прогонов: 1п.м. х 4шт = 4 п.м. Масса погонного метра 22,6 кг/п.м., общая масса: 4п.м. х 22,6кг/п.м. = 90,4 кг</t>
  </si>
  <si>
    <t>Длина одного прогона 6 м. Общая длина прогонов: 6п.м. х 32шт = 192 п.м. Масса погонного метра 24,0 кг/п.м., общая масса: 192п.м. х 24кг/п.м. = 4608 кг = 4,608 т</t>
  </si>
  <si>
    <t xml:space="preserve">Длина одного прогона 1 м. Общая длина прогонов: 1п.м. х 2шт = 2 п.м. Масса погонного метра 24,0 кг/п.м., общая масса: 2п.м. х 24кг/п.м.=48 кг </t>
  </si>
  <si>
    <t>Габарит одной пластины: 485х132х10 мм. Масса одной опорн. пластины: 0,485*0,132*0,01*7850 =5,026 кг. Общ. масса: 5,026кг*66шт=331,69 кг</t>
  </si>
  <si>
    <t>Общ. длина дем.-ых элементов: 2,026+1,974+1,974=5,97 м. Общ. масса: 5,97м х 1,21кг/м= 7,23 кг</t>
  </si>
  <si>
    <t>Общ. длина дем.-ых элементов: (21,78м*4шт)+(8,11м*20шт)+(7,8м*20шт)+(21,91м*8шт)=580,6 п.м. Масса погонного метра 4,84 кг/п.м, общая масса: 580,6п.м. х 4,84кг/п.м.=2810,1 кг = 2,810 т</t>
  </si>
  <si>
    <t xml:space="preserve">Длина одного прогона 6 м. Общая длина прогонов: 6п.м. х 6шт = 36 п.м. Масса погонного метра 14,2 кг/п.м., общая масса: 36п.м. х14,2кг/п.м.=511,2 кг </t>
  </si>
  <si>
    <t>Длина элементов ВП одной фермы ФФ-4 - 6,012 п.м., на одни фонарь - 12,024 п.м. Общая длина на 3шт ФФ-4: 12,024п.м. х 3шт = 36,072 п.м. Масса погонного метра 10,4 кг/п.м., общая масса: 36,072п.м. х 10,4кг/п.м. = 375,15 кг</t>
  </si>
  <si>
    <t>Длина уголка 40х4 на одну ферму ФФ-4 - 10,36 п.м; общая длина на 3шт ФФ-4: 10,36п.м. х 3шт = 31,08 п.м., масса погонного метра 2,42 кг/п.м., общая масса: 31,08п.м. х 2,42кг/п.м. =75,214 кг. Длина уголка 45х5 на одну ферму ФФ-4 - 14,824 п.м; общая длина на 3шт ФФ-4: 14,824п.м. х 3шт = 44,47 п.м., масса погонного метра 3,37 кг/п.м., общая масса: 44,47п.м. х 3,37кг/п.м. =149,871 кг. Длина уголка 90х8 на одну ферму ФФ-4 - 24 п.м; общая длина на 3шт ФФ-4: 24п.м. х 3шт = 72 п.м., масса погонного метра 10,93 кг/п.м., общая масса: 72п.м. х 10,93кг/п.м. =786,96 кг.</t>
  </si>
  <si>
    <t>Длина уголка 40х4 на одну ВС-17 - 26,83 п.м; общая длина на 6 шт СВ-17: 26,83п.м. х 6шт = 160,98 п.м., масса погонного метра 2,42 кг/п.м., общая масса: 160,98п.м. х 2,42кг/п.м. =389,57 кг.</t>
  </si>
  <si>
    <t xml:space="preserve">Длина одного прогона 5,99 м, общая длина прогонов: 5,99м*5шт= 29,95 м. Масса одного прогона 125,79 кг, общая масса: 125,79кг х 5шт =628,95 кг. Принята сталь марки С245 по ГОСТ 27772-2021. Общ. масса с учетом сварных швов (1%), на уточнение размеров (3%) = 628,95кг*1,04=654,11 кг = 0,654т
Болт М20-6дх65.58 (S30) по ГОСТ 7798-70 - 44 шт, общ.масса 10,05 кг; Гайка М20-6Н.5 (S30) по ГОСТ 5915-70 - 88 шт, общ.масса 6,29 кг; Шайба А.20.01.08кп.016 по ГОСТ 11371-78 - 88 шт, общ.масса 1,51 кг. Общая масса= 17,85 кг.
</t>
  </si>
  <si>
    <t xml:space="preserve">Длина одного прогона 1,015 м, общая длина прогонов: 1,015м*4шт= 4,06 м. Масса одного прогона 21,315 кг, общая масса: 21,315кг х 4шт =85,26 кг. Принята сталь марки С245 по ГОСТ 27772-2021. Общ. масса с учетом сварных швов (1%), на уточнение размеров (3%) = 85,26кг*1,04=88,67 кг = 0,0894т
</t>
  </si>
  <si>
    <t>Длина одного прогона 2,99 м, общая длина прогонов: 2,99м*1шт= 2,99 м. Масса одного прогона 62,79 кг. Принята сталь марки С245 по ГОСТ 27772-2021. Общ. масса с учетом сварных швов (1%), на уточнение размеров (3%) = 62,79кг*1,04=65,30 кг = 0,065т</t>
  </si>
  <si>
    <t>Уголок 160х100х10 по ГОСТ 8510-86 - 11 шт, общ.масса 58,95 кг. Общая масса= 58,95 кг.</t>
  </si>
  <si>
    <t>Vодного гнезда =0,4м*0,3м*0,15м=0,018м3, Общ.V гнезд: 0,018м3 х 4шт =0,072 м3</t>
  </si>
  <si>
    <t>Vодной подушки =0,3м*0,15м*0,15м=0,007 м3, Общ.V: 0,007м3 х 4шт =0,027 м3</t>
  </si>
  <si>
    <t>Общий V≈0,072-0,027=0,045 м3 на заделку четырех отверстий (гнезд). Из них V раствора ≈ 0,045м3*0,15=0,007 м3 - обетонирование узлов (бетон В15)</t>
  </si>
  <si>
    <t>Общий V≈0,072-0,027=0,045 м3 на заделку четырех отверстий (гнезд). Из них V кирп.пладки ≈ 0,045м3*0,85=0,038 м3 - заложение кирпичом (марка не менее М75)</t>
  </si>
  <si>
    <t>Длина одного прогона 5,97 м, общая длина прогонов: 5,97м*32шт= 191,04 м. Масса одного прогона 143,28 кг, общая масса: 143,28кг х 32 шт =4584,96 кг= 4,585 т. Принята сталь марки С245 по ГОСТ 27772-2021. Общ. масса с учетом сварных швов (1%), на уточнение размеров (3%) = 4584,96кг*1,04=4768,36 кг = 4,768т
Болт М20-6дх70.58 (S30) по ГОСТ 7798-70 - 132 шт, общ.масса 31,77 кг; Гайка М20-6Н.5 (S30) по ГОСТ 5915-70 - 264 шт, общ.масса 18,86 кг; Шайба А.20.01.08кп.016 по ГОСТ 11371-78 - 264 шт, общ.масса 4,53 кг. Общая масса= 55,16 кг.</t>
  </si>
  <si>
    <t>Длина одного прогона 1,005 м, общая длина прогонов: 1,005м*2шт= 2,01 м. Масса одного прогона 24,12 кг, общая масса: 24,12кг х 2 шт = 48,24 кг. Принята сталь марки С245 по ГОСТ 27772-2021. Общ. масса с учетом сварных швов (1%), на уточнение размеров (3%) = 48,24кг*1,04=50,17 кг</t>
  </si>
  <si>
    <t>Лист 165х12х485 мм (оп.слоик) по ГОСТ 19903-2015 -66 шт, общ.масса 497,53 кг; Лист 145х8х300 мм (фасонка) по ГОСТ 19903-2015 -66 шт, общ.масса 180,3 кг; Лист 165х10х250 мм (ребро) по ГОСТ 19903-2015 -132 шт, общ.масса 427,43 кг. Общая масса: 497,53+180,3+427,43 = 1105,26 кг. Общ. масса с учетом сварных швов (1%), на уточнение размеров (3%) = 1105,26кг*1,04=1149,47 кг = 1,149 т</t>
  </si>
  <si>
    <t>Полоса 130х10х150 мм (клин) по ГОСТ 103-2006 - 2 шт, общ.масса 3,1 кг. Принята сталь марки С245 по ГОСТ 27772-2021
Общ. масса с учетом сварных швов (1%), на уточнение размеров (3%) = 3,1кг*1,04=3,224 кг</t>
  </si>
  <si>
    <t>Vодного гнезда =0,4м*0,3м*0,15м=0,018м3, Общ.V гнезд: 0,018м3 х 2шт =0,035 м3</t>
  </si>
  <si>
    <t>Vодной подушки =0,3м*0,15м*0,15м=0,007 м3, Общ.V: 0,007м3 х 2шт =0,014 м3</t>
  </si>
  <si>
    <t>Общий V≈0,035-0,014=0,022 м3 на заделку двух отверстий (гнезд). Из них V раствора ≈ 0,022м3*0,15=0,0032 м3 - обетонирование узлов (бетон В15)</t>
  </si>
  <si>
    <t>Общий V≈0,035-0,014=0,022 м3 на заделку двух отверстий (гнезд). Из них V кирп.пладки ≈ 0,022м3*0,85=0,0184 м3 - заложение кирпичом (марка не менее М75)</t>
  </si>
  <si>
    <t>Длина одного прогона 6,114 м, общая длина прогонов: 6,114м*6шт= 36,684 м. Масса одного прогона 86,819 кг, общая масса: 86,819кг х 6шт =520,91 кг. Принята сталь марки С245 по ГОСТ 27772-2021. Общ. масса с учетом сварных швов (1%), на уточнение размеров (3%) = 520,91кг*1,04=541,75 кг</t>
  </si>
  <si>
    <t>Длина одной затяжки 2,09 м, общ.масса 7,59 кг
Гайка М12-6Н.5 по ГОСТ 5915-70 - 12 шт, общ.масса 0,188 кг; Шайба А.12.01.08кп.016 по ГОСТ 11371-78 - 6 шт, общ.масса 0,038 кг.
Итого 0,226кг</t>
  </si>
  <si>
    <t>V=(4,421м2*0,38м)+(3,649м2*0,38м)-(0,403м2*0,38м)=2,91 м3</t>
  </si>
  <si>
    <t>Плита 700х450х60 мм -1 шт, Vплиты = 0,019 м3, плита 500х450х60 мм - 4 шт, Vплиты = 0,014 м3, на 4 плиты V=0,054 м3</t>
  </si>
  <si>
    <t>Всего отверстий под водоотвод в кирпичной кладке парапетов в осях А/1-А'/Ях2 - 5 шт. S одного отлива: 1,645мх(0,7м+0,15м+0,15м)=1,65 м2. Общая площадь оцинкованной стали на 5 отливов: 1,65м2х5=8,2 м2</t>
  </si>
  <si>
    <t>V=(4,421м2*0,38м)+(3,649м2*0,38м)=3,07 м3
Керамический кирпич марки М125 (аналогичной существующей кладки)</t>
  </si>
  <si>
    <t>Бетон  В20</t>
  </si>
  <si>
    <t>Арматура ∅8 А500 по ГОСТ Р 52544-2006, общ. Длина стержней - 40,78 п.м., масса п.м. - 0,395 кг, общ. Масса 16,11 кг</t>
  </si>
  <si>
    <t>Керамический кирпич марки М125 (аналогичной существующей кладки), 40 шт</t>
  </si>
  <si>
    <t>Всего отверстий под водоотвод в кирпичной кладке парапетов в осях А/1-А'/Ях2 - 5 шт. V=0,23мх0,7мх0,38мх 5отв.= 0,31м3</t>
  </si>
  <si>
    <t>Общая S оштукатуривания 167,5* м2. V=167,5м2*0,025м=4,19м3</t>
  </si>
  <si>
    <t>V≈(0,025м*0,025м)/2*22,03м=0,0069м3=6,9л;  6,9л/0,6л=11,5 шт ≈ 12 шт</t>
  </si>
  <si>
    <t>Толщина уклонообразующего слоя переменная = 0-102* мм, в расчете примем среднюю толщину - 51*мм. 
Ширина поверхности =300 мм. 
Общ.V=0,3мм*0,051мм*22,03м=0,3м3</t>
  </si>
  <si>
    <t>Установка шпренгелей №1 - 2шт: Уголок 63х5 (шпренгель) по  ГОСТ 8509-93 - 4,116 п.м, общ.масса 19,8 кг; Лист 230х8х400 мм (фасонка) по ГОСТ 19903-2015 - 2 шт,  общ.масса 11,56 кг; Полоса 100х8х252 (фасонка) по ГОСТ 103—2006 - 2 шт, общ.масса 3,17 кг; Полоса 50х8х85 (сухарик) по ГОСТ 103—2006 - 2 шт, общ.масса 0,53 кг. Установка шпренгелей №2 - 6 шт: Уголок 63х5 (шпренгель) по  ГОСТ 8509-93 - 13,884 п.м, общ.масса 66,78 кг; Лист 245х8х400 мм (фасонка) по ГОСТ 19903-2015 - 6 шт,  общ.масса 36,93 кг; Полоса 100х8х255 (фасонка) по ГОСТ 103—2006 - 6 шт, общ.масса 9,61 кг; Полоса 50х8х85 (сухарик) по ГОСТ 103—2006 - 6 шт, общ.масса 1,6 кг. Усиление УС-1: Полоса 100х10 по ГОСТ 103—2006 - 6,6 п.м.,  общ.масса 51,81 кг. Усиление УС-2: Полоса 110х6 по ГОСТ 103—2006 - 20,048 п.м.,  общ.масса 103,87 кг. Итого общ.масса=305,65 кг. Принята сталь марки С245 по ГОСТ 27772-2021. Общ. масса = 305,66 кг. Общ. масса с учетом сварных швов (1%), на уточнение размеров (3%) = 305,66кг*1,04=317,89 кг</t>
  </si>
  <si>
    <t>Усиление УС-3: Уголок 56х5 по ГОСТ 8509-93 - 13,914 п.м, общ.масса 59,13 кг; Полоса 50х8х75 (сухарик) по ГОСТ 103—2006 - 24 шт, общ.масса 5,65 кг. Принята сталь марки С245 по ГОСТ 27772-2021. Общ. масса = 64,78 кг. 
Общ. масса с учетом сварных швов (1%), на уточнение размеров (3%) = 64,78кг*1,04=67,37 кг</t>
  </si>
  <si>
    <t>Усиление УС-4: Полоса 120х8 по ГОСТ 103—2006 - 228,21 п.м, общ.масса 1719,79 кг. Усиление УС-5: Полоса 120х8 по ГОСТ 103—2006 - 62,804 п.м, общ.масса 473,29 кг. Усиление УС-6: Полоса 80х5 по ГОСТ 103—2006 - 29,388 п.м, общ.масса 92,28 кг. Установка шпренгелей №3 - 11 шт: Уголок 63х5 (шпренгель) по ГОСТ 8509-93 - 32,23 п.м, общ.масса 155,03 кг; Лист 255х8х344 мм (фасонка) по ГОСТ 19903-2015 - 11 шт, общ.масса 60,6 кг; Полоса 100х8х218 мм (фасонка) по ГОСТ 103—2006 - 11 шт, общ.масса 15,06 кг; Полоса 50х8х85 мм (сухарик) по ГОСТ 103—2006 - 22 шт,  общ.масса 5,87 кг. Итого общ.масса = 2521,92 кг. Принята сталь марки С245 по ГОСТ 27772-2021.  
Общ. масса с учетом сварных швов (1%), на уточнение размеров (3%) = 2521,92кг*1,04=2622,80 кг = 2,623 т</t>
  </si>
  <si>
    <t>Усиление УС-7: Полоса 160х8 по ГОСТ 103—2006 - 23,472 п.м., общ.масса 235,85 кг. Принята сталь марки С245 по ГОСТ 27772-2021. Общ. масса = 235,85 кг. 
Общ. масса с учетом сварных швов (1%), на уточнение размеров (3%) = 235,85кг*1,04= 245,28 кг</t>
  </si>
  <si>
    <t>Уголок 63х6 по ГОСТ 8509-93 - 26,756 п.м., общ.масса 153,04 кг; Полоса 50х8х85 (сухарик) по ГОСТ 103-2006 - 40 шт, общ.масса 10,68 кг. Принята сталь марки С245 по ГОСТ 27772-2021. Общ. масса = 163,72 кг. Общ. масса с учетом сварных швов (1%), на уточнение размеров (3%) = 163,72кг*1,04= 170,27 кг</t>
  </si>
  <si>
    <t>Уголок 63х6 по ГОСТ 8509-93 - 79,044 п.м., общ.масса 452,13 кг; Полоса 50х8х85 (сухарик) по ГОСТ 103-2006 - 112 шт, общ.масса 29,89 кг. Принята сталь марки С245 по ГОСТ 27772-2021. Общ. масса = 482,02 кг. Общ. масса с учетом сварных швов (1%), на уточнение размеров (3%) = 482,02кг*1,04= 501,30 кг</t>
  </si>
  <si>
    <t>Длина одной стойки 2,217 м, общ. длина уголков: 2,217п.м.*2 уголка=4,434 п.м. Масса погонного метра 5,72 кг/п.м., общая масса уголков: 4,434п.м.х5,72кг/п.м. = 25,36 кг. Масса фасонки: (0,12*0,251*0,01)*7850=2,36 кг. Масса сухариков: (0,05*0,085*0,01*7850)*3 шт= 1 кг. 
Общая масса: 25,36 кг+ 2,36 кг+1кг =28,73 кг</t>
  </si>
  <si>
    <t>Уголок 63х6 по ГОСТ 8509—93 - 2 шт, длина одной стойки (одного уголка) 2,217 п.м., общ.масса 25,362 кг; Лист 225х10х306 (фасонка) по ГОСТ 19903-2015 - 1 шт, общ.масса 5,405 кг; Полоса 50х10х85 (сухарик) по ГОСТ 103—2006 - 3 шт, общ.масса 1,001 кг. Принята сталь марки С245 по ГОСТ 27772-2021. 
Общ. масса = 31,77 кг. 
Общ. масса с учетом сварных швов (1%), на уточнение размеров (3%) = 31,77кг*1,04= 33,04 кг</t>
  </si>
  <si>
    <t>Уголок 63х6 по ГОСТ 8509-93 - 36 п.м., общ.масса 205,9 кг. Принята сталь марки С245 по ГОСТ 27772-2021
Общ. масса с учетом сварных швов (1%), на уточнение размеров (3%) = 205,9кг*1,04=214,14 кг 
Шпилька резьбовая fischer GM GVZ 8.8.метровая для химического анкера ОЦ, M12x1000 мм (или аналог) на спец. клеевом составе -13 шт: 97 шпилек (отрезков) *0,125 м=12,125 п.м=13 шпилек; 
Гайка М12 по ГОСТ 5915-70 - 97 шт, общ.масса 1,52 кг; Шайба М12 по ГОСТ 11371-78 - 97 шт, общ.масса 0,61 кг;
Клеевой состав Магификс Е500 производителя Росатом (или аналог), V=0,0004м3=0,4л</t>
  </si>
  <si>
    <t>Длина одной распорки 5,9 м. Общая длина распорок: 5,9п.м.х2шт= 11,8 п.м., общая длина уголка: 11,8*2=23,6 п.м. Масса погонного метра 6,7 кг/п.м., общая масса: 23,6п.м.х 6,7кг/п.м. = 158,12 кг</t>
  </si>
  <si>
    <t>Длина одной распорки 5,8 м. Общая длина распорок: 5,8п.м.х11шт=63,8 п.м. Масса погонного метра 4,25 кг/п.м., общая масса: 63,8п.м.х4,25кг/п.м. = 271,2 кг</t>
  </si>
  <si>
    <t>Длина одной распорки 5,9 м. Общая длина распорок: 5,9п.м.х22шт=129,8 п.м., общая длина уголка: 129,8*2=259,6 п.м. Масса погонного метра 4,25 кг/п.м., общая масса: 259,6п.м.х4,25кг/п.м. = 1103,3 кг = 1,103 т</t>
  </si>
  <si>
    <t>Длина одной распорки 5,8 м. Общая длина распорок: 5,8п.м.х21шт=121,8 п.м., общая длина уголка: 121,8*2=243,6 п.м. Масса погонного метра 4,25 кг/п.м., общая масса: 243,6п.м.х4,25кг/п.м. = 1035,3 кг = 1,035 т</t>
  </si>
  <si>
    <t>Одна распорка состоит из: Труба 80х4 по ГОСТ 30245-2003 длиной 5,73 м, масса 52,83 кг; Полоса 100х5х45 мм (заглушка) по ГОСТ 103—2006 - 4 шт, общ.масса 0,71 кг; Лист 180х10х240 мм (фасонка) по ГОСТ 19903-2015 - 2 шт, общ.масса 6,78 кг; Лист 180х12х120 мм (фасонка) по ГОСТ 19903-2015 - 2 шт, общ.масса 4,07 кг. Общая масса одной распорки: 64,39 кг. Всего распорок - 4 шт. Общ.масса распорок: 4 шт х 64,39 кг= 257,56 кг. Принята сталь марки С245 по ГОСТ 27772-2021. 
Общ. масса с учетом сварных швов (1%), на уточнение размеров (3%) = 257,56кг*1,04=267,86 кг
Болт М20-6gх70.58(S30) по ГОСТ 7798-70 - 4 шт, общ.масса 0,96 кг; Гайка М20-6Н.5(S30) по ГОСТ 5915-70 - 8 шт, общ.масса 0,57 кг; Шайба А.20.01.08кп.016 по ГОСТ 11371-78 - 8 шт, общ.масса 0,14 кг. Общая масса= 1,67 кг*4шт=6,68кг.</t>
  </si>
  <si>
    <t>Одна распорка состоит из: Труба 80х4 по ГОСТ 30245-2003 длиной 5,835 м, масса 53,8 кг; Полоса 100х5х45 мм (заглушка) по ГОСТ 103—2006 - 4 шт, общ.масса 0,71 кг; Лист 220х10х210 мм (фасонка) по ГОСТ 19903-2015 - 2 шт, общ.масса 7,25 кг. Общая масса одной распорки: 61,76 кг. Всего распорок - 11 шт. Общ.масса распорок: 11 шт х 61,76 кг= 679,36 кг. Принята сталь марки С245 по ГОСТ 27772-2021. 
Общ. масса с учетом сварных швов (1%), на уточнение размеров (3%) = 679,36кг*1,04=706,53 кг
Болт М20-6gх65.58(S30) по ГОСТ 7798-70 - 4 шт, общ.масса 0,91 кг; Гайка М20-6Н.5(S30) по ГОСТ 5915-70 - 8 шт, общ.масса 0,57 кг; Шайба А.20.01.08кп.016 по ГОСТ 11371-78 - 8 шт, общ.масса 0,14 кг. Общая масса= 1,62 кг*11шт=17,82кг.</t>
  </si>
  <si>
    <t>Одна распорка состоит из: Труба 70х4 по ГОСТ 30245-2003 длиной 5,73 м, масса 45,67 кг; Полоса 100х5х45 мм (заглушка) по ГОСТ 103—2006 - 4 шт, общ.масса 0,71 кг; Лист 180х10х240 мм (фасонка) по ГОСТ 19903-2015 - 2 шт, общ.масса 6,78 кг; Лист 180х12х120 мм (фасонка) по ГОСТ 19903-2015 - 2 шт, общ.масса 4,07 кг. Общая масса одной распорки: 57,23 кг. Всего распорок - 22 шт. Общ.масса распорок: 22 шт х 57,23 кг= 1259,1 кг. Принята сталь марки С245 по ГОСТ 27772-2021. 
Общ. масса с учетом сварных швов (1%), на уточнение размеров (3%) = 1259,1кг*1,04=1309,46 кг =1,309т
Болт М20-6gх70.58(S30) по ГОСТ 7798-70 - 4 шт, общ.масса 0,96 кг; Гайка М20-6Н.5(S30) по ГОСТ 5915-70 - 8 шт, общ.масса 0,57 кг; Шайба А.20.01.08кп.016 по ГОСТ 11371-78 - 8 шт, общ.масса 0,14 кг. Общая масса= 1,67 кг*22шт=36,74кг.</t>
  </si>
  <si>
    <t>Одна распорка состоит из: Труба 80х4 по ГОСТ 30245-2003 длиной 5,71 м, масса 52,65 кг; Полоса 100х5х45 мм (заглушка) по ГОСТ 103—2006 - 4 шт, общ.масса 0,71 кг. Общая масса одной распорки: 53,33 кг. Всего распорок - 19 шт. Общ.масса распорок: 19 шт х 53,36 кг= 1013,8 кг. Принята сталь марки С245 по ГОСТ 27772-2021.  
Общ. масса с учетом сварных швов (1%), на уточнение размеров (3%) = 1013,8кг*1,04=1054,35 кг =1,054т</t>
  </si>
  <si>
    <t>Длина одного верхнего пояса 5,95 м. Общая длина верхних поясов: 5,95п.м.х3 связи = 17,9 п.м., общ. длина уголков: 17,9п.м.*2 уголка=35,7 п.м. Масса погонного метра 4,25 кг/п.м., общая масса: 35,7п.м.х4,25кг/п.м. = 151,73 кг</t>
  </si>
  <si>
    <t>Длина одного верхнего пояса 5,95 м. Общая длина нижних поясов: 5,95п.м.х2 связи = 11,9 п.м., общ. длина уголков: 11,9п.м.*2 уголка=23,8 п.м. Масса погонного метра 4,25 кг/п.м., общая масса: 23,8п.м.х4,25кг/п.м. = 101,15 кг</t>
  </si>
  <si>
    <t>Длина одного верхнего пояса 5,95 м. Общая длина уголков: 5,95 п.м.*2 уголка=11,9 п.м. Масса погонного метра 4,25 кг/п.м., общая масса: 11,9п.м.х4,25кг/п.м. = 50,58 кг</t>
  </si>
  <si>
    <t>Длина верхнего и нижнего поясов 6 м из двух уголков 56х5; общая длина уголков: 6 п.м.*4 уголка=24 п.м.; масса погонного метра 4,25 кг/п.м., общая масса: 24п.м.х4,25кг/п.м. = 102 кг. Длина одного раскоса 2,421 м из двух уголков 50х5; общая длина уголков: 2,421 п.м.*8 уголка=19,37 п.м.; масса погонного метра 3,77 кг/п.м., общая масса: 19,37п.м.х3,77кг/п.м. = 73,017 кг. Масса фасонок: (0,2*0,22*0,01*7850)*4шт+ (0,24*0,3*0,01*7850)*3шт=30,772 кг. Общая масса СВ-10: 102кг+73,017кг+30,772кг=205,79 кг</t>
  </si>
  <si>
    <t>На усиление одной СВ-1: Уголок 63х6 по ГОСТ 8509-93 - 12,0 п.м., общ.масса 68,64кг. Общ.масса на 6 СВ-1: 68,64кг*6шт = 411,84 кг. Принята сталь марки С245 по ГОСТ 27772-2021. 
Общ. масса с учетом сварных швов (1%), на уточнение размеров (3%) = 411,84кг*1,04= 428,31 кг</t>
  </si>
  <si>
    <t>На усиление одной СВ-9: Труба 80х4 по ГОСТ 30245-2003 - 1 шт, длина 5,87 м, масса 54,121 кг; Уголок 50х5 по ГОСТ 8509-93 - 8,82 п.м., масса 33,251 кг; Полоса 80х8х221 мм (фасонка) по ГОСТ 103—2006 - 2 шт, общ.масса 2,221 кг; Полоса 80х8х241 мм (фасонка) по ГОСТ 103—2006 - 2 шт, общ.масса 2,422 кг; Полоса 50х8х70 мм (сухарик) по ГОСТ 103—2006 - 6 шт, общ.масса 1,319 кг; Полоса 100х5х45 мм (заглушка) по по ГОСТ 103—2006 - 4 шт, общ.масса 0,707 кг. Общ.масса на усиление одной СВ-9: 94,04 кг. Общ.масса на 3 СВ-9: 94,04кг*3шт = 282,123 кг. Принята сталь марки С245 по ГОСТ 27772-2021. 
Общ. масса с учетом сварных швов (1%), на уточнение размеров (3%) = 282,123кг*1,04= 293,41 кг</t>
  </si>
  <si>
    <t>На усиление одной СВ-9: Уголок 56х5 по ГОСТ 8509-93 - 2 шт, общ.длина уголков 11,9 п.м., общ.масса 50,575 кг; Полоса 50х8х80 мм (сухарик) по ГОСТ 103—2006 - 6 шт, общ.масса 1,507 кг. Общ.масса на усиление одной СВ-9: 52,082 кг. Общ.масса на 2 СВ-9: 52,082кг*2шт = 104,164 кг. Принята сталь марки С245 по ГОСТ 27772-2021. 
Общ. масса с учетом сварных швов (1%), на уточнение размеров (3%) = 104,164кг*1,04= 108,33 кг</t>
  </si>
  <si>
    <t>На усиление одной СВ-10: Труба 80х4 по ГОСТ 30245-2003 - 1 шт, общ.масса 54,121 кг; Полоса 100х5х45 мм (заглушка) по ГОСТ 103—2006 - 4 шт, общ.масса 0,707 кг.  Общ.масса на усиление одной СВ-10: 54,828 кг. Принята сталь марки С245 по ГОСТ 27772-2021. Общ. масса с учетом сварных швов (1%), на уточнение размеров (3%) = 54,828кг*1,04= 57,02 кг</t>
  </si>
  <si>
    <t>На усиление одной СВ-10: Труба 80х4 по ГОСТ 30245-2003 - 1 шт, общ.масса 54,121 кг; Полоса 100х5х45 мм (заглушка) по ГОСТ 103—2006 - 4 шт, общ.масса 0,707 кг; Лист 230х10х200 по ГОСТ 19903—2015 - 2 шт, общ.масса 7,222 кг; Лист 220х10х300 мм по ГОСТ 19903—2015 - 1 шт, общ.масса 5,181 кг; Уголок 50х5 по ГОСТ 8509-93 - 18,11 п.м., общ.масса 68,267 кг; Полоса 50х10х80 мм (сухарик) по ГОСТ 103—2006 - 18 шт, общ.масса 5,652 кг; Уголок 56х5 по ГОСТ 8509-93 - 11,9 п.м., общ.масса 50,575 кг; Лист 180х10х200 мм по ГОСТ 19903—2015 - 2 шт, общ.масса 5,652 кг; Лист 210х10х250 мм по ГОСТ 19903—2015 - 2 шт, общ.масса 8,243 кг. Общ.масса на усиление одной СВ-10: 205,62 кг. Принята сталь марки С245 по ГОСТ 27772-2021. 
Общ. масса с учетом сварных швов (1%), на уточнение размеров (3%) = 205,62кг*1,04= 213,84 кг</t>
  </si>
  <si>
    <t>На усиление одной СВ-19: Уголок 63х6 по ГОСТ 8509-93 - 12,0 п.м, общ.масса 68,64 кг; Уголок 50х5 по ГОСТ 8509-93 - 8,0 п.м, общ.масса 30,16 кг; Полоса 50х8х70 мм (сухарик) по ГОСТ 103—2006 - 4 шт, общ.масса 0,879 кг; Полоса 80х8х228 мм (фасонка) по ГОСТ 103—2006 - 2 шт, общ.масса 2,291 кг; Полоса 80х8х231 мм (фасонка) по ГОСТ 103—2006 - 2 шт, общ.масса 2,321 кг. Общ.масса на усиление одной СВ-19: 104,291 кг. Принята сталь марки С245 по ГОСТ 27772-2021. Общ. масса с учетом сварных швов (1%), на уточнение размеров (3%) = 104,291кг*1,04= 108,46 кг</t>
  </si>
  <si>
    <t>Грунтовка антикоррозионная цинкнаполненная быстросохнущая, преобразователь ржавчины и окалины</t>
  </si>
  <si>
    <t>Усредненный расход огнезащитной краской КЕДР МЕТ КО в кг/м2: 2691кг / 2597,0м2= 1,036кг/м2</t>
  </si>
  <si>
    <t>Усредненный расход огнезащитной краской КЕДР МЕТ КО в кг/м2: 177кг / 579м2= 0,306 кг/м2</t>
  </si>
  <si>
    <t>На одно болтовое крепление: Болт М20 по ГОСТ 7798-70, 1 шт, масса 0,241 кг; Гайка М20 по ГОСТ 5915-70, 2 шт, масса 0,143 кг; Шайба А.20 по ГОСТ 11371-78, 2 шт, масса 0,034 кг. Всего болтовых соединений 3 шт. Масса на одно болтовое соединение: 0,241кг+0,143кг+0,034кг=0,418 кг. Общая масса: 3шт х 0,418кг = 1,254 кг</t>
  </si>
  <si>
    <t>На один фонарь ФФ-5: Уголок 75х5 (торцы) по ГОСТ 8509-93 - 39,032 п.м., масса 226,4 кг; Уголок 75х50х5 (торцы) по ГОСТ 8510-86 - 3,0 п.м., масса 14,4 кг; Труба 70х4 (продольные стены) по ГОСТ 30245-2003 - 47,808 п.м., масса 381,0 кг. На три фонаря ФФ-4: Уголок 75х5 (торцы) по ГОСТ 8509-93 - 65,802 п.м., масса 381,7 кг; Уголок 75х50х5 (торцы) по ГОСТ 8510-86 - 3,0 п.м., масса 14,4 кг; Труба 70х4 (продольные стены) по ГОСТ 30245-2003 - 71,712 п.м., масса 571,5 кг. Общая масса элементов: 1589,35 кг = 1,589 т. Принята сталь марки С245 по ГОСТ 27772-2021</t>
  </si>
  <si>
    <t xml:space="preserve">Оконный блок ОАК (4М1-16-4М1) 1150-11842-24 Д2 РП ГОСТ21519-2003 - 2 шт, Оконный блок ОАК (4М1-16-4М1) 950-5812-24 Д2 РП ГОСТ21519-2003 - 6 шт. 
Общая длина остекления: 11,842м*2шт+5,812м*6шт=58,556 п.м. Общая площадь остекления: (11,842м*2шт)*1,15м +(5,812м*6шт)*0,95м = 60,365 м2. </t>
  </si>
  <si>
    <t>Дверной блок ДСН, А, Оп, Л, Брг, Н, Псп, УЗ, М3 1500х800 - ГОСТ31173-2016 - 1 шт, Дверной блок ДСН, А, Оп, П, Брг, Н, Псп, УЗ, М3 1500х800 - ГОСТ31173-2016 - 1 шт, Дверной блок ДСН, А, Оп, П, Брг, Н, Псп, УЗ, М3 1000х800 - ГОСТ31173-2016 - 3 шт. Общая площадь дверных проемов: (1,5м*0,8м)*1шт +(1,5м*0,8м)*1шт +(1м*0,8м)*3шт = 4,8 м2. См. КП</t>
  </si>
  <si>
    <t>Фасонный элемент индивидуального изготовления, сталь оц. с полимер. покрытием RAL7004, t=0,7 мм - 33,99 п.м., развертка листа - 352 мм. Фасонный элемент индивидуального изготовления, сталь оц. с полимер. покрытием RAL7004, t=0,7 мм - 19,2 п.м., развертка листа - 218 мм. Общая площадь листов: (33,99м*0,352м)+(19,2м*0,218м)=16,15 м2</t>
  </si>
  <si>
    <t>Фасонный элемент, сталь оц. с полимер. покрытием RAL7004, t=0,5 мм - 18,87 п.м., Развертка листа - 218 мм. Общая площадь листов: 18,87м*0,218м=4,11 м2</t>
  </si>
  <si>
    <t>2366,1+205,6=2571,7м2
В т.ч. Общ. S кровли=2366,1 м2, общ. S кровли фонарей =93,4+37,4*3=205,6м2</t>
  </si>
  <si>
    <t>Общ.S= 2366,1м2+205,6м2 =2571,7м2. Коэффициент расхода k по материалу: для паробарьера СА500 (расход k=1,18)</t>
  </si>
  <si>
    <t xml:space="preserve">ТЕХНОРУФ Н ПРОФ (4 плиты) 1200х600х60 мм, объем 154,3*1,03 м3 
LOGICPIR SLOPE-3,4% (J) СХ/СХ 1200х600х10-50, объем 1520,51*1,1м2 
LOGICPIR SLOPE-1,7% (А) СХ/СХ 1200х600х10-40, объем 126,32*1,1 м2
LOGICPIR PROF Ф/Ф Г1 L-2385х1185х40, объем 2571,7*1,03 м2
саморезы -2571,7*5
телескопический крепеж-2571,7*5
</t>
  </si>
  <si>
    <t>Общ.S кровли согласно проекту:  2366,1м2+205,6м2 =2571,7м2. Коэффициент расхода k по материалу: для полимерной мембраны - LOGICROOF V-RP 1,5мм k=1,11, в смете учесть коэф. Расхода с креплеием саморезами</t>
  </si>
  <si>
    <t>Датчик снега DW</t>
  </si>
  <si>
    <t>Приемное устройство системы мониторинга снеговой нагрузки</t>
  </si>
  <si>
    <t>Щиток системы мониторинга снеговой нагрузки (WiFi)</t>
  </si>
  <si>
    <t>Фасонный элемент индивидуального изготовления, сталь оц. с полимер. покрытием RAL7004, t=0,7 мм - 24,604 п.м., развертка листа - 504 мм. Фасонный элемент индивидуального изготовления, сталь оц. с полимер. покрытием RAL7004, t=0,7 мм - 37,824 п.м., развертка листа - 244 мм. Общая площадь листов: (24,604м*0,504м)+(37,824м*0,244м)=21,63 м2</t>
  </si>
  <si>
    <t>Фасонный элемент (ФИ37), сталь оц. с полимер. покрытием RAL7004, t=0,5 мм - 24,604 п.м., развертка листа - 218 мм. Фасонный элемент (ФИ17-78), сталь оц. с полимер. покрытием RAL7004, t=0,5 мм - 37,824 п.м., развертка листа - 178 мм. Фасонный элемент (ФИ18х71), сталь оц. с полимер. покрытием RAL7004, t=0,5 мм - 117,112 п.м., развертка листа - 166 мм. Фасонный элемент (ФИ16х53), сталь оц. с полимер. покрытием RAL7004, t=0,5 мм - 117,112 п.м., развертка листа - 218 мм. Общая площадь листов: (24,604м*0,218м)+(37,824м*0,178м)+(117,112м*0,166м)+(117,112м*0,218м) = 57,07 м2</t>
  </si>
  <si>
    <t>L=(12,302м*2+6,11м*2)+(6,304м*2+4,41м*2)*3фонаря=101,108 п.м. ≈101,1 п.м. 
Н=300мм
Расход материала на 1п.м.: 
ТЕХНОРУФ Н ПРОФ S=101,1*0,3=30,3м2; 
(V=101,1*0,015=1,52м3 (расход 1,03)); 
Саморезы (расход 5шт/м2)</t>
  </si>
  <si>
    <t>Сталь листовая оцинкованная, толщина 0,7 мм с полимерным покрытием
Герметик ТехноНИКОЛЬ ПУ 600 мл =0,25 шт (Расход герметика «ТехноНИКОЛЬ ПУ» объёмом 600 мл — 100-150 г/п.м.)</t>
  </si>
  <si>
    <t xml:space="preserve">Общая длина конька L=(3,706+26,697+11,696+23,696+18,723)+(13,102+7,104*3) =118,932 п.м. ≈ 118,9 п.м. 
Расход материала на 1п.м.: 
Компенсатор из оцинкованной стали толщиной 0,7 мм (ширина листа 500 мм) = 1 пм. итого 118,9*0,5=59,45м2; 
Саморез сверлоконечный </t>
  </si>
  <si>
    <t>Общая длина обустраиваемого парапета = 22,606*2+116,668*2 = 278,548п.м. ≈ 278,5п.м., Н=560мм
 Расход материала на 1п.м.: 
ТЕХНОРУФ Н ПРОФ (высота 560мм), V=0,029 м3 (расход 1,03);
Саморезы (расход 5шт/м2)</t>
  </si>
  <si>
    <t xml:space="preserve">Общая длина обустраиваемого парапета = 22,606*2+116,668*2 = 278,548п.м. ≈ 278,5п.м. 
Расход материала на 1п.м.: 
Полимерная мембрана LOGICROOF V-RP, ширина 2.1 м, 1.5 мм = 1,32м2 (расход 1,11); 
Уголок из оцинкованной стали толщиной 0,7 мм = 1п.м; 
Праймер битумный ТЕХНОНИКОЛЬ № 01, 10 л. = 0,035 кг; 
Паробарьер СА500 = 0,25м2*1,18=0,295 м2; 
Рейка прижимная алюминиевая ТехноНИКОЛЬ = 1п.м; 
Рейка в шве стальная ТехноНИКОЛЬ = 1 п.м; 
</t>
  </si>
  <si>
    <t xml:space="preserve">Общая длина обустраиваемого парапета = 22,606*2+116,668*2 = 278,548п.м. ≈ 278,5п.м. 
Расход материала на 1п.м.: 
Костыль (825*х110)  = 2 шт; 
Отлив из оцинкованной стали (развертка 0,912 м) =1п.м.; 
Геотекстиль иглопробивной термообработанный 300 г/м2 = 0,535 м2; </t>
  </si>
  <si>
    <t>Общ. масса: 114,7 п.м.*3,36кг/п.м.=385,31 кг. Масса погонного метра 3,36 кг. L=(3,566*4+2,632*12) +(13,102*2+7,104*6)=114,7 п.м.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</si>
  <si>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Н=560мм
Расход материала на 1п.м.: 
ТЕХНОЛАЙТ ЭКСТРА (в верхних гофрах) = 0,013 м3; 
Минеральная вата легких марок  = 0,047 м3
Саморезы (расход 5шт/м2)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</si>
  <si>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шир -640мм
Расход материала на 1п.м.: 
Паробарьер СА500 = 0,54м2*1,18=0,637м2;
Жидкий ПВХ ТН серый 1л с флаконом-апликатором = 0,25 л</t>
  </si>
  <si>
    <t>Общая длина устраиваемого свеса кровли: 26,2 м.п. (L=(13,102м*2стороны)*1 фонарь=26,204 п.м. ≈26,2 п.м.). 
Общая длина устраиваемого свеса кровли - 42,6 м.п. (L=(7,104м*2стороны)*3 фонаря=42,624 п.м. ≈42,6 п.м.). 
Итого: 26,2+42,6=68,8м; Н=560мм
Сталь листовая оцинкованная, толщина 0,7 мм (расход 0,7м2 /на м.п.)</t>
  </si>
  <si>
    <t>Общая длина ограждения  L=(22,225*2-1,2)+(2,412+112,589+31,032+37,825+22,701+21,042) = 270,851 п.м. ≈ 270,9 п.м. 
Расход материала на 1п.м.: 
Подкладка из ЭПДМ мембраны (150*х150* мм) = 1 шт; 
Герметик ТЕХНОНИКОЛЬ ПУ = 0,25 шт; 
Шпилька резьбовая fischer GM GVZ 8.8.метровая для химического анкера ОЦ, M12x1000 мм (или аналог) на спец. клеевом составе = 0,5 шт (на всю позицию Общее требуемое кол-во резьбовых шпилек 137 шт); 
Клеевой состав Магификс Е500 производителя Росатом (или аналог) = 0,0000113 м3 (на всю позицию Общее требуемое кол-во материала 0,0035 м3=3,5л); 
Ограждение кровли ТЕХНОНИКОЛЬ КО/PRO/PH/800-3 = 1 п.м (на всю позицию Общая длина ограждения 270,9 п.м); 
Пластиковый элемент (подкладка) = 1 шт</t>
  </si>
  <si>
    <t>Всего монтируется согласно проекту - 359,6 м.п. без учета коэф. расх.)
(L=114,932+1,806+13,102+98,224+7,804*2+7,104 +13,102+13,28+8,31+7,065*3+11,73*3+5,91*3=359,6 п.м.) дорожек, что соответствует 600 шт (359,6п.м./0,6=599,3≈600 шт) ПВХ Logicroof Walkway Puzzle дорожка серая 0,6*0,6м. 
Коэффициент расхода k по материалу: для ПВХ Logicroof Walkway Puzzle дорожки k=1,03, в смете учесть коэф. расхода
(600*1,03=618шт)</t>
  </si>
  <si>
    <t xml:space="preserve">Всего устанавливаемых аэраторов в осях А/4-А'/Ях1-2  - 16 шт. </t>
  </si>
  <si>
    <t>На одну металлическую лестницу Лм-1: Уголок 75х6 по ГОСТ 8509-93 L=3,56 м, 2 шт, m=49,06 кг; Стержень ∅20 по ГОСТ Р 52544-2006 L=0,72м, 7 шт, m=12,43 кг;  Уголок 75х6 по ГОСТ 8509-93 L=0,51 м, 2 шт, m=14,06 кг;  Полоса 200х10х400 (фасонка) по ГОСТ 103—2006, 4 шт, m=25,12 кг; Лист 235х10х235 по ГОСТ 19903-2015, 2 шт, m=8,67 кг; Труба 80х6 по ГОСТ 30245-2003 L=0,264 м, 2 шт, m=6,97 кг; Лист 125х8х115 по ГОСТ 19903-2015 2 шт, m=1,81 кг; Уголок 50х5 по ГОСТ 8509-93 L=1,02м, 2 шт,  m=7,69 кг; Полоса 40х4 (ограждение) по ГОСТ 103—2006 L=1,365 м, 4 шт, m= 6,86 кг; Швеллер 10 по ГОСТ 8240-97 L=1,305 м, 2 шт, m=22,42 кг;  Уголок 50х5 по ГОСТ 8509-93 L=0,658 м, 2 шт, m=4,96 кг; Стержень диам.14 по ГОСТ Р 52544-2006 L=0,72м, 22 шт, m=19,13 кг. 
Общ. масса на одну Лм-1=179,18 кг. Принята сталь марки С245 по ГОСТ 27772-2021</t>
  </si>
  <si>
    <t>Труба 60х40х4 по ГОСТ 30245-2003 L=3,2 п.м., масса 1 п.м.=5,45 кг, общ. Масса 17,44 кг. Принята сталь марки С245 по ГОСТ 27772-2021</t>
  </si>
  <si>
    <t>Расход грунтовки ГФ-021 ГОСТ25129-2020 на однослойное покрытие - 60-100 г/м²</t>
  </si>
  <si>
    <t>Расход эмали ПФ-115 ГОСТ 6465-76 на однослойное покрытие 100-180 г/м². Цвет RAL 1016 "Желтая сера" или цвет RAL 7004 "Сигнальный серый" (цвет может быть изменен по желанию заказчика)</t>
  </si>
  <si>
    <t>LOGICROOF V-SR  (Технониколь)-1,28м2
LOGICROOF V-RP (Технониколь)-7,28м2
Паробарьер СА500 (Технониколь)-0,170м2
Пена монтажная ТЕХНОНИКОЛЬ PROFESSIONAL 70-0,0014м3
Герметик ТехноНИКОЛЬ ПУ 600 мл-0,5шт
Обжимной металлический хомут-2шт
Подкладка паронитовая (толщиной не менее 5мм) 235*ммх235*мм (Технониколь)-2шт</t>
  </si>
  <si>
    <t>На одну металлическую лестницу Лм-2: Уголок 75х6 по ГОСТ 8509-93 L=3,183 м, 2 шт, m=43,86 кг; Стержень ∅20 по ГОСТ Р 52544-2006 L=0,72м, 6 шт, m=10,65 кг; Уголок 75х6 по ГОСТ 8509-93 L=0,51 м, 2 шт, m=7,03 кг; Полоса 200х10х400 (фасонка) по ГОСТ 103—2006, 2 шт, m=12,56 кг; Лист 235х10х235 мм по ГОСТ 19903-2015, 2 шт, m=8,67 кг; Труба 80х6 по ГОСТ 30245-2003 L=0,264 м, 2 шт, m=6,97 кг; Лист 125х8х115 по ГОСТ 19903-2015 2 шт, m=1,81 кг; Уголок 50х5 по ГОСТ 8509-93 L=1,02м, 2 шт,  m=7,69 кг; Полоса 40х4 (ограждение) по ГОСТ 103—2006 L=1,365 м, 4 шт, m= 6,86 кг; Швеллер 10 по ГОСТ 8240-89 L=1,305 м, 2 шт, m=22,42 кг; Уголок 50х5 по ГОСТ 8509-93 L=0,658 м, 2 шт, m=4,96 кг; Стержень диам.14 по ГОСТ Р 52544-2006 L=0,72м, 22 шт, m=19,13 кг; Уголок 75х6 по ГОСТ 8509-93 - 2 шт, l=0,595 м, m=8,2 кг. Общ. масса на одну Лм-2 = 160,82 кг. 
Общая масса 3 дестниц: 160,82 кг * 3 шт = 482,45 кг. Принята сталь марки С245 по ГОСТ 27772-2021</t>
  </si>
  <si>
    <t>Труба 60х40х4 по ГОСТ 30245-2003 L=2,0 п.м., масса 1 п.м.=5,45 кг, общ. Масса 10,9 кг. Принята сталь марки С245 по ГОСТ 27772-2021</t>
  </si>
  <si>
    <t>S=7,16 м2*3 шт= 21,47 м2. Расход грунтовки ГФ-021 ГОСТ25129-2020 на однослойное покрытие - 60-100 г/м²</t>
  </si>
  <si>
    <t>S=7,16 м2*3 шт= 21,47 м2. Расход эмали ПФ-115 ГОСТ 6465-76 на однослойное покрытие 100-180 г/м². Цвет RAL 1016 "Желтая сера" или цвет RAL 7004 "Сигнальный серый" (цвет может быть изменен по желанию заказчика)</t>
  </si>
  <si>
    <t>LOGICROOF V-SR  (Технониколь)-3,83м2
LOGICROOF V-RP (Технониколь)-16,22м2
Паробарьер СА500 (Технониколь)-0,52м2
Пена монтажная ТЕХНОНИКОЛЬ PROFESSIONAL 70-0,0042м3
Герметик ТехноНИКОЛЬ ПУ 600 мл-1,5шт
Обжимной металлический хомут-6шт
Подкладка паронитовая (толщиной не менее 5мм) 235*ммх235*мм (Технониколь)-6шт</t>
  </si>
  <si>
    <t>Фасонный элемент индивидуального изготовления, сталь оц. с полимер. покрытием RAL7004, t=0,7 мм - 52,73 п.м., развертка листа - 440 мм. Общая площадь листа: 52,73м*0,44м=23,2 м2</t>
  </si>
  <si>
    <t>Развертка листа - 510 мм. L=45,848м*1,15=52,73 п.м. S=52,73 м * 0,51 м = 26,89 м2</t>
  </si>
  <si>
    <t xml:space="preserve">На одну сетку СП-1: Скоба: круг 8-В ГОСТ2590-88/Ст3кп2-II ГОСТ 535-88 - 3 шт, общ.масса 0,228 кг; Уголок 40х3 по ГОСТ 8509-93 - 4,44 п.м., общ.масса 8,21 кг; Пруток круг 5-В ГОСТ2590-88/Ст3кп2-II ГОСТ 535-88 l=750мм - 2 шт, общ.масса 0,23 кг; Пруток круг 5-В ГОСТ2590-88/Ст3кп2-II ГОСТ 535-88 l=1390мм - 2шт, общ.масса 0,43 кг; Сетка 2-50-3,0-0 ГОСТ 5336-80 (820х1460 мм) - 1 шт, общ.масса 2,9 кг. Масса одной сетки 11,998 кг. Общая масса 40 сеток: 11,998 кг *40 шт = 479,9 кг. Принята сталь марки С245 по ГОСТ 27772-2021  
Крепление защитных сеток СП-1.
Всего устанавливается 40 сеток СП-1. Пруток круг 10-В ГОСТ2590-88/Ст3кп2-II ГОСТ 535-88 l=693мм - 48 шт, общ.масса 20,52 кг; Пруток круг 10-В ГОСТ2590-88/Ст3кп2-II ГОСТ 535-88 l=493 - 72 шт, общ.масса 21,9 кг; Полоса 60х8х244 по ГОСТ 103—2006 - 120 шт, общ.масса 110,33 кг. Общая масса элементов крепления: 152,75 кг. Принята сталь марки С245 по ГОСТ 27772-2021    </t>
  </si>
  <si>
    <t>Расход эмали ПФ-115 ГОСТ 6465-76 на однослойное покрытие 100-180 г/м². Цвет RAL9016 Белый (цвет может быть изменен по желанию заказчика)</t>
  </si>
  <si>
    <t>1. Кровельная воронка 110 HL62.1/1 с электроподогревом - 27 шт;
2. Водоприемная воронка HL62.1/7 75 мм с подогревом - 20 шт; 
3. Водоприемная воронка HL62.1/5 160 мм  с электроподогревом - 4 шт</t>
  </si>
  <si>
    <t>Щит распределительный в составе (на 1 шт):
- Шкаф навесной с монтажной панелью IP66 400х600х210 - 1 шт;
- Шасси модульное  (3рх12=36 мод.) - 1 шт;
- Сальник (D=7-11 мм) - 8 шт;
- Авт/выкл. диф/тока 2Р; Icu=6kA; Ii=(5..10)*In; In=6A, 100mA OptiDin D63-23C6-A-УХЛ4 103522 - 1 шт;
- Регулятор температуры -15°С…+45°С 230V 16A Teploluxe 100 - 1 шт;
- Авт/выкл. 2Р; Icu=6kA; Ii=(5..10)*In; In=3A OptiDin BM63-2NC3-УХЛ3 260685 КЭАЗ - 6 шт;
- УЗО 2Р; Icu=4,5kA;; In=25A, 30mA OptiDin DM63-2225-AC-4,5-УХЛ4 343888 КЭАЗ - 6 шт;
- Шина нулевая OptiKit BB-PEN-S-6-8х12-2 278008 КЭАЗ - 1 шт;
- Клемма для предохранителей пружинная OptiClip CXF-4-HESI-240V-(5x20)10А-(0,2-4)-серый 289768 КЭАЗ - 2шт;
- Крышка концевая для клеммы предохранительной OptiClip D-TB-4-HESI-черный 249896 КЭАЗ - 1 шт;
- Плавкий предохранитель 5х20; 0,5A 5х20; 0,5A ЭТМ - 2 шт;
- Концевой стопор OptiClip CA103 289722 КЭАЗ - 8 шт;
- Лампа LED 230AC белая AD16DS(LED) 357823 КЭАЗ - 1 шт;
- Лампа LED 230AC красная AD16DS(LED) 357820 КЭАЗ - 1 шт;
- Клемма строительно-монтажная 5отв. S=0,2-2,5мм2 OptiKit СМК 222-415 351066 КЭАЗ - 1 шт;
- Провод ПуГВ 1х1 ЭТМ - 5 м;
- Провод ПуГВ 1х16 ЭТМ - 2 м</t>
  </si>
  <si>
    <t>1. Кабельный лоток перфор. S=0,7мм H=50мм L=3м Р=30кг/м В=50мм LP50-50-0.7-3000 LO0602 КМ-профиль - 24 м/8 шт;
2. Крышка лотка перф. 50 L3000 мм - 24 м/8 шт;
3. Соединитель для лотков перфор. горизонтальный SP1 LO0401 -18 шт;
4. Болт с квадратным подголовком М6х20 мм BTG6-20 LO10176 КМ-профиль - 214 шт;
5. Гайка специальная с фланцем М6 GS6 LO0685 КМ-профиль - 214 шт</t>
  </si>
  <si>
    <t>1. Кабельный лоток перфор. S=0,7мм H=50мм L=3м Р=30кг/м В=100мм LP50-100-0.7-3000 LO0604 КМ-профиль - 18 м/6 шт;
2. Крышка лотка перф. 100 L3000 мм - 18 м/6 шт;
3. Соединитель для лотков перфор. горизонтальный SP1 LO0401 -14 шт;
4. Болт с квадратным подголовком М6х20 мм BTG6-20 LO10176 КМ-профиль - 166 шт;
5. Гайка специальная с фланцем М6 GS6 LO0685 КМ-профиль - 166 шт</t>
  </si>
  <si>
    <t>1. Кабельный лоток проволочный H=30мм В=100мм L=3м PL30-100-3000 LO26647 КМ-профиль - 100 м/34 шт;
2. Безвинтовой соединитель BVS LO0434 КМ-профиль - 74 шт;
3. Соединительный комплект (упак. 50шт.) PSK LO0670 КМ-профиль - 1 компл.;
4. С-образный подвес безвинтовой для лотка 100 мм SPVBV100 LO14817 КМ-профиль - 50 шт;
5. Z-образный профиль S=2,0мм (32х40х32) L=1м Z32-40-32-2.0-100 LO32578 КМ-профиль - 36 м</t>
  </si>
  <si>
    <t>1. Кабельный лоток проволочный H=30мм В=60мм L=3м PL30-60-3000 LO26646 КМ-профиль - 1 197 м/399 м;
2. Безвинтовой соединитель BVS LO0434 КМ-профиль - 800  шт;
3. Соединительный комплект (упак. 50шт.) PSK LO0670 КМ-профиль - 1 компл;
4. Универсальный суппорт USP LO0673 КМ-профиль - 57 шт;
5. Струбцина М8 FV8 LO0972 КМ-профиль - 60 шт;
6. Шпилька М8х1000 SM8-1000 LO0694 КМ-профиль - 16 шт;
7. Гайка специальная с фланцем М8 GS8 LO0686 КМ-профиль - 300 шт; 
8. Фиксатор площадка FP LO0433 КМ-профиль - 60 шт;
9. Перфополоса 32х1,0 L2000 мм PP32-1.0-2000 LO16288 КМ-профиль (поворот лотков) - 2 м / 1 шт;
10. Цинк-спрей 400 мл CSG LO0255 КМ-профиль - 1 шт</t>
  </si>
  <si>
    <t>1. Металлорукав в ПВХ изоляции, негорючий (21,9/16,9),
РЗ-ЦП нг 18  Промрукав - 146 м;
2. Термоусадка клеевая (черная) ТТК-33/8 IEK - 8 м</t>
  </si>
  <si>
    <t>1. Кабель силовой с медными жилами, не распространяющий горение, с низким дымо-и газовыделением, однопроволочный, круглый на 660В ВВГнг(А)-LS 3x1,5 - 138 м;
2. Кабель контрольный с медными жилами, не распространяющий горение с низким газо-и дымовыделением КВВГнг(А)-LS 2x1 - 8 м;
3. Стяжка кабельная (защита от ультрафиолета) КСС 7,8х365 25327Т DKC - 50 шт;</t>
  </si>
  <si>
    <t>1. Кабель силовой с медными жилами, не распространяющий горение, с низким дымо-и газовыделением, однопроволочный, круглый на 660В ВВГнг(А)-LS 3x1,5 - 1599 м;
2. Кабель контрольный с медными жилами, не распространяющий горение с низким газо-и дымовыделением КВВГнг(А)-LS 2x1 - 32 м;
3. Термоусадка жел+зел+красн+ж/з (по 25% общей длины) ТУТнг-4/2 ЭТМ- 9м;
4. Стяжка кабельная (защита от ультрафиолета) КСС 4,8х290 25317Т DKC -2 550 шт;
5.Маркировка кабельная (треугольная) TDM Electric У-136 - 100 шт;
6. Маркировка кабельная (квадратная) TDM Electric У-134 - 10 шт;
7. Соединительная коробка 3P-1/2 - 53 шт в составе (на 1 шт):
- Коробка распределительная 7 вводов 80х80х40 IP55 40-0210м Промрукав - 1 шт;
- СМК ответвительная 3P-1/2 PR08.12598 Промрукав - 1 шт;
- Винт с полуцил.гол. M4х12 (упак. 100шт.) PR08.4990 Промрукав - 4 шт;
- Гайка с насечкой оцинкованная М5 PR08.5034 Промрукав - 4 шт
8. Соединительная коробка 3P-1/2 - 4 шт в составе (на 1 шт):
- Коробка распределительная 7 вводов 80х80х40 IP55 40-0210м Промрукав - 1 шт;
- СМК ответвительная 2P-1/1 PR08.12593 Промрукав - 1 шт;
- Винт с полуцил.гол. M4х12 PR08.4990 Промрукав - 4 шт;
- Гайка с насечкой оцинкованная М5 PR08.5034 Промрукав - 4 шт</t>
  </si>
  <si>
    <t>Монтажный провод (GNYE-ж/з) ПуГВ 1х16мм2</t>
  </si>
  <si>
    <t>1. Пруток стальной М8 (бухта 125 м) HD MPS8-125 HD LN0055 КМ-профиль - 875 м (вес 0,406 кг/м);
2. Угловой держатель болтовой для прутка Ø 5-10 H60 мм UDB-H60-D5-10 HD MA0133 КМ-профиль - 480 шт;
3. Угловой держатель болтовой, скрученный для прутка Ø 5-10 мм H70 мм UDBS-H70-D5-10 HD MA0168 КМ-профиль - 315 шт;
4. Параллельный соединитель прутка Ø 5-8 мм PS-D5-8 HD MA0058 КМ-профиль - 50 шт;
5. Универсальный соединитель для прутка Ø 5-10 мм с 2 пластинами 2USM-D5-10 HD MA0283 КМ-профиль - 255 шт;
6. Соединитель крестообразный для прутка Ø 5-12 мм и полосы до 40 мм 3XS-D5-12-B40 HD MA0023 КМ-профиль - 25 шт</t>
  </si>
  <si>
    <t>1. Полоса стальная оцинкованная 40х4 мм PP40-4-40 HD LN0002 КМ-профиль  - 330 м;
2. Держатель полосы до 40х4 мм DPP-B40-S4 HD MA0298 КМ-профиль - 840 шт;
3. Соединитель крестообразный для полосы до 40 мм 2XS-B40 HD MA0043 КМ-профиль - 25 шт</t>
  </si>
  <si>
    <t>Полоса стальная оцинкованная 40х4 мм PP40-4-40 HD LN0002 КМ-профиль  - 429 м (вес 4,294 кг/м.п);</t>
  </si>
  <si>
    <t>1. Пруток стальной оцинкованный М18 (хлыст 6м) MPS18-6 HD LN0102 КМ-профиль - 24 шт;
2. Соединитель заземляющий для стержня Ø 10-20 мм и полосы до 40 мм 4SZ-D5-12-D10-20-B40 HD MA0348 КМ-профиль - 25 шт;
3. Саморез с прессшайбой и буром М4,2х19 мм (упак. 500 шт) SHS-19B-KM KR0134 КМ-профиль - 1 упаковка</t>
  </si>
  <si>
    <t>1. Трубы напорные полиэтиленовые ПЭ100, SDR26, питьевые, DN 110х4,2 мм - 245 м;
2. Патрубок компенсационный ТП-110 SDR26 - 50 шт;
3. Отвод ПНД сварной сегментный d110 45° ПЭ100 SDR26 - 70 шт;
4. Тройник ПНД сварной сегментный d110 45° ПЭ100 SDR26 - 28 шт;
5. Заглушка литая ПНД d110 ПЭ100 SDR11 - 23 шт</t>
  </si>
  <si>
    <t>1. Трубы напорные полиэтиленовые ПЭ100, SDR26, питьевые, DN 160х6,2 мм - 373 м;
2. Отвод ПНД сварной сегментный d160 45° ПЭ100 SDR26 - 38 шт;
3. Тройник ПНД сварной сегментный d160 45° ПЭ100 SDR26 - 27 шт;
4. Тройник ПНД сварной сегментный d160х110х160 45° ПЭ100 SDR26 - 18 шт;
5. Крестовина сварная ПЭ100 неравнопроходная сегментная d160х110 45° - 5 шт;
6. Заглушка литая ПНД d160 ПЭ100 SDR11 - 30 шт;
7. Переход ПНД сварной d160х110 ПЭ100 SDR26 - 12 шт</t>
  </si>
  <si>
    <t>1. Трубы напорные полиэтиленовые ПЭ100, SDR26, питьевые, DN 200х7,7 мм - 200 м;
2. Отвод ПНД сварной сегментный d200 45° ПЭ100 SDR26 - 15 шт;
3. Тройник ПНД сварной сегментный d200 45° ПЭ100 SDR26 - 12 шт;
4. Тройник ПНД сварной сегментный d200х110х200 45° ПЭ100 SDR26 - 4 шт;
5. Тройник ПНД сварной сегментный d200х160х200 45° ПЭ100 SDR26 - 5 шт;
6. Заглушка литая ПНД d200 ПЭ100 SDR11 - 10 шт;
7. Переход ПНД сварной d200х160 ПЭ100 SDR26 - 6 шт;
8. Переход ПНД сварной d200х110 ПЭ100 SDR26 - 1шт</t>
  </si>
  <si>
    <t>1. Трубы напорные полиэтиленовые ПЭ100, SDR26, питьевые, DN 250х9,6 мм - 130 м;
2. Отвод ПНД сварной сегментный d250 45° ПЭ100 SDR26 - 5 шт;
3. Тройник ПНД сварной сегментный d250 45° ПЭ100 SDR26 - 4 шт;
4. Тройник ПНД сварной сегментный d250х200х250 45° ПЭ100 SDR26 - 3 шт;
5. Тройник ПНД сварной сегментный d250х110х250 45° ПЭ100 SDR26 - 1 шт;
6. Тройник ПНД сварной сегментный d250х160х250 45° ПЭ100 SDR26 - 4 шт;
7. Тройник ПНД сварной сегментный d250 90° ПЭ100 SDR26 - 2 шт;
8. Заглушка литая ПНД d250 ПЭ100 SDR11 - 6 шт;
9. Переход ПНД сварной d250х160 ПЭ100 SDR26 - 1 шт;
10. Переход ПНД сварной d250х200 ПЭ100 SDR26 - 3 шт;
11. Переход ПНД/КОРСИС DN250 - 2 шт</t>
  </si>
  <si>
    <t>1. Трубы напорные полиэтиленовые ПЭ100, SDR26, питьевые, DN 315х12,1 мм - 28 м;
2. Отвод ПНД сварной сегментный d315 45° ПЭ100 SDR26 - 2 шт;
3. Тройник ПНД сварной сегментный d315 45° ПЭ100 SDR26 - 2 шт;
4. Тройник ПНД сварной сегментный d315х250х315 45° ПЭ100 SDR26 - 1 шт;
5. Тройник ПНД сварной сегментный d315х160х315 45° ПЭ100 SDR26 - 1 шт;
6. Тройник ПНД сварной сегментный d315 90° ПЭ100 SDR26 - 1 шт;
7. Заглушка литая ПНД d315ПЭ100 SDR11 - 3 шт;
8. Переход ПНД сварной d315х250ПЭ100 SDR26 - 1 шт;
9. Переход ПНД/КОРСИС DN315 - 1 шт</t>
  </si>
  <si>
    <t>Шкаф пожарной сигнализации "ШПС-12" исп.12 ЗАО НВП "Болид"</t>
  </si>
  <si>
    <t>Аккумулятор 12В, 17 Ач (АБ1217С) срок службы 12 лет АБ1217С ЗАО НВП "Болид"</t>
  </si>
  <si>
    <t>Прибор приемно-контрольный и управления пожарный "Сириус" ЗАО НВП "Болид"</t>
  </si>
  <si>
    <t>Контроллер двухпроводной линии связи "С2000-КДЛ-С" ЗАО НВП "Болид"</t>
  </si>
  <si>
    <t>Извещатель пожарный ручной электронный ИПР 513-3АМ исп.1 ЗАО НВП "Болид"</t>
  </si>
  <si>
    <t>Извещатель пожарный дымовой оптико-электронный аналогово-адресный со встроенным изолятором короткого замыкания ДИП-34А-04 ЗАО НВП "Болид"</t>
  </si>
  <si>
    <t>Извещатель пожарный дымовой оптико-электронный линейный С2000-ИПДЛ исп. 60 ЗАО НВП "Болид</t>
  </si>
  <si>
    <t>Извещатель пожарный дымовой оптико-электронный линейный С2000-ИПДЛ исп. 120 ЗАО НВП "Болид"</t>
  </si>
  <si>
    <t>Блок контрольно-пусковой С2000-КПБ ЗАО НВП "Болид"</t>
  </si>
  <si>
    <t>Блок разветвительно-изолирующий БРИЗ ЗАО НВП "Болид"</t>
  </si>
  <si>
    <t>Блок речевого оповещения Рупор-300 ЗАО НВП "Болид"</t>
  </si>
  <si>
    <t>Адресный модуль контроля линий Рупор-300-МК ЗАО НВП "Болид"</t>
  </si>
  <si>
    <t>Оповещатель пожарный речевой всепогодный ОПР-У150.1 ЗАО НВП "Болид"</t>
  </si>
  <si>
    <t>Опопвещатель световой табличный адресный С2000-ОСТ исп.01 "ВЫХОД" ЗАО НВП "Болид"</t>
  </si>
  <si>
    <t xml:space="preserve"> -Труба гофрированная ПВХ диаметром 16 мм с протяжкой без галогена ПЛЛ ПВ-0 - 1722 м (без учета затрат на трудноустранимые потери);
- Дюбель распорный универсальный полипропиленовый -5 166 шт;
 - Саморез - 5166 шт;
 - Скоба металлическая однолапковая  - 5 166 шт;
 - Хомут из нержавеющей стали AISI 304 4,6х150 мм (вес 0,002 кг/шт)- 5 166 шт</t>
  </si>
  <si>
    <t>Кабель КПСЭнг(А) FRLS 1х2x0,75 - 1722 м (без учета затрат на трудноустранимые потери)</t>
  </si>
  <si>
    <t xml:space="preserve"> - Труба гофрированная ПВХ диаметром 16 мм с протяжкой без галогена ПЛЛ ПВ-0 - 1746 м (без учета затрат на трудноустранимые потери);
- Дюбель распорный универсальный полипропиленовый -5 338 шт;
 - Саморез - 5 338 шт;
 - Скоба металлическая однолапковая  - 5 338 шт;
 - Хомут из нержавеющей стали AISI 304 4,6х150 мм (вес 0,002 кг/шт) - 5 338 шт</t>
  </si>
  <si>
    <t>Кабель КПСнг(А) FRLS 1х2x1 - 1746 м (без учета затрат на трудноустранимые потери)</t>
  </si>
  <si>
    <t xml:space="preserve"> -Труба гофрированная ПВХ диаметром 16 мм с протяжкой без галогена ПЛЛ ПВ-0 - 1200 м (без учета затрат на трудноустранимые потери); 
- Дюбель распорный универсальный полипропиленовый -3 600 шт;
 - Саморез - 3 600 шт;
 - Скоба металлическая однолапковая  - 3 600 шт;
 - Хомут из нержавеющей стали AISI 304 4,6х150 мм (вес 0,002 кг/шт) - 3 600 шт</t>
  </si>
  <si>
    <t>Кабель КПСЭнг(А) FRLS 2х2x1 - 1200 м (без учета затрат на трудноустранимые потери)</t>
  </si>
  <si>
    <t xml:space="preserve"> - Кабельканал 20х10 мм - 30 м  (без учета затрат на трудноустранимые потери);
- Саморез - 90 шт</t>
  </si>
  <si>
    <t>Кабель КПСЭнг(А) FRLS 2х2x1 - 30 м (без учета затрат на трудноустранимые потери)</t>
  </si>
  <si>
    <t xml:space="preserve">  -Труба гофрированная ПВХ диаметром 16 мм с протяжкой без галогена ПЛЛ ПВ-0 - 100 м (без учета затрат на трудноустранимые потери);
- Дюбель распорный универсальный полипропиленовый -200шт;
 - Саморез - 200 шт;
 - Скоба металлическая однолапковая  - 200 шт;
 - Хомут из нержавеющей стали AISI 304 4,6х150 мм (вес 0,002 кг/шт) - 200 шт</t>
  </si>
  <si>
    <t>Кабель КВПЭфнг(А)-HF-5е 4х2х0.52 - 100 м (без учета затрат на трудноустранимые потери)</t>
  </si>
  <si>
    <t>Разъем Джек RJ-45 8P-8C CAT5e категории 5е под витую пару - 2 шт</t>
  </si>
  <si>
    <t>Коробка огнестойкая для о/п 40-0210-FR1.5-4 Е15-Е120 RAL2004 80х80х40 Промрукав - 4 шт</t>
  </si>
  <si>
    <t>Трубы ВГП обыкновенные 50х3,5 мм - 10 м</t>
  </si>
  <si>
    <t>REMONTIX PRO ОГНЕСТОЙКАЯ пистолетная монтажная пена, 750 мл - 2 шт</t>
  </si>
  <si>
    <t>Стеновой клапн "Гермик-ДУ-3-1700х1700-1ф-МV220-СВ" живое сечение 2,075 м2</t>
  </si>
  <si>
    <t>Стеновой клапн "Гермик-ДУ-3-1600х1600-1ф-МV220-СВ" живое сечение 1,752 м2</t>
  </si>
  <si>
    <t>Стеновой клапн "Гермик-ДУ-3-1400х1400-1ф-МV220-СВ" живое сечение 1,348 м2</t>
  </si>
  <si>
    <t>Переход 1700х1700/900х1600 - 2 шт (8,02 м2)
Переход 1600х1600/900х1600 - 4 шт (15,09 м2)
Переход 1400х1400/900х1600 - 2 шт (6,76 м2)
Сетка 25х25 - 12,5 м2</t>
  </si>
  <si>
    <t xml:space="preserve">  - Шкаф напольный Schneider Electric Spacial, 800x1600x400мм, IP55, сталь, NSYSM16840P Schneider Electric - 27 шт;
 - Провод ПВ-3 185 - 270 м (без учета затрат на трудноустранимые потери);</t>
  </si>
  <si>
    <t xml:space="preserve"> - Автоматический выключатель NM8N-250C EN 3P 160А 36кА с электр. расцепителем (R) NM8N-250C EN CHINT - 135 шт</t>
  </si>
  <si>
    <t xml:space="preserve"> - Шина медная (4 м) М1Т 5х50 IEK - 14 шт;
 - Изолятор силовой SM51 (М8) IEK - 108 шт </t>
  </si>
  <si>
    <t xml:space="preserve"> - Кабель силовой с медными жилами и ПВХ-изоляцией и оболочкой нераспространяющей горения, и низким газо-дымовыделением сечением ВВГнг(А)-LS - 5х185 мм2 - 216 м (без учета затрат на трудноустранимые потери);
 - Кабельная муфта 5ПКТп-1-150/240 нг-LS - 108 шт</t>
  </si>
  <si>
    <t xml:space="preserve">  - Шкаф напольный Schneider Electric Spacial, 800x1600x400мм, IP55, сталь, NSYSM16840P Schneider Electric - 36 шт;
 - Провод ПВ-3 185 - 360 м (без учета затрат на трудноустранимые потери);</t>
  </si>
  <si>
    <t xml:space="preserve"> - Автоматический выключатель NM8N-250C EN 3P 160А 36кА с электр. расцепителем (R) NM8N-250C EN CHINT - 180 шт</t>
  </si>
  <si>
    <t xml:space="preserve"> - Шина медная (4 м) М1Т 5х50 IEK - 18 шт;
 - Изолятор силовой SM51 (М8) IEK - 144 шт </t>
  </si>
  <si>
    <t xml:space="preserve"> - Кабель силовой с медными жилами и ПВХ-изоляцией и оболочкой нераспространяющей горения, и низким газо-дымовыделением сечением ВВГнг(А)-LS - 5х185 мм2 - 288 м (без учета затрат на трудноустранимые потери);
 - Кабельная муфта 5ПКТп-1-150/240 нг-LS - 144 шт</t>
  </si>
  <si>
    <t xml:space="preserve"> - Щит распределительный ЩРН-12 (265х310х120) IP54 PROXIMA mb24-12 EKF - 2 шт</t>
  </si>
  <si>
    <t xml:space="preserve"> - Кнопка управления модульная OptiDin KM63-A-11-УХЛ3 KEAZ - 4 шт</t>
  </si>
  <si>
    <t xml:space="preserve"> - Лампа сигнальная OptiDin SL63-R-24AC/DC-УХЛ3 KEAZ - 2 шт;
 - Лампа сигнальная OptiDin SL63-G-24AC/DC-УХЛ3 KEAZ - 2 шт</t>
  </si>
  <si>
    <t xml:space="preserve"> - Труба гофр. ПВХ Plast с зондом d32мм - 16 м (без учета затрат на трудноустранимые потери);
 - Крепеж-клипса d 25 мм - 8 шт</t>
  </si>
  <si>
    <t xml:space="preserve"> - Кабель с медными токопроводящими жилами, изолированными полимером из поливинилхлоридного пластиката не содержащим галогенов и не выделяющим вредные для здоровья вещества при горении и тлении.
ППГнг(A)-HF 2х2.5 - 2 м (без учета затрат на трудноустранимые потери);</t>
  </si>
  <si>
    <t>Монтажный кабель, с медной луженой жилой, изоляцией и оболочкой из ПВХ пониженной пожарной опасности. МКШВнг (А) LS 1х2х1,0 - 64 м (без учета затрат на трудноустранимые потери)</t>
  </si>
  <si>
    <t xml:space="preserve"> - Лоток неперфорированный замковый оцинкованный ЛМЗ-200х100-1,0-3000 - 63 шт/189 м;
 - Крышка лотка замковая 200х1,0х3000 горячеоцинкованная КЛЗгц-200х15-1,0-3000 - 63 шт/189 м;
 - Угол горизонтальный замковый 90 град, ЛМЗУ-200х100-0,7-90-R-600 оцинкованный - 63 шт;
 - Крышка к углу плоскому замковому 90 градусов к кабельному лотку 200-0,7 КЛЗУ 200-0,7-90-ОЦ - 63 шт;
 - Угол внутренний (подъем) замковый 45 град, ЛМЗП-200х100-0,7-45 оцинкованный - 63 шт;
 - Крышка к углу внутреннему (подъему) замковому к кабельному лотку 200-0,7 КЛЗП 200-0,7-90-ОЦ - 63 шт;
 - Узел крепления лотка - 126 шт в составе:
 • Страт профиль с 3-х сторонней перфорацией MSTPR 41х41х2,0 500 оцинк. CLIVE                                                     
MSTPR41304105020ZS - 1 шт;
 • Страт профиль с 3-х сторонней перфорацией MSTPR 41х41х2,0 700 оцинк. CLIVE MSTPR41304107020ZS - 1 шт;
 • Заглушка страт профиля MSTZT 41х41 MSTZT10004141000 - 4 шт;
 • Пластина опорная для страт профиля MSTJF оцинк. CLIVE MSTJF11000000002ZS - 4 шт;
 • Гайка со стопорным кольцом FORNT М10 DIN985 (100шт) оцинк. FORNT10210100000ZS - 8 шт;
 • Шпилька FORSN М10х1000 DIN975 оцинк. FORSN10110100000ZS - 1 шт;
 • Шайба увеличенная FORWH М10 DIN9021 (100шт) оцинк.
FORWH10210100000ZS - 4 шт;
 • Прижим лотка NL-PR-S ALSJF ALSJF10100000001 - 2 шт</t>
  </si>
  <si>
    <t xml:space="preserve"> - KXA 17504-P-STD-1600 A-ВСТАВНОЙ-СТАНДАРТНОГО РАЗМЕРА-4W KXA 17504 3011589 ЕАЕ - 312 м;
 - KXA 17504-B-STD-1600 A-КРЕПЕЖНЫЙ-СТАНДАРТНОГО РАЗМЕРА-4W KXA 17504 3011586 ЕАЕ - 54 м;
 - KXA 17504-B-FDM-1600 A-КРЕПЕЖНЫЙ-СЕКЦИЯ ФАЗА ИЗМЕНЕНИЕ-4W KXA 17504 3023020 ЕАЕ - 1 шт;
 - KXA 17504-B-B11-1600 A-КРЕПЕЖНЫЙ-БЛОК ПИТАНИЯ-4W KXA 17504 3015594 ЕАЕ - 2 шт;
 - KXA 17504-B-LH-1600 A-КРЕПЕЖНЫЙ-Z-ОБРАЗНАЯ ГОРИЗОНТАЛЬНАЯ ВЛЕВО-4W KXA 17504 3012318 ЕАЕ - 2 шт;
 - KXA 17504-B-X-1600 A-КРЕПЕЖНЫЙ-НЕСТАНДАРТНОГО РАЗМЕРА-4W (x=1390мм, шт=1) KXA 17504 3011661 ЕАЕ  - 1.39 м;
 - KXA 17504-B-TYR-1600 A-КРЕПЕЖНЫЙ-Т-ОБРАЗНАЯ ПРАВАЯ-4W KXA 17504 3013410 ЕАЕ - 3 шт;
 - KXA 17504-B-X-1600 A-КРЕПЕЖНЫЙ-НЕСТАНДАРТНОГО РАЗМЕРА-4W (x=470мм, шт=2) KXA 17504 3011661 ЕАЕ - 0,94 м;
 - KXA 17504-B-X-1600 A-КРЕПЕЖНЫЙ-НЕСТАНДАРТНОГО РАЗМЕРА-4W (x=500мм, шт=1) KXA 17504 3011661 ЕАЕ - 1 м;
- KXA 17504-B-U-1600 A-КРЕПЕЖНЫЙ-УГЛОВАЯ ВВЕРХ-4W (c=695мм) - 1 м;
 - KXA 17504-B-L-1600 A-КРЕПЕЖНЫЙ-УГЛОВАЯ ВЛЕВО-4W KXA 17504 3012150 ЕАЕ - 6 шт;
 - KXA 17504-B-D-1600 A-КРЕПЕЖНЫЙ-УГЛОВАЯ ВНИЗ-4W (c=880мм) KXA 17504 3011982 ЕАЕ - 1 шт;
 - KXA 17504-B-X-1600 A-КРЕПЕЖНЫЙ-НЕСТАНДАРТНОГО РАЗМЕРА-4W (x=1000мм, шт=1) KXA 17504 3011661 ЕАЕ - 1 м;
 - KXA 17504-B-X-1600 A-КРЕПЕЖНЫЙ-НЕСТАНДАРТНОГО РАЗМЕРА-4W (x=1040мм, шт=1) KXA 17504 3011661 ЕАЕ м 1.04 - 1,04 м;
 - KXA 17504-B-R-1600 A-КРЕПЕЖНЫЙ-УГЛОВАЯ ВПРАВО-4W KXA 17504 3012066 ЕАЕ - 3 шт;
 - KXA 17504-B-YDT-1600 A-КРЕПЕЖНЫЙ-КОМПЕНСАЦИОННАЯ ГОРИЗОНТАЛЬНАЯ-4W KXA 17504 3013662 ЕАЕ - 3 шт;
 - KXA 17504-B-X-1600 A-КРЕПЕЖНЫЙ-НЕСТАНДАРТНОГО РАЗМЕРА-4W (x=2750мм, шт=2) KXA 17504 3011661 ЕАЕ м 5.50 - 5,5 м;
 - KXA 17504-B-X-1600 A-КРЕПЕЖНЫЙ-НЕСТАНДАРТНОГО РАЗМЕРА-4W (x=950мм, шт=2) KX-S 3011661 ЕАЕ - 1,9 м;
 - KXA 17504-B-X-1600 A-КРЕПЕЖНЫЙ-НЕСТАНДАРТНОГО РАЗМЕРА-4W (x=2840мм, шт=1) KXA 17504 3011661 ЕАЕ - 2,84м;
KX-S-КОНЦЕВАЯ-4W-4.5W-5W (6x160)-A:211 KX-S 3016705 ЕАЕ - 4 шт;
 - KXA 17504-B-X-1600 A-КРЕПЕЖНЫЙ-НЕСТАНДАРТНОГО РАЗМЕРА-4W (x=1950мм, шт=3) KXA 17504 3011661 ЕАЕ - 5,85 м;
 - KXA 17504-B-U-1600 A-КРЕПЕЖНЫЙ-УГЛОВАЯ ВВЕРХ-4W KXA 17504 3011898 ЕАЕ - 4 шт;
 - KXA 17504-B-X-1600 A-КРЕПЕЖНЫЙ-НЕСТАНДАРТНОГО РАЗМЕРА-4W (x=2600мм, шт=2) KXA 17504 3011661 ЕАЕ - 5,2;
 - KXA 17504-B-X-1600 A-КРЕПЕЖНЫЙ-НЕСТАНДАРТНОГО РАЗМЕРА-4W (x=1710мм, шт=1) KXA 17504 3011661 ЕАЕ - 1,71 м;
 - KXA 17504-B-X-1600 A-КРЕПЕЖНЫЙ-НЕСТАНДАРТНОГО РАЗМЕРА-4W (x=1290мм, шт=1) KXA 17504 3011661 ЕАЕ - 1,29 м;
 - KXA 17504-B-TO-1600 A-КРЕПЕЖНЫЙ-ЦЕНТРАЛЬНАЯ СЕКЦИЯ ПИТАНИЯ "T"-4W KXA 17504 3013578 ЕАЕ - 1 шт;
 - KXA 17504-B-X-1600 A-КРЕПЕЖНЫЙ-НЕСТАНДАРТНОГО РАЗМЕРА-4W (x=1850мм, шт=1) KXA 17504 3011661 ЕАЕ - 1,85 м;
 - KXA 17504-B-X-1600 A-КРЕПЕЖНЫЙ-НЕСТАНДАРТНОГО РАЗМЕРА-4W (x=1780мм, шт=1) KXA 17504 3011661 ЕАЕ - 1,78 м;
 - KXA 17504-B-X-1600 A-КРЕПЕЖНЫЙ-НЕСТАНДАРТНОГО РАЗМЕРА-4W (x=1360мм, шт=1) KXA 17504 3011661 ЕАЕ - 1,36 м;
 - KXA 17504-B-BO-1600 A-КРЕПЕЖНЫЙ-БЛОК ПИТАНИЯ С СЕРЕДИНЫ-4W KXA 17504 3015678 ЕАЕ - 2 шт
- KXP 6351-630 A-ВСТАВНОЙ-ОТВЕТВИТЕЛЬНАЯ КОРОБКА-ПУСТО-3P-ПОДХОДИТ ДЛЯ АВТ -27 шт</t>
  </si>
  <si>
    <t xml:space="preserve"> - Выключатель автоматический KEAZ OptiMat-1600-S2-3P-85-F-MR7.0-B-C2200-M2-P00-S1-03 KEAZ - 2 шт;
 - Авт. выкл. NM8N-800S TM 3P 630А 50кА с рег. термомаг. расцепителем (R) NM8N-800S TM CHINT - 27 шт;
 - Выключатель автоматический Протон М-25В-МР4 LSI-ВА50-45Про-1600А-85кА-3П-ГП 7005209 - 2 шт</t>
  </si>
  <si>
    <t xml:space="preserve"> - KXA 17504-P-STD-1600 A-ВСТАВНОЙ-СТАНДАРТНОГО РАЗМЕРА-4W KXA 17504 3011589 ЕАЕ - 432 м;
 - KXA 17504-B-STD-1600 A-КРЕПЕЖНЫЙ-СТАНДАРТНОГО РАЗМЕРА-4W KXA 17504 3011586 ЕАЕ - 87 м;
 - KXA 17504-B-FDM-1600 A-КРЕПЕЖНЫЙ-СЕКЦИЯ ФАЗА ИЗМЕНЕНИЕ-4W KXA 17504 3023020 ЕАЕ - 1 шт;
 - KXA 17504-B-B10-1600 A-КРЕПЕЖНЫЙ-БЛОК ПИТАНИЯ-4W KXA 17504 3015510 ЕАЕ- 2 шт;
 - KXA 17504-B-RH-1600 A-КРЕПЕЖНЫЙ-Z-ОБРАЗНАЯ ГОРИЗОНТАЛЬНАЯ ВПРАВО-4W (y=270мм, шт=2) KXA 17504 3012234 ЕАЕ - 2 шт;
 - KXA 17504-B-TO-1600 A-КРЕПЕЖНЫЙ-ЦЕНТРАЛЬНАЯ СЕКЦИЯ ПИТАНИЯ "T"-4W KXA 17504 3013578 ЕАЕ - 3 шт;
 - KXA 17504-B-X-1600 A-КРЕПЕЖНЫЙ-НЕСТАНДАРТНОГО РАЗМЕРА-4W (x=500мм, шт=2) KXA 17504 3011661 ЕАЕ - 1 м;
 - KXA 17504-B-X-1600 A-КРЕПЕЖНЫЙ-НЕСТАНДАРТНОГО РАЗМЕРА-4W (x=470мм, шт=1) KXA 17504 3011661 ЕАЕ - 0,47 м;
 - KXA 17504-B-L-1600 A-КРЕПЕЖНЫЙ-УГЛОВАЯ ВЛЕВО-4W KXA 17504 3012150 ЕАЕ - 4 шт;
 - KXA 17504-B-X-1600 A-КРЕПЕЖНЫЙ-НЕСТАНДАРТНОГО РАЗМЕРА-4W (x=1040мм, шт=1) KXA 17504 3011661 ЕАЕ - 1,014 м;
 - KXA 17504-B-R-1600 A-КРЕПЕЖНЫЙ-УГЛОВАЯ ВПРАВО-4W KXA 17504 3012066 ЕАЕ - 6 шт;
 - KXA 17504-B-X-1600 A-КРЕПЕЖНЫЙ-НЕСТАНДАРТНОГО РАЗМЕРА-4W (x=1050мм, шт=2) KXA 17504 3011661 ЕАЕ - 2,1 м;
 - KXA 17504-B-X-1600 A-КРЕПЕЖНЫЙ-НЕСТАНДАРТНОГО РАЗМЕРА-4W (x=1080мм, шт=1) KXA 17504 3011661 ЕАЕ - 1,08 м;
 - KXA 17504-B-X-1600 A-КРЕПЕЖНЫЙ-НЕСТАНДАРТНОГО РАЗМЕРА-4W (x=780мм, шт=1) KXA 17504 3011661 ЕАЕ - 0,78 м;
 - KXA 17504-B-R-1600 A-КРЕПЕЖНЫЙ-УГЛОВАЯ ВПРАВО-4W (c=737мм) KXA 17504 3012066 ЕАЕ -1м;
- KXA 17504-B-X-1600 A-КРЕПЕЖНЫЙ-НЕСТАНДАРТНОГО РАЗМЕРА-4W (x=1670мм, шт=1) KXA 17504 3011661 ЕАЕ - 1,67м;
 - KXA 17504-B-U-1600 A-КРЕПЕЖНЫЙ-УГЛОВАЯ ВВЕРХ-4W KXA 17504 3011898 ЕАЕ - 6 шт;
 - KXA 17504-B-U-1600 A-КРЕПЕЖНЫЙ-УГЛОВАЯ ВВЕРХ-4W (c=493мм) KXA 17504 3011898 ЕАЕ -1 шт;
 - KXA 17504-B-X-1600 A-КРЕПЕЖНЫЙ-НЕСТАНДАРТНОГО РАЗМЕРА-4W (x=850мм, шт=4) KXA 17504 3011661 ЕАЕ - 3,4 м;
 - KXA 17504-B-X-1600 A-КРЕПЕЖНЫЙ-НЕСТАНДАРТНОГО РАЗМЕРА-4W (x=1200мм, шт=1) KXA 17504 3011661 ЕАЕ - 1,2 м;
 - KXA 17504-B-X-1600 A-КРЕПЕЖНЫЙ-НЕСТАНДАРТНОГО РАЗМЕРА-4W (x=2300мм, шт=1) KXA 17504 3011661 ЕАЕ - 2,3 м;
 - KXA 17504-B-X-1600 A-КРЕПЕЖНЫЙ-НЕСТАНДАРТНОГО РАЗМЕРА-4W (x=1850мм, шт=1) KXA 17504 3011661 ЕАЕ -1,85;
- KXA 17504-B-X-1600 A-КРЕПЕЖНЫЙ-НЕСТАНДАРТНОГО РАЗМЕРА-4W (x=1770мм, шт=1) KXA 17504 3011661 ЕАЕ - 1,77 м;
 - KXA 17504-B-TYL-1600 A-КРЕПЕЖНЫЙ-Т-ОБРАЗНАЯ ЛЕВАЯ-4W KXA 17504 3013494 ЕАЕ - 2 шт;
 - KXA 17504-B-X-1600 A-КРЕПЕЖНЫЙ-НЕСТАНДАРТНОГО РАЗМЕРА-4W (x=1410мм, шт=1) KXA 17504 3011661 ЕАЕ - 1,41 м;
 - KXA 17504-B-X-1600 A-КРЕПЕЖНЫЙ-НЕСТАНДАРТНОГО РАЗМЕРА-4W (x=1840мм, шт=1) KXA 17504 3011661 ЕАЕ - 1,84 м;
 - KXA 17504-B-X-1600 A-КРЕПЕЖНЫЙ-НЕСТАНДАРТНОГО РАЗМЕРА-4W (x=1860мм, шт=1) KXA 17504 3011661 ЕАЕ - 1,86 м;
 - KXA 17504-B-X-1600 A-КРЕПЕЖНЫЙ-НЕСТАНДАРТНОГО РАЗМЕРА-4W (x=400мм, шт=1) KXA 17504 3011661 ЕАЕ - 0,40 м;
 - KXA 17504-B-R-1600 A-КРЕПЕЖНЫЙ-УГЛОВАЯ ВПРАВО-4W (с=474мм) KXA 17504 3012066 ЕАЕ - 1 шт;
 - KXA 17504-B-X-1600 A-КРЕПЕЖНЫЙ-НЕСТАНДАРТНОГО РАЗМЕРА-4W (x=1400мм, шт=1) KXA 17504 3011661 ЕАЕ - 1,4 м;
 - KXA 17504-B-YDT-1600 A-КРЕПЕЖНЫЙ-КОМПЕНСАЦИОННАЯ ГОРИЗОНТАЛЬНАЯ-4W KXA 17504 3013662 ЕАЕ - 5 шт;
 - KXA 17504-B-X-1600 A-КРЕПЕЖНЫЙ-НЕСТАНДАРТНОГО РАЗМЕРА-4W (x=1000мм, шт=2) KXA 17504 3011661 ЕАЕ м 2.00 - 2 м;
 - KX-S-КОНЦЕВАЯ-4W-4.5W-5W (6x160)-A:211 KX-S 3016705 ЕАЕ - 5 шт;
 - XP 6351-630 A-ВСТАВНОЙ-ОТВЕТВИТЕЛЬНАЯ КОРОБКА-ПУСТО-3P-ПОДХОДИТ ДЛЯ АВТ KXA 17504 3016532 ЕАЕ - 36 шт</t>
  </si>
  <si>
    <t xml:space="preserve"> - Авт. выкл. NM8N-800S TM 3P 630А 50кА с рег. термомаг. расцепителем (R) NM8N-800S TM CHINT - 36 шт;
 - Выключатель автоматический Протон М-25В-МР4 LSI-ВА50-45Про-1600А-85кА-3П-ГП 7005209 - 2 шт</t>
  </si>
  <si>
    <t xml:space="preserve"> - Комплект крепления несущего настенного - 242 шт в составе:
 • Консоль A-STS-D 810 3109013 (4,933 кг/шт) - 1 шт;
 • KX Соединительньй набор для кронштейна (1кг/копл) - 2 шт;
 • Стальной дюбель ЕАЕ M10 5000023 (0,07 кг/шт) - 2 шт;</t>
  </si>
  <si>
    <t xml:space="preserve"> - Комплект крепления потолочного №1 - 177 шт в составе:
 • Деталь крепления TP 2 3006350 - 2 шт;
 • Болт M10 1000566 - 6 шт;
 • Гайка M10 1000522 - 6 шт;
 • Шайба M10 1000504 - 10 шт;
 • M10 Скользящая гайка 1001312 - 2 шт;
 • Потолочная монтажная стойка UDD 1600 3008010 - 2 шт;
 • Соединитель для U-профиля U-65 3006642  - 1 шт;
 • Консоль A-STS-D 810 3109013 - 1 шт;
 • KX Соединительньй набор для кронштейна - 2 шт;
 • Защитный колпачок UDD 1002279 - 1 шт
 - Комплект крепления потолочного №1 - 123 шт в составе:
• Монтажный соединительный элемент ITP 3004336 - 1 шт;
• Монтажная стойка IDY 3000 3030391 - 1 шт; 
• Консоль STK 600 3008291 - 1 шт;
• Комплект болтового соединения M6 x12  - 2 шт;
• Болт M10 1000566 - 2 шт;
• Гайка M10 1000522 - 2 шт;
• Шайба M10 1000504 - 4 шт;
• Защитный колпачок IDY 1002278 - 1 шт</t>
  </si>
  <si>
    <t xml:space="preserve"> - Комплект крепления блока питания - 4 шт в составе:  
 • Деталь крепления TP 2 3006350 - 2 шт;
 • Болт M10 1000566 - 6 шт;
 • Гайка M10 1000522 - 6 шт;
 • Шайба M10 1000504 - 10 шт;
 • M10 Скользящая гайка 1001312 - 2 шт;
 • Потолочная монтажная стойка UDD 1600 3008010 - 2 шт;
 • Соединитель для U-профиля U-65 3006642  - 1 шт;
 • Консоль A-STS-D 810 3109013 - 1 шт;
 • KX Соединительньй набор для кронштейна - 2 шт;
 • Защитный колпачок UDD 1002279 - 1 шт</t>
  </si>
  <si>
    <t xml:space="preserve"> - Комплект крепления концевых коробок - 8 шт в составе:  
 • Консоль A-STS-D 810 3109013 (4,933 кг/шт) - 1 шт;
 • KX Соединительньй набор для кронштейна (1кг/копл) - 2 шт;
 • Стальной дюбель ЕАЕ M10 5000023 (0,07 кг/шт) - 2 шт;</t>
  </si>
  <si>
    <t xml:space="preserve"> - Кабель силовой с медными жилами ВВГнг(А)-LS 1х185 мм2 - 320 м (без учета затрат на трудноустранимые потери)</t>
  </si>
  <si>
    <t xml:space="preserve"> - Кабельная муфта 1ПКТ-1-150/240(Б)нг-LS - 128 шт</t>
  </si>
  <si>
    <t>На глубину  1,4 м - 17,6 м
На глубину 3,1 м - 54,5 м</t>
  </si>
  <si>
    <t>На глубину 3,1 м - 54,5 м</t>
  </si>
  <si>
    <t>Уточнить у Заказчика место складирования и его удаленность от объекта производства работ</t>
  </si>
  <si>
    <t>Уточнить у Заказчика место складирования/ утилизации и его удаленность от объекта производства работ</t>
  </si>
  <si>
    <t xml:space="preserve"> - Труба КОРСИС ПРО DN/OD 250 SN16 - 12 м</t>
  </si>
  <si>
    <t xml:space="preserve"> - Труба КОРСИС ПРО DN/OD 315 SN16 - 6 м</t>
  </si>
  <si>
    <t xml:space="preserve"> - Труба КОРСИС ПРО DN/OD 350 SN16 - 122 м
 - Кольцо уплотнительного для труб КОРСИС ПРО DN/OD 350 SN16 - 21 шт</t>
  </si>
  <si>
    <t xml:space="preserve"> - Крышка колодца П-10-1 - 5 шт;
 - Кольцо с дном КЦД 10-9 - 3 шт;
 - Плита днища ПД-10 - 2 шт;
 - Кольцо опорное КО-6 - 5 шт;
 - Стеновое кольцо КС-10-5 - 2 шт;
 - Стеновое кольцо КС-10-8 - 2 шт;
 - Стеновое кольцо КС-10-9 - 5 шт;
 - Стеновое кольцо КС-10-10 - 2 шт;
 - Люк чугунный тип Т - 5 шт;
 - Ходовые скобы СК-1 - 30 шт;
 - Бетон тяжелый В15 - 0,75 м3
 - Песок строительный - 0,55 м3</t>
  </si>
  <si>
    <t xml:space="preserve"> - Мастика битумная  - 0,1746 т</t>
  </si>
  <si>
    <t xml:space="preserve"> - отверстий диаметром 250 мм - 4 шт;
 - отверстий диаметром 315 мм - 2 шт;
 - отверстий диаметром 350 мм - 12 шт;</t>
  </si>
  <si>
    <t xml:space="preserve"> - Муфта Корсис для прохода через ЖБИ DN/OD 250, вес 1,015кг - 4 шт/0,0042 т;
 - Муфта Корсис для прохода через ЖБИ DN/OD 315, вес 1,8кг - 2 шт/0,0036 т;
 - Муфта Корсис для прохода через ЖБИ DN/OD 350  вес 3,5 кг - 12 шт/0,042 т</t>
  </si>
  <si>
    <t xml:space="preserve"> - Шкаф управления системами противодымной  вентиляции ШКВАЛ 210-02200Р*1- 6К*1 - 6 шт;
 - Шкаф управления системами противодымной  вентиляции ШКВАЛ 210-
01500Р*1- 6К*1 - 2шт</t>
  </si>
  <si>
    <t xml:space="preserve"> - Коробка распределительная огнестойкая КРОПС, IP41, габаритные размеры 80х80х35 мм, для кабелей сечением до 2,5 мм2, 6 клемм - 16 шт</t>
  </si>
  <si>
    <t>Терминальная плата - TRB-110– 16 шт.</t>
  </si>
  <si>
    <t xml:space="preserve"> - Ответвительная коробка KXP 1651-160 А - вставкой с компактным выключателем-3Р - 16 шт</t>
  </si>
  <si>
    <t xml:space="preserve"> - Трубы из самозатухающего ПВХ гибкие гофрированные, тяжелые, с протяжкой, номинальный внутренний диаметр 40 мм - 1701 м (без учета затрат на  трудноустранимые потери);
 - Скобы однолапковые СМО 38-40 - 5103 шт;
 - Трубы из самозатухающего ПВХ гибкие гофрированные, тяжелые, с протяжкой, номинальный внутренний диаметр 25 мм - 324 м (без учета затрат на  трудноустранимые потери);
 - Скобы однолапковые СМО 25-26 - 982 шт;</t>
  </si>
  <si>
    <t xml:space="preserve"> - Кабель силовой не распространяющий горения, не содержащий галогенов
ППГнг-А-FRHF 5х16 - 429 м (без учета затрат на  трудноустранимые потери);
 - Кабель силовой не распространяющий горения, не содержащий галогенов
ППГнг-А-FRHF 5х10 - 148 м (без учета затрат на  трудноустранимые потери);
- Кабель силовой не распространяющий горения, не содержащий галогенов
ППГнг-А-FRHF 4х10 - 60 м (без учета затрат на  трудноустранимые потери);
 - Кабель силовой не распространяющий горения, не содержащий галогенов
ППГнг-А-FRHF 4х6 - 20 м (без учета затрат на  трудноустранимые потери);
 - Кабель силовой не распространяющий горения, не содержащий галогенов
ППГнг-А-FRHF 3х2,5 - 80 м (без учета затрат на  трудноустранимые потери);
 - Кабель для систем ОПС и СОУЭ огнестойкий, не поддерживающий горения, неэкранированный   КПСнг(А)-FRLS 1х2х1,0 - 1258 м (без учета затрат на  трудноустранимые потери);</t>
  </si>
  <si>
    <t xml:space="preserve"> - Труба стальная водогазопроводная 50х3,5 - 5 м</t>
  </si>
  <si>
    <t xml:space="preserve"> - Пена противопожарная, марка "PROMAFOAM-C" (700 мл) - 1 шт</t>
  </si>
  <si>
    <t xml:space="preserve"> - Шкаф управления пожарный люками дымовыми ШКВАЛ-ЛК-02- (В+В)-Х - 3 шт;
 - Шкаф управления пожарный люками дымовыми ШКВАЛ-ЛК-02- (В+ЦШ)-Х - 1 шт</t>
  </si>
  <si>
    <t xml:space="preserve"> - Коробка распределительная огнестойкая КРОПС, IP41, габаритные размеры 80х80х35 мм, для кабелей сечением до 2,5 мм2, 6 клемм - 63 шт</t>
  </si>
  <si>
    <t xml:space="preserve"> - Ответвительная коробка KXP 1651-160 А - вставкой с компактным выключателем-3Р  - 2 шт</t>
  </si>
  <si>
    <t xml:space="preserve"> - Трубы из самозатухающего ПВХ гибкие гофрированные, тяжелые, с протяжкой, номинальный внутренний диаметр 16 мм - 1981 м (без учета затрат на  трудноустранимые потери);
 - Скобы однолапковые СМО 16-17 - 5943 шт;
- Трубы из самозатухающего ПВХ гибкие гофрированные, тяжелые, с протяжкой, номинальный внутренний диаметр 32 мм - 60 м (без учета затрат на  трудноустранимые потери);
 - Скобы однолапковые СМО 16-17 - 180 шт;
 - Трубы из самозатухающего ПВХ гибкие гофрированные, тяжелые, с протяжкой, номинальный внутренний диаметр 25 мм - 76 м (без учета затрат на  трудноустранимые потери);
 - Скобы однолапковые СМО 25-26 -218 шт;</t>
  </si>
  <si>
    <t xml:space="preserve"> - Кабель силовой не распространяющий горения, не содержащий галогенов
ППГнг-А-FRHF 3х10 - 1064 м (без учета затрат на  трудноустранимые потери);
 - Кабель силовой не распространяющий горения, не содержащий галогенов
ППГнг-А-FRHF 3х4 - 40 м (без учета затрат на  трудноустранимые потери);
- Кабель силовой не распространяющий горения, не содержащий галогенов
ППГнг-А-FRHF 3х1,5 - 320 м (без учета затрат на  трудноустранимые потери);
 - Кабель для систем ОПС и СОУЭ огнестойкий, не поддерживающий горения, неэкранированный   КПСнг(А)-FRLS 1х2х1,0 - 659 м (без учета затрат на  трудноустранимые потери);
 - Кабель для систем ОПС и СОУЭ огнестойкий, не поддерживающий горения, неэкранированный   КПСнг(А)-FRLS 2х2х1,0 - 64 м (без учета затрат на  трудноустранимые потери);  </t>
  </si>
  <si>
    <t>-Устройство дистанционного пуска «УДП 513-3АМ исп.02» - 10 шт.</t>
  </si>
  <si>
    <t>- Блок сигнально-пусковой С2000 КПБ – 2 шт.</t>
  </si>
  <si>
    <t>- Модуль подключения нагрузки - 12шт</t>
  </si>
  <si>
    <t>Уточнить состав рубероида, мастику, порядок утилизации отходов.</t>
  </si>
  <si>
    <t>Толщина указана, но нет данных об армировании, классе бетона и утилизации.</t>
  </si>
  <si>
    <t>В примечаниях только масса/объем. Не указаны закладные детали, арматура, мастика.</t>
  </si>
  <si>
    <t>Проверить учет кабельных лотков, крепежа, гофры, наконечников.</t>
  </si>
  <si>
    <t>Нет уплотнителей, виброизоляторов, огнезащиты, герметизации.</t>
  </si>
  <si>
    <t>Кол-во материала</t>
  </si>
  <si>
    <t>тн</t>
  </si>
  <si>
    <r>
      <t xml:space="preserve">Рубероид относится к </t>
    </r>
    <r>
      <rPr>
        <b/>
        <sz val="11"/>
        <color theme="1"/>
        <rFont val="Calibri"/>
        <family val="2"/>
        <scheme val="minor"/>
      </rPr>
      <t>строительным отходам IV–V класса опасности</t>
    </r>
    <r>
      <rPr>
        <sz val="11"/>
        <color theme="1"/>
        <rFont val="Calibri"/>
        <family val="2"/>
        <scheme val="minor"/>
      </rPr>
      <t>.(каталог отходов) Заложить расходы на сдачу на полигон. расход битумной мастики — 0,8–1,2 кг/м²</t>
    </r>
  </si>
  <si>
    <t>толщина?</t>
  </si>
  <si>
    <t>толщина ?</t>
  </si>
  <si>
    <t>вес в среднем 2,4тн/1м3</t>
  </si>
  <si>
    <t>Каркас остекления из металлических уголков</t>
  </si>
  <si>
    <t>проверить на задвоение</t>
  </si>
  <si>
    <t>Толщина 1 слоя рубероида - 7 мм. S=9,491мх78,52м=745,47 м2 (общая площадь одного слоя). Нагрузка на 1м2 от 1 слоя рубероида - 2 кг/м2. Общая масса: (745,47м2*2кг/м2)*1слой=1490,94 кг=1,49 т</t>
  </si>
  <si>
    <t>Каркас остекления из металлических элементов</t>
  </si>
  <si>
    <t xml:space="preserve"> уголок 50х5 по ГОСТ 8509-93 L-6,669п.м. </t>
  </si>
  <si>
    <t xml:space="preserve"> полоса 50х8х70 (сухарик) 8 шт </t>
  </si>
  <si>
    <t xml:space="preserve"> уголок 56х5 по ГОСТ 8509-93 общ.длина 17,24 п.м.,</t>
  </si>
  <si>
    <t>уголок 50х5 (шпренгель) по ГОСТ 8509-93 общ.длина 7,2 п.м</t>
  </si>
  <si>
    <t>фасонные элементы из полосовой стали по ГОСТ 103—2006, 4 шт</t>
  </si>
  <si>
    <t>полоса 50х8х70 (сухарик), 4 шт.,</t>
  </si>
  <si>
    <t>Полоса 75×5, общ. длина 10 м</t>
  </si>
  <si>
    <t>Уголок 63×6 (шпренгель) по ГОСТ 8509-93, общ. длина 11,67 п.м.</t>
  </si>
  <si>
    <t>Фасонные элементы из полосовой стали по ГОСТ 103-2006 и листовой по ГОСТ 19903-2015, 6 шт</t>
  </si>
  <si>
    <t>Полоса 50×8×80 (сухарик), 6 шт</t>
  </si>
  <si>
    <t>Полоса 50×8×70 (сухарик), 8 шт</t>
  </si>
  <si>
    <t>Уголок 56×5 по ГОСТ 8509-93, общ. длина 29,21 п.м.</t>
  </si>
  <si>
    <t>Полоса 160×6 по ГОСТ 103-2006, общ. длина 6,9 п.м.</t>
  </si>
  <si>
    <t>Уголок 50×5 (шпренгель) по ГОСТ 8509-93, общ. длина 7,36 п.м.</t>
  </si>
  <si>
    <t>Фасонные элементы из полосовой стали по ГОСТ 103-2006, 2 шт</t>
  </si>
  <si>
    <t>Полоса 50×8×70 (сухарик), 4 шт</t>
  </si>
  <si>
    <t>Уголок 50×5 по ГОСТ 8509-93, общ. длина 6,788 п.м.</t>
  </si>
  <si>
    <t>Уголок 90×8 (шпренгель) по ГОСТ 8509-93, общ. длина 4,77 п.м.</t>
  </si>
  <si>
    <t>Уголок 56×5 (шпренгель) по ГОСТ 8509-93, общ. длина 11,8 п.м.</t>
  </si>
  <si>
    <t>Фасонные элементы из полосовой стали по ГОСТ 103-2006 и листовой по ГОСТ 19903-2015, 12 шт</t>
  </si>
  <si>
    <t>Полоса 50×8×110 (сухарик), 2 шт</t>
  </si>
  <si>
    <t>Полоса 50×8×75 (сухарик), 8 шт</t>
  </si>
  <si>
    <t>Уголок 56×5 по ГОСТ 8509-93, общ. длина 8,87 п.м.</t>
  </si>
  <si>
    <t>Уголок 50×5 (шпренгель) по ГОСТ 8509-93, общ. длина 6,5 п.м.</t>
  </si>
  <si>
    <t>Фасонные элементы из полосовой стали по ГОСТ 103-2006, 4 шт</t>
  </si>
  <si>
    <t>Уголок 50×5 по ГОСТ 8509-93, общ. длина 5,902 п.м.</t>
  </si>
  <si>
    <t>Уголок 50×5 (шпренгель) по ГОСТ 8509-93, общ. длина 16,86 п.м.</t>
  </si>
  <si>
    <t>Полоса 50×8×70 (сухарик), 12 шт</t>
  </si>
  <si>
    <t>Труба профильная 80×4, L=5,522 м, ГОСТ 30245-2003</t>
  </si>
  <si>
    <t>Полоса 100×5×45 (заглушка), ГОСТ 103-2006 — по 4 шт на распорку</t>
  </si>
  <si>
    <t xml:space="preserve">Одна распорка состоит из: одна труба 80х4 длиной 5,835 м по ГОСТ 30245-2003, масса 53,8 кг; Полоса 100х5х45 (заглушка) по ГОСТ 103—2006, 4 шт, общ.масса 0,71 кг; Лист 210х10х220 (фасонка) по ГОСТ 19903-2015, 2 шт,  общ.масса 7,25 кг. Общая масса одной распорки 61,76 кг. Всего распорок - 50 шт. Общ.масса распорок: 50шт х 61,76кг= 3088,0кг. 
Болт М20 по ГОСТ 7798-70, 4 шт, общ.масса 0,91 кг; Гайка М20 по ГОСТ 5915-70, 8 шт,  общ.масса 0,57 кг; Шайба А.20 по ГОСТ 11371-78, 8 шт, общ.масса 0,14 кг. Общая масса= 1,62 кг*50шт=81,0кг. 
</t>
  </si>
  <si>
    <t>Труба 80×4, L=5,835 м, ГОСТ 30245-2003</t>
  </si>
  <si>
    <t>Полоса 100×5×45 (заглушка), ГОСТ 103-2006</t>
  </si>
  <si>
    <t>Лист 210×10×220 (фасонка), ГОСТ 19903-2015</t>
  </si>
  <si>
    <t>Болт М20, ГОСТ 7798-70 (4 шт/распорку)</t>
  </si>
  <si>
    <t>Гайка М20, ГОСТ 5915-70 (8 шт/распорку)</t>
  </si>
  <si>
    <t>Шайба А.20, ГОСТ 11371-78 (8 шт/распорку)</t>
  </si>
  <si>
    <t>Труба 80×4, L=5,48 м, ГОСТ 30245-2003</t>
  </si>
  <si>
    <t>Лист 180×10×240 (фасонка), ГОСТ 19903-2015</t>
  </si>
  <si>
    <t>Труба 80×4, L=5,836 м, ГОСТ 30245-2003</t>
  </si>
  <si>
    <t>олт М20, ГОСТ 7798-70 (4 шт/распорку)</t>
  </si>
  <si>
    <t>Полоса 200×10×270 (фасонка), ГОСТ 103-2006 — 2 шт/распорку</t>
  </si>
  <si>
    <t>Полоса 50×10×120 (сухарик) — 7 шт/распорку</t>
  </si>
  <si>
    <t>Два уголка 75×6, L=5,54 м, ГОСТ 8509-93</t>
  </si>
  <si>
    <t>Два уголка 110×70×8, L=5,852 м, ГОСТ 8510-86</t>
  </si>
  <si>
    <t>Болт М20, ГОСТ 7798-70 (4 шт)</t>
  </si>
  <si>
    <t>Гайка М20, ГОСТ 5915-70 (8 шт)</t>
  </si>
  <si>
    <t>Шайба А.20, ГОСТ 11371-78 (8 шт)</t>
  </si>
  <si>
    <t>Полоса 50×10 (сухарик), 7 шт</t>
  </si>
  <si>
    <t>Лист 270×10 (фасонка), 2 шт</t>
  </si>
  <si>
    <t>Болт М20 (4 шт)</t>
  </si>
  <si>
    <t>Гайка М20 (8 шт)</t>
  </si>
  <si>
    <t>Шайба А.20 (8 шт)</t>
  </si>
  <si>
    <t>Два уголка 110×70×8, L=5,54 м, ГОСТ 8510-86</t>
  </si>
  <si>
    <t>Труба 80×4, L=2,675 м, ГОСТ 30245-2003</t>
  </si>
  <si>
    <t>Уголок 63×6, ГОСТ 8509-93, L=12,0 м</t>
  </si>
  <si>
    <t>Уголок 50×5, ГОСТ 8509-93, L=18,14 м</t>
  </si>
  <si>
    <t>Уголок 63×6, ГОСТ 8509-93</t>
  </si>
  <si>
    <t>Уголок 50×5, ГОСТ 8509-93</t>
  </si>
  <si>
    <t>Уголок 56×5, ГОСТ 8509-93</t>
  </si>
  <si>
    <t>Полоса 100х5 по ГОСТ 103—2006, длиной 6,0 м,</t>
  </si>
  <si>
    <t>Уголок 25х5 по ГОСТ 8509-93, длиной 12 м</t>
  </si>
  <si>
    <t>Полоса 100×5, ГОСТ 103-2006</t>
  </si>
  <si>
    <t>Полоса 85×8×315 (фасонка), ГОСТ 103-2006 — 2 шт/узел</t>
  </si>
  <si>
    <t>Полоса 50×8×70 (сухарик), ГОСТ 103-2006 — 3 шт/узел</t>
  </si>
  <si>
    <t>Полоса 85×8×317 (фасонка), ГОСТ 103-2006</t>
  </si>
  <si>
    <t>Полоса 50×8×70 (сухарик), ГОСТ 103-2006</t>
  </si>
  <si>
    <t>Полоса 85×8×323 (фасонка), ГОСТ 103-2006</t>
  </si>
  <si>
    <t>руба 70×4, ГОСТ 30245-2003</t>
  </si>
  <si>
    <t>Труба 70×7, ГОСТ 30245-2003</t>
  </si>
  <si>
    <t>Листовая сталь (фасонки), ГОСТ 19903-2015 — 3 шт/узел</t>
  </si>
  <si>
    <t>Полоса 90×5×40 (заглушка), ГОСТ 103-2006 — 4 шт/узел</t>
  </si>
  <si>
    <t>Крепёж (болт М20/гайка М20/шайба А.20)</t>
  </si>
  <si>
    <t>Уголок 75×6, ГОСТ 8509-93</t>
  </si>
  <si>
    <t>Полоса 50×8×85 (сухарик)</t>
  </si>
  <si>
    <t>Крепёж (болт М16/гайка М16/шайба А.16)</t>
  </si>
  <si>
    <t>Лист (фасонка), ГОСТ 19903-2015 — 1 шт/узел</t>
  </si>
  <si>
    <t>Уголок 63×6, ГОСТ 8509-93, L=15,08 м</t>
  </si>
  <si>
    <t>Лист (фасонка) 220×480×10, ГОСТ 19903-2015</t>
  </si>
  <si>
    <t>Лист (фасонка) 313×370×10 — 4 шт, ГОСТ 19903-2015</t>
  </si>
  <si>
    <t>Крепёж (М20 и М16 в сумме)</t>
  </si>
  <si>
    <t>Болт М20, ГОСТ 7798-70 (1 шт на соединение)</t>
  </si>
  <si>
    <t>Гайка М20, ГОСТ 5915-70 (2 шт на соединение)</t>
  </si>
  <si>
    <t>Шайба А.20, ГОСТ 11371-78 (2 шт на соединение)</t>
  </si>
  <si>
    <t>Уголок 80×6, ГОСТ 8509-93</t>
  </si>
  <si>
    <t>Уголок 90×8, ГОСТ 8509-93</t>
  </si>
  <si>
    <t>Уголок 100×63×10, ГОСТ 8509-93</t>
  </si>
  <si>
    <t>Сухарик металлический, 78 шт (≈0,73 кг/шт)</t>
  </si>
  <si>
    <t>Уголок 140×10, ГОСТ 8509-93 (0,26 м; 1 шт/узел) — на 4 узла</t>
  </si>
  <si>
    <t>Полоса 125×8 (ребро, 0,125 м; 2 шт/узел) — на 4 узла</t>
  </si>
  <si>
    <t>Болт М18, ГОСТ 7798-70 (4 шт/узел)</t>
  </si>
  <si>
    <t>Гайка М18, ГОСТ 5915-70 (8 шт/узел)</t>
  </si>
  <si>
    <t>Шайба А.18, ГОСТ 11371-78 (8 шт/узел)</t>
  </si>
  <si>
    <t>Огрунтовка ГФ-021 (1 слой)</t>
  </si>
  <si>
    <t>Покрытие новых элементов усиления слоем эмали ПФ-115 ГОСТ 6465-76 за 2 раза, цвет RAL9016</t>
  </si>
  <si>
    <t>Полоса 75х10 (ребро) по ГОСТ 103—2006, длина 0,125 м, 1 шт</t>
  </si>
  <si>
    <t>Уголок 75×5, ГОСТ 8509-93 (ФФ-3, L=72,1 м на 2 торца)</t>
  </si>
  <si>
    <t>Труба 70×4, ГОСТ 30245-2003 (ФФ-3, L=310,75 м)</t>
  </si>
  <si>
    <t>Уголок 75×5, ГОСТ 8509-93 (ФФ-2, L=64,77 м на 2 торца)</t>
  </si>
  <si>
    <t>Труба 70×4, ГОСТ 30245-2003 (ФФ-2, L=310,75 м)</t>
  </si>
  <si>
    <t>Уголок 75×5, ГОСТ 8509-93 (ФФ-1, L=127,94 м на 4 торца)</t>
  </si>
  <si>
    <t>Труба 70×4, ГОСТ 30245-2003 (ФФ-1, L=621,92 м)</t>
  </si>
  <si>
    <t>м4</t>
  </si>
  <si>
    <r>
      <t xml:space="preserve">ОАК (4М1-16-4М1) 1700-77866-24 Д2 РП ГОСТ 21519-2003, ЛСКОС ПР-П ГОСТ Р 56288-2014 — </t>
    </r>
    <r>
      <rPr>
        <b/>
        <i/>
        <sz val="11"/>
        <color theme="1"/>
        <rFont val="Calibri"/>
        <family val="2"/>
        <charset val="204"/>
        <scheme val="minor"/>
      </rPr>
      <t>ФФ-3</t>
    </r>
  </si>
  <si>
    <r>
      <t xml:space="preserve">ОАК (4М1-16-4М1) 1660-77812-24 Д2 РП ГОСТ 21519-2003, ЛСКОС ПР-П ГОСТ Р 56288-2014 — </t>
    </r>
    <r>
      <rPr>
        <b/>
        <i/>
        <sz val="11"/>
        <color theme="1"/>
        <rFont val="Calibri"/>
        <family val="2"/>
        <charset val="204"/>
        <scheme val="minor"/>
      </rPr>
      <t>ФФ-2</t>
    </r>
  </si>
  <si>
    <r>
      <t xml:space="preserve">ОАК (4М1-16-4М1) 1650-77880-24 Д2 РП ГОСТ 21519-2003, ЛСКОС ПР-П ГОСТ Р 56288-2014 — </t>
    </r>
    <r>
      <rPr>
        <b/>
        <i/>
        <sz val="11"/>
        <color theme="1"/>
        <rFont val="Calibri"/>
        <family val="2"/>
        <charset val="204"/>
        <scheme val="minor"/>
      </rPr>
      <t>ФФ-1</t>
    </r>
  </si>
  <si>
    <t>м²</t>
  </si>
  <si>
    <t xml:space="preserve">Уголок 63х6 по ГОСТ 8509-93, Lобщ=175,5 п.м., масса 1 п.м. = 5,72 кг, Общая масса: 175,5п.м.*5,72кг/п.м.=1003,9 кг
Крепление уголков: Шпилька резьбовая fischer GM GVZ 8.8.метровая для химического анкера ОЦ, M12x1000 мм на спец. клеевом составе:
352 шпильки *0,125 м=44 п.м=44 шпильки
Клеевой состав Магификс Е500 производителя Росатом:
V= 0,0014м3=1,4л; 1,4*1,65=2,31кг
Гайка М12 по  ГОСТ 5915-70 - 352 шт, m=5,5 кг; Шайба М12 по ГОСТ 11371-78 - 352 шт, m=2,2 кг </t>
  </si>
  <si>
    <t>Шпилька резьбовая fischer GM GVZ 8.8 оц., M12×1000 мм (для хим. анкера)</t>
  </si>
  <si>
    <t>Клеевой состав Магификс Е500 (Росатом)</t>
  </si>
  <si>
    <t>Гайка М12, ГОСТ 5915-70 (всего 352 шт)</t>
  </si>
  <si>
    <t>Шайба М12, ГОСТ 11371-78 (всего 352 шт)</t>
  </si>
  <si>
    <t>Уголок 63×6, ГОСТ 8509-93 (Lобщ = 175,5 п.м; 5,72 кг/п.м)</t>
  </si>
  <si>
    <t>Профилированный лист Н-60х845</t>
  </si>
  <si>
    <t>Общ.S кровли согласно проекту: 6146,5м2+3431,3м2=9577,8м2. 
Согласно расчету Металл профиль (с учетом нахлеста): Профилированный лист Н-60х845 - 10459,47 м2, Объм материала брать согласно расчета производителя материала (КП). 
Масса 1 м2 профлиста Н60-845-0,8 = 9,94 кг/м2, общ.масса на всю площадь= 10459,47 м2*9,94кг/м2=103967,1кг
Саморезы для крепления проф.листа</t>
  </si>
  <si>
    <t>Саморезы для крепления проф.листа 10 шт/м2</t>
  </si>
  <si>
    <t>Плиты ТЕХНОРУФ Н ПРОФ λ/Б=0,037Вт/(м·°С) - 60мм -574,7м2 (расход 1,03)</t>
  </si>
  <si>
    <t>Плиты LOGICPIR SLOPE СХ/СХ (1,7% элемент А) -110,88м2/2,22м3 (расход 1,05)</t>
  </si>
  <si>
    <t>Плиты LOGICPIR SLOPE СХ/СХ (1,7% элемент В) - 110,88 м2/4,44 м3 (расход 1,05)</t>
  </si>
  <si>
    <t>Плиты LOGICPIR SLOPE СХ/СХ (3,4% элемент J)-5073,12м2/152,19м3 (расход 1,1)</t>
  </si>
  <si>
    <t>Плиты LOGICPIR SLOPE СХ/СХ (элемент С40 мм) -486,72м2/19,47м3 (расход 1,1)</t>
  </si>
  <si>
    <t>Плиты из PIR - LOGICPIR PROF Ф/Ф λ/Б=0,025Вт/(м·°С) - 40мм-383,1м3 (расход 1,03)</t>
  </si>
  <si>
    <t>116,424/2,331</t>
  </si>
  <si>
    <t>116,424/4,662</t>
  </si>
  <si>
    <t>5580,432/167,409</t>
  </si>
  <si>
    <t>535,392/21,417</t>
  </si>
  <si>
    <t>9864,825/394,593</t>
  </si>
  <si>
    <t>LOGICROOF V-RP (полоса 650 мм), с k=1,11</t>
  </si>
  <si>
    <t>Рейка прижимная алюминиевая ТехноНИКОЛЬ</t>
  </si>
  <si>
    <t>Паробарьер СА500, с k=1,18</t>
  </si>
  <si>
    <t>Противопожарный материал LOGICROOF NG, с k=1,03</t>
  </si>
  <si>
    <t>Рейка краевая алюминиевая ТехноНИКОЛЬ</t>
  </si>
  <si>
    <t>Герметик ТехноНИКОЛЬ ПУ 600 мл</t>
  </si>
  <si>
    <t>Устройство Примыкания кровельной системы к обшивке фонаря</t>
  </si>
  <si>
    <t>ТЕХНОРУФ Н ПРОФ, 50 мм - 0,015м3  (учесть k=1,03)</t>
  </si>
  <si>
    <t>Саморезы (расход 5шт/м2)</t>
  </si>
  <si>
    <t>472,2/23,61</t>
  </si>
  <si>
    <t>Перепроверить кубатуру/толщину</t>
  </si>
  <si>
    <t>Общая длина примыканий - 705,3 м.п (L=78,298м*4+9,11м*4+78,308м*2+9,122м*2+78,298м*2+12,1м*2=705,288 п.м. ≈705,3 п.м. Расход материала на 1п.м.: 
LOGICROOF V-RP, ширина 2.1 м, 1.5 мм (ширина листа мембраны 650*мм) - 0,65 м2 (учесть k=1,11);;   
Рейка прижимная алюминиевая ТехноНИКОЛЬ - 1 п.м.; 
Паробарьер СА500 - 0,25 м2 (учесть k=1,18); 
Противопожарный защитный материал LOGICROOF NG - 2 м2 (учесть k=1,03); 
Рейка краевая алюминиевая ТехноНИКОЛЬ - 1п.м.;
Герметик ТехноНИКОЛЬ ПУ 600 мл - 0,25шт.</t>
  </si>
  <si>
    <t>Оцинкованная сталь 0,7 мм на компенсатор (0,54 м²/п.м.)</t>
  </si>
  <si>
    <t>Саморез сверлоконечный Ø4,2×25 с прессшайбой</t>
  </si>
  <si>
    <t>п.м./м2</t>
  </si>
  <si>
    <r>
      <t>Компенсатор из оцинкованной стали 0,7 мм (развёртка 540 мм)</t>
    </r>
    <r>
      <rPr>
        <b/>
        <i/>
        <sz val="11"/>
        <color theme="1"/>
        <rFont val="Calibri"/>
        <family val="2"/>
        <charset val="204"/>
        <scheme val="minor"/>
      </rPr>
      <t>(работа)</t>
    </r>
  </si>
  <si>
    <t>Устройство парапета (Н=1,24м)</t>
  </si>
  <si>
    <t>Саморезы примерно 8шт/п.м.</t>
  </si>
  <si>
    <r>
      <t>Оцинкованная сталь 0,7 мм на уголок (</t>
    </r>
    <r>
      <rPr>
        <b/>
        <i/>
        <sz val="11"/>
        <color theme="1"/>
        <rFont val="Calibri"/>
        <family val="2"/>
        <charset val="204"/>
        <scheme val="minor"/>
      </rPr>
      <t>0,425 м²/п.м.</t>
    </r>
    <r>
      <rPr>
        <i/>
        <sz val="11"/>
        <color theme="1"/>
        <rFont val="Calibri"/>
        <family val="2"/>
        <charset val="204"/>
        <scheme val="minor"/>
      </rPr>
      <t>)</t>
    </r>
  </si>
  <si>
    <t>V=375,3п.м.*0,028м3/п.м.=10,51м3. Коэффициент расхода k по материалу: для теплоизоляции ТЕХНОРУФ Н ПРОФ k=1,03  10,5/0,05=210м2
Саморезы (расход 5шт/м2)</t>
  </si>
  <si>
    <t>м²/тн</t>
  </si>
  <si>
    <t>159,503/0,876</t>
  </si>
  <si>
    <t>Теплоизоляция ТЕХНОРУФ Н ПРОФ k=1,03</t>
  </si>
  <si>
    <t>Полимерная мембрана LOGICROOF V-RP 1,5 мм</t>
  </si>
  <si>
    <t>Геотекстиль иглопробивной 300 г/м²</t>
  </si>
  <si>
    <t>Паробарьер СА500</t>
  </si>
  <si>
    <t>Рейка в шве стальной ТехноНИКОЛЬ</t>
  </si>
  <si>
    <t>Праймер (на покрытие 0,1 м²/п.м × 375,3 п.м = 37,53 м²)</t>
  </si>
  <si>
    <t>9,38–13,14</t>
  </si>
  <si>
    <t>Полимерная мембрана LOGICROOF V-RP 1,5мм
(Общ.S = 1,24*375,3п.м=465,372м2. Расход 1,11)
Геотекстиль иглопробивной термообработанного 300 г/м2
(Общ. S=375,3п.м.*0,535м2/п.м.=200,79м2.Расход 1,1)
(Общ.S покрытия = 0,1м2/п.м.*375,3п.м.=37,53м2. Расход праймера —0,25–0,35 л/м2)
Паробарьер СА500-93,825 (расход 1,18)
Рейка прижимная алюминиевая ТехноНИКОЛЬ-375,3м
Рейка в шве стальной ТехноНИКОЛЬ-375,3м</t>
  </si>
  <si>
    <t>Развертка листа = 0,912 м. Общ.S=0,912м*375,3м=342,3м2
Костыли устанавливаются с шагом 500 мм, т.е. в расчете 2 шт на 1 п.м. Общ. кол-во: 2шт/п.м.*375,3п.м.=750,6=751 шт.</t>
  </si>
  <si>
    <r>
      <t xml:space="preserve">Оцинкованная сталь (развёртка </t>
    </r>
    <r>
      <rPr>
        <b/>
        <i/>
        <sz val="11"/>
        <color theme="1"/>
        <rFont val="Calibri"/>
        <family val="2"/>
        <charset val="204"/>
        <scheme val="minor"/>
      </rPr>
      <t>0,912 м</t>
    </r>
    <r>
      <rPr>
        <i/>
        <sz val="11"/>
        <color theme="1"/>
        <rFont val="Calibri"/>
        <family val="2"/>
        <charset val="204"/>
        <scheme val="minor"/>
      </rPr>
      <t xml:space="preserve"> на 1 п.м.)</t>
    </r>
  </si>
  <si>
    <r>
      <t xml:space="preserve">Костыли кровельные (шаг 0,5 м = </t>
    </r>
    <r>
      <rPr>
        <b/>
        <i/>
        <sz val="11"/>
        <color theme="1"/>
        <rFont val="Calibri"/>
        <family val="2"/>
        <charset val="204"/>
        <scheme val="minor"/>
      </rPr>
      <t>2 шт/п.м.</t>
    </r>
    <r>
      <rPr>
        <i/>
        <sz val="11"/>
        <color theme="1"/>
        <rFont val="Calibri"/>
        <family val="2"/>
        <charset val="204"/>
        <scheme val="minor"/>
      </rPr>
      <t>)</t>
    </r>
  </si>
  <si>
    <t>Кровельное ограждение ТЕХНОНИКОЛЬ KO/PRO/PH/800-3 (секция 3,0 м)</t>
  </si>
  <si>
    <t>компл.</t>
  </si>
  <si>
    <t>Шпилька резьбовая M12×1000 (для хим. анкера)</t>
  </si>
  <si>
    <t>Клеевой состав для химических анкеров</t>
  </si>
  <si>
    <t>Герметик ТЕХНОНИКОЛЬ ПУ</t>
  </si>
  <si>
    <t>Подкладки из ЭПДМ-мембраны 150×150 мм</t>
  </si>
  <si>
    <t>0,0517/51,7/115</t>
  </si>
  <si>
    <t>м3/л/  шт</t>
  </si>
  <si>
    <t>Общая длина ограждения - 367,6 м.п. На 1.п.м. устанавливается 1 ст. огражд. Расчет: 367,6 п.м ограждения: 3п.м. = 122,53шт ≈ 123 шт (установочных комплектов).
Шпильки резьбовой fischer GM GVZ 8.8.метровой для химического анкера ОЦ, M12x1000 мм (или аналог) на спец. клеевом составе-185шт
Клеевой состав на крепление резьбовых шпилек-51,37л
Герметик ТЕХНОНИКОЛЬ ПУ-115шт (0,0517м3/51,7л)
Подкладки из ЭПДМ мембраны (150*х150*мм - 369шт/8,303м2)</t>
  </si>
  <si>
    <t>шт/м2</t>
  </si>
  <si>
    <t>369/8,303</t>
  </si>
  <si>
    <r>
      <t>Оцинкованная сталь 0,7 мм на уголок (</t>
    </r>
    <r>
      <rPr>
        <b/>
        <i/>
        <sz val="11"/>
        <color theme="1"/>
        <rFont val="Calibri"/>
        <family val="2"/>
        <charset val="204"/>
        <scheme val="minor"/>
      </rPr>
      <t>0,405 м²/п.м.</t>
    </r>
    <r>
      <rPr>
        <i/>
        <sz val="11"/>
        <color theme="1"/>
        <rFont val="Calibri"/>
        <family val="2"/>
        <charset val="204"/>
        <scheme val="minor"/>
      </rPr>
      <t>)</t>
    </r>
  </si>
  <si>
    <t>37,239/0,205</t>
  </si>
  <si>
    <t>11,72-16,41</t>
  </si>
  <si>
    <t>LOGICROOF V-RP 1,5 мм</t>
  </si>
  <si>
    <t>Жидкий ПВХ ТН серый (с флаконом-аппликатором)</t>
  </si>
  <si>
    <r>
      <t xml:space="preserve">Оцинкованная сталь (развёртка </t>
    </r>
    <r>
      <rPr>
        <b/>
        <i/>
        <sz val="11"/>
        <color theme="1"/>
        <rFont val="Calibri"/>
        <family val="2"/>
        <charset val="204"/>
        <scheme val="minor"/>
      </rPr>
      <t>740 мм</t>
    </r>
    <r>
      <rPr>
        <i/>
        <sz val="11"/>
        <color theme="1"/>
        <rFont val="Calibri"/>
        <family val="2"/>
        <charset val="204"/>
        <scheme val="minor"/>
      </rPr>
      <t>)</t>
    </r>
  </si>
  <si>
    <t xml:space="preserve">Развертка листа 740* мм. Общ.S= 0,74м*91,949п.м.=68,04м2
Жидкий ПВХ ТН серый с флаконом-апликатором
(Общ. V = 0,0008м3*91,949п.м.= 0,0736м3 = 73,6л)
</t>
  </si>
  <si>
    <t>Кровельное ограждение ТЕХНОНИКОЛЬ KO/PRO/PH/800-3 (секция 3 м)</t>
  </si>
  <si>
    <t>Шуруп для бетона Rusconnect PBW 10130 10,5×130 мм</t>
  </si>
  <si>
    <t>шт/л/м3</t>
  </si>
  <si>
    <t>42/25,1/0,025</t>
  </si>
  <si>
    <t>93/2,093</t>
  </si>
  <si>
    <t>1757/632,49</t>
  </si>
  <si>
    <t>Фартук из ПВХ-мембраны для воронки ТН</t>
  </si>
  <si>
    <t>Листвоуловитель (в комплекте)</t>
  </si>
  <si>
    <t>Воронка с ПВХ-фланцем XL503 Ø110</t>
  </si>
  <si>
    <t>Жидкий ПВХ (на S≈0,42 м²)</t>
  </si>
  <si>
    <t>Лист оцинкованный 0,7 мм (0,83×0,83 м)</t>
  </si>
  <si>
    <t>Паробарьер СА500 (0,2 м² × k=1,18)</t>
  </si>
  <si>
    <t>Саморезы (5 шт/м2)</t>
  </si>
  <si>
    <t>уточнить 50мм =0,05м2?</t>
  </si>
  <si>
    <r>
      <t xml:space="preserve">ТЕХНОРУФ Н ПРОФ, 50 мм - </t>
    </r>
    <r>
      <rPr>
        <b/>
        <i/>
        <sz val="11"/>
        <color theme="1"/>
        <rFont val="Calibri"/>
        <family val="2"/>
        <charset val="204"/>
        <scheme val="minor"/>
      </rPr>
      <t>0,015 м3</t>
    </r>
    <r>
      <rPr>
        <i/>
        <sz val="11"/>
        <color theme="1"/>
        <rFont val="Calibri"/>
        <family val="2"/>
        <charset val="204"/>
        <scheme val="minor"/>
      </rPr>
      <t xml:space="preserve"> (учесть k=1,03)</t>
    </r>
  </si>
  <si>
    <t>Норма: 0,07 кг на 0,1 м² ⇒ 0,7 кг/м².
Масса: 283,29×0,7=198,303 кг ???</t>
  </si>
  <si>
    <t>LOGICROOF V-RP 1,5 мм (0,65 м²/п.м × k=1,11)</t>
  </si>
  <si>
    <t>Паробарьер СА500 (0,25 м²/п.м × k=1,18)</t>
  </si>
  <si>
    <t>Геотекстиль термообработанный ПЭТ 300 г/м² (0,535 м²/п.м × k=1,10)</t>
  </si>
  <si>
    <t>какая развертка? 0,535 м²/п.м как в прошлом?</t>
  </si>
  <si>
    <t>Отлив из оцинкованной стали (развёртка 0,29 м)</t>
  </si>
  <si>
    <t>Саморез остроконечный ТН 4,8×L с анкерным элементом 8×45</t>
  </si>
  <si>
    <t>Герметик ТН ПУ 600 мл</t>
  </si>
  <si>
    <t>283,285/82,154</t>
  </si>
  <si>
    <t>Минеральная вата лёгких марок</t>
  </si>
  <si>
    <t>ТЕХНОЛАЙТ ЭКСТРА</t>
  </si>
  <si>
    <t>А коэф????</t>
  </si>
  <si>
    <t>0,7кг/м2???</t>
  </si>
  <si>
    <t>LOGICROOF V-RP 1,5 мм (полоса 0,5 м; k=1,11)</t>
  </si>
  <si>
    <t>Паробарьер СА500 (0,52 м²/п.м; k=1,18)</t>
  </si>
  <si>
    <t xml:space="preserve">Общая длина свеса - 630,4 м.п (L=(78м+0,4м+0,4м)*8 участков=630,4 п.м.).  
LOGICROOF V-RP, ширина 0,5 м, 1.5 мм (расход 1,11)
Паробарьер СА500 - 0,52м2 (учесть  k=1,18); </t>
  </si>
  <si>
    <t xml:space="preserve">ПВХ металл LOGICROOF </t>
  </si>
  <si>
    <t>Жидкий ПВХ ТН серый 1л с флаконом-апликатором  (расход 0,25л/м)</t>
  </si>
  <si>
    <t>толщина шва?</t>
  </si>
  <si>
    <t>Костыль 575×110, сталь оц. с полимерным покрытием, t=0,7 мм</t>
  </si>
  <si>
    <r>
      <t xml:space="preserve">Оцинкованная сталь (развёртка </t>
    </r>
    <r>
      <rPr>
        <b/>
        <i/>
        <sz val="11"/>
        <color theme="1"/>
        <rFont val="Calibri"/>
        <family val="2"/>
        <charset val="204"/>
        <scheme val="minor"/>
      </rPr>
      <t>705 мм</t>
    </r>
    <r>
      <rPr>
        <i/>
        <sz val="11"/>
        <color theme="1"/>
        <rFont val="Calibri"/>
        <family val="2"/>
        <charset val="204"/>
        <scheme val="minor"/>
      </rPr>
      <t>)</t>
    </r>
  </si>
  <si>
    <t>Уголок 75×6, ГОСТ 8509-93, L=3,655 м (2 шт/лестницу)</t>
  </si>
  <si>
    <t>Стержень Ø20, ГОСТ Р 52544-2006, L=0,72 м (7 шт/лестницу)</t>
  </si>
  <si>
    <t>Уголок 75×6, ГОСТ 8509-93, L=0,51 м (2 шт/лестницу)</t>
  </si>
  <si>
    <t>Уголок 75×6, ГОСТ 8509-93, L=0,589 м (2 шт/лестницу)</t>
  </si>
  <si>
    <t>Полоса 130×9×390 (фасонка), ГОСТ 103-2006 (1 шт/лестницу)</t>
  </si>
  <si>
    <t>Полоса 130×9×404 (фасонка), ГОСТ 103-2006 (1 шт/лестницу)</t>
  </si>
  <si>
    <t>Лист 235×10×235, ГОСТ 19903-2015 (2 шт/лестницу)</t>
  </si>
  <si>
    <t>Труба 80×6, ГОСТ 30245-2003, L=0,267 м (2 шт/лестницу)</t>
  </si>
  <si>
    <t>Лист 125×8×115, ГОСТ 19903-2015 (2 шт/лестницу)</t>
  </si>
  <si>
    <t>Уголок 50×4, ГОСТ 8509-93, L=1,02 м (2 шт/лестницу)</t>
  </si>
  <si>
    <t>Полоса 40×4 (ограждение), ГОСТ 103-2006, L=1,365 м (4 шт/лестницу)</t>
  </si>
  <si>
    <t>Швеллер 10, ГОСТ 8240-89, L=1,305 м (2 шт/лестницу)</t>
  </si>
  <si>
    <t>Уголок 50×4, ГОСТ 8509-93, L=0,658 м (2 шт/лестницу)</t>
  </si>
  <si>
    <t>Стержень Ø14, ГОСТ Р 52544-2006, L=0,72 м (22 шт/лестницу)</t>
  </si>
  <si>
    <t>при расходе 0,1 кг/м2</t>
  </si>
  <si>
    <t>при расходе 0,18 кг/м2</t>
  </si>
  <si>
    <t>LOGICROOF V-SR 1,5 мм</t>
  </si>
  <si>
    <t>Пена монтажная ТН PROFESSIONAL 70</t>
  </si>
  <si>
    <t>м³</t>
  </si>
  <si>
    <t>Герметик ТЕХНОНИКОЛЬ ПУ 600 мл</t>
  </si>
  <si>
    <t>Хомут металлический обжимной</t>
  </si>
  <si>
    <t>Подкладка паронитовая 235×235×≥5 мм</t>
  </si>
  <si>
    <t>Подкладка паронитовая — площадь</t>
  </si>
  <si>
    <t>Замена одной СГ-1 состоит: уголок 63х6 по ГОСТ 8509-93, длиной 14,02 м, масса 80,18 кг; Лист (фасонка) по ГОСТ 19903-2015, 1 шт, масса 8,29 кг. Всего заменяемых СГ-1 - 29 шт. Общая масса на одну СГ-1 = 88,47 кг. Общая масса: 29шт х 88,47 кг = 2565,63 кг. 
Болт М20 по ГОСТ 7798-70, 12 шт, общ.масса 2,44 кг; Гайка М20 по ГОСТ 5915-70, 12 шт,  общ.масса 0,86 кг; Шайба А.20 по ГОСТ 11371-78, 24 шт, общ.масса 0,41 кг.  Общая масса= 3,71 кг*29шт=107,59кг.</t>
  </si>
  <si>
    <t>Уголок 50×4, ГОСТ 8509-93</t>
  </si>
  <si>
    <t>Стержень Ø20, ГОСТ Р 52544-2006</t>
  </si>
  <si>
    <t>Труба 80×6, ГОСТ 30245-2003</t>
  </si>
  <si>
    <t>Полоса 40×4 (ограждение), ГОСТ 103-2006</t>
  </si>
  <si>
    <t>Пластиковый элемент 265×150×35(h)</t>
  </si>
  <si>
    <t>Пластиковый элемент — масса</t>
  </si>
  <si>
    <t>Полоса 105×8×105 (фасонка), ГОСТ 103-2006</t>
  </si>
  <si>
    <t>Лист 170×10×190, ГОСТ 19903-2015</t>
  </si>
  <si>
    <t>Лист 170×10, ГОСТ 19903-2015</t>
  </si>
  <si>
    <t>Лист ПВ 508×710×890 (S=0,632 м²), ГОСТ 8706-78</t>
  </si>
  <si>
    <t>Гайки, шайбы (комплект)</t>
  </si>
  <si>
    <t>Анкерная шпилька fischer GM GVZ 8.8, M12×1000</t>
  </si>
  <si>
    <t>Клеевой состав Магификс Е500</t>
  </si>
  <si>
    <t>Подкладки из ЭПДМ 190×170</t>
  </si>
  <si>
    <t>Подкладки из ЭПДМ — площадь</t>
  </si>
  <si>
    <t>Уголок 50×6 (стойка), ГОСТ 8509-93</t>
  </si>
  <si>
    <t>Уголок 125×80×8, ГОСТ 8510-86</t>
  </si>
  <si>
    <t>Болт М12, ГОСТ 7798-70</t>
  </si>
  <si>
    <t>Гайка М12, ГОСТ 5915-70</t>
  </si>
  <si>
    <t>Шайба А.12, ГОСТ 11371-78</t>
  </si>
  <si>
    <t>Уголок 50×6 (распорка ограждения), ГОСТ 8509-93</t>
  </si>
  <si>
    <t>Уголок 50×5 (перила), ГОСТ 8509-93</t>
  </si>
  <si>
    <t>Лист ПВ 508×600×6000, ГОСТ 8706-78</t>
  </si>
  <si>
    <t>Прогоны стальные, сталь С245 (ГОСТ 27772-2021), Lобщ = 29,95 м</t>
  </si>
  <si>
    <t>Болт М20-6д×65.58 (S30), ГОСТ 7798-70 — 44 шт</t>
  </si>
  <si>
    <t>Гайка М20-6Н.5 (S30), ГОСТ 5915-70 — 88 шт</t>
  </si>
  <si>
    <t>Шайба А.20.01.08кп.016, ГОСТ 11371-78 — 88 шт</t>
  </si>
  <si>
    <t>Полоса 130х10х100 мм (клин) по ГОСТ 103-2006 - 4 шт, общ.масса 4,1 кг. Принята сталь марки С245 по ГОСТ 27772-2021
Общ. масса с учетом сварных швов (1%), на уточнение размеров (3%) = 4,1 кг*1,04=4,264 кг</t>
  </si>
  <si>
    <t>Болт М20-6д×70.58 (S30), ГОСТ 7798-70 — 132 шт</t>
  </si>
  <si>
    <t>Гайка М20-6Н.5 (S30), ГОСТ 5915-70 — 264 шт</t>
  </si>
  <si>
    <t>Шайба А.20.01.08кп.016, ГОСТ 11371-78 — 264 шт</t>
  </si>
  <si>
    <r>
      <t xml:space="preserve">Прогоны стальные, сталь С245 (ГОСТ 27772-2021), </t>
    </r>
    <r>
      <rPr>
        <b/>
        <i/>
        <sz val="11"/>
        <color theme="1"/>
        <rFont val="Calibri"/>
        <family val="2"/>
        <charset val="204"/>
        <scheme val="minor"/>
      </rPr>
      <t>Lобщ = 191,04 м</t>
    </r>
  </si>
  <si>
    <t>Костыль 575×110, сталь оц. с полимерным покрытием</t>
  </si>
  <si>
    <t>Саморез остроконечный 4,8×70 с анкерным элементом</t>
  </si>
  <si>
    <t>Саморез сверлоконечный Ø5,5×60</t>
  </si>
  <si>
    <r>
      <t xml:space="preserve">Оцинкованная сталь на отлив (развёртка </t>
    </r>
    <r>
      <rPr>
        <b/>
        <i/>
        <sz val="11"/>
        <color theme="1"/>
        <rFont val="Calibri"/>
        <family val="2"/>
        <charset val="204"/>
        <scheme val="minor"/>
      </rPr>
      <t>0,681 м</t>
    </r>
    <r>
      <rPr>
        <i/>
        <sz val="11"/>
        <color theme="1"/>
        <rFont val="Calibri"/>
        <family val="2"/>
        <charset val="204"/>
        <scheme val="minor"/>
      </rPr>
      <t>)</t>
    </r>
  </si>
  <si>
    <t>Развертка листа 681 мм, L устр. отлива 22,03 м. Общ.S=0,681м*22,03м=15,0м2
Костыль (575*х110), сталь оц. с полимер. Покрытием.
Развертка листа 538 мм. Количество устанавливаемы костылей принято в расчете 2 шт на 1 п.м. Итого 22,03 п.м.*2шт≈44 шт
Саморез остроконечный  4,8х70* с анкерным элементом - 112 шт (22030/200=110,2≈111 шага). Саморез сверлоконечный Ø5,5х60* - 88 шт.</t>
  </si>
  <si>
    <t>Труба 80×4, L=5,73 м, ГОСТ 30245-2003</t>
  </si>
  <si>
    <t>Лист 180×12×120 (фасонка), ГОСТ 19903-2015</t>
  </si>
  <si>
    <t>С учётом 4% (сварка 1% + уточнение 3%)</t>
  </si>
  <si>
    <t>Болт М20-6g×70.58 (S30), ГОСТ 7798-70 — 16 шт</t>
  </si>
  <si>
    <t>Гайка М20-6Н.5 (S30), ГОСТ 5915-70 — 32 шт</t>
  </si>
  <si>
    <t>Шайба А.20.01.08кп.016, ГОСТ 11371-78 — 32 шт</t>
  </si>
  <si>
    <t>Лист 220×10×210 (фасонка), ГОСТ 19903-2015</t>
  </si>
  <si>
    <t>С учётом 4% (сварка+уточнение)</t>
  </si>
  <si>
    <t>Болт М20-6g×65.58 (S30), ГОСТ 7798-70</t>
  </si>
  <si>
    <t>Гайка М20-6Н.5 (S30), ГОСТ 5915-70</t>
  </si>
  <si>
    <t>Шайба А.20.01.08кп.016, ГОСТ 11371-78</t>
  </si>
  <si>
    <t>Труба 70×4, L=5,73 м, ГОСТ 30245-2003</t>
  </si>
  <si>
    <t>Болт М20-6g×70.58 (S30), ГОСТ 7798-70</t>
  </si>
  <si>
    <t>Труба 80×4, L=5,71 м, ГОСТ 30245-2003</t>
  </si>
  <si>
    <t>Полоса 100×5×45 (заглушка), ГОСТ 103-2006 — 4 шт/распорку</t>
  </si>
  <si>
    <t>Труба 80×4, ГОСТ 30245-2003, L=5,87 м</t>
  </si>
  <si>
    <t>Уголок 50×5, ГОСТ 8509-93, L=8,82 п.м</t>
  </si>
  <si>
    <t>Полоса 80×8×221 (фасонка), ГОСТ 103-2006 — 2 шт/узел</t>
  </si>
  <si>
    <t>Полоса 80×8×241 (фасонка), ГОСТ 103-2006 — 2 шт/узел</t>
  </si>
  <si>
    <t>Полоса 50×8×70 (сухарик), ГОСТ 103-2006 — 6 шт/узел</t>
  </si>
  <si>
    <t>Полоса 100×5×45 (заглушка), ГОСТ 103-2006 — 4 шт/узел</t>
  </si>
  <si>
    <t>Уголок 56×5, ГОСТ 8509-93 (2 шт/узел; Lсум=11,9 п.м. на узел)</t>
  </si>
  <si>
    <t>Полоса 50×8×80 (сухарик), ГОСТ 103-2006 — 6 шт/узел</t>
  </si>
  <si>
    <t>Труба 80×4, ГОСТ 30245-2003</t>
  </si>
  <si>
    <t>Полоса 100×5×45 (заглушка), ГОСТ 103-2006 — 4 шт</t>
  </si>
  <si>
    <t>Лист 230×10×200, ГОСТ 19903-2015 — 2 шт</t>
  </si>
  <si>
    <t>Лист 220×10×300, ГОСТ 19903-2015 — 1 шт</t>
  </si>
  <si>
    <t>Уголок 50×5, ГОСТ 8509-93 — 18,11 п.м.</t>
  </si>
  <si>
    <t>Полоса 50×10×80 (сухарик), ГОСТ 103-2006 — 18 шт</t>
  </si>
  <si>
    <t>Уголок 56×5, ГОСТ 8509-93 — 11,9 п.м.</t>
  </si>
  <si>
    <t>Лист 180×10×200, ГОСТ 19903-2015 — 2 шт</t>
  </si>
  <si>
    <t>Лист 210×10×250, ГОСТ 19903-2015 — 2 шт</t>
  </si>
  <si>
    <t>Итого с учётом 4%</t>
  </si>
  <si>
    <t>Уголок 63×6, ГОСТ 8509-93 — 12,0 п.м</t>
  </si>
  <si>
    <t>Уголок 50×5, ГОСТ 8509-93 — 8,0 п.м</t>
  </si>
  <si>
    <t>Полоса 50×8×70 (сухарик), ГОСТ 103-2006 — 4 шт</t>
  </si>
  <si>
    <t>Полоса 80×8×228 (фасонка), ГОСТ 103-2006 — 2 шт</t>
  </si>
  <si>
    <t>Полоса 80×8×231 (фасонка), ГОСТ 103-2006 — 2 шт</t>
  </si>
  <si>
    <t>Общая площадь кровли согласно проекту 2575,6 м2. Согласно расчету Металл профиль (с учетом нахлеста): Профилированный лист Н-60х845 - 2829,61 м2. Объм материала брать согласно расчета производителя материала (КП).  Масса 1 м2 профлиста Н60-845-0,8 = 9,94 кг/м2, общ.масса на всю площадь= 2829,61 м2*9,94кг/м2= 28126,3кг
Элементы крепления Профилированного стального листа  -Саморез 5,5х32 (5,5х38) оцинк. со сверлом 12 мм(Согласно расчета производителя материала (КП) Металл Профиль-5000шт)
Элементы крепления Профилированного стального листа  - Заклепка 4,8х10 нерж. Стальная (Согласно расчета производителя материала (КП) Металл Профиль-6500шт)</t>
  </si>
  <si>
    <t>Профлист Н-60×845×0,8</t>
  </si>
  <si>
    <t>Профлист Н-60×845×0,8 — масса (9,94 кг/м²)</t>
  </si>
  <si>
    <t>Саморез 5,5×32 (5,5×38) оц. со сверлом 12 мм</t>
  </si>
  <si>
    <t>Заклёпка 4,8×10 нерж.</t>
  </si>
  <si>
    <t xml:space="preserve">ТЕХНОРУФ Н ПРОФ (4 плиты) 1200х600х60 мм, объем 154,3*1,03 м3 </t>
  </si>
  <si>
    <t xml:space="preserve">LOGICPIR SLOPE-3,4% (J) СХ/СХ 1200х600х10-50, объем 1520,51*1,1м2 </t>
  </si>
  <si>
    <t>LOGICPIR SLOPE-1,7% (А) СХ/СХ 1200х600х10-40, объем 126,32*1,1 м2</t>
  </si>
  <si>
    <t>LOGICPIR PROF Ф/Ф Г1 L-2385х1185х40, объем 2571,7*1,03 м2</t>
  </si>
  <si>
    <t>саморезы -2571,7*5</t>
  </si>
  <si>
    <t>телескопический крепеж-2571,7*5</t>
  </si>
  <si>
    <t>62,43/21,63</t>
  </si>
  <si>
    <t>296,65/57,07</t>
  </si>
  <si>
    <t>ТЕХНОРУФ Н ПРОФ S</t>
  </si>
  <si>
    <t xml:space="preserve">L=(12,302м*2+6,11м*2)+(6,304м*2+4,41м*2)*3фонаря=101,108 п.м. ≈101,1 п.м. 
Расход материала на 1п.м.: 
LOGICROOF V-RP, ширина 2.1 м, 1.5 мм =0,65м2*1,11=0,722 м2; 
Паробарьер СА500 = 101,1*0,25=25,275 м2 (расход 1,18); 
Рейка прижимная алюминиевая ТехноНИКОЛЬ = 101,6 п.м.; 
Противопожарный защ. мат. LOGICROOF NG =101,1*2м2202,2м2 (расход 1,03);
Рейка краевая алюминиевая ТехноНИКОЛЬ = 101,1 п.м.; </t>
  </si>
  <si>
    <t>LOGICROOF V-RP 1,5 мм (0,65 м²/п.м)</t>
  </si>
  <si>
    <t>Паробарьер СА500 (0,25 м²/п.м)</t>
  </si>
  <si>
    <t>Противопожарный мат LOGICROOF NG (2,0 м²/п.м)</t>
  </si>
  <si>
    <t>Рейка прижимная алюминиевая</t>
  </si>
  <si>
    <t>п.м</t>
  </si>
  <si>
    <t>Рейка краевая алюминиевая</t>
  </si>
  <si>
    <t>15,17/22</t>
  </si>
  <si>
    <t>кг/шт</t>
  </si>
  <si>
    <t>Сталь листовая оцинкованная, толщина 0,7 мм с полимерным покрытием</t>
  </si>
  <si>
    <t>ТЕХНОРУФ Н ПРОФ (высота 560мм), V=0,029 м3 (расход 1,03);</t>
  </si>
  <si>
    <t xml:space="preserve">Костыль (825*х110)  = 2 шт; </t>
  </si>
  <si>
    <t xml:space="preserve">Отлив из оцинкованной стали (развертка 0,912 м) </t>
  </si>
  <si>
    <t>Геотекстиль иглопробивной термообработанный 300 г/м2 = 0,535 м2</t>
  </si>
  <si>
    <t>Уголок оцинк. сталь 0,7 мм</t>
  </si>
  <si>
    <t>Рейка в шве стальная</t>
  </si>
  <si>
    <t>Праймер битумный ТН №01</t>
  </si>
  <si>
    <t>ТЕХНОЛАЙТ ЭКСТРА (в верхних гофрах)</t>
  </si>
  <si>
    <t>Площадь свеса (для саморезов)</t>
  </si>
  <si>
    <t>1694,7*0,035 при  примерно 2,0т/м3</t>
  </si>
  <si>
    <t>Жидкий ПВХ ТН серый 1 л (0,25 л/п.м)</t>
  </si>
  <si>
    <r>
      <t xml:space="preserve">Паробарьер СА500 (0,54 м²/п.м × </t>
    </r>
    <r>
      <rPr>
        <b/>
        <i/>
        <sz val="11"/>
        <color theme="1"/>
        <rFont val="Calibri"/>
        <family val="2"/>
        <charset val="204"/>
        <scheme val="minor"/>
      </rPr>
      <t>1,18</t>
    </r>
    <r>
      <rPr>
        <i/>
        <sz val="11"/>
        <color theme="1"/>
        <rFont val="Calibri"/>
        <family val="2"/>
        <charset val="204"/>
        <scheme val="minor"/>
      </rPr>
      <t xml:space="preserve"> = 0,637 м²/п.м)</t>
    </r>
  </si>
  <si>
    <t>359,6/618</t>
  </si>
  <si>
    <t>Общее количество устанавливаемых обогреывавемых воронок внутреннего организованного водоотвода 8 шт. 
Фартук из ПВХ мембраны Termoclip/примыкание воронок-8шт
Жидкий ПВХ ТехноНИКОЛЬ серый 1л с флакономаппликатором-16шт 
Паробарьер СА 500, 108см, 0,21 *8 =1,68м2 (расход 1,18)</t>
  </si>
  <si>
    <t>Герметик ТЕХНОНИКОЛЬ ПУ 600 мл (0,25 шт/п.м)</t>
  </si>
  <si>
    <t>Шпилька резьбовая GM GVZ M12×1000 (0,5 шт/п.м)</t>
  </si>
  <si>
    <t>Клеевой состав Магификс Е500 (0,0000113 м³/п.м)</t>
  </si>
  <si>
    <t>м³ / л</t>
  </si>
  <si>
    <t>Ограждение кровли ТЕХНОНИКОЛЬ KO/PRO/PH/800-3</t>
  </si>
  <si>
    <t>Пластиковый элемент (подкладка)</t>
  </si>
  <si>
    <t>Подкладка из ЭПДМ 150×150 мм</t>
  </si>
  <si>
    <t>шт/л</t>
  </si>
  <si>
    <t>68/40,8</t>
  </si>
  <si>
    <t xml:space="preserve">0,0035/3,5 </t>
  </si>
  <si>
    <t>270,9/91</t>
  </si>
  <si>
    <t>п.м/компл.</t>
  </si>
  <si>
    <t>Уголок 75×6, L=3,56 м — 2 шт</t>
  </si>
  <si>
    <t>Стержень Ø20, L=0,72 м — 7 шт</t>
  </si>
  <si>
    <t>Уголок 75×6, L=0,51 м — 2 шт</t>
  </si>
  <si>
    <t>Полоса 200×10×400 (фасонка) — 4 шт</t>
  </si>
  <si>
    <t>Лист 235×10×235 — 2 шт</t>
  </si>
  <si>
    <t>Труба 80×6, L=0,264 м — 2 шт</t>
  </si>
  <si>
    <t>Лист 125×8×115 — 2 шт</t>
  </si>
  <si>
    <t>Уголок 50×5, L=1,02 м — 2 шт</t>
  </si>
  <si>
    <t>Полоса 40×4 (ограждение), L=1,365 м — 4 шт</t>
  </si>
  <si>
    <t>Швеллер №10, L=1,305 м — 2 шт</t>
  </si>
  <si>
    <t>Уголок 50×5, L=0,658 м — 2 шт</t>
  </si>
  <si>
    <t>Стержень Ø14, L=0,72 м — 22 шт</t>
  </si>
  <si>
    <t>шт/тн</t>
  </si>
  <si>
    <t>1/0,17918</t>
  </si>
  <si>
    <t>LOGICROOF V-SR</t>
  </si>
  <si>
    <t>LOGICROOF V-RP</t>
  </si>
  <si>
    <t>м³ (л)</t>
  </si>
  <si>
    <t>Обжимной металлический хомут</t>
  </si>
  <si>
    <t>≥ 1 баллон</t>
  </si>
  <si>
    <t>Уголок 75×6, L=3,183 м (2 шт)</t>
  </si>
  <si>
    <t>Стержень Ø20, L=0,72 м (6 шт)</t>
  </si>
  <si>
    <t>Уголок 75×6, L=0,51 м (2 шт)</t>
  </si>
  <si>
    <t>Полоса 200×10×400 (фасонка), 2 шт</t>
  </si>
  <si>
    <t>Лист 235×10×235, 2 шт</t>
  </si>
  <si>
    <t>Труба 80×6, L=0,264 м (2 шт)</t>
  </si>
  <si>
    <t>Лист 125×8×115, 2 шт</t>
  </si>
  <si>
    <t>Уголок 50×5, L=1,02 м (2 шт)</t>
  </si>
  <si>
    <t>Полоса 40×4 (ограждение), L=1,365 м (4 шт)</t>
  </si>
  <si>
    <t>Швеллер №10, L=1,305 м (2 шт)</t>
  </si>
  <si>
    <t>Уголок 50×5, L=0,658 м (2 шт)</t>
  </si>
  <si>
    <t>Стержень Ø14, L=0,72 м (22 шт)</t>
  </si>
  <si>
    <t>Уголок 75×6, L=0,595 м (2 шт)</t>
  </si>
  <si>
    <t>≥ 4 баллон</t>
  </si>
  <si>
    <t>Скоба Ø8 (Ст3кп2-II)</t>
  </si>
  <si>
    <t>Уголок 40×3, ГОСТ 8509-93</t>
  </si>
  <si>
    <t>Пруток Ø5, l=750</t>
  </si>
  <si>
    <t>Пруток Ø5, l=1390</t>
  </si>
  <si>
    <t>Сетка 2-50-3,0-0 (820×1460)</t>
  </si>
  <si>
    <t>Пруток Ø10, l=693</t>
  </si>
  <si>
    <t>Пруток Ø10, l=493</t>
  </si>
  <si>
    <t>Полоса 60×8×244</t>
  </si>
  <si>
    <t>9,12/120</t>
  </si>
  <si>
    <t>328,4/177,6</t>
  </si>
  <si>
    <t>кг/п.м.</t>
  </si>
  <si>
    <t>9,2/80</t>
  </si>
  <si>
    <t>17,2/80</t>
  </si>
  <si>
    <t>116/40</t>
  </si>
  <si>
    <t>20,52/48</t>
  </si>
  <si>
    <t>21,9/72</t>
  </si>
  <si>
    <t>110,33/120</t>
  </si>
  <si>
    <t>демонтаж МК по проекту 78,02тн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</si>
</sst>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-* #,##0.00_-;\-* #,##0.00_-;_-* &quot;-&quot;??_-;_-@_-"/>
    <numFmt numFmtId="164" formatCode="0.000"/>
    <numFmt numFmtId="165" formatCode="0.0"/>
    <numFmt numFmtId="166" formatCode="_-* #,##0.000_-;\-* #,##0.000_-;_-* &quot;-&quot;??_-;_-@_-"/>
    <numFmt numFmtId="167" formatCode="_-* #,##0.0000_-;\-* #,##0.0000_-;_-* &quot;-&quot;??_-;_-@_-"/>
    <numFmt numFmtId="168" formatCode="#,##0.0"/>
    <numFmt numFmtId="169" formatCode="_-* #,##0_-;\-* #,##0_-;_-* &quot;-&quot;??_-;_-@_-"/>
  </numFmts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b/>
      <i/>
      <sz val="11"/>
      <color theme="1"/>
      <name val="Calibri"/>
      <family val="2"/>
      <charset val="204"/>
      <scheme val="minor"/>
    </font>
    <font>
      <b/>
      <i/>
      <sz val="11"/>
      <color rgb="FFFF0000"/>
      <name val="Calibri"/>
      <family val="2"/>
      <charset val="204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8"/>
      <color rgb="FFFF0000"/>
      <name val="Calibri"/>
      <family val="2"/>
      <charset val="204"/>
      <scheme val="minor"/>
    </font>
    <font>
      <b/>
      <i/>
      <sz val="18"/>
      <color rgb="FFFF0000"/>
      <name val="Calibri"/>
      <family val="2"/>
      <charset val="204"/>
      <scheme val="minor"/>
    </font>
    <font>
      <b/>
      <i/>
      <sz val="1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43" fontId="5" fillId="0" borderId="0" applyFont="0" applyFill="0" applyBorder="0" applyAlignment="0" applyProtection="0"/>
  </cellStyleXfs>
  <cellXfs count="88">
    <xf numFmtId="0" fontId="0" fillId="0" borderId="0" xfId="0"/>
    <xf numFmtId="0" fontId="0" fillId="0" borderId="0" xfId="0" applyAlignment="1">
      <alignment vertical="center" wrapText="1"/>
    </xf>
    <xf numFmtId="0" fontId="6" fillId="0" borderId="0" xfId="0" applyFont="1" applyAlignment="1">
      <alignment vertical="center" wrapText="1"/>
    </xf>
    <xf numFmtId="0" fontId="0" fillId="0" borderId="0" xfId="0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7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8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0" fillId="2" borderId="1" xfId="0" applyFill="1" applyBorder="1" applyAlignment="1">
      <alignment horizontal="center" vertical="center"/>
    </xf>
    <xf numFmtId="0" fontId="0" fillId="0" borderId="0" xfId="0" applyFont="1" applyAlignment="1">
      <alignment vertical="center" wrapText="1"/>
    </xf>
    <xf numFmtId="0" fontId="0" fillId="0" borderId="1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6" fillId="2" borderId="0" xfId="0" applyFont="1" applyFill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10" fillId="0" borderId="1" xfId="0" applyFont="1" applyBorder="1" applyAlignment="1">
      <alignment horizontal="right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0" fillId="0" borderId="4" xfId="0" applyBorder="1" applyAlignment="1">
      <alignment vertical="center" wrapText="1"/>
    </xf>
    <xf numFmtId="0" fontId="0" fillId="0" borderId="2" xfId="0" applyBorder="1" applyAlignment="1">
      <alignment vertical="center" wrapText="1"/>
    </xf>
    <xf numFmtId="0" fontId="0" fillId="0" borderId="6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0" fontId="14" fillId="4" borderId="1" xfId="0" applyFont="1" applyFill="1" applyBorder="1" applyAlignment="1">
      <alignment vertical="center" wrapText="1"/>
    </xf>
    <xf numFmtId="0" fontId="10" fillId="4" borderId="1" xfId="0" applyFont="1" applyFill="1" applyBorder="1" applyAlignment="1">
      <alignment horizontal="right" vertical="center" wrapText="1"/>
    </xf>
    <xf numFmtId="0" fontId="10" fillId="4" borderId="1" xfId="0" applyFont="1" applyFill="1" applyBorder="1" applyAlignment="1">
      <alignment horizontal="center" vertical="center" wrapText="1"/>
    </xf>
    <xf numFmtId="0" fontId="0" fillId="4" borderId="0" xfId="0" applyFill="1" applyAlignment="1">
      <alignment vertical="center" wrapText="1"/>
    </xf>
    <xf numFmtId="0" fontId="11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11" fillId="0" borderId="1" xfId="0" applyFont="1" applyBorder="1" applyAlignment="1">
      <alignment horizontal="right" vertical="center" wrapText="1"/>
    </xf>
    <xf numFmtId="0" fontId="4" fillId="0" borderId="0" xfId="0" applyFont="1" applyAlignment="1">
      <alignment horizontal="right" vertical="center" wrapText="1"/>
    </xf>
    <xf numFmtId="43" fontId="11" fillId="4" borderId="1" xfId="1" applyFont="1" applyFill="1" applyBorder="1" applyAlignment="1">
      <alignment horizontal="right" vertical="center" wrapText="1"/>
    </xf>
    <xf numFmtId="43" fontId="12" fillId="4" borderId="1" xfId="1" applyFont="1" applyFill="1" applyBorder="1" applyAlignment="1">
      <alignment horizontal="right" vertical="center" wrapText="1"/>
    </xf>
    <xf numFmtId="43" fontId="11" fillId="4" borderId="5" xfId="1" applyFont="1" applyFill="1" applyBorder="1" applyAlignment="1">
      <alignment horizontal="right" vertical="center" wrapText="1"/>
    </xf>
    <xf numFmtId="43" fontId="11" fillId="2" borderId="1" xfId="1" applyFont="1" applyFill="1" applyBorder="1" applyAlignment="1">
      <alignment horizontal="right" vertical="center" wrapText="1"/>
    </xf>
    <xf numFmtId="4" fontId="11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right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6" fillId="2" borderId="1" xfId="0" applyFont="1" applyFill="1" applyBorder="1" applyAlignment="1">
      <alignment vertical="center" wrapText="1"/>
    </xf>
    <xf numFmtId="0" fontId="17" fillId="2" borderId="1" xfId="0" applyFont="1" applyFill="1" applyBorder="1" applyAlignment="1">
      <alignment vertical="center" wrapText="1"/>
    </xf>
    <xf numFmtId="0" fontId="18" fillId="2" borderId="1" xfId="0" applyFont="1" applyFill="1" applyBorder="1" applyAlignment="1">
      <alignment horizontal="center" vertical="center" wrapText="1"/>
    </xf>
    <xf numFmtId="43" fontId="18" fillId="2" borderId="1" xfId="1" applyFont="1" applyFill="1" applyBorder="1" applyAlignment="1">
      <alignment horizontal="right" vertical="center" wrapText="1"/>
    </xf>
    <xf numFmtId="0" fontId="12" fillId="2" borderId="1" xfId="0" applyFont="1" applyFill="1" applyBorder="1" applyAlignment="1">
      <alignment horizontal="right" vertical="center" wrapText="1"/>
    </xf>
    <xf numFmtId="0" fontId="16" fillId="4" borderId="0" xfId="0" applyFont="1" applyFill="1" applyAlignment="1">
      <alignment vertical="center" wrapText="1"/>
    </xf>
    <xf numFmtId="0" fontId="1" fillId="0" borderId="1" xfId="0" applyFont="1" applyBorder="1" applyAlignment="1">
      <alignment vertical="center" wrapText="1"/>
    </xf>
    <xf numFmtId="43" fontId="11" fillId="4" borderId="1" xfId="1" applyFont="1" applyFill="1" applyBorder="1" applyAlignment="1">
      <alignment horizontal="center" vertical="center" wrapText="1"/>
    </xf>
    <xf numFmtId="43" fontId="11" fillId="5" borderId="1" xfId="1" applyFont="1" applyFill="1" applyBorder="1" applyAlignment="1">
      <alignment horizontal="right" vertical="center" wrapText="1"/>
    </xf>
    <xf numFmtId="0" fontId="12" fillId="0" borderId="1" xfId="0" applyFont="1" applyBorder="1" applyAlignment="1">
      <alignment horizontal="right" vertical="center" wrapText="1"/>
    </xf>
    <xf numFmtId="166" fontId="11" fillId="4" borderId="1" xfId="1" applyNumberFormat="1" applyFont="1" applyFill="1" applyBorder="1" applyAlignment="1">
      <alignment horizontal="right" vertical="center" wrapText="1"/>
    </xf>
    <xf numFmtId="168" fontId="11" fillId="4" borderId="1" xfId="0" applyNumberFormat="1" applyFont="1" applyFill="1" applyBorder="1" applyAlignment="1">
      <alignment horizontal="right" vertical="center" wrapText="1"/>
    </xf>
    <xf numFmtId="0" fontId="11" fillId="4" borderId="1" xfId="0" applyFont="1" applyFill="1" applyBorder="1" applyAlignment="1">
      <alignment horizontal="right" vertical="center" wrapText="1"/>
    </xf>
    <xf numFmtId="4" fontId="11" fillId="4" borderId="1" xfId="0" applyNumberFormat="1" applyFont="1" applyFill="1" applyBorder="1" applyAlignment="1">
      <alignment horizontal="right" vertical="center" wrapText="1"/>
    </xf>
    <xf numFmtId="0" fontId="11" fillId="4" borderId="5" xfId="0" applyFont="1" applyFill="1" applyBorder="1" applyAlignment="1">
      <alignment horizontal="center" vertical="center" wrapText="1"/>
    </xf>
    <xf numFmtId="2" fontId="11" fillId="4" borderId="1" xfId="0" applyNumberFormat="1" applyFont="1" applyFill="1" applyBorder="1" applyAlignment="1">
      <alignment horizontal="right" vertical="center" wrapText="1"/>
    </xf>
    <xf numFmtId="165" fontId="11" fillId="4" borderId="1" xfId="0" applyNumberFormat="1" applyFont="1" applyFill="1" applyBorder="1" applyAlignment="1">
      <alignment horizontal="right" vertical="center" wrapText="1"/>
    </xf>
    <xf numFmtId="0" fontId="11" fillId="6" borderId="1" xfId="0" applyFont="1" applyFill="1" applyBorder="1" applyAlignment="1">
      <alignment horizontal="right" vertical="center" wrapText="1"/>
    </xf>
    <xf numFmtId="169" fontId="11" fillId="4" borderId="1" xfId="1" applyNumberFormat="1" applyFont="1" applyFill="1" applyBorder="1" applyAlignment="1">
      <alignment horizontal="right" vertical="center" wrapText="1"/>
    </xf>
    <xf numFmtId="4" fontId="11" fillId="4" borderId="0" xfId="0" applyNumberFormat="1" applyFont="1" applyFill="1" applyAlignment="1">
      <alignment horizontal="right" vertical="center" wrapText="1"/>
    </xf>
    <xf numFmtId="0" fontId="19" fillId="4" borderId="1" xfId="0" applyFont="1" applyFill="1" applyBorder="1" applyAlignment="1">
      <alignment horizontal="center" vertical="center" wrapText="1"/>
    </xf>
    <xf numFmtId="0" fontId="19" fillId="4" borderId="1" xfId="0" applyFont="1" applyFill="1" applyBorder="1" applyAlignment="1">
      <alignment horizontal="right" vertical="center" wrapText="1"/>
    </xf>
    <xf numFmtId="3" fontId="11" fillId="4" borderId="1" xfId="0" applyNumberFormat="1" applyFont="1" applyFill="1" applyBorder="1" applyAlignment="1">
      <alignment horizontal="right" vertical="center" wrapText="1"/>
    </xf>
    <xf numFmtId="3" fontId="11" fillId="0" borderId="1" xfId="0" applyNumberFormat="1" applyFont="1" applyBorder="1" applyAlignment="1">
      <alignment horizontal="right" vertical="center" wrapText="1"/>
    </xf>
    <xf numFmtId="164" fontId="11" fillId="0" borderId="1" xfId="0" applyNumberFormat="1" applyFont="1" applyBorder="1" applyAlignment="1">
      <alignment horizontal="right" vertical="center" wrapText="1"/>
    </xf>
    <xf numFmtId="2" fontId="11" fillId="0" borderId="1" xfId="0" applyNumberFormat="1" applyFont="1" applyBorder="1" applyAlignment="1">
      <alignment horizontal="right" vertical="center" wrapText="1"/>
    </xf>
    <xf numFmtId="167" fontId="11" fillId="4" borderId="1" xfId="1" applyNumberFormat="1" applyFont="1" applyFill="1" applyBorder="1" applyAlignment="1">
      <alignment horizontal="right" vertical="center" wrapText="1"/>
    </xf>
    <xf numFmtId="43" fontId="11" fillId="4" borderId="1" xfId="1" applyNumberFormat="1" applyFont="1" applyFill="1" applyBorder="1" applyAlignment="1">
      <alignment horizontal="right" vertical="center" wrapText="1"/>
    </xf>
    <xf numFmtId="0" fontId="11" fillId="0" borderId="1" xfId="0" applyFont="1" applyBorder="1" applyAlignment="1">
      <alignment horizontal="right"/>
    </xf>
    <xf numFmtId="0" fontId="11" fillId="4" borderId="0" xfId="0" applyFont="1" applyFill="1" applyAlignment="1">
      <alignment horizontal="center" vertical="center" wrapText="1"/>
    </xf>
    <xf numFmtId="43" fontId="11" fillId="4" borderId="0" xfId="1" applyFont="1" applyFill="1" applyAlignment="1">
      <alignment horizontal="right" vertical="center" wrapText="1"/>
    </xf>
    <xf numFmtId="43" fontId="19" fillId="5" borderId="1" xfId="1" applyFont="1" applyFill="1" applyBorder="1" applyAlignment="1">
      <alignment horizontal="right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textRotation="90" wrapText="1"/>
    </xf>
    <xf numFmtId="43" fontId="0" fillId="2" borderId="1" xfId="1" applyFont="1" applyFill="1" applyBorder="1" applyAlignment="1">
      <alignment horizontal="center" vertical="center" wrapText="1"/>
    </xf>
    <xf numFmtId="43" fontId="11" fillId="2" borderId="2" xfId="1" applyFont="1" applyFill="1" applyBorder="1" applyAlignment="1">
      <alignment horizontal="center" vertical="center" wrapText="1"/>
    </xf>
    <xf numFmtId="43" fontId="11" fillId="2" borderId="3" xfId="1" applyFont="1" applyFill="1" applyBorder="1" applyAlignment="1">
      <alignment horizontal="center" vertical="center" wrapText="1"/>
    </xf>
  </cellXfs>
  <cellStyles count="2">
    <cellStyle name="Обычный" xfId="0" builtinId="0"/>
    <cellStyle name="Финансовый" xfId="1" builtinId="3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119"/>
  <sheetViews>
    <sheetView tabSelected="1" zoomScale="70" zoomScaleNormal="70" workbookViewId="0">
      <selection activeCell="H5" sqref="H5"/>
    </sheetView>
  </sheetViews>
  <sheetFormatPr defaultColWidth="9.109375" defaultRowHeight="14.4" outlineLevelRow="1" x14ac:dyDescent="0.3"/>
  <cols>
    <col min="1" max="1" width="6.109375" style="1" customWidth="1"/>
    <col min="2" max="2" width="5.21875" style="1" customWidth="1"/>
    <col min="3" max="3" width="61" style="1" customWidth="1"/>
    <col min="4" max="4" width="8.77734375" style="3" customWidth="1"/>
    <col min="5" max="5" width="12.77734375" style="3" customWidth="1"/>
    <col min="6" max="6" width="9.77734375" style="78" customWidth="1"/>
    <col min="7" max="7" width="16" style="79" customWidth="1"/>
    <col min="8" max="13" width="15.6640625" style="1" customWidth="1"/>
    <col min="14" max="14" width="79.109375" style="1" customWidth="1"/>
    <col min="15" max="15" width="36.44140625" style="1" customWidth="1"/>
    <col min="16" max="16" width="53.21875" style="1" customWidth="1"/>
    <col min="17" max="17" width="37.6640625" style="1" customWidth="1"/>
    <col min="18" max="16384" width="9.109375" style="1"/>
  </cols>
  <sheetData>
    <row r="1" spans="1:16" s="3" customFormat="1" ht="36" customHeight="1" x14ac:dyDescent="0.3">
      <c r="A1" s="84" t="s">
        <v>3</v>
      </c>
      <c r="B1" s="84" t="s">
        <v>0</v>
      </c>
      <c r="C1" s="83" t="s">
        <v>6</v>
      </c>
      <c r="D1" s="83" t="s">
        <v>545</v>
      </c>
      <c r="E1" s="85" t="s">
        <v>1</v>
      </c>
      <c r="F1" s="86" t="s">
        <v>545</v>
      </c>
      <c r="G1" s="86" t="s">
        <v>1051</v>
      </c>
      <c r="H1" s="83" t="s">
        <v>582</v>
      </c>
      <c r="I1" s="83"/>
      <c r="J1" s="83" t="s">
        <v>585</v>
      </c>
      <c r="K1" s="83" t="s">
        <v>586</v>
      </c>
      <c r="L1" s="83"/>
      <c r="M1" s="83" t="s">
        <v>587</v>
      </c>
      <c r="N1" s="83" t="s">
        <v>588</v>
      </c>
      <c r="O1" s="81" t="s">
        <v>2</v>
      </c>
    </row>
    <row r="2" spans="1:16" s="38" customFormat="1" ht="39" customHeight="1" x14ac:dyDescent="0.3">
      <c r="A2" s="84"/>
      <c r="B2" s="84"/>
      <c r="C2" s="83"/>
      <c r="D2" s="83"/>
      <c r="E2" s="85"/>
      <c r="F2" s="87"/>
      <c r="G2" s="87"/>
      <c r="H2" s="14" t="s">
        <v>583</v>
      </c>
      <c r="I2" s="14" t="s">
        <v>584</v>
      </c>
      <c r="J2" s="83"/>
      <c r="K2" s="14" t="s">
        <v>583</v>
      </c>
      <c r="L2" s="14" t="s">
        <v>584</v>
      </c>
      <c r="M2" s="83"/>
      <c r="N2" s="83"/>
      <c r="O2" s="82"/>
    </row>
    <row r="3" spans="1:16" s="2" customFormat="1" x14ac:dyDescent="0.3">
      <c r="A3" s="4"/>
      <c r="B3" s="4"/>
      <c r="C3" s="5" t="s">
        <v>7</v>
      </c>
      <c r="D3" s="5"/>
      <c r="E3" s="5"/>
      <c r="F3" s="56"/>
      <c r="G3" s="41"/>
      <c r="H3" s="5"/>
      <c r="I3" s="5"/>
      <c r="J3" s="5"/>
      <c r="K3" s="5"/>
      <c r="L3" s="5"/>
      <c r="M3" s="5"/>
      <c r="N3" s="5"/>
      <c r="O3" s="4"/>
    </row>
    <row r="4" spans="1:16" s="2" customFormat="1" x14ac:dyDescent="0.3">
      <c r="A4" s="4"/>
      <c r="B4" s="4"/>
      <c r="C4" s="4" t="s">
        <v>8</v>
      </c>
      <c r="D4" s="6"/>
      <c r="E4" s="6"/>
      <c r="F4" s="36"/>
      <c r="G4" s="41"/>
      <c r="H4" s="4"/>
      <c r="I4" s="4"/>
      <c r="J4" s="4"/>
      <c r="K4" s="4"/>
      <c r="L4" s="4"/>
      <c r="M4" s="4"/>
      <c r="N4" s="4"/>
      <c r="O4" s="4"/>
    </row>
    <row r="5" spans="1:16" ht="64.8" customHeight="1" outlineLevel="1" x14ac:dyDescent="0.3">
      <c r="A5" s="7">
        <v>1</v>
      </c>
      <c r="B5" s="7">
        <v>1</v>
      </c>
      <c r="C5" s="7" t="s">
        <v>9</v>
      </c>
      <c r="D5" s="8" t="s">
        <v>546</v>
      </c>
      <c r="E5" s="8">
        <v>1694.7</v>
      </c>
      <c r="F5" s="36" t="s">
        <v>1052</v>
      </c>
      <c r="G5" s="41">
        <v>6.78</v>
      </c>
      <c r="H5" s="7"/>
      <c r="I5" s="7"/>
      <c r="J5" s="7"/>
      <c r="K5" s="7"/>
      <c r="L5" s="7"/>
      <c r="M5" s="7"/>
      <c r="N5" s="7" t="s">
        <v>589</v>
      </c>
      <c r="O5" s="7" t="s">
        <v>1046</v>
      </c>
      <c r="P5" s="1" t="s">
        <v>1053</v>
      </c>
    </row>
    <row r="6" spans="1:16" ht="43.2" outlineLevel="1" x14ac:dyDescent="0.3">
      <c r="A6" s="7">
        <v>2</v>
      </c>
      <c r="B6" s="7">
        <v>2</v>
      </c>
      <c r="C6" s="7" t="s">
        <v>10</v>
      </c>
      <c r="D6" s="8" t="s">
        <v>546</v>
      </c>
      <c r="E6" s="8">
        <v>1694.7</v>
      </c>
      <c r="F6" s="36" t="s">
        <v>1052</v>
      </c>
      <c r="G6" s="41">
        <f>1694.7*0.035*2</f>
        <v>118.62900000000002</v>
      </c>
      <c r="H6" s="7"/>
      <c r="I6" s="7"/>
      <c r="J6" s="7"/>
      <c r="K6" s="7"/>
      <c r="L6" s="7"/>
      <c r="M6" s="7"/>
      <c r="N6" s="7" t="s">
        <v>590</v>
      </c>
      <c r="O6" s="7" t="s">
        <v>1047</v>
      </c>
      <c r="P6" s="1" t="s">
        <v>1407</v>
      </c>
    </row>
    <row r="7" spans="1:16" ht="43.2" outlineLevel="1" x14ac:dyDescent="0.3">
      <c r="A7" s="7">
        <v>3</v>
      </c>
      <c r="B7" s="7">
        <v>3</v>
      </c>
      <c r="C7" s="7" t="s">
        <v>11</v>
      </c>
      <c r="D7" s="8" t="s">
        <v>547</v>
      </c>
      <c r="E7" s="8">
        <v>1288</v>
      </c>
      <c r="F7" s="36" t="s">
        <v>1052</v>
      </c>
      <c r="G7" s="41">
        <f>0.1125*1288*111/1000</f>
        <v>16.0839</v>
      </c>
      <c r="H7" s="7"/>
      <c r="I7" s="7"/>
      <c r="J7" s="7"/>
      <c r="K7" s="7"/>
      <c r="L7" s="7"/>
      <c r="M7" s="7"/>
      <c r="N7" s="7" t="s">
        <v>591</v>
      </c>
      <c r="O7" s="7" t="s">
        <v>1048</v>
      </c>
    </row>
    <row r="8" spans="1:16" ht="43.2" outlineLevel="1" x14ac:dyDescent="0.3">
      <c r="A8" s="7">
        <v>4</v>
      </c>
      <c r="B8" s="7">
        <v>4</v>
      </c>
      <c r="C8" s="7" t="s">
        <v>12</v>
      </c>
      <c r="D8" s="8" t="s">
        <v>547</v>
      </c>
      <c r="E8" s="8">
        <v>184</v>
      </c>
      <c r="F8" s="36" t="s">
        <v>1052</v>
      </c>
      <c r="G8" s="41">
        <f>0.09*184*89/1000</f>
        <v>1.4738399999999998</v>
      </c>
      <c r="H8" s="7"/>
      <c r="I8" s="7"/>
      <c r="J8" s="7"/>
      <c r="K8" s="7"/>
      <c r="L8" s="7"/>
      <c r="M8" s="7"/>
      <c r="N8" s="7" t="s">
        <v>592</v>
      </c>
      <c r="O8" s="7" t="s">
        <v>1048</v>
      </c>
    </row>
    <row r="9" spans="1:16" ht="43.2" outlineLevel="1" x14ac:dyDescent="0.3">
      <c r="A9" s="7">
        <v>5</v>
      </c>
      <c r="B9" s="7">
        <v>5</v>
      </c>
      <c r="C9" s="7" t="s">
        <v>13</v>
      </c>
      <c r="D9" s="8" t="s">
        <v>547</v>
      </c>
      <c r="E9" s="8">
        <v>184</v>
      </c>
      <c r="F9" s="36" t="s">
        <v>1052</v>
      </c>
      <c r="G9" s="41">
        <f>0.0425*184*42/1000</f>
        <v>0.32844000000000001</v>
      </c>
      <c r="H9" s="7"/>
      <c r="I9" s="7"/>
      <c r="J9" s="7"/>
      <c r="K9" s="7"/>
      <c r="L9" s="7"/>
      <c r="M9" s="7"/>
      <c r="N9" s="7" t="s">
        <v>593</v>
      </c>
      <c r="O9" s="7" t="s">
        <v>1048</v>
      </c>
    </row>
    <row r="10" spans="1:16" ht="28.8" outlineLevel="1" x14ac:dyDescent="0.3">
      <c r="A10" s="7">
        <v>6</v>
      </c>
      <c r="B10" s="7">
        <v>6</v>
      </c>
      <c r="C10" s="7" t="s">
        <v>14</v>
      </c>
      <c r="D10" s="8" t="s">
        <v>548</v>
      </c>
      <c r="E10" s="8">
        <v>221.2</v>
      </c>
      <c r="F10" s="26" t="s">
        <v>548</v>
      </c>
      <c r="G10" s="39">
        <v>221.2</v>
      </c>
      <c r="H10" s="7"/>
      <c r="I10" s="7"/>
      <c r="J10" s="7"/>
      <c r="K10" s="7"/>
      <c r="L10" s="7"/>
      <c r="M10" s="7"/>
      <c r="N10" s="7" t="s">
        <v>594</v>
      </c>
      <c r="O10" s="16"/>
      <c r="P10" s="15" t="s">
        <v>1054</v>
      </c>
    </row>
    <row r="11" spans="1:16" ht="57.6" outlineLevel="1" x14ac:dyDescent="0.3">
      <c r="A11" s="7">
        <v>7</v>
      </c>
      <c r="B11" s="7">
        <v>7</v>
      </c>
      <c r="C11" s="7" t="s">
        <v>15</v>
      </c>
      <c r="D11" s="8" t="s">
        <v>546</v>
      </c>
      <c r="E11" s="8">
        <v>160.4</v>
      </c>
      <c r="F11" s="36" t="s">
        <v>1052</v>
      </c>
      <c r="G11" s="41">
        <v>0.64200000000000002</v>
      </c>
      <c r="H11" s="7"/>
      <c r="I11" s="7"/>
      <c r="J11" s="7"/>
      <c r="K11" s="7"/>
      <c r="L11" s="7"/>
      <c r="M11" s="7"/>
      <c r="N11" s="7" t="s">
        <v>595</v>
      </c>
      <c r="O11" s="7" t="s">
        <v>1046</v>
      </c>
    </row>
    <row r="12" spans="1:16" ht="28.8" outlineLevel="1" x14ac:dyDescent="0.3">
      <c r="A12" s="7">
        <v>8</v>
      </c>
      <c r="B12" s="7">
        <v>8</v>
      </c>
      <c r="C12" s="7" t="s">
        <v>16</v>
      </c>
      <c r="D12" s="8" t="s">
        <v>549</v>
      </c>
      <c r="E12" s="8">
        <v>69.489999999999995</v>
      </c>
      <c r="F12" s="36" t="s">
        <v>1052</v>
      </c>
      <c r="G12" s="57">
        <f>69.49/1000</f>
        <v>6.9489999999999996E-2</v>
      </c>
      <c r="H12" s="7"/>
      <c r="I12" s="7"/>
      <c r="J12" s="7"/>
      <c r="K12" s="7"/>
      <c r="L12" s="7"/>
      <c r="M12" s="7"/>
      <c r="N12" s="7" t="s">
        <v>596</v>
      </c>
      <c r="O12" s="7"/>
    </row>
    <row r="13" spans="1:16" ht="28.8" outlineLevel="1" x14ac:dyDescent="0.3">
      <c r="A13" s="7">
        <v>9</v>
      </c>
      <c r="B13" s="7">
        <v>9</v>
      </c>
      <c r="C13" s="7" t="s">
        <v>17</v>
      </c>
      <c r="D13" s="8" t="s">
        <v>549</v>
      </c>
      <c r="E13" s="8">
        <v>99.7</v>
      </c>
      <c r="F13" s="36" t="s">
        <v>1052</v>
      </c>
      <c r="G13" s="57">
        <f>99.7/1000</f>
        <v>9.9699999999999997E-2</v>
      </c>
      <c r="H13" s="7"/>
      <c r="I13" s="7"/>
      <c r="J13" s="7"/>
      <c r="K13" s="7"/>
      <c r="L13" s="7"/>
      <c r="M13" s="7"/>
      <c r="N13" s="7" t="s">
        <v>597</v>
      </c>
      <c r="O13" s="7"/>
    </row>
    <row r="14" spans="1:16" ht="28.8" outlineLevel="1" x14ac:dyDescent="0.3">
      <c r="A14" s="7">
        <v>10</v>
      </c>
      <c r="B14" s="7">
        <v>10</v>
      </c>
      <c r="C14" s="7" t="s">
        <v>18</v>
      </c>
      <c r="D14" s="8" t="s">
        <v>549</v>
      </c>
      <c r="E14" s="8">
        <v>147.66999999999999</v>
      </c>
      <c r="F14" s="36" t="s">
        <v>1052</v>
      </c>
      <c r="G14" s="57">
        <f>147.67/1000</f>
        <v>0.14767</v>
      </c>
      <c r="H14" s="7"/>
      <c r="I14" s="7"/>
      <c r="J14" s="7"/>
      <c r="K14" s="7"/>
      <c r="L14" s="7"/>
      <c r="M14" s="7"/>
      <c r="N14" s="7" t="s">
        <v>598</v>
      </c>
      <c r="O14" s="7"/>
    </row>
    <row r="15" spans="1:16" ht="28.8" outlineLevel="1" x14ac:dyDescent="0.3">
      <c r="A15" s="7">
        <v>11</v>
      </c>
      <c r="B15" s="7">
        <v>11</v>
      </c>
      <c r="C15" s="7" t="s">
        <v>19</v>
      </c>
      <c r="D15" s="8" t="s">
        <v>547</v>
      </c>
      <c r="E15" s="8">
        <v>8</v>
      </c>
      <c r="F15" s="26" t="s">
        <v>547</v>
      </c>
      <c r="G15" s="39">
        <v>8</v>
      </c>
      <c r="H15" s="7"/>
      <c r="I15" s="7"/>
      <c r="J15" s="7"/>
      <c r="K15" s="7"/>
      <c r="L15" s="7"/>
      <c r="M15" s="7"/>
      <c r="N15" s="7" t="s">
        <v>599</v>
      </c>
      <c r="O15" s="7"/>
      <c r="P15" s="15" t="s">
        <v>1054</v>
      </c>
    </row>
    <row r="16" spans="1:16" s="2" customFormat="1" x14ac:dyDescent="0.3">
      <c r="A16" s="4"/>
      <c r="B16" s="4"/>
      <c r="C16" s="4" t="s">
        <v>20</v>
      </c>
      <c r="D16" s="6"/>
      <c r="E16" s="6"/>
      <c r="F16" s="36"/>
      <c r="G16" s="41"/>
      <c r="H16" s="4"/>
      <c r="I16" s="4"/>
      <c r="J16" s="4"/>
      <c r="K16" s="4"/>
      <c r="L16" s="4"/>
      <c r="M16" s="4"/>
      <c r="N16" s="4"/>
      <c r="O16" s="4"/>
    </row>
    <row r="17" spans="1:16" ht="71.400000000000006" customHeight="1" outlineLevel="1" x14ac:dyDescent="0.3">
      <c r="A17" s="7">
        <v>12</v>
      </c>
      <c r="B17" s="7">
        <v>12</v>
      </c>
      <c r="C17" s="7" t="s">
        <v>21</v>
      </c>
      <c r="D17" s="8" t="s">
        <v>546</v>
      </c>
      <c r="E17" s="8">
        <v>1040.8</v>
      </c>
      <c r="F17" s="36" t="s">
        <v>1052</v>
      </c>
      <c r="G17" s="41">
        <v>6.2450000000000001</v>
      </c>
      <c r="H17" s="7"/>
      <c r="I17" s="7"/>
      <c r="J17" s="7"/>
      <c r="K17" s="7"/>
      <c r="L17" s="7"/>
      <c r="M17" s="7"/>
      <c r="N17" s="7" t="s">
        <v>600</v>
      </c>
      <c r="O17" s="7" t="s">
        <v>1046</v>
      </c>
    </row>
    <row r="18" spans="1:16" ht="57.6" outlineLevel="1" x14ac:dyDescent="0.3">
      <c r="A18" s="7">
        <v>13</v>
      </c>
      <c r="B18" s="7">
        <v>13</v>
      </c>
      <c r="C18" s="7" t="s">
        <v>22</v>
      </c>
      <c r="D18" s="8" t="s">
        <v>546</v>
      </c>
      <c r="E18" s="8">
        <v>1040.8</v>
      </c>
      <c r="F18" s="36" t="s">
        <v>1052</v>
      </c>
      <c r="G18" s="41">
        <v>2.0819999999999999</v>
      </c>
      <c r="H18" s="7"/>
      <c r="I18" s="7"/>
      <c r="J18" s="7"/>
      <c r="K18" s="7"/>
      <c r="L18" s="7"/>
      <c r="M18" s="7"/>
      <c r="N18" s="7" t="s">
        <v>601</v>
      </c>
      <c r="O18" s="7" t="s">
        <v>1046</v>
      </c>
    </row>
    <row r="19" spans="1:16" ht="43.2" outlineLevel="1" x14ac:dyDescent="0.3">
      <c r="A19" s="7">
        <v>14</v>
      </c>
      <c r="B19" s="7">
        <v>14</v>
      </c>
      <c r="C19" s="7" t="s">
        <v>10</v>
      </c>
      <c r="D19" s="8" t="s">
        <v>546</v>
      </c>
      <c r="E19" s="8">
        <v>1040.8</v>
      </c>
      <c r="F19" s="36" t="s">
        <v>1052</v>
      </c>
      <c r="G19" s="41">
        <f>1040.8*0.057*2</f>
        <v>118.6512</v>
      </c>
      <c r="H19" s="7"/>
      <c r="I19" s="7"/>
      <c r="J19" s="7"/>
      <c r="K19" s="7"/>
      <c r="L19" s="7"/>
      <c r="M19" s="7"/>
      <c r="N19" s="7" t="s">
        <v>602</v>
      </c>
      <c r="O19" s="7" t="s">
        <v>1047</v>
      </c>
    </row>
    <row r="20" spans="1:16" ht="43.2" outlineLevel="1" x14ac:dyDescent="0.3">
      <c r="A20" s="7">
        <v>15</v>
      </c>
      <c r="B20" s="7">
        <v>15</v>
      </c>
      <c r="C20" s="7" t="s">
        <v>23</v>
      </c>
      <c r="D20" s="8" t="s">
        <v>547</v>
      </c>
      <c r="E20" s="8">
        <v>368</v>
      </c>
      <c r="F20" s="36" t="s">
        <v>1052</v>
      </c>
      <c r="G20" s="41">
        <f>0.1125*368*111/1000</f>
        <v>4.5953999999999997</v>
      </c>
      <c r="H20" s="7"/>
      <c r="I20" s="7"/>
      <c r="J20" s="7"/>
      <c r="K20" s="7"/>
      <c r="L20" s="7"/>
      <c r="M20" s="7"/>
      <c r="N20" s="7" t="s">
        <v>591</v>
      </c>
      <c r="O20" s="7" t="s">
        <v>1048</v>
      </c>
    </row>
    <row r="21" spans="1:16" ht="43.2" outlineLevel="1" x14ac:dyDescent="0.3">
      <c r="A21" s="7">
        <v>16</v>
      </c>
      <c r="B21" s="7">
        <v>16</v>
      </c>
      <c r="C21" s="7" t="s">
        <v>12</v>
      </c>
      <c r="D21" s="8" t="s">
        <v>547</v>
      </c>
      <c r="E21" s="8">
        <v>368</v>
      </c>
      <c r="F21" s="36" t="s">
        <v>1052</v>
      </c>
      <c r="G21" s="41">
        <f>0.09*368*89/1000</f>
        <v>2.9476799999999996</v>
      </c>
      <c r="H21" s="7"/>
      <c r="I21" s="7"/>
      <c r="J21" s="7"/>
      <c r="K21" s="7"/>
      <c r="L21" s="7"/>
      <c r="M21" s="7"/>
      <c r="N21" s="7" t="s">
        <v>592</v>
      </c>
      <c r="O21" s="7" t="s">
        <v>1048</v>
      </c>
    </row>
    <row r="22" spans="1:16" ht="43.2" outlineLevel="1" x14ac:dyDescent="0.3">
      <c r="A22" s="7">
        <v>17</v>
      </c>
      <c r="B22" s="7">
        <v>17</v>
      </c>
      <c r="C22" s="7" t="s">
        <v>13</v>
      </c>
      <c r="D22" s="8" t="s">
        <v>547</v>
      </c>
      <c r="E22" s="8">
        <v>368</v>
      </c>
      <c r="F22" s="36" t="s">
        <v>1052</v>
      </c>
      <c r="G22" s="41">
        <f>0.0425*368*42/1000</f>
        <v>0.65688000000000002</v>
      </c>
      <c r="H22" s="7"/>
      <c r="I22" s="7"/>
      <c r="J22" s="7"/>
      <c r="K22" s="7"/>
      <c r="L22" s="7"/>
      <c r="M22" s="7"/>
      <c r="N22" s="7" t="s">
        <v>593</v>
      </c>
      <c r="O22" s="7" t="s">
        <v>1048</v>
      </c>
    </row>
    <row r="23" spans="1:16" ht="43.2" outlineLevel="1" x14ac:dyDescent="0.3">
      <c r="A23" s="7">
        <v>18</v>
      </c>
      <c r="B23" s="7">
        <v>18</v>
      </c>
      <c r="C23" s="7" t="s">
        <v>24</v>
      </c>
      <c r="D23" s="8" t="s">
        <v>547</v>
      </c>
      <c r="E23" s="8">
        <v>168</v>
      </c>
      <c r="F23" s="36" t="s">
        <v>1052</v>
      </c>
      <c r="G23" s="41">
        <f>0.1*168*99/1000</f>
        <v>1.6632</v>
      </c>
      <c r="H23" s="7"/>
      <c r="I23" s="7"/>
      <c r="J23" s="7"/>
      <c r="K23" s="7"/>
      <c r="L23" s="7"/>
      <c r="M23" s="7"/>
      <c r="N23" s="7" t="s">
        <v>603</v>
      </c>
      <c r="O23" s="7" t="s">
        <v>1048</v>
      </c>
    </row>
    <row r="24" spans="1:16" ht="28.8" outlineLevel="1" x14ac:dyDescent="0.3">
      <c r="A24" s="7">
        <v>19</v>
      </c>
      <c r="B24" s="7">
        <v>19</v>
      </c>
      <c r="C24" s="7" t="s">
        <v>14</v>
      </c>
      <c r="D24" s="8" t="s">
        <v>548</v>
      </c>
      <c r="E24" s="8">
        <v>205.5</v>
      </c>
      <c r="F24" s="36" t="s">
        <v>1052</v>
      </c>
      <c r="G24" s="41"/>
      <c r="H24" s="7"/>
      <c r="I24" s="7"/>
      <c r="J24" s="7"/>
      <c r="K24" s="7"/>
      <c r="L24" s="7"/>
      <c r="M24" s="7"/>
      <c r="N24" s="7" t="s">
        <v>604</v>
      </c>
      <c r="O24" s="7"/>
      <c r="P24" s="1" t="s">
        <v>1054</v>
      </c>
    </row>
    <row r="25" spans="1:16" ht="94.8" customHeight="1" outlineLevel="1" x14ac:dyDescent="0.3">
      <c r="A25" s="7">
        <v>20</v>
      </c>
      <c r="B25" s="7">
        <v>20</v>
      </c>
      <c r="C25" s="7" t="s">
        <v>15</v>
      </c>
      <c r="D25" s="8" t="s">
        <v>546</v>
      </c>
      <c r="E25" s="8">
        <v>160.74</v>
      </c>
      <c r="F25" s="36" t="s">
        <v>1052</v>
      </c>
      <c r="G25" s="41">
        <v>0.64300000000000002</v>
      </c>
      <c r="H25" s="7"/>
      <c r="I25" s="7"/>
      <c r="J25" s="7"/>
      <c r="K25" s="7"/>
      <c r="L25" s="7"/>
      <c r="M25" s="7"/>
      <c r="N25" s="7" t="s">
        <v>605</v>
      </c>
      <c r="O25" s="7" t="s">
        <v>1046</v>
      </c>
    </row>
    <row r="26" spans="1:16" ht="28.8" outlineLevel="1" x14ac:dyDescent="0.3">
      <c r="A26" s="7">
        <v>21</v>
      </c>
      <c r="B26" s="7">
        <v>21</v>
      </c>
      <c r="C26" s="7" t="s">
        <v>19</v>
      </c>
      <c r="D26" s="8" t="s">
        <v>547</v>
      </c>
      <c r="E26" s="8">
        <v>8</v>
      </c>
      <c r="F26" s="26" t="s">
        <v>547</v>
      </c>
      <c r="G26" s="39">
        <v>8</v>
      </c>
      <c r="H26" s="7"/>
      <c r="I26" s="7"/>
      <c r="J26" s="7"/>
      <c r="K26" s="7"/>
      <c r="L26" s="7"/>
      <c r="M26" s="7"/>
      <c r="N26" s="7" t="s">
        <v>599</v>
      </c>
      <c r="O26" s="7"/>
      <c r="P26" s="1" t="s">
        <v>1054</v>
      </c>
    </row>
    <row r="27" spans="1:16" ht="28.8" outlineLevel="1" x14ac:dyDescent="0.3">
      <c r="A27" s="7">
        <v>22</v>
      </c>
      <c r="B27" s="7">
        <v>22</v>
      </c>
      <c r="C27" s="7" t="s">
        <v>25</v>
      </c>
      <c r="D27" s="8" t="s">
        <v>549</v>
      </c>
      <c r="E27" s="8">
        <v>46.73</v>
      </c>
      <c r="F27" s="36" t="s">
        <v>1052</v>
      </c>
      <c r="G27" s="57">
        <f>46.73/1000</f>
        <v>4.6729999999999994E-2</v>
      </c>
      <c r="H27" s="7"/>
      <c r="I27" s="7"/>
      <c r="J27" s="7"/>
      <c r="K27" s="7"/>
      <c r="L27" s="7"/>
      <c r="M27" s="7"/>
      <c r="N27" s="7" t="s">
        <v>606</v>
      </c>
      <c r="O27" s="7"/>
    </row>
    <row r="28" spans="1:16" s="2" customFormat="1" x14ac:dyDescent="0.3">
      <c r="A28" s="4"/>
      <c r="B28" s="4"/>
      <c r="C28" s="4" t="s">
        <v>26</v>
      </c>
      <c r="D28" s="6"/>
      <c r="E28" s="6"/>
      <c r="F28" s="36"/>
      <c r="G28" s="41"/>
      <c r="H28" s="4"/>
      <c r="I28" s="4"/>
      <c r="J28" s="4"/>
      <c r="K28" s="4"/>
      <c r="L28" s="4"/>
      <c r="M28" s="4"/>
      <c r="N28" s="4"/>
      <c r="O28" s="4"/>
    </row>
    <row r="29" spans="1:16" ht="60" customHeight="1" outlineLevel="1" x14ac:dyDescent="0.3">
      <c r="A29" s="7">
        <v>23</v>
      </c>
      <c r="B29" s="7">
        <v>23</v>
      </c>
      <c r="C29" s="7" t="s">
        <v>22</v>
      </c>
      <c r="D29" s="8" t="s">
        <v>546</v>
      </c>
      <c r="E29" s="8">
        <v>961.9</v>
      </c>
      <c r="F29" s="36" t="s">
        <v>1052</v>
      </c>
      <c r="G29" s="41">
        <v>1.9239999999999999</v>
      </c>
      <c r="H29" s="7"/>
      <c r="I29" s="7"/>
      <c r="J29" s="7"/>
      <c r="K29" s="7"/>
      <c r="L29" s="7"/>
      <c r="M29" s="7"/>
      <c r="N29" s="7" t="s">
        <v>607</v>
      </c>
      <c r="O29" s="7" t="s">
        <v>1046</v>
      </c>
    </row>
    <row r="30" spans="1:16" ht="43.2" outlineLevel="1" x14ac:dyDescent="0.3">
      <c r="A30" s="7">
        <v>24</v>
      </c>
      <c r="B30" s="7">
        <v>24</v>
      </c>
      <c r="C30" s="7" t="s">
        <v>10</v>
      </c>
      <c r="D30" s="8" t="s">
        <v>546</v>
      </c>
      <c r="E30" s="8">
        <v>961.9</v>
      </c>
      <c r="F30" s="36" t="s">
        <v>1052</v>
      </c>
      <c r="G30" s="41">
        <f>961.9*0.029*2</f>
        <v>55.790199999999999</v>
      </c>
      <c r="H30" s="7"/>
      <c r="I30" s="7"/>
      <c r="J30" s="7"/>
      <c r="K30" s="7"/>
      <c r="L30" s="7"/>
      <c r="M30" s="7"/>
      <c r="N30" s="7" t="s">
        <v>608</v>
      </c>
      <c r="O30" s="7" t="s">
        <v>1047</v>
      </c>
    </row>
    <row r="31" spans="1:16" ht="43.2" outlineLevel="1" x14ac:dyDescent="0.3">
      <c r="A31" s="7">
        <v>25</v>
      </c>
      <c r="B31" s="7">
        <v>25</v>
      </c>
      <c r="C31" s="7" t="s">
        <v>23</v>
      </c>
      <c r="D31" s="8" t="s">
        <v>547</v>
      </c>
      <c r="E31" s="8">
        <v>480</v>
      </c>
      <c r="F31" s="36" t="s">
        <v>1052</v>
      </c>
      <c r="G31" s="41">
        <f>0.1125*480*111/1000</f>
        <v>5.9939999999999998</v>
      </c>
      <c r="H31" s="7"/>
      <c r="I31" s="7"/>
      <c r="J31" s="7"/>
      <c r="K31" s="7"/>
      <c r="L31" s="7"/>
      <c r="M31" s="7"/>
      <c r="N31" s="7" t="s">
        <v>591</v>
      </c>
      <c r="O31" s="7" t="s">
        <v>1048</v>
      </c>
    </row>
    <row r="32" spans="1:16" ht="43.2" outlineLevel="1" x14ac:dyDescent="0.3">
      <c r="A32" s="7">
        <v>26</v>
      </c>
      <c r="B32" s="7">
        <v>26</v>
      </c>
      <c r="C32" s="7" t="s">
        <v>24</v>
      </c>
      <c r="D32" s="8" t="s">
        <v>547</v>
      </c>
      <c r="E32" s="8">
        <v>184</v>
      </c>
      <c r="F32" s="36" t="s">
        <v>1052</v>
      </c>
      <c r="G32" s="41">
        <f>0.1*184*99/1000</f>
        <v>1.8216000000000001</v>
      </c>
      <c r="H32" s="7"/>
      <c r="I32" s="7"/>
      <c r="J32" s="7"/>
      <c r="K32" s="7"/>
      <c r="L32" s="7"/>
      <c r="M32" s="7"/>
      <c r="N32" s="7" t="s">
        <v>603</v>
      </c>
      <c r="O32" s="7" t="s">
        <v>1048</v>
      </c>
    </row>
    <row r="33" spans="1:16" ht="43.2" outlineLevel="1" x14ac:dyDescent="0.3">
      <c r="A33" s="7">
        <v>27</v>
      </c>
      <c r="B33" s="7">
        <v>27</v>
      </c>
      <c r="C33" s="7" t="s">
        <v>12</v>
      </c>
      <c r="D33" s="8" t="s">
        <v>547</v>
      </c>
      <c r="E33" s="8">
        <v>184</v>
      </c>
      <c r="F33" s="36" t="s">
        <v>1052</v>
      </c>
      <c r="G33" s="41">
        <f>0.09*184*89/1000</f>
        <v>1.4738399999999998</v>
      </c>
      <c r="H33" s="7"/>
      <c r="I33" s="7"/>
      <c r="J33" s="7"/>
      <c r="K33" s="7"/>
      <c r="L33" s="7"/>
      <c r="M33" s="7"/>
      <c r="N33" s="7" t="s">
        <v>592</v>
      </c>
      <c r="O33" s="7" t="s">
        <v>1048</v>
      </c>
    </row>
    <row r="34" spans="1:16" ht="43.2" outlineLevel="1" x14ac:dyDescent="0.3">
      <c r="A34" s="7">
        <v>28</v>
      </c>
      <c r="B34" s="7">
        <v>28</v>
      </c>
      <c r="C34" s="7" t="s">
        <v>13</v>
      </c>
      <c r="D34" s="8" t="s">
        <v>547</v>
      </c>
      <c r="E34" s="8">
        <v>184</v>
      </c>
      <c r="F34" s="36" t="s">
        <v>1052</v>
      </c>
      <c r="G34" s="41">
        <f>0.0425*184*42/1000</f>
        <v>0.32844000000000001</v>
      </c>
      <c r="H34" s="7"/>
      <c r="I34" s="7"/>
      <c r="J34" s="7"/>
      <c r="K34" s="7"/>
      <c r="L34" s="7"/>
      <c r="M34" s="7"/>
      <c r="N34" s="7" t="s">
        <v>593</v>
      </c>
      <c r="O34" s="7" t="s">
        <v>1048</v>
      </c>
    </row>
    <row r="35" spans="1:16" ht="28.8" outlineLevel="1" x14ac:dyDescent="0.3">
      <c r="A35" s="7">
        <v>29</v>
      </c>
      <c r="B35" s="7">
        <v>29</v>
      </c>
      <c r="C35" s="7" t="s">
        <v>14</v>
      </c>
      <c r="D35" s="8" t="s">
        <v>548</v>
      </c>
      <c r="E35" s="8">
        <v>110.1</v>
      </c>
      <c r="F35" s="26" t="s">
        <v>548</v>
      </c>
      <c r="G35" s="39">
        <v>110.1</v>
      </c>
      <c r="H35" s="7"/>
      <c r="I35" s="7"/>
      <c r="J35" s="7"/>
      <c r="K35" s="7"/>
      <c r="L35" s="7"/>
      <c r="M35" s="7"/>
      <c r="N35" s="7" t="s">
        <v>609</v>
      </c>
      <c r="O35" s="7"/>
      <c r="P35" s="1" t="s">
        <v>1055</v>
      </c>
    </row>
    <row r="36" spans="1:16" ht="57.6" outlineLevel="1" x14ac:dyDescent="0.3">
      <c r="A36" s="7">
        <v>30</v>
      </c>
      <c r="B36" s="7">
        <v>30</v>
      </c>
      <c r="C36" s="7" t="s">
        <v>15</v>
      </c>
      <c r="D36" s="8" t="s">
        <v>546</v>
      </c>
      <c r="E36" s="8">
        <v>78.2</v>
      </c>
      <c r="F36" s="36" t="s">
        <v>1052</v>
      </c>
      <c r="G36" s="41">
        <v>0.313</v>
      </c>
      <c r="H36" s="7"/>
      <c r="I36" s="7"/>
      <c r="J36" s="7"/>
      <c r="K36" s="7"/>
      <c r="L36" s="7"/>
      <c r="M36" s="7"/>
      <c r="N36" s="7" t="s">
        <v>610</v>
      </c>
      <c r="O36" s="7" t="s">
        <v>1046</v>
      </c>
    </row>
    <row r="37" spans="1:16" ht="28.8" outlineLevel="1" x14ac:dyDescent="0.3">
      <c r="A37" s="7">
        <v>31</v>
      </c>
      <c r="B37" s="7">
        <v>31</v>
      </c>
      <c r="C37" s="7" t="s">
        <v>27</v>
      </c>
      <c r="D37" s="8" t="s">
        <v>549</v>
      </c>
      <c r="E37" s="8">
        <v>73.83</v>
      </c>
      <c r="F37" s="36" t="s">
        <v>1052</v>
      </c>
      <c r="G37" s="57">
        <f>73.83/1000</f>
        <v>7.3829999999999993E-2</v>
      </c>
      <c r="H37" s="7"/>
      <c r="I37" s="7"/>
      <c r="J37" s="7"/>
      <c r="K37" s="7"/>
      <c r="L37" s="7"/>
      <c r="M37" s="7"/>
      <c r="N37" s="7" t="s">
        <v>611</v>
      </c>
      <c r="O37" s="7"/>
    </row>
    <row r="38" spans="1:16" ht="28.8" outlineLevel="1" x14ac:dyDescent="0.3">
      <c r="A38" s="7">
        <v>32</v>
      </c>
      <c r="B38" s="7">
        <v>32</v>
      </c>
      <c r="C38" s="7" t="s">
        <v>25</v>
      </c>
      <c r="D38" s="8" t="s">
        <v>549</v>
      </c>
      <c r="E38" s="8">
        <v>93.46</v>
      </c>
      <c r="F38" s="36" t="s">
        <v>1052</v>
      </c>
      <c r="G38" s="57">
        <f>93.46/1000</f>
        <v>9.3459999999999988E-2</v>
      </c>
      <c r="H38" s="7"/>
      <c r="I38" s="7"/>
      <c r="J38" s="7"/>
      <c r="K38" s="7"/>
      <c r="L38" s="7"/>
      <c r="M38" s="7"/>
      <c r="N38" s="7" t="s">
        <v>612</v>
      </c>
      <c r="O38" s="7"/>
    </row>
    <row r="39" spans="1:16" ht="28.8" outlineLevel="1" x14ac:dyDescent="0.3">
      <c r="A39" s="7">
        <v>33</v>
      </c>
      <c r="B39" s="7">
        <v>33</v>
      </c>
      <c r="C39" s="7" t="s">
        <v>28</v>
      </c>
      <c r="D39" s="8" t="s">
        <v>547</v>
      </c>
      <c r="E39" s="8">
        <v>3</v>
      </c>
      <c r="F39" s="26" t="s">
        <v>547</v>
      </c>
      <c r="G39" s="39">
        <v>3</v>
      </c>
      <c r="H39" s="7"/>
      <c r="I39" s="7"/>
      <c r="J39" s="7"/>
      <c r="K39" s="7"/>
      <c r="L39" s="7"/>
      <c r="M39" s="7"/>
      <c r="N39" s="7" t="s">
        <v>613</v>
      </c>
      <c r="O39" s="7"/>
      <c r="P39" s="1" t="s">
        <v>1054</v>
      </c>
    </row>
    <row r="40" spans="1:16" ht="28.8" outlineLevel="1" x14ac:dyDescent="0.3">
      <c r="A40" s="7">
        <v>34</v>
      </c>
      <c r="B40" s="7">
        <v>34</v>
      </c>
      <c r="C40" s="7" t="s">
        <v>19</v>
      </c>
      <c r="D40" s="8" t="s">
        <v>547</v>
      </c>
      <c r="E40" s="8">
        <v>8</v>
      </c>
      <c r="F40" s="26" t="s">
        <v>547</v>
      </c>
      <c r="G40" s="39">
        <v>8</v>
      </c>
      <c r="H40" s="7"/>
      <c r="I40" s="7"/>
      <c r="J40" s="7"/>
      <c r="K40" s="7"/>
      <c r="L40" s="7"/>
      <c r="M40" s="7"/>
      <c r="N40" s="7" t="s">
        <v>614</v>
      </c>
      <c r="O40" s="7"/>
      <c r="P40" s="1" t="s">
        <v>1054</v>
      </c>
    </row>
    <row r="41" spans="1:16" s="2" customFormat="1" x14ac:dyDescent="0.3">
      <c r="A41" s="4"/>
      <c r="B41" s="4"/>
      <c r="C41" s="4" t="s">
        <v>29</v>
      </c>
      <c r="D41" s="6"/>
      <c r="E41" s="6"/>
      <c r="F41" s="36"/>
      <c r="G41" s="41"/>
      <c r="H41" s="4"/>
      <c r="I41" s="4"/>
      <c r="J41" s="4"/>
      <c r="K41" s="4"/>
      <c r="L41" s="4"/>
      <c r="M41" s="4"/>
      <c r="N41" s="4"/>
      <c r="O41" s="4"/>
    </row>
    <row r="42" spans="1:16" ht="57.6" outlineLevel="1" x14ac:dyDescent="0.3">
      <c r="A42" s="7">
        <v>35</v>
      </c>
      <c r="B42" s="7">
        <v>35</v>
      </c>
      <c r="C42" s="7" t="s">
        <v>30</v>
      </c>
      <c r="D42" s="8" t="s">
        <v>546</v>
      </c>
      <c r="E42" s="8">
        <v>1475.4</v>
      </c>
      <c r="F42" s="36" t="s">
        <v>1052</v>
      </c>
      <c r="G42" s="41">
        <v>2.9510000000000001</v>
      </c>
      <c r="H42" s="7"/>
      <c r="I42" s="7"/>
      <c r="J42" s="7"/>
      <c r="K42" s="7"/>
      <c r="L42" s="7"/>
      <c r="M42" s="7"/>
      <c r="N42" s="7" t="s">
        <v>615</v>
      </c>
      <c r="O42" s="7"/>
    </row>
    <row r="43" spans="1:16" outlineLevel="1" x14ac:dyDescent="0.3">
      <c r="A43" s="7">
        <v>36</v>
      </c>
      <c r="B43" s="7">
        <v>36</v>
      </c>
      <c r="C43" s="7" t="s">
        <v>31</v>
      </c>
      <c r="D43" s="8" t="s">
        <v>546</v>
      </c>
      <c r="E43" s="8">
        <v>1475.4</v>
      </c>
      <c r="F43" s="36" t="s">
        <v>1052</v>
      </c>
      <c r="G43" s="41">
        <f>1475.4*0.008*2</f>
        <v>23.606400000000001</v>
      </c>
      <c r="H43" s="7"/>
      <c r="I43" s="7"/>
      <c r="J43" s="7"/>
      <c r="K43" s="7"/>
      <c r="L43" s="7"/>
      <c r="M43" s="7"/>
      <c r="N43" s="7" t="s">
        <v>616</v>
      </c>
      <c r="O43" s="7"/>
    </row>
    <row r="44" spans="1:16" ht="81" customHeight="1" outlineLevel="1" x14ac:dyDescent="0.3">
      <c r="A44" s="7">
        <v>37</v>
      </c>
      <c r="B44" s="7">
        <v>37</v>
      </c>
      <c r="C44" s="7" t="s">
        <v>32</v>
      </c>
      <c r="D44" s="8" t="s">
        <v>546</v>
      </c>
      <c r="E44" s="8">
        <v>1475.4</v>
      </c>
      <c r="F44" s="36" t="s">
        <v>1052</v>
      </c>
      <c r="G44" s="41">
        <v>5.9009999999999998</v>
      </c>
      <c r="H44" s="7"/>
      <c r="I44" s="7"/>
      <c r="J44" s="7"/>
      <c r="K44" s="7"/>
      <c r="L44" s="7"/>
      <c r="M44" s="7"/>
      <c r="N44" s="7" t="s">
        <v>617</v>
      </c>
      <c r="O44" s="7"/>
    </row>
    <row r="45" spans="1:16" outlineLevel="1" x14ac:dyDescent="0.3">
      <c r="A45" s="7">
        <v>38</v>
      </c>
      <c r="B45" s="7">
        <v>38</v>
      </c>
      <c r="C45" s="7" t="s">
        <v>33</v>
      </c>
      <c r="D45" s="8" t="s">
        <v>546</v>
      </c>
      <c r="E45" s="8">
        <v>1475.4</v>
      </c>
      <c r="F45" s="36" t="s">
        <v>1052</v>
      </c>
      <c r="G45" s="41">
        <f>1475.4*0.017*2.4</f>
        <v>60.196320000000007</v>
      </c>
      <c r="H45" s="7"/>
      <c r="I45" s="7"/>
      <c r="J45" s="7"/>
      <c r="K45" s="7"/>
      <c r="L45" s="7"/>
      <c r="M45" s="7"/>
      <c r="N45" s="7" t="s">
        <v>618</v>
      </c>
      <c r="O45" s="7"/>
      <c r="P45" s="1" t="s">
        <v>1056</v>
      </c>
    </row>
    <row r="46" spans="1:16" outlineLevel="1" x14ac:dyDescent="0.3">
      <c r="A46" s="7">
        <v>39</v>
      </c>
      <c r="B46" s="7">
        <v>39</v>
      </c>
      <c r="C46" s="7" t="s">
        <v>34</v>
      </c>
      <c r="D46" s="8" t="s">
        <v>547</v>
      </c>
      <c r="E46" s="8">
        <v>1032</v>
      </c>
      <c r="F46" s="36" t="s">
        <v>1052</v>
      </c>
      <c r="G46" s="41">
        <f>0.1125*1032*111/1000</f>
        <v>12.8871</v>
      </c>
      <c r="H46" s="7"/>
      <c r="I46" s="7"/>
      <c r="J46" s="7"/>
      <c r="K46" s="7"/>
      <c r="L46" s="7"/>
      <c r="M46" s="7"/>
      <c r="N46" s="7" t="s">
        <v>591</v>
      </c>
      <c r="O46" s="7"/>
    </row>
    <row r="47" spans="1:16" outlineLevel="1" x14ac:dyDescent="0.3">
      <c r="A47" s="7">
        <v>40</v>
      </c>
      <c r="B47" s="7">
        <v>40</v>
      </c>
      <c r="C47" s="7" t="s">
        <v>35</v>
      </c>
      <c r="D47" s="8" t="s">
        <v>547</v>
      </c>
      <c r="E47" s="8">
        <v>184</v>
      </c>
      <c r="F47" s="36" t="s">
        <v>1052</v>
      </c>
      <c r="G47" s="41">
        <f>0.075*184*74/1000</f>
        <v>1.0211999999999999</v>
      </c>
      <c r="H47" s="7"/>
      <c r="I47" s="7"/>
      <c r="J47" s="7"/>
      <c r="K47" s="7"/>
      <c r="L47" s="7"/>
      <c r="M47" s="7"/>
      <c r="N47" s="7" t="s">
        <v>619</v>
      </c>
      <c r="O47" s="7"/>
    </row>
    <row r="48" spans="1:16" outlineLevel="1" x14ac:dyDescent="0.3">
      <c r="A48" s="7">
        <v>41</v>
      </c>
      <c r="B48" s="7">
        <v>41</v>
      </c>
      <c r="C48" s="7" t="s">
        <v>36</v>
      </c>
      <c r="D48" s="8" t="s">
        <v>547</v>
      </c>
      <c r="E48" s="8">
        <v>184</v>
      </c>
      <c r="F48" s="36" t="s">
        <v>1052</v>
      </c>
      <c r="G48" s="41">
        <f>0.09*184*89/1000</f>
        <v>1.4738399999999998</v>
      </c>
      <c r="H48" s="7"/>
      <c r="I48" s="7"/>
      <c r="J48" s="7"/>
      <c r="K48" s="7"/>
      <c r="L48" s="7"/>
      <c r="M48" s="7"/>
      <c r="N48" s="7" t="s">
        <v>592</v>
      </c>
      <c r="O48" s="7"/>
    </row>
    <row r="49" spans="1:16" outlineLevel="1" x14ac:dyDescent="0.3">
      <c r="A49" s="7">
        <v>42</v>
      </c>
      <c r="B49" s="7">
        <v>42</v>
      </c>
      <c r="C49" s="7" t="s">
        <v>37</v>
      </c>
      <c r="D49" s="8" t="s">
        <v>548</v>
      </c>
      <c r="E49" s="8">
        <v>23.8</v>
      </c>
      <c r="F49" s="36" t="s">
        <v>1052</v>
      </c>
      <c r="G49" s="41"/>
      <c r="H49" s="7"/>
      <c r="I49" s="7"/>
      <c r="J49" s="7"/>
      <c r="K49" s="7"/>
      <c r="L49" s="7"/>
      <c r="M49" s="7"/>
      <c r="N49" s="7" t="s">
        <v>620</v>
      </c>
      <c r="O49" s="7"/>
      <c r="P49" s="1" t="s">
        <v>1054</v>
      </c>
    </row>
    <row r="50" spans="1:16" ht="57.6" outlineLevel="1" x14ac:dyDescent="0.3">
      <c r="A50" s="7">
        <v>43</v>
      </c>
      <c r="B50" s="7">
        <v>43</v>
      </c>
      <c r="C50" s="7" t="s">
        <v>38</v>
      </c>
      <c r="D50" s="8" t="s">
        <v>546</v>
      </c>
      <c r="E50" s="8">
        <v>30.5</v>
      </c>
      <c r="F50" s="36" t="s">
        <v>1052</v>
      </c>
      <c r="G50" s="41">
        <v>0.122</v>
      </c>
      <c r="H50" s="7"/>
      <c r="I50" s="7"/>
      <c r="J50" s="7"/>
      <c r="K50" s="7"/>
      <c r="L50" s="7"/>
      <c r="M50" s="7"/>
      <c r="N50" s="7" t="s">
        <v>621</v>
      </c>
      <c r="O50" s="7"/>
    </row>
    <row r="51" spans="1:16" outlineLevel="1" x14ac:dyDescent="0.3">
      <c r="A51" s="7">
        <v>44</v>
      </c>
      <c r="B51" s="7">
        <v>44</v>
      </c>
      <c r="C51" s="7" t="s">
        <v>39</v>
      </c>
      <c r="D51" s="8" t="s">
        <v>547</v>
      </c>
      <c r="E51" s="8">
        <v>1</v>
      </c>
      <c r="F51" s="36"/>
      <c r="G51" s="41"/>
      <c r="H51" s="7"/>
      <c r="I51" s="7"/>
      <c r="J51" s="7"/>
      <c r="K51" s="7"/>
      <c r="L51" s="7"/>
      <c r="M51" s="7"/>
      <c r="N51" s="7" t="s">
        <v>622</v>
      </c>
      <c r="O51" s="7"/>
      <c r="P51" s="1" t="s">
        <v>1054</v>
      </c>
    </row>
    <row r="52" spans="1:16" outlineLevel="1" x14ac:dyDescent="0.3">
      <c r="A52" s="7">
        <v>45</v>
      </c>
      <c r="B52" s="7">
        <v>45</v>
      </c>
      <c r="C52" s="7" t="s">
        <v>40</v>
      </c>
      <c r="D52" s="8" t="s">
        <v>547</v>
      </c>
      <c r="E52" s="8">
        <v>8</v>
      </c>
      <c r="F52" s="36"/>
      <c r="G52" s="41"/>
      <c r="H52" s="7"/>
      <c r="I52" s="7"/>
      <c r="J52" s="7"/>
      <c r="K52" s="7"/>
      <c r="L52" s="7"/>
      <c r="M52" s="7"/>
      <c r="N52" s="7" t="s">
        <v>623</v>
      </c>
      <c r="O52" s="7"/>
      <c r="P52" s="1" t="s">
        <v>1054</v>
      </c>
    </row>
    <row r="53" spans="1:16" ht="28.8" outlineLevel="1" x14ac:dyDescent="0.3">
      <c r="A53" s="7">
        <v>46</v>
      </c>
      <c r="B53" s="7">
        <v>46</v>
      </c>
      <c r="C53" s="7" t="s">
        <v>41</v>
      </c>
      <c r="D53" s="8" t="s">
        <v>549</v>
      </c>
      <c r="E53" s="8">
        <v>46.73</v>
      </c>
      <c r="F53" s="36" t="s">
        <v>1052</v>
      </c>
      <c r="G53" s="41">
        <f>46.73/1000</f>
        <v>4.6729999999999994E-2</v>
      </c>
      <c r="H53" s="7"/>
      <c r="I53" s="7"/>
      <c r="J53" s="7"/>
      <c r="K53" s="7"/>
      <c r="L53" s="7"/>
      <c r="M53" s="7"/>
      <c r="N53" s="7" t="s">
        <v>612</v>
      </c>
      <c r="O53" s="7"/>
    </row>
    <row r="54" spans="1:16" s="2" customFormat="1" x14ac:dyDescent="0.3">
      <c r="A54" s="4"/>
      <c r="B54" s="4"/>
      <c r="C54" s="4" t="s">
        <v>42</v>
      </c>
      <c r="D54" s="6"/>
      <c r="E54" s="6"/>
      <c r="F54" s="36"/>
      <c r="G54" s="41"/>
      <c r="H54" s="4"/>
      <c r="I54" s="4"/>
      <c r="J54" s="4"/>
      <c r="K54" s="4"/>
      <c r="L54" s="4"/>
      <c r="M54" s="4"/>
      <c r="N54" s="4"/>
      <c r="O54" s="4"/>
    </row>
    <row r="55" spans="1:16" ht="57.6" outlineLevel="1" x14ac:dyDescent="0.3">
      <c r="A55" s="7">
        <v>47</v>
      </c>
      <c r="B55" s="7">
        <v>47</v>
      </c>
      <c r="C55" s="7" t="s">
        <v>30</v>
      </c>
      <c r="D55" s="8" t="s">
        <v>546</v>
      </c>
      <c r="E55" s="8">
        <v>956.8</v>
      </c>
      <c r="F55" s="36" t="s">
        <v>1052</v>
      </c>
      <c r="G55" s="41">
        <v>1.9</v>
      </c>
      <c r="H55" s="7"/>
      <c r="I55" s="7"/>
      <c r="J55" s="7"/>
      <c r="K55" s="7"/>
      <c r="L55" s="7"/>
      <c r="M55" s="7"/>
      <c r="N55" s="7" t="s">
        <v>624</v>
      </c>
      <c r="O55" s="7"/>
    </row>
    <row r="56" spans="1:16" outlineLevel="1" x14ac:dyDescent="0.3">
      <c r="A56" s="7">
        <v>48</v>
      </c>
      <c r="B56" s="7">
        <v>48</v>
      </c>
      <c r="C56" s="7" t="s">
        <v>31</v>
      </c>
      <c r="D56" s="8" t="s">
        <v>546</v>
      </c>
      <c r="E56" s="8">
        <v>956.8</v>
      </c>
      <c r="F56" s="36" t="s">
        <v>1052</v>
      </c>
      <c r="G56" s="41">
        <f>956.8*0.014*2</f>
        <v>26.790399999999998</v>
      </c>
      <c r="H56" s="7"/>
      <c r="I56" s="7"/>
      <c r="J56" s="7"/>
      <c r="K56" s="7"/>
      <c r="L56" s="7"/>
      <c r="M56" s="7"/>
      <c r="N56" s="7" t="s">
        <v>625</v>
      </c>
      <c r="O56" s="7"/>
    </row>
    <row r="57" spans="1:16" ht="57.6" outlineLevel="1" x14ac:dyDescent="0.3">
      <c r="A57" s="7">
        <v>49</v>
      </c>
      <c r="B57" s="7">
        <v>49</v>
      </c>
      <c r="C57" s="7" t="s">
        <v>32</v>
      </c>
      <c r="D57" s="8" t="s">
        <v>546</v>
      </c>
      <c r="E57" s="8">
        <v>956.8</v>
      </c>
      <c r="F57" s="36" t="s">
        <v>1052</v>
      </c>
      <c r="G57" s="41">
        <v>3.827</v>
      </c>
      <c r="H57" s="7"/>
      <c r="I57" s="7"/>
      <c r="J57" s="7"/>
      <c r="K57" s="7"/>
      <c r="L57" s="7"/>
      <c r="M57" s="7"/>
      <c r="N57" s="7" t="s">
        <v>626</v>
      </c>
      <c r="O57" s="7"/>
    </row>
    <row r="58" spans="1:16" outlineLevel="1" x14ac:dyDescent="0.3">
      <c r="A58" s="7">
        <v>50</v>
      </c>
      <c r="B58" s="7">
        <v>50</v>
      </c>
      <c r="C58" s="7" t="s">
        <v>33</v>
      </c>
      <c r="D58" s="8" t="s">
        <v>546</v>
      </c>
      <c r="E58" s="8">
        <v>956.8</v>
      </c>
      <c r="F58" s="36" t="s">
        <v>1052</v>
      </c>
      <c r="G58" s="41">
        <f>956.8*0.024*2.4</f>
        <v>55.11168</v>
      </c>
      <c r="H58" s="7"/>
      <c r="I58" s="7"/>
      <c r="J58" s="7"/>
      <c r="K58" s="7"/>
      <c r="L58" s="7"/>
      <c r="M58" s="7"/>
      <c r="N58" s="7" t="s">
        <v>627</v>
      </c>
      <c r="O58" s="7"/>
      <c r="P58" s="1" t="s">
        <v>1056</v>
      </c>
    </row>
    <row r="59" spans="1:16" outlineLevel="1" x14ac:dyDescent="0.3">
      <c r="A59" s="7">
        <v>51</v>
      </c>
      <c r="B59" s="7">
        <v>51</v>
      </c>
      <c r="C59" s="7" t="s">
        <v>34</v>
      </c>
      <c r="D59" s="8" t="s">
        <v>547</v>
      </c>
      <c r="E59" s="8">
        <v>848</v>
      </c>
      <c r="F59" s="36" t="s">
        <v>1052</v>
      </c>
      <c r="G59" s="41">
        <f>0.1125*848*111/1000</f>
        <v>10.589400000000001</v>
      </c>
      <c r="H59" s="7"/>
      <c r="I59" s="7"/>
      <c r="J59" s="7"/>
      <c r="K59" s="7"/>
      <c r="L59" s="7"/>
      <c r="M59" s="7"/>
      <c r="N59" s="7" t="s">
        <v>591</v>
      </c>
      <c r="O59" s="7"/>
    </row>
    <row r="60" spans="1:16" outlineLevel="1" x14ac:dyDescent="0.3">
      <c r="A60" s="7">
        <v>52</v>
      </c>
      <c r="B60" s="7">
        <v>52</v>
      </c>
      <c r="C60" s="7" t="s">
        <v>37</v>
      </c>
      <c r="D60" s="8" t="s">
        <v>548</v>
      </c>
      <c r="E60" s="8">
        <v>110.03</v>
      </c>
      <c r="F60" s="36" t="s">
        <v>1052</v>
      </c>
      <c r="G60" s="41"/>
      <c r="H60" s="7"/>
      <c r="I60" s="7"/>
      <c r="J60" s="7"/>
      <c r="K60" s="7"/>
      <c r="L60" s="7"/>
      <c r="M60" s="7"/>
      <c r="N60" s="7" t="s">
        <v>628</v>
      </c>
      <c r="O60" s="7"/>
      <c r="P60" s="1" t="s">
        <v>1054</v>
      </c>
    </row>
    <row r="61" spans="1:16" ht="57.6" customHeight="1" outlineLevel="1" x14ac:dyDescent="0.3">
      <c r="A61" s="7">
        <v>53</v>
      </c>
      <c r="B61" s="7">
        <v>53</v>
      </c>
      <c r="C61" s="7" t="s">
        <v>38</v>
      </c>
      <c r="D61" s="8" t="s">
        <v>546</v>
      </c>
      <c r="E61" s="8">
        <v>50.7</v>
      </c>
      <c r="F61" s="36" t="s">
        <v>1052</v>
      </c>
      <c r="G61" s="41">
        <v>0.20300000000000001</v>
      </c>
      <c r="H61" s="7"/>
      <c r="I61" s="7"/>
      <c r="J61" s="7"/>
      <c r="K61" s="7"/>
      <c r="L61" s="7"/>
      <c r="M61" s="7"/>
      <c r="N61" s="7" t="s">
        <v>629</v>
      </c>
      <c r="O61" s="7"/>
    </row>
    <row r="62" spans="1:16" ht="28.8" outlineLevel="1" x14ac:dyDescent="0.3">
      <c r="A62" s="7">
        <v>54</v>
      </c>
      <c r="B62" s="7">
        <v>54</v>
      </c>
      <c r="C62" s="7" t="s">
        <v>41</v>
      </c>
      <c r="D62" s="8" t="s">
        <v>549</v>
      </c>
      <c r="E62" s="8">
        <v>46.73</v>
      </c>
      <c r="F62" s="36" t="s">
        <v>1052</v>
      </c>
      <c r="G62" s="57">
        <f>46.73/1000</f>
        <v>4.6729999999999994E-2</v>
      </c>
      <c r="H62" s="7"/>
      <c r="I62" s="7"/>
      <c r="J62" s="7"/>
      <c r="K62" s="7"/>
      <c r="L62" s="7"/>
      <c r="M62" s="7"/>
      <c r="N62" s="7" t="s">
        <v>612</v>
      </c>
      <c r="O62" s="7"/>
    </row>
    <row r="63" spans="1:16" s="2" customFormat="1" x14ac:dyDescent="0.3">
      <c r="A63" s="4"/>
      <c r="B63" s="4"/>
      <c r="C63" s="4" t="s">
        <v>43</v>
      </c>
      <c r="D63" s="6"/>
      <c r="E63" s="6"/>
      <c r="F63" s="36" t="s">
        <v>1052</v>
      </c>
      <c r="G63" s="41"/>
      <c r="H63" s="4"/>
      <c r="I63" s="4"/>
      <c r="J63" s="4"/>
      <c r="K63" s="4"/>
      <c r="L63" s="4"/>
      <c r="M63" s="4"/>
      <c r="N63" s="4"/>
      <c r="O63" s="4"/>
    </row>
    <row r="64" spans="1:16" ht="57.6" outlineLevel="1" x14ac:dyDescent="0.3">
      <c r="A64" s="7">
        <v>55</v>
      </c>
      <c r="B64" s="7">
        <v>55</v>
      </c>
      <c r="C64" s="7" t="s">
        <v>44</v>
      </c>
      <c r="D64" s="8" t="s">
        <v>546</v>
      </c>
      <c r="E64" s="8">
        <v>960.6</v>
      </c>
      <c r="F64" s="36" t="s">
        <v>1052</v>
      </c>
      <c r="G64" s="41">
        <v>4.6100000000000003</v>
      </c>
      <c r="H64" s="7"/>
      <c r="I64" s="7"/>
      <c r="J64" s="7"/>
      <c r="K64" s="7"/>
      <c r="L64" s="7"/>
      <c r="M64" s="7"/>
      <c r="N64" s="7" t="s">
        <v>630</v>
      </c>
      <c r="O64" s="7"/>
    </row>
    <row r="65" spans="1:16" ht="57.6" outlineLevel="1" x14ac:dyDescent="0.3">
      <c r="A65" s="7">
        <v>56</v>
      </c>
      <c r="B65" s="7">
        <v>56</v>
      </c>
      <c r="C65" s="7" t="s">
        <v>45</v>
      </c>
      <c r="D65" s="8" t="s">
        <v>546</v>
      </c>
      <c r="E65" s="8">
        <v>960.6</v>
      </c>
      <c r="F65" s="36" t="s">
        <v>1052</v>
      </c>
      <c r="G65" s="41">
        <v>2.31</v>
      </c>
      <c r="H65" s="7"/>
      <c r="I65" s="7"/>
      <c r="J65" s="7"/>
      <c r="K65" s="7"/>
      <c r="L65" s="7"/>
      <c r="M65" s="7"/>
      <c r="N65" s="7" t="s">
        <v>631</v>
      </c>
      <c r="O65" s="7"/>
    </row>
    <row r="66" spans="1:16" outlineLevel="1" x14ac:dyDescent="0.3">
      <c r="A66" s="7">
        <v>57</v>
      </c>
      <c r="B66" s="7">
        <v>57</v>
      </c>
      <c r="C66" s="7" t="s">
        <v>31</v>
      </c>
      <c r="D66" s="8" t="s">
        <v>546</v>
      </c>
      <c r="E66" s="8">
        <v>960.6</v>
      </c>
      <c r="F66" s="36" t="s">
        <v>1052</v>
      </c>
      <c r="G66" s="41">
        <f>960.6*0.037*2</f>
        <v>71.084400000000002</v>
      </c>
      <c r="H66" s="7"/>
      <c r="I66" s="7"/>
      <c r="J66" s="7"/>
      <c r="K66" s="7"/>
      <c r="L66" s="7"/>
      <c r="M66" s="7"/>
      <c r="N66" s="7" t="s">
        <v>632</v>
      </c>
      <c r="O66" s="7"/>
    </row>
    <row r="67" spans="1:16" outlineLevel="1" x14ac:dyDescent="0.3">
      <c r="A67" s="7">
        <v>58</v>
      </c>
      <c r="B67" s="7">
        <v>58</v>
      </c>
      <c r="C67" s="7" t="s">
        <v>46</v>
      </c>
      <c r="D67" s="8" t="s">
        <v>547</v>
      </c>
      <c r="E67" s="8">
        <v>936</v>
      </c>
      <c r="F67" s="36" t="s">
        <v>1052</v>
      </c>
      <c r="G67" s="41">
        <f>0.1*936*99/1000</f>
        <v>9.2664000000000009</v>
      </c>
      <c r="H67" s="7"/>
      <c r="I67" s="7"/>
      <c r="J67" s="7"/>
      <c r="K67" s="7"/>
      <c r="L67" s="7"/>
      <c r="M67" s="7"/>
      <c r="N67" s="7" t="s">
        <v>603</v>
      </c>
      <c r="O67" s="7"/>
    </row>
    <row r="68" spans="1:16" outlineLevel="1" x14ac:dyDescent="0.3">
      <c r="A68" s="7">
        <v>59</v>
      </c>
      <c r="B68" s="7">
        <v>59</v>
      </c>
      <c r="C68" s="7" t="s">
        <v>39</v>
      </c>
      <c r="D68" s="8" t="s">
        <v>547</v>
      </c>
      <c r="E68" s="8">
        <v>2</v>
      </c>
      <c r="F68" s="26" t="s">
        <v>547</v>
      </c>
      <c r="G68" s="39">
        <v>2</v>
      </c>
      <c r="H68" s="7"/>
      <c r="I68" s="7"/>
      <c r="J68" s="7"/>
      <c r="K68" s="7"/>
      <c r="L68" s="7"/>
      <c r="M68" s="7"/>
      <c r="N68" s="7" t="s">
        <v>633</v>
      </c>
      <c r="O68" s="7"/>
      <c r="P68" s="1" t="s">
        <v>1054</v>
      </c>
    </row>
    <row r="69" spans="1:16" outlineLevel="1" x14ac:dyDescent="0.3">
      <c r="A69" s="7">
        <v>60</v>
      </c>
      <c r="B69" s="7">
        <v>60</v>
      </c>
      <c r="C69" s="7" t="s">
        <v>40</v>
      </c>
      <c r="D69" s="8" t="s">
        <v>547</v>
      </c>
      <c r="E69" s="8">
        <v>3</v>
      </c>
      <c r="F69" s="26" t="s">
        <v>547</v>
      </c>
      <c r="G69" s="39">
        <v>3</v>
      </c>
      <c r="H69" s="7"/>
      <c r="I69" s="7"/>
      <c r="J69" s="7"/>
      <c r="K69" s="7"/>
      <c r="L69" s="7"/>
      <c r="M69" s="7"/>
      <c r="N69" s="7" t="s">
        <v>634</v>
      </c>
      <c r="O69" s="7"/>
      <c r="P69" s="1" t="s">
        <v>1054</v>
      </c>
    </row>
    <row r="70" spans="1:16" outlineLevel="1" x14ac:dyDescent="0.3">
      <c r="A70" s="7">
        <v>61</v>
      </c>
      <c r="B70" s="7">
        <v>61</v>
      </c>
      <c r="C70" s="7" t="s">
        <v>47</v>
      </c>
      <c r="D70" s="8" t="s">
        <v>547</v>
      </c>
      <c r="E70" s="8">
        <v>312</v>
      </c>
      <c r="F70" s="36" t="s">
        <v>1052</v>
      </c>
      <c r="G70" s="41">
        <f>0.04*312*40/1000</f>
        <v>0.49920000000000003</v>
      </c>
      <c r="H70" s="7"/>
      <c r="I70" s="7"/>
      <c r="J70" s="7"/>
      <c r="K70" s="7"/>
      <c r="L70" s="7"/>
      <c r="M70" s="7"/>
      <c r="N70" s="7" t="s">
        <v>635</v>
      </c>
      <c r="O70" s="7"/>
    </row>
    <row r="71" spans="1:16" ht="43.2" outlineLevel="1" x14ac:dyDescent="0.3">
      <c r="A71" s="7">
        <v>62</v>
      </c>
      <c r="B71" s="7">
        <v>62</v>
      </c>
      <c r="C71" s="7" t="s">
        <v>48</v>
      </c>
      <c r="D71" s="8" t="s">
        <v>546</v>
      </c>
      <c r="E71" s="8">
        <v>358.2</v>
      </c>
      <c r="F71" s="26" t="s">
        <v>546</v>
      </c>
      <c r="G71" s="39">
        <v>358.2</v>
      </c>
      <c r="H71" s="7"/>
      <c r="I71" s="7"/>
      <c r="J71" s="7"/>
      <c r="K71" s="7"/>
      <c r="L71" s="7"/>
      <c r="M71" s="7"/>
      <c r="N71" s="7" t="s">
        <v>636</v>
      </c>
      <c r="O71" s="7"/>
    </row>
    <row r="72" spans="1:16" ht="86.4" outlineLevel="1" x14ac:dyDescent="0.3">
      <c r="A72" s="7">
        <v>63</v>
      </c>
      <c r="B72" s="7">
        <v>63</v>
      </c>
      <c r="C72" s="7" t="s">
        <v>1057</v>
      </c>
      <c r="D72" s="8" t="s">
        <v>550</v>
      </c>
      <c r="E72" s="8">
        <v>10.7</v>
      </c>
      <c r="F72" s="36" t="s">
        <v>1052</v>
      </c>
      <c r="G72" s="41">
        <v>10.7</v>
      </c>
      <c r="H72" s="7"/>
      <c r="I72" s="7"/>
      <c r="J72" s="7"/>
      <c r="K72" s="7"/>
      <c r="L72" s="7"/>
      <c r="M72" s="7"/>
      <c r="N72" s="7" t="s">
        <v>637</v>
      </c>
      <c r="O72" s="7"/>
    </row>
    <row r="73" spans="1:16" ht="100.8" outlineLevel="1" x14ac:dyDescent="0.3">
      <c r="A73" s="7">
        <v>64</v>
      </c>
      <c r="B73" s="7">
        <v>64</v>
      </c>
      <c r="C73" s="7" t="s">
        <v>49</v>
      </c>
      <c r="D73" s="8" t="s">
        <v>546</v>
      </c>
      <c r="E73" s="8">
        <v>35.54</v>
      </c>
      <c r="F73" s="36" t="s">
        <v>1052</v>
      </c>
      <c r="G73" s="41">
        <f>2901.4/1000</f>
        <v>2.9014000000000002</v>
      </c>
      <c r="H73" s="7"/>
      <c r="I73" s="7"/>
      <c r="J73" s="7"/>
      <c r="K73" s="7"/>
      <c r="L73" s="7"/>
      <c r="M73" s="7"/>
      <c r="N73" s="7" t="s">
        <v>638</v>
      </c>
      <c r="O73" s="7"/>
    </row>
    <row r="74" spans="1:16" ht="86.4" outlineLevel="1" x14ac:dyDescent="0.3">
      <c r="A74" s="7">
        <v>65</v>
      </c>
      <c r="B74" s="7">
        <v>65</v>
      </c>
      <c r="C74" s="7" t="s">
        <v>49</v>
      </c>
      <c r="D74" s="8" t="s">
        <v>546</v>
      </c>
      <c r="E74" s="8">
        <v>35.54</v>
      </c>
      <c r="F74" s="36" t="s">
        <v>1052</v>
      </c>
      <c r="G74" s="41">
        <f>2592.82/1000</f>
        <v>2.5928200000000001</v>
      </c>
      <c r="H74" s="7"/>
      <c r="I74" s="7"/>
      <c r="J74" s="7"/>
      <c r="K74" s="7"/>
      <c r="L74" s="7"/>
      <c r="M74" s="7"/>
      <c r="N74" s="7" t="s">
        <v>639</v>
      </c>
      <c r="O74" s="7"/>
    </row>
    <row r="75" spans="1:16" ht="55.2" customHeight="1" outlineLevel="1" x14ac:dyDescent="0.3">
      <c r="A75" s="7">
        <v>66</v>
      </c>
      <c r="B75" s="7">
        <v>66</v>
      </c>
      <c r="C75" s="7" t="s">
        <v>50</v>
      </c>
      <c r="D75" s="8" t="s">
        <v>548</v>
      </c>
      <c r="E75" s="17">
        <v>338.5</v>
      </c>
      <c r="F75" s="26" t="s">
        <v>548</v>
      </c>
      <c r="G75" s="58">
        <v>338.5</v>
      </c>
      <c r="H75" s="7"/>
      <c r="I75" s="7"/>
      <c r="J75" s="7"/>
      <c r="K75" s="7"/>
      <c r="L75" s="7"/>
      <c r="M75" s="7"/>
      <c r="N75" s="7" t="s">
        <v>640</v>
      </c>
      <c r="O75" s="7"/>
      <c r="P75" s="1" t="s">
        <v>1054</v>
      </c>
    </row>
    <row r="76" spans="1:16" ht="57.6" outlineLevel="1" x14ac:dyDescent="0.3">
      <c r="A76" s="7">
        <v>67</v>
      </c>
      <c r="B76" s="7">
        <v>67</v>
      </c>
      <c r="C76" s="7" t="s">
        <v>51</v>
      </c>
      <c r="D76" s="8" t="s">
        <v>546</v>
      </c>
      <c r="E76" s="8">
        <v>144.80000000000001</v>
      </c>
      <c r="F76" s="36" t="s">
        <v>1052</v>
      </c>
      <c r="G76" s="41">
        <v>0.57899999999999996</v>
      </c>
      <c r="H76" s="7"/>
      <c r="I76" s="7"/>
      <c r="J76" s="7"/>
      <c r="K76" s="7"/>
      <c r="L76" s="7"/>
      <c r="M76" s="7"/>
      <c r="N76" s="7" t="s">
        <v>641</v>
      </c>
      <c r="O76" s="7"/>
    </row>
    <row r="77" spans="1:16" ht="43.2" outlineLevel="1" x14ac:dyDescent="0.3">
      <c r="A77" s="7">
        <v>68</v>
      </c>
      <c r="B77" s="7">
        <v>68</v>
      </c>
      <c r="C77" s="7" t="s">
        <v>52</v>
      </c>
      <c r="D77" s="8" t="s">
        <v>546</v>
      </c>
      <c r="E77" s="8">
        <v>53.04</v>
      </c>
      <c r="F77" s="26" t="s">
        <v>546</v>
      </c>
      <c r="G77" s="39">
        <v>53.04</v>
      </c>
      <c r="H77" s="7"/>
      <c r="I77" s="7"/>
      <c r="J77" s="7"/>
      <c r="K77" s="7"/>
      <c r="L77" s="7"/>
      <c r="M77" s="7"/>
      <c r="N77" s="7" t="s">
        <v>642</v>
      </c>
      <c r="O77" s="7"/>
    </row>
    <row r="78" spans="1:16" s="2" customFormat="1" x14ac:dyDescent="0.3">
      <c r="A78" s="4"/>
      <c r="B78" s="4"/>
      <c r="C78" s="4" t="s">
        <v>53</v>
      </c>
      <c r="D78" s="6"/>
      <c r="E78" s="6"/>
      <c r="F78" s="36"/>
      <c r="G78" s="41"/>
      <c r="H78" s="4"/>
      <c r="I78" s="4"/>
      <c r="J78" s="4"/>
      <c r="K78" s="4"/>
      <c r="L78" s="4"/>
      <c r="M78" s="4"/>
      <c r="N78" s="4"/>
      <c r="O78" s="4"/>
    </row>
    <row r="79" spans="1:16" ht="57.6" outlineLevel="1" x14ac:dyDescent="0.3">
      <c r="A79" s="7">
        <v>69</v>
      </c>
      <c r="B79" s="7">
        <v>69</v>
      </c>
      <c r="C79" s="7" t="s">
        <v>54</v>
      </c>
      <c r="D79" s="8" t="s">
        <v>546</v>
      </c>
      <c r="E79" s="8">
        <v>718.6</v>
      </c>
      <c r="F79" s="36" t="s">
        <v>1052</v>
      </c>
      <c r="G79" s="41">
        <v>4.3120000000000003</v>
      </c>
      <c r="H79" s="7"/>
      <c r="I79" s="7"/>
      <c r="J79" s="7"/>
      <c r="K79" s="7"/>
      <c r="L79" s="7"/>
      <c r="M79" s="7"/>
      <c r="N79" s="7" t="s">
        <v>643</v>
      </c>
      <c r="O79" s="7"/>
    </row>
    <row r="80" spans="1:16" outlineLevel="1" x14ac:dyDescent="0.3">
      <c r="A80" s="7">
        <v>70</v>
      </c>
      <c r="B80" s="7">
        <v>70</v>
      </c>
      <c r="C80" s="7" t="s">
        <v>31</v>
      </c>
      <c r="D80" s="8" t="s">
        <v>546</v>
      </c>
      <c r="E80" s="8">
        <v>718.6</v>
      </c>
      <c r="F80" s="36" t="s">
        <v>1052</v>
      </c>
      <c r="G80" s="41">
        <f>718.6*0.029*2</f>
        <v>41.678800000000003</v>
      </c>
      <c r="H80" s="7"/>
      <c r="I80" s="7"/>
      <c r="J80" s="7"/>
      <c r="K80" s="7"/>
      <c r="L80" s="7"/>
      <c r="M80" s="7"/>
      <c r="N80" s="7" t="s">
        <v>608</v>
      </c>
      <c r="O80" s="7"/>
    </row>
    <row r="81" spans="1:16" ht="43.2" outlineLevel="1" x14ac:dyDescent="0.3">
      <c r="A81" s="7">
        <v>71</v>
      </c>
      <c r="B81" s="7">
        <v>71</v>
      </c>
      <c r="C81" s="7" t="s">
        <v>55</v>
      </c>
      <c r="D81" s="8" t="s">
        <v>546</v>
      </c>
      <c r="E81" s="8">
        <v>718.6</v>
      </c>
      <c r="F81" s="36" t="s">
        <v>1052</v>
      </c>
      <c r="G81" s="41">
        <v>1.7969999999999999</v>
      </c>
      <c r="H81" s="7"/>
      <c r="I81" s="7"/>
      <c r="J81" s="7"/>
      <c r="K81" s="7"/>
      <c r="L81" s="7"/>
      <c r="M81" s="7"/>
      <c r="N81" s="7" t="s">
        <v>644</v>
      </c>
      <c r="O81" s="7"/>
    </row>
    <row r="82" spans="1:16" outlineLevel="1" x14ac:dyDescent="0.3">
      <c r="A82" s="7">
        <v>72</v>
      </c>
      <c r="B82" s="7">
        <v>72</v>
      </c>
      <c r="C82" s="7" t="s">
        <v>34</v>
      </c>
      <c r="D82" s="8" t="s">
        <v>547</v>
      </c>
      <c r="E82" s="8">
        <v>624</v>
      </c>
      <c r="F82" s="36" t="s">
        <v>1052</v>
      </c>
      <c r="G82" s="41">
        <f>0.1125*624*111/1000</f>
        <v>7.7922000000000011</v>
      </c>
      <c r="H82" s="7"/>
      <c r="I82" s="7"/>
      <c r="J82" s="7"/>
      <c r="K82" s="7"/>
      <c r="L82" s="7"/>
      <c r="M82" s="7"/>
      <c r="N82" s="7" t="s">
        <v>591</v>
      </c>
      <c r="O82" s="7"/>
    </row>
    <row r="83" spans="1:16" outlineLevel="1" x14ac:dyDescent="0.3">
      <c r="A83" s="7">
        <v>73</v>
      </c>
      <c r="B83" s="7">
        <v>73</v>
      </c>
      <c r="C83" s="7" t="s">
        <v>47</v>
      </c>
      <c r="D83" s="8" t="s">
        <v>547</v>
      </c>
      <c r="E83" s="8">
        <v>312</v>
      </c>
      <c r="F83" s="36" t="s">
        <v>1052</v>
      </c>
      <c r="G83" s="41">
        <f>0.04*312*40/1000</f>
        <v>0.49920000000000003</v>
      </c>
      <c r="H83" s="7"/>
      <c r="I83" s="7"/>
      <c r="J83" s="7"/>
      <c r="K83" s="7"/>
      <c r="L83" s="7"/>
      <c r="M83" s="7"/>
      <c r="N83" s="7" t="s">
        <v>635</v>
      </c>
      <c r="O83" s="7"/>
    </row>
    <row r="84" spans="1:16" outlineLevel="1" x14ac:dyDescent="0.3">
      <c r="A84" s="7">
        <v>74</v>
      </c>
      <c r="B84" s="7">
        <v>74</v>
      </c>
      <c r="C84" s="7" t="s">
        <v>40</v>
      </c>
      <c r="D84" s="8" t="s">
        <v>547</v>
      </c>
      <c r="E84" s="8">
        <v>4</v>
      </c>
      <c r="F84" s="36" t="s">
        <v>1052</v>
      </c>
      <c r="G84" s="41"/>
      <c r="H84" s="7"/>
      <c r="I84" s="7"/>
      <c r="J84" s="7"/>
      <c r="K84" s="7"/>
      <c r="L84" s="7"/>
      <c r="M84" s="7"/>
      <c r="N84" s="7" t="s">
        <v>633</v>
      </c>
      <c r="O84" s="7"/>
      <c r="P84" s="1" t="s">
        <v>1054</v>
      </c>
    </row>
    <row r="85" spans="1:16" ht="43.2" outlineLevel="1" x14ac:dyDescent="0.3">
      <c r="A85" s="7">
        <v>75</v>
      </c>
      <c r="B85" s="7">
        <v>75</v>
      </c>
      <c r="C85" s="7" t="s">
        <v>48</v>
      </c>
      <c r="D85" s="8" t="s">
        <v>546</v>
      </c>
      <c r="E85" s="8">
        <v>358.2</v>
      </c>
      <c r="F85" s="26" t="s">
        <v>546</v>
      </c>
      <c r="G85" s="39">
        <v>358.2</v>
      </c>
      <c r="H85" s="7"/>
      <c r="I85" s="7"/>
      <c r="J85" s="7"/>
      <c r="K85" s="7"/>
      <c r="L85" s="7"/>
      <c r="M85" s="7"/>
      <c r="N85" s="7" t="s">
        <v>636</v>
      </c>
      <c r="O85" s="7"/>
    </row>
    <row r="86" spans="1:16" ht="86.4" outlineLevel="1" x14ac:dyDescent="0.3">
      <c r="A86" s="7">
        <v>76</v>
      </c>
      <c r="B86" s="7">
        <v>76</v>
      </c>
      <c r="C86" s="7" t="s">
        <v>56</v>
      </c>
      <c r="D86" s="8" t="s">
        <v>550</v>
      </c>
      <c r="E86" s="8">
        <v>10.7</v>
      </c>
      <c r="F86" s="36" t="s">
        <v>1052</v>
      </c>
      <c r="G86" s="41">
        <v>10.7</v>
      </c>
      <c r="H86" s="7"/>
      <c r="I86" s="7"/>
      <c r="J86" s="7"/>
      <c r="K86" s="7"/>
      <c r="L86" s="7"/>
      <c r="M86" s="7"/>
      <c r="N86" s="7" t="s">
        <v>637</v>
      </c>
      <c r="O86" s="7"/>
    </row>
    <row r="87" spans="1:16" ht="28.8" outlineLevel="1" x14ac:dyDescent="0.3">
      <c r="A87" s="7">
        <v>77</v>
      </c>
      <c r="B87" s="7">
        <v>77</v>
      </c>
      <c r="C87" s="7" t="s">
        <v>49</v>
      </c>
      <c r="D87" s="8" t="s">
        <v>546</v>
      </c>
      <c r="E87" s="8">
        <v>28.08</v>
      </c>
      <c r="F87" s="36" t="s">
        <v>1052</v>
      </c>
      <c r="G87" s="41">
        <f>28.08*72.96/1000</f>
        <v>2.0487167999999998</v>
      </c>
      <c r="H87" s="7"/>
      <c r="I87" s="7"/>
      <c r="J87" s="7"/>
      <c r="K87" s="7"/>
      <c r="L87" s="7"/>
      <c r="M87" s="7"/>
      <c r="N87" s="7" t="s">
        <v>645</v>
      </c>
      <c r="O87" s="7"/>
    </row>
    <row r="88" spans="1:16" ht="28.8" outlineLevel="1" x14ac:dyDescent="0.3">
      <c r="A88" s="7">
        <v>78</v>
      </c>
      <c r="B88" s="7">
        <v>78</v>
      </c>
      <c r="C88" s="7" t="s">
        <v>49</v>
      </c>
      <c r="D88" s="8" t="s">
        <v>546</v>
      </c>
      <c r="E88" s="8">
        <v>28.08</v>
      </c>
      <c r="F88" s="36" t="s">
        <v>1052</v>
      </c>
      <c r="G88" s="41">
        <f>28.08*72.96/1000</f>
        <v>2.0487167999999998</v>
      </c>
      <c r="H88" s="7"/>
      <c r="I88" s="7"/>
      <c r="J88" s="7"/>
      <c r="K88" s="7"/>
      <c r="L88" s="7"/>
      <c r="M88" s="7"/>
      <c r="N88" s="7" t="s">
        <v>646</v>
      </c>
      <c r="O88" s="7"/>
      <c r="P88" s="1" t="s">
        <v>1058</v>
      </c>
    </row>
    <row r="89" spans="1:16" ht="43.2" outlineLevel="1" x14ac:dyDescent="0.3">
      <c r="A89" s="7">
        <v>79</v>
      </c>
      <c r="B89" s="7">
        <v>79</v>
      </c>
      <c r="C89" s="7" t="s">
        <v>50</v>
      </c>
      <c r="D89" s="8" t="s">
        <v>548</v>
      </c>
      <c r="E89" s="8">
        <v>489.5</v>
      </c>
      <c r="F89" s="26" t="s">
        <v>548</v>
      </c>
      <c r="G89" s="39">
        <v>489.5</v>
      </c>
      <c r="H89" s="7"/>
      <c r="I89" s="7"/>
      <c r="J89" s="7"/>
      <c r="K89" s="7"/>
      <c r="L89" s="7"/>
      <c r="M89" s="7"/>
      <c r="N89" s="7" t="s">
        <v>647</v>
      </c>
      <c r="O89" s="7"/>
      <c r="P89" s="1" t="s">
        <v>1054</v>
      </c>
    </row>
    <row r="90" spans="1:16" ht="57.6" outlineLevel="1" x14ac:dyDescent="0.3">
      <c r="A90" s="7">
        <v>80</v>
      </c>
      <c r="B90" s="7">
        <v>80</v>
      </c>
      <c r="C90" s="7" t="s">
        <v>51</v>
      </c>
      <c r="D90" s="8" t="s">
        <v>546</v>
      </c>
      <c r="E90" s="8">
        <v>140.69999999999999</v>
      </c>
      <c r="F90" s="36" t="s">
        <v>1052</v>
      </c>
      <c r="G90" s="41">
        <v>0.56299999999999994</v>
      </c>
      <c r="H90" s="7"/>
      <c r="I90" s="7"/>
      <c r="J90" s="7"/>
      <c r="K90" s="7"/>
      <c r="L90" s="7"/>
      <c r="M90" s="7"/>
      <c r="N90" s="7" t="s">
        <v>648</v>
      </c>
      <c r="O90" s="7"/>
    </row>
    <row r="91" spans="1:16" ht="43.2" outlineLevel="1" x14ac:dyDescent="0.3">
      <c r="A91" s="7">
        <v>81</v>
      </c>
      <c r="B91" s="7">
        <v>81</v>
      </c>
      <c r="C91" s="7" t="s">
        <v>52</v>
      </c>
      <c r="D91" s="8" t="s">
        <v>546</v>
      </c>
      <c r="E91" s="8">
        <v>53.04</v>
      </c>
      <c r="F91" s="36" t="s">
        <v>546</v>
      </c>
      <c r="G91" s="41">
        <v>53.04</v>
      </c>
      <c r="H91" s="7"/>
      <c r="I91" s="7"/>
      <c r="J91" s="7"/>
      <c r="K91" s="7"/>
      <c r="L91" s="7"/>
      <c r="M91" s="7"/>
      <c r="N91" s="7" t="s">
        <v>642</v>
      </c>
      <c r="O91" s="7"/>
    </row>
    <row r="92" spans="1:16" s="2" customFormat="1" x14ac:dyDescent="0.3">
      <c r="A92" s="4"/>
      <c r="B92" s="4"/>
      <c r="C92" s="4" t="s">
        <v>57</v>
      </c>
      <c r="D92" s="6"/>
      <c r="E92" s="6"/>
      <c r="F92" s="36"/>
      <c r="G92" s="41"/>
      <c r="H92" s="4"/>
      <c r="I92" s="4"/>
      <c r="J92" s="4"/>
      <c r="K92" s="4"/>
      <c r="L92" s="4"/>
      <c r="M92" s="4"/>
      <c r="N92" s="4"/>
      <c r="O92" s="4"/>
    </row>
    <row r="93" spans="1:16" ht="43.2" outlineLevel="1" x14ac:dyDescent="0.3">
      <c r="A93" s="7">
        <v>82</v>
      </c>
      <c r="B93" s="7">
        <v>82</v>
      </c>
      <c r="C93" s="7" t="s">
        <v>30</v>
      </c>
      <c r="D93" s="8" t="s">
        <v>546</v>
      </c>
      <c r="E93" s="8">
        <v>742.2</v>
      </c>
      <c r="F93" s="36" t="s">
        <v>1052</v>
      </c>
      <c r="G93" s="41">
        <v>1.484</v>
      </c>
      <c r="H93" s="7"/>
      <c r="I93" s="7"/>
      <c r="J93" s="7"/>
      <c r="K93" s="7"/>
      <c r="L93" s="7"/>
      <c r="M93" s="7"/>
      <c r="N93" s="7" t="s">
        <v>649</v>
      </c>
      <c r="O93" s="7"/>
    </row>
    <row r="94" spans="1:16" outlineLevel="1" x14ac:dyDescent="0.3">
      <c r="A94" s="7">
        <v>83</v>
      </c>
      <c r="B94" s="7">
        <v>83</v>
      </c>
      <c r="C94" s="7" t="s">
        <v>31</v>
      </c>
      <c r="D94" s="8" t="s">
        <v>546</v>
      </c>
      <c r="E94" s="8">
        <v>742.2</v>
      </c>
      <c r="F94" s="36" t="s">
        <v>1052</v>
      </c>
      <c r="G94" s="41">
        <f>742.2*0.029*2</f>
        <v>43.047600000000003</v>
      </c>
      <c r="H94" s="7"/>
      <c r="I94" s="7"/>
      <c r="J94" s="7"/>
      <c r="K94" s="7"/>
      <c r="L94" s="7"/>
      <c r="M94" s="7"/>
      <c r="N94" s="7" t="s">
        <v>608</v>
      </c>
      <c r="O94" s="7"/>
    </row>
    <row r="95" spans="1:16" outlineLevel="1" x14ac:dyDescent="0.3">
      <c r="A95" s="7">
        <v>84</v>
      </c>
      <c r="B95" s="7">
        <v>84</v>
      </c>
      <c r="C95" s="7" t="s">
        <v>34</v>
      </c>
      <c r="D95" s="8" t="s">
        <v>547</v>
      </c>
      <c r="E95" s="8">
        <v>624</v>
      </c>
      <c r="F95" s="36" t="s">
        <v>1052</v>
      </c>
      <c r="G95" s="41">
        <f>0.1125*624*111/1000</f>
        <v>7.7922000000000011</v>
      </c>
      <c r="H95" s="7"/>
      <c r="I95" s="7"/>
      <c r="J95" s="7"/>
      <c r="K95" s="7"/>
      <c r="L95" s="7"/>
      <c r="M95" s="7"/>
      <c r="N95" s="7" t="s">
        <v>591</v>
      </c>
      <c r="O95" s="7"/>
    </row>
    <row r="96" spans="1:16" outlineLevel="1" x14ac:dyDescent="0.3">
      <c r="A96" s="7">
        <v>85</v>
      </c>
      <c r="B96" s="7">
        <v>85</v>
      </c>
      <c r="C96" s="7" t="s">
        <v>47</v>
      </c>
      <c r="D96" s="8" t="s">
        <v>547</v>
      </c>
      <c r="E96" s="8">
        <v>312</v>
      </c>
      <c r="F96" s="36" t="s">
        <v>1052</v>
      </c>
      <c r="G96" s="41">
        <f>0.04*312*40/1000</f>
        <v>0.49920000000000003</v>
      </c>
      <c r="H96" s="7"/>
      <c r="I96" s="7"/>
      <c r="J96" s="7"/>
      <c r="K96" s="7"/>
      <c r="L96" s="7"/>
      <c r="M96" s="7"/>
      <c r="N96" s="7" t="s">
        <v>635</v>
      </c>
      <c r="O96" s="7"/>
    </row>
    <row r="97" spans="1:16" ht="19.8" customHeight="1" outlineLevel="1" x14ac:dyDescent="0.3">
      <c r="A97" s="7">
        <v>86</v>
      </c>
      <c r="B97" s="7">
        <v>86</v>
      </c>
      <c r="C97" s="7" t="s">
        <v>40</v>
      </c>
      <c r="D97" s="8" t="s">
        <v>547</v>
      </c>
      <c r="E97" s="8">
        <v>4</v>
      </c>
      <c r="F97" s="36" t="s">
        <v>1052</v>
      </c>
      <c r="G97" s="41"/>
      <c r="H97" s="7"/>
      <c r="I97" s="7"/>
      <c r="J97" s="7"/>
      <c r="K97" s="7"/>
      <c r="L97" s="7"/>
      <c r="M97" s="7"/>
      <c r="N97" s="7" t="s">
        <v>633</v>
      </c>
      <c r="O97" s="7"/>
      <c r="P97" s="1" t="s">
        <v>1054</v>
      </c>
    </row>
    <row r="98" spans="1:16" ht="43.2" outlineLevel="1" x14ac:dyDescent="0.3">
      <c r="A98" s="7">
        <v>87</v>
      </c>
      <c r="B98" s="7">
        <v>87</v>
      </c>
      <c r="C98" s="7" t="s">
        <v>48</v>
      </c>
      <c r="D98" s="8" t="s">
        <v>546</v>
      </c>
      <c r="E98" s="8">
        <v>358.2</v>
      </c>
      <c r="F98" s="36" t="s">
        <v>546</v>
      </c>
      <c r="G98" s="41">
        <v>358.2</v>
      </c>
      <c r="H98" s="7"/>
      <c r="I98" s="7"/>
      <c r="J98" s="7"/>
      <c r="K98" s="7"/>
      <c r="L98" s="7"/>
      <c r="M98" s="7"/>
      <c r="N98" s="7" t="s">
        <v>636</v>
      </c>
      <c r="O98" s="7"/>
    </row>
    <row r="99" spans="1:16" ht="86.4" outlineLevel="1" x14ac:dyDescent="0.3">
      <c r="A99" s="7">
        <v>88</v>
      </c>
      <c r="B99" s="7">
        <v>88</v>
      </c>
      <c r="C99" s="7" t="s">
        <v>56</v>
      </c>
      <c r="D99" s="8" t="s">
        <v>550</v>
      </c>
      <c r="E99" s="8">
        <v>10.7</v>
      </c>
      <c r="F99" s="36" t="s">
        <v>1052</v>
      </c>
      <c r="G99" s="41">
        <v>10.7</v>
      </c>
      <c r="H99" s="7"/>
      <c r="I99" s="7"/>
      <c r="J99" s="7"/>
      <c r="K99" s="7"/>
      <c r="L99" s="7"/>
      <c r="M99" s="7"/>
      <c r="N99" s="7" t="s">
        <v>637</v>
      </c>
      <c r="O99" s="7"/>
    </row>
    <row r="100" spans="1:16" ht="86.4" outlineLevel="1" x14ac:dyDescent="0.3">
      <c r="A100" s="7">
        <v>89</v>
      </c>
      <c r="B100" s="7">
        <v>89</v>
      </c>
      <c r="C100" s="7" t="s">
        <v>49</v>
      </c>
      <c r="D100" s="8" t="s">
        <v>546</v>
      </c>
      <c r="E100" s="8">
        <v>27.2</v>
      </c>
      <c r="F100" s="36" t="s">
        <v>1052</v>
      </c>
      <c r="G100" s="41">
        <f>1797.73/1000</f>
        <v>1.7977300000000001</v>
      </c>
      <c r="H100" s="7"/>
      <c r="I100" s="7"/>
      <c r="J100" s="7"/>
      <c r="K100" s="7"/>
      <c r="L100" s="7"/>
      <c r="M100" s="7"/>
      <c r="N100" s="7" t="s">
        <v>650</v>
      </c>
      <c r="O100" s="7"/>
    </row>
    <row r="101" spans="1:16" ht="28.8" outlineLevel="1" x14ac:dyDescent="0.3">
      <c r="A101" s="7">
        <v>90</v>
      </c>
      <c r="B101" s="7">
        <v>90</v>
      </c>
      <c r="C101" s="7" t="s">
        <v>49</v>
      </c>
      <c r="D101" s="8" t="s">
        <v>546</v>
      </c>
      <c r="E101" s="8">
        <v>27.2</v>
      </c>
      <c r="F101" s="36" t="s">
        <v>1052</v>
      </c>
      <c r="G101" s="41">
        <f>27.2*72.96/1000</f>
        <v>1.9845119999999996</v>
      </c>
      <c r="H101" s="7"/>
      <c r="I101" s="7"/>
      <c r="J101" s="7"/>
      <c r="K101" s="7"/>
      <c r="L101" s="7"/>
      <c r="M101" s="7"/>
      <c r="N101" s="7" t="s">
        <v>651</v>
      </c>
      <c r="O101" s="7"/>
    </row>
    <row r="102" spans="1:16" ht="43.2" outlineLevel="1" x14ac:dyDescent="0.3">
      <c r="A102" s="7">
        <v>91</v>
      </c>
      <c r="B102" s="7">
        <v>91</v>
      </c>
      <c r="C102" s="7" t="s">
        <v>50</v>
      </c>
      <c r="D102" s="8" t="s">
        <v>548</v>
      </c>
      <c r="E102" s="8">
        <v>489.9</v>
      </c>
      <c r="F102" s="26" t="s">
        <v>548</v>
      </c>
      <c r="G102" s="39">
        <v>489.9</v>
      </c>
      <c r="H102" s="7"/>
      <c r="I102" s="7"/>
      <c r="J102" s="7"/>
      <c r="K102" s="7"/>
      <c r="L102" s="7"/>
      <c r="M102" s="7"/>
      <c r="N102" s="7" t="s">
        <v>652</v>
      </c>
      <c r="O102" s="7"/>
      <c r="P102" s="1" t="s">
        <v>1054</v>
      </c>
    </row>
    <row r="103" spans="1:16" ht="57.6" outlineLevel="1" x14ac:dyDescent="0.3">
      <c r="A103" s="7">
        <v>92</v>
      </c>
      <c r="B103" s="7">
        <v>92</v>
      </c>
      <c r="C103" s="7" t="s">
        <v>51</v>
      </c>
      <c r="D103" s="8" t="s">
        <v>546</v>
      </c>
      <c r="E103" s="8">
        <v>140.69999999999999</v>
      </c>
      <c r="F103" s="36" t="s">
        <v>1052</v>
      </c>
      <c r="G103" s="41">
        <f>0.563+(281.344*1/1000)</f>
        <v>0.84434399999999998</v>
      </c>
      <c r="H103" s="7"/>
      <c r="I103" s="7"/>
      <c r="J103" s="7"/>
      <c r="K103" s="7"/>
      <c r="L103" s="7"/>
      <c r="M103" s="7"/>
      <c r="N103" s="7" t="s">
        <v>648</v>
      </c>
      <c r="O103" s="7"/>
    </row>
    <row r="104" spans="1:16" ht="43.2" outlineLevel="1" x14ac:dyDescent="0.3">
      <c r="A104" s="7">
        <v>93</v>
      </c>
      <c r="B104" s="7">
        <v>93</v>
      </c>
      <c r="C104" s="7" t="s">
        <v>52</v>
      </c>
      <c r="D104" s="8" t="s">
        <v>546</v>
      </c>
      <c r="E104" s="8">
        <v>53.04</v>
      </c>
      <c r="F104" s="36" t="s">
        <v>546</v>
      </c>
      <c r="G104" s="41">
        <v>53.04</v>
      </c>
      <c r="H104" s="7"/>
      <c r="I104" s="7"/>
      <c r="J104" s="7"/>
      <c r="K104" s="7"/>
      <c r="L104" s="7"/>
      <c r="M104" s="7"/>
      <c r="N104" s="7" t="s">
        <v>653</v>
      </c>
      <c r="O104" s="7"/>
    </row>
    <row r="105" spans="1:16" s="2" customFormat="1" x14ac:dyDescent="0.3">
      <c r="A105" s="4"/>
      <c r="B105" s="4"/>
      <c r="C105" s="4" t="s">
        <v>58</v>
      </c>
      <c r="D105" s="6"/>
      <c r="E105" s="6"/>
      <c r="F105" s="36"/>
      <c r="G105" s="41"/>
      <c r="H105" s="4"/>
      <c r="I105" s="4"/>
      <c r="J105" s="4"/>
      <c r="K105" s="4"/>
      <c r="L105" s="4"/>
      <c r="M105" s="4"/>
      <c r="N105" s="4"/>
      <c r="O105" s="4"/>
    </row>
    <row r="106" spans="1:16" ht="43.2" outlineLevel="1" x14ac:dyDescent="0.3">
      <c r="A106" s="7">
        <v>94</v>
      </c>
      <c r="B106" s="7">
        <v>94</v>
      </c>
      <c r="C106" s="7" t="s">
        <v>30</v>
      </c>
      <c r="D106" s="8" t="s">
        <v>546</v>
      </c>
      <c r="E106" s="8">
        <v>745.5</v>
      </c>
      <c r="F106" s="36" t="s">
        <v>1052</v>
      </c>
      <c r="G106" s="41">
        <f>1.49+(745.47*1/1000)</f>
        <v>2.2354700000000003</v>
      </c>
      <c r="H106" s="7"/>
      <c r="I106" s="7"/>
      <c r="J106" s="7"/>
      <c r="K106" s="7"/>
      <c r="L106" s="7"/>
      <c r="M106" s="7"/>
      <c r="N106" s="7" t="s">
        <v>1059</v>
      </c>
      <c r="O106" s="7"/>
    </row>
    <row r="107" spans="1:16" outlineLevel="1" x14ac:dyDescent="0.3">
      <c r="A107" s="7">
        <v>95</v>
      </c>
      <c r="B107" s="7">
        <v>95</v>
      </c>
      <c r="C107" s="7" t="s">
        <v>31</v>
      </c>
      <c r="D107" s="8" t="s">
        <v>546</v>
      </c>
      <c r="E107" s="8">
        <v>745.5</v>
      </c>
      <c r="F107" s="36" t="s">
        <v>1052</v>
      </c>
      <c r="G107" s="41">
        <f>745.5*0.018*2</f>
        <v>26.837999999999997</v>
      </c>
      <c r="H107" s="7"/>
      <c r="I107" s="7"/>
      <c r="J107" s="7"/>
      <c r="K107" s="7"/>
      <c r="L107" s="7"/>
      <c r="M107" s="7"/>
      <c r="N107" s="7" t="s">
        <v>654</v>
      </c>
      <c r="O107" s="7"/>
    </row>
    <row r="108" spans="1:16" ht="57.6" outlineLevel="1" x14ac:dyDescent="0.3">
      <c r="A108" s="7">
        <v>96</v>
      </c>
      <c r="B108" s="7">
        <v>96</v>
      </c>
      <c r="C108" s="7" t="s">
        <v>59</v>
      </c>
      <c r="D108" s="8" t="s">
        <v>546</v>
      </c>
      <c r="E108" s="8">
        <v>745.5</v>
      </c>
      <c r="F108" s="36" t="s">
        <v>1052</v>
      </c>
      <c r="G108" s="41">
        <v>14.44</v>
      </c>
      <c r="H108" s="7"/>
      <c r="I108" s="7"/>
      <c r="J108" s="7"/>
      <c r="K108" s="7"/>
      <c r="L108" s="7"/>
      <c r="M108" s="7"/>
      <c r="N108" s="7" t="s">
        <v>655</v>
      </c>
      <c r="O108" s="7"/>
    </row>
    <row r="109" spans="1:16" outlineLevel="1" x14ac:dyDescent="0.3">
      <c r="A109" s="7">
        <v>97</v>
      </c>
      <c r="B109" s="7">
        <v>97</v>
      </c>
      <c r="C109" s="7" t="s">
        <v>60</v>
      </c>
      <c r="D109" s="8" t="s">
        <v>546</v>
      </c>
      <c r="E109" s="8">
        <v>745.2</v>
      </c>
      <c r="F109" s="36" t="s">
        <v>546</v>
      </c>
      <c r="G109" s="41">
        <v>745.2</v>
      </c>
      <c r="H109" s="7"/>
      <c r="I109" s="7"/>
      <c r="J109" s="7"/>
      <c r="K109" s="7"/>
      <c r="L109" s="7"/>
      <c r="M109" s="7"/>
      <c r="N109" s="7" t="s">
        <v>656</v>
      </c>
      <c r="O109" s="7"/>
    </row>
    <row r="110" spans="1:16" outlineLevel="1" x14ac:dyDescent="0.3">
      <c r="A110" s="7">
        <v>98</v>
      </c>
      <c r="B110" s="7">
        <v>98</v>
      </c>
      <c r="C110" s="7" t="s">
        <v>61</v>
      </c>
      <c r="D110" s="8" t="s">
        <v>546</v>
      </c>
      <c r="E110" s="8">
        <v>745.2</v>
      </c>
      <c r="F110" s="36" t="s">
        <v>546</v>
      </c>
      <c r="G110" s="41">
        <v>745.2</v>
      </c>
      <c r="H110" s="7"/>
      <c r="I110" s="7"/>
      <c r="J110" s="7"/>
      <c r="K110" s="7"/>
      <c r="L110" s="7"/>
      <c r="M110" s="7"/>
      <c r="N110" s="7" t="s">
        <v>657</v>
      </c>
      <c r="O110" s="7"/>
    </row>
    <row r="111" spans="1:16" outlineLevel="1" x14ac:dyDescent="0.3">
      <c r="A111" s="7">
        <v>99</v>
      </c>
      <c r="B111" s="7">
        <v>99</v>
      </c>
      <c r="C111" s="7" t="s">
        <v>39</v>
      </c>
      <c r="D111" s="8" t="s">
        <v>547</v>
      </c>
      <c r="E111" s="8">
        <v>4</v>
      </c>
      <c r="F111" s="36" t="s">
        <v>1052</v>
      </c>
      <c r="G111" s="41"/>
      <c r="H111" s="7"/>
      <c r="I111" s="7"/>
      <c r="J111" s="7"/>
      <c r="K111" s="7"/>
      <c r="L111" s="7"/>
      <c r="M111" s="7"/>
      <c r="N111" s="7" t="s">
        <v>658</v>
      </c>
      <c r="O111" s="7"/>
      <c r="P111" s="1" t="s">
        <v>1054</v>
      </c>
    </row>
    <row r="112" spans="1:16" outlineLevel="1" x14ac:dyDescent="0.3">
      <c r="A112" s="7">
        <v>100</v>
      </c>
      <c r="B112" s="7">
        <v>100</v>
      </c>
      <c r="C112" s="7" t="s">
        <v>47</v>
      </c>
      <c r="D112" s="8" t="s">
        <v>547</v>
      </c>
      <c r="E112" s="8">
        <v>312</v>
      </c>
      <c r="F112" s="36" t="s">
        <v>1052</v>
      </c>
      <c r="G112" s="41">
        <f>0.04*312*40/1000</f>
        <v>0.49920000000000003</v>
      </c>
      <c r="H112" s="7"/>
      <c r="I112" s="7"/>
      <c r="J112" s="7"/>
      <c r="K112" s="7"/>
      <c r="L112" s="7"/>
      <c r="M112" s="7"/>
      <c r="N112" s="7" t="s">
        <v>635</v>
      </c>
      <c r="O112" s="7"/>
    </row>
    <row r="113" spans="1:15" ht="43.2" outlineLevel="1" x14ac:dyDescent="0.3">
      <c r="A113" s="7">
        <v>101</v>
      </c>
      <c r="B113" s="7">
        <v>101</v>
      </c>
      <c r="C113" s="7" t="s">
        <v>48</v>
      </c>
      <c r="D113" s="8" t="s">
        <v>546</v>
      </c>
      <c r="E113" s="8">
        <v>358.2</v>
      </c>
      <c r="F113" s="36" t="s">
        <v>546</v>
      </c>
      <c r="G113" s="41">
        <v>358.2</v>
      </c>
      <c r="H113" s="7"/>
      <c r="I113" s="7"/>
      <c r="J113" s="7"/>
      <c r="K113" s="7"/>
      <c r="L113" s="7"/>
      <c r="M113" s="7"/>
      <c r="N113" s="7" t="s">
        <v>636</v>
      </c>
      <c r="O113" s="7"/>
    </row>
    <row r="114" spans="1:15" ht="86.4" outlineLevel="1" x14ac:dyDescent="0.3">
      <c r="A114" s="7">
        <v>102</v>
      </c>
      <c r="B114" s="7">
        <v>102</v>
      </c>
      <c r="C114" s="7" t="s">
        <v>1060</v>
      </c>
      <c r="D114" s="8" t="s">
        <v>550</v>
      </c>
      <c r="E114" s="8">
        <v>10.7</v>
      </c>
      <c r="F114" s="36" t="s">
        <v>550</v>
      </c>
      <c r="G114" s="41">
        <v>10.7</v>
      </c>
      <c r="H114" s="7"/>
      <c r="I114" s="7"/>
      <c r="J114" s="7"/>
      <c r="K114" s="7"/>
      <c r="L114" s="7"/>
      <c r="M114" s="7"/>
      <c r="N114" s="7" t="s">
        <v>637</v>
      </c>
      <c r="O114" s="7"/>
    </row>
    <row r="115" spans="1:15" ht="28.8" outlineLevel="1" x14ac:dyDescent="0.3">
      <c r="A115" s="7">
        <v>103</v>
      </c>
      <c r="B115" s="7">
        <v>103</v>
      </c>
      <c r="C115" s="7" t="s">
        <v>49</v>
      </c>
      <c r="D115" s="8" t="s">
        <v>546</v>
      </c>
      <c r="E115" s="8">
        <v>27.21</v>
      </c>
      <c r="F115" s="36" t="s">
        <v>1052</v>
      </c>
      <c r="G115" s="41">
        <f>27.21*81.64/1000</f>
        <v>2.2214244000000001</v>
      </c>
      <c r="H115" s="7"/>
      <c r="I115" s="7"/>
      <c r="J115" s="7"/>
      <c r="K115" s="7"/>
      <c r="L115" s="7"/>
      <c r="M115" s="7"/>
      <c r="N115" s="7" t="s">
        <v>659</v>
      </c>
      <c r="O115" s="7"/>
    </row>
    <row r="116" spans="1:15" ht="28.8" outlineLevel="1" x14ac:dyDescent="0.3">
      <c r="A116" s="7">
        <v>104</v>
      </c>
      <c r="B116" s="7">
        <v>104</v>
      </c>
      <c r="C116" s="7" t="s">
        <v>49</v>
      </c>
      <c r="D116" s="8" t="s">
        <v>546</v>
      </c>
      <c r="E116" s="8">
        <v>27.21</v>
      </c>
      <c r="F116" s="36" t="s">
        <v>1052</v>
      </c>
      <c r="G116" s="41">
        <f>27.21*72.96/1000</f>
        <v>1.9852415999999999</v>
      </c>
      <c r="H116" s="7"/>
      <c r="I116" s="7"/>
      <c r="J116" s="7"/>
      <c r="K116" s="7"/>
      <c r="L116" s="7"/>
      <c r="M116" s="7"/>
      <c r="N116" s="7" t="s">
        <v>660</v>
      </c>
      <c r="O116" s="7"/>
    </row>
    <row r="117" spans="1:15" ht="43.2" outlineLevel="1" x14ac:dyDescent="0.3">
      <c r="A117" s="7">
        <v>105</v>
      </c>
      <c r="B117" s="7">
        <v>105</v>
      </c>
      <c r="C117" s="7" t="s">
        <v>50</v>
      </c>
      <c r="D117" s="8" t="s">
        <v>548</v>
      </c>
      <c r="E117" s="8">
        <v>490.1</v>
      </c>
      <c r="F117" s="36" t="s">
        <v>548</v>
      </c>
      <c r="G117" s="41">
        <v>490.1</v>
      </c>
      <c r="H117" s="7"/>
      <c r="I117" s="7"/>
      <c r="J117" s="7"/>
      <c r="K117" s="7"/>
      <c r="L117" s="7"/>
      <c r="M117" s="7"/>
      <c r="N117" s="7" t="s">
        <v>661</v>
      </c>
      <c r="O117" s="7"/>
    </row>
    <row r="118" spans="1:15" ht="57.6" outlineLevel="1" x14ac:dyDescent="0.3">
      <c r="A118" s="7">
        <v>106</v>
      </c>
      <c r="B118" s="7">
        <v>106</v>
      </c>
      <c r="C118" s="7" t="s">
        <v>51</v>
      </c>
      <c r="D118" s="8" t="s">
        <v>546</v>
      </c>
      <c r="E118" s="8">
        <v>140.80000000000001</v>
      </c>
      <c r="F118" s="36" t="s">
        <v>1052</v>
      </c>
      <c r="G118" s="41">
        <v>0.56299999999999994</v>
      </c>
      <c r="H118" s="7"/>
      <c r="I118" s="7"/>
      <c r="J118" s="7"/>
      <c r="K118" s="7"/>
      <c r="L118" s="7"/>
      <c r="M118" s="7"/>
      <c r="N118" s="7" t="s">
        <v>662</v>
      </c>
      <c r="O118" s="7"/>
    </row>
    <row r="119" spans="1:15" ht="43.2" outlineLevel="1" x14ac:dyDescent="0.3">
      <c r="A119" s="7">
        <v>107</v>
      </c>
      <c r="B119" s="7">
        <v>107</v>
      </c>
      <c r="C119" s="7" t="s">
        <v>52</v>
      </c>
      <c r="D119" s="8" t="s">
        <v>546</v>
      </c>
      <c r="E119" s="8">
        <v>53.04</v>
      </c>
      <c r="F119" s="36" t="s">
        <v>546</v>
      </c>
      <c r="G119" s="41">
        <v>53.04</v>
      </c>
      <c r="H119" s="7"/>
      <c r="I119" s="7"/>
      <c r="J119" s="7"/>
      <c r="K119" s="7"/>
      <c r="L119" s="7"/>
      <c r="M119" s="7"/>
      <c r="N119" s="7" t="s">
        <v>653</v>
      </c>
      <c r="O119" s="7"/>
    </row>
    <row r="120" spans="1:15" s="2" customFormat="1" x14ac:dyDescent="0.3">
      <c r="A120" s="4"/>
      <c r="B120" s="4"/>
      <c r="C120" s="5" t="s">
        <v>62</v>
      </c>
      <c r="D120" s="5"/>
      <c r="E120" s="5"/>
      <c r="F120" s="37"/>
      <c r="G120" s="42"/>
      <c r="H120" s="5"/>
      <c r="I120" s="5"/>
      <c r="J120" s="5"/>
      <c r="K120" s="5"/>
      <c r="L120" s="5"/>
      <c r="M120" s="5"/>
      <c r="N120" s="5"/>
      <c r="O120" s="4"/>
    </row>
    <row r="121" spans="1:15" s="2" customFormat="1" x14ac:dyDescent="0.3">
      <c r="A121" s="4"/>
      <c r="B121" s="4"/>
      <c r="C121" s="4" t="s">
        <v>63</v>
      </c>
      <c r="D121" s="6"/>
      <c r="E121" s="6"/>
      <c r="F121" s="36"/>
      <c r="G121" s="41"/>
      <c r="H121" s="4"/>
      <c r="I121" s="4"/>
      <c r="J121" s="4"/>
      <c r="K121" s="4"/>
      <c r="L121" s="4"/>
      <c r="M121" s="4"/>
      <c r="N121" s="4"/>
      <c r="O121" s="4"/>
    </row>
    <row r="122" spans="1:15" ht="126" customHeight="1" outlineLevel="1" x14ac:dyDescent="0.3">
      <c r="A122" s="7">
        <v>108</v>
      </c>
      <c r="B122" s="7">
        <v>108</v>
      </c>
      <c r="C122" s="7" t="s">
        <v>64</v>
      </c>
      <c r="D122" s="8" t="s">
        <v>550</v>
      </c>
      <c r="E122" s="8">
        <v>3.93</v>
      </c>
      <c r="F122" s="36" t="s">
        <v>1052</v>
      </c>
      <c r="G122" s="41">
        <f>SUM(G123:G128)/1000</f>
        <v>3.9286800000000004</v>
      </c>
      <c r="H122" s="7"/>
      <c r="I122" s="7"/>
      <c r="J122" s="7"/>
      <c r="K122" s="7"/>
      <c r="L122" s="7"/>
      <c r="M122" s="7"/>
      <c r="N122" s="7" t="s">
        <v>663</v>
      </c>
      <c r="O122" s="7"/>
    </row>
    <row r="123" spans="1:15" ht="15.6" customHeight="1" outlineLevel="1" x14ac:dyDescent="0.3">
      <c r="A123" s="7"/>
      <c r="B123" s="7"/>
      <c r="C123" s="22" t="s">
        <v>1061</v>
      </c>
      <c r="D123" s="8"/>
      <c r="E123" s="8"/>
      <c r="F123" s="36" t="s">
        <v>549</v>
      </c>
      <c r="G123" s="41">
        <v>703.92000000000007</v>
      </c>
      <c r="H123" s="7"/>
      <c r="I123" s="7"/>
      <c r="J123" s="7"/>
      <c r="K123" s="7"/>
      <c r="L123" s="7"/>
      <c r="M123" s="7"/>
      <c r="N123" s="7"/>
      <c r="O123" s="7"/>
    </row>
    <row r="124" spans="1:15" ht="15.6" customHeight="1" outlineLevel="1" x14ac:dyDescent="0.3">
      <c r="A124" s="7"/>
      <c r="B124" s="7"/>
      <c r="C124" s="22" t="s">
        <v>1062</v>
      </c>
      <c r="D124" s="8"/>
      <c r="E124" s="8"/>
      <c r="F124" s="36" t="s">
        <v>549</v>
      </c>
      <c r="G124" s="41">
        <v>49.28</v>
      </c>
      <c r="H124" s="7"/>
      <c r="I124" s="7"/>
      <c r="J124" s="7"/>
      <c r="K124" s="7"/>
      <c r="L124" s="7"/>
      <c r="M124" s="7"/>
      <c r="N124" s="7"/>
      <c r="O124" s="7"/>
    </row>
    <row r="125" spans="1:15" ht="15.6" customHeight="1" outlineLevel="1" x14ac:dyDescent="0.3">
      <c r="A125" s="7"/>
      <c r="B125" s="7"/>
      <c r="C125" s="22" t="s">
        <v>1063</v>
      </c>
      <c r="D125" s="8"/>
      <c r="E125" s="8"/>
      <c r="F125" s="36" t="s">
        <v>549</v>
      </c>
      <c r="G125" s="41">
        <v>2051.56</v>
      </c>
      <c r="H125" s="7"/>
      <c r="I125" s="7"/>
      <c r="J125" s="7"/>
      <c r="K125" s="7"/>
      <c r="L125" s="7"/>
      <c r="M125" s="7"/>
      <c r="N125" s="7"/>
      <c r="O125" s="7"/>
    </row>
    <row r="126" spans="1:15" ht="15.6" customHeight="1" outlineLevel="1" x14ac:dyDescent="0.3">
      <c r="A126" s="7"/>
      <c r="B126" s="7"/>
      <c r="C126" s="22" t="s">
        <v>1064</v>
      </c>
      <c r="D126" s="8"/>
      <c r="E126" s="8"/>
      <c r="F126" s="36" t="s">
        <v>549</v>
      </c>
      <c r="G126" s="41">
        <v>759.92000000000007</v>
      </c>
      <c r="H126" s="7"/>
      <c r="I126" s="7"/>
      <c r="J126" s="7"/>
      <c r="K126" s="7"/>
      <c r="L126" s="7"/>
      <c r="M126" s="7"/>
      <c r="N126" s="7"/>
      <c r="O126" s="7"/>
    </row>
    <row r="127" spans="1:15" outlineLevel="1" x14ac:dyDescent="0.3">
      <c r="A127" s="7"/>
      <c r="B127" s="7"/>
      <c r="C127" s="22" t="s">
        <v>1065</v>
      </c>
      <c r="D127" s="8"/>
      <c r="E127" s="8"/>
      <c r="F127" s="36" t="s">
        <v>549</v>
      </c>
      <c r="G127" s="41">
        <v>339.35999999999996</v>
      </c>
      <c r="H127" s="7"/>
      <c r="I127" s="7"/>
      <c r="J127" s="7"/>
      <c r="K127" s="7"/>
      <c r="L127" s="7"/>
      <c r="M127" s="7"/>
      <c r="N127" s="7"/>
      <c r="O127" s="7"/>
    </row>
    <row r="128" spans="1:15" ht="15.6" customHeight="1" outlineLevel="1" x14ac:dyDescent="0.3">
      <c r="A128" s="7"/>
      <c r="B128" s="7"/>
      <c r="C128" s="22" t="s">
        <v>1066</v>
      </c>
      <c r="D128" s="8"/>
      <c r="E128" s="8"/>
      <c r="F128" s="36" t="s">
        <v>549</v>
      </c>
      <c r="G128" s="41">
        <v>24.64</v>
      </c>
      <c r="H128" s="7"/>
      <c r="I128" s="7"/>
      <c r="J128" s="7"/>
      <c r="K128" s="7"/>
      <c r="L128" s="7"/>
      <c r="M128" s="7"/>
      <c r="N128" s="7"/>
      <c r="O128" s="7"/>
    </row>
    <row r="129" spans="1:15" ht="86.4" outlineLevel="1" x14ac:dyDescent="0.3">
      <c r="A129" s="7">
        <v>109</v>
      </c>
      <c r="B129" s="7">
        <v>109</v>
      </c>
      <c r="C129" s="7" t="s">
        <v>65</v>
      </c>
      <c r="D129" s="8" t="s">
        <v>550</v>
      </c>
      <c r="E129" s="8">
        <v>3.48</v>
      </c>
      <c r="F129" s="36" t="s">
        <v>1052</v>
      </c>
      <c r="G129" s="41">
        <f>SUM(G130:G133)/1000</f>
        <v>3.4796799999999997</v>
      </c>
      <c r="H129" s="7"/>
      <c r="I129" s="7"/>
      <c r="J129" s="7"/>
      <c r="K129" s="7"/>
      <c r="L129" s="7"/>
      <c r="M129" s="7"/>
      <c r="N129" s="7" t="s">
        <v>664</v>
      </c>
      <c r="O129" s="7"/>
    </row>
    <row r="130" spans="1:15" outlineLevel="1" x14ac:dyDescent="0.3">
      <c r="A130" s="7"/>
      <c r="B130" s="7"/>
      <c r="C130" s="22" t="s">
        <v>1067</v>
      </c>
      <c r="D130" s="7"/>
      <c r="E130" s="7"/>
      <c r="F130" s="36" t="s">
        <v>549</v>
      </c>
      <c r="G130" s="41">
        <f>29.44*32</f>
        <v>942.08</v>
      </c>
      <c r="H130" s="7"/>
      <c r="I130" s="7"/>
      <c r="J130" s="7"/>
      <c r="K130" s="7"/>
      <c r="L130" s="7"/>
      <c r="M130" s="7"/>
      <c r="N130" s="7"/>
      <c r="O130" s="7"/>
    </row>
    <row r="131" spans="1:15" outlineLevel="1" x14ac:dyDescent="0.3">
      <c r="A131" s="7"/>
      <c r="B131" s="7"/>
      <c r="C131" s="22" t="s">
        <v>1068</v>
      </c>
      <c r="D131" s="7"/>
      <c r="E131" s="7"/>
      <c r="F131" s="36" t="s">
        <v>549</v>
      </c>
      <c r="G131" s="41">
        <f>66.75*32</f>
        <v>2136</v>
      </c>
      <c r="H131" s="7"/>
      <c r="I131" s="7"/>
      <c r="J131" s="7"/>
      <c r="K131" s="7"/>
      <c r="L131" s="7"/>
      <c r="M131" s="7"/>
      <c r="N131" s="7"/>
      <c r="O131" s="7"/>
    </row>
    <row r="132" spans="1:15" ht="28.8" outlineLevel="1" x14ac:dyDescent="0.3">
      <c r="A132" s="7"/>
      <c r="B132" s="7"/>
      <c r="C132" s="22" t="s">
        <v>1069</v>
      </c>
      <c r="D132" s="7"/>
      <c r="E132" s="7"/>
      <c r="F132" s="36" t="s">
        <v>549</v>
      </c>
      <c r="G132" s="41">
        <f>11.04*32</f>
        <v>353.28</v>
      </c>
      <c r="H132" s="7"/>
      <c r="I132" s="7"/>
      <c r="J132" s="7"/>
      <c r="K132" s="7"/>
      <c r="L132" s="7"/>
      <c r="M132" s="7"/>
      <c r="N132" s="7"/>
      <c r="O132" s="7"/>
    </row>
    <row r="133" spans="1:15" outlineLevel="1" x14ac:dyDescent="0.3">
      <c r="A133" s="7"/>
      <c r="B133" s="7"/>
      <c r="C133" s="22" t="s">
        <v>1070</v>
      </c>
      <c r="D133" s="7"/>
      <c r="E133" s="7"/>
      <c r="F133" s="36" t="s">
        <v>549</v>
      </c>
      <c r="G133" s="41">
        <f>1.51*32</f>
        <v>48.32</v>
      </c>
      <c r="H133" s="7"/>
      <c r="I133" s="7"/>
      <c r="J133" s="7"/>
      <c r="K133" s="7"/>
      <c r="L133" s="7"/>
      <c r="M133" s="7"/>
      <c r="N133" s="7"/>
      <c r="O133" s="7"/>
    </row>
    <row r="134" spans="1:15" outlineLevel="1" x14ac:dyDescent="0.3">
      <c r="A134" s="7"/>
      <c r="B134" s="7"/>
      <c r="C134" s="7" t="s">
        <v>66</v>
      </c>
      <c r="D134" s="8"/>
      <c r="E134" s="8"/>
      <c r="F134" s="36"/>
      <c r="G134" s="41"/>
      <c r="H134" s="7"/>
      <c r="I134" s="7"/>
      <c r="J134" s="7"/>
      <c r="K134" s="7"/>
      <c r="L134" s="7"/>
      <c r="M134" s="7"/>
      <c r="N134" s="7"/>
      <c r="O134" s="7"/>
    </row>
    <row r="135" spans="1:15" ht="131.4" customHeight="1" outlineLevel="1" x14ac:dyDescent="0.3">
      <c r="A135" s="7">
        <v>110</v>
      </c>
      <c r="B135" s="7">
        <v>110</v>
      </c>
      <c r="C135" s="7" t="s">
        <v>67</v>
      </c>
      <c r="D135" s="8" t="s">
        <v>550</v>
      </c>
      <c r="E135" s="8">
        <v>3.28</v>
      </c>
      <c r="F135" s="36"/>
      <c r="G135" s="41">
        <f>SUM(G136:G142)/1000</f>
        <v>3.2825800000000003</v>
      </c>
      <c r="H135" s="7"/>
      <c r="I135" s="7"/>
      <c r="J135" s="7"/>
      <c r="K135" s="7"/>
      <c r="L135" s="7"/>
      <c r="M135" s="7"/>
      <c r="N135" s="7" t="s">
        <v>665</v>
      </c>
      <c r="O135" s="7"/>
    </row>
    <row r="136" spans="1:15" ht="20.399999999999999" customHeight="1" outlineLevel="1" x14ac:dyDescent="0.3">
      <c r="A136" s="7"/>
      <c r="B136" s="7"/>
      <c r="C136" s="22" t="s">
        <v>1077</v>
      </c>
      <c r="D136" s="24"/>
      <c r="E136" s="24"/>
      <c r="F136" s="36" t="s">
        <v>549</v>
      </c>
      <c r="G136" s="41">
        <v>358.26</v>
      </c>
      <c r="H136" s="24"/>
      <c r="I136" s="24"/>
      <c r="J136" s="24"/>
      <c r="K136" s="24"/>
      <c r="L136" s="24"/>
      <c r="M136" s="24"/>
      <c r="N136" s="24"/>
      <c r="O136" s="7"/>
    </row>
    <row r="137" spans="1:15" ht="20.399999999999999" customHeight="1" outlineLevel="1" x14ac:dyDescent="0.3">
      <c r="A137" s="7"/>
      <c r="B137" s="7"/>
      <c r="C137" s="22" t="s">
        <v>1071</v>
      </c>
      <c r="D137" s="24"/>
      <c r="E137" s="24"/>
      <c r="F137" s="36" t="s">
        <v>549</v>
      </c>
      <c r="G137" s="41">
        <v>24.64</v>
      </c>
      <c r="H137" s="24"/>
      <c r="I137" s="24"/>
      <c r="J137" s="24"/>
      <c r="K137" s="24"/>
      <c r="L137" s="24"/>
      <c r="M137" s="24"/>
      <c r="N137" s="24"/>
      <c r="O137" s="7"/>
    </row>
    <row r="138" spans="1:15" ht="20.399999999999999" customHeight="1" outlineLevel="1" x14ac:dyDescent="0.3">
      <c r="A138" s="7"/>
      <c r="B138" s="7"/>
      <c r="C138" s="22" t="s">
        <v>1072</v>
      </c>
      <c r="D138" s="24"/>
      <c r="E138" s="24"/>
      <c r="F138" s="36" t="s">
        <v>549</v>
      </c>
      <c r="G138" s="41">
        <v>1737.96</v>
      </c>
      <c r="H138" s="24"/>
      <c r="I138" s="24"/>
      <c r="J138" s="24"/>
      <c r="K138" s="24"/>
      <c r="L138" s="24"/>
      <c r="M138" s="24"/>
      <c r="N138" s="24"/>
      <c r="O138" s="7"/>
    </row>
    <row r="139" spans="1:15" ht="20.399999999999999" customHeight="1" outlineLevel="1" x14ac:dyDescent="0.3">
      <c r="A139" s="7"/>
      <c r="B139" s="7"/>
      <c r="C139" s="22" t="s">
        <v>1073</v>
      </c>
      <c r="D139" s="24"/>
      <c r="E139" s="24"/>
      <c r="F139" s="36" t="s">
        <v>549</v>
      </c>
      <c r="G139" s="41">
        <v>728</v>
      </c>
      <c r="H139" s="24"/>
      <c r="I139" s="24"/>
      <c r="J139" s="24"/>
      <c r="K139" s="24"/>
      <c r="L139" s="24"/>
      <c r="M139" s="24"/>
      <c r="N139" s="24"/>
      <c r="O139" s="7"/>
    </row>
    <row r="140" spans="1:15" ht="20.399999999999999" customHeight="1" outlineLevel="1" x14ac:dyDescent="0.3">
      <c r="A140" s="7"/>
      <c r="B140" s="7"/>
      <c r="C140" s="22" t="s">
        <v>1074</v>
      </c>
      <c r="D140" s="24"/>
      <c r="E140" s="24"/>
      <c r="F140" s="36" t="s">
        <v>549</v>
      </c>
      <c r="G140" s="41">
        <v>388.5</v>
      </c>
      <c r="H140" s="24"/>
      <c r="I140" s="24"/>
      <c r="J140" s="24"/>
      <c r="K140" s="24"/>
      <c r="L140" s="24"/>
      <c r="M140" s="24"/>
      <c r="N140" s="24"/>
      <c r="O140" s="7"/>
    </row>
    <row r="141" spans="1:15" ht="29.4" customHeight="1" outlineLevel="1" x14ac:dyDescent="0.3">
      <c r="A141" s="7"/>
      <c r="B141" s="7"/>
      <c r="C141" s="22" t="s">
        <v>1075</v>
      </c>
      <c r="D141" s="24"/>
      <c r="E141" s="24"/>
      <c r="F141" s="36" t="s">
        <v>549</v>
      </c>
      <c r="G141" s="41">
        <v>32.9</v>
      </c>
      <c r="H141" s="24"/>
      <c r="I141" s="24"/>
      <c r="J141" s="24"/>
      <c r="K141" s="24"/>
      <c r="L141" s="24"/>
      <c r="M141" s="24"/>
      <c r="N141" s="24"/>
      <c r="O141" s="7"/>
    </row>
    <row r="142" spans="1:15" ht="20.399999999999999" customHeight="1" outlineLevel="1" x14ac:dyDescent="0.3">
      <c r="A142" s="7"/>
      <c r="B142" s="7"/>
      <c r="C142" s="22" t="s">
        <v>1076</v>
      </c>
      <c r="D142" s="24"/>
      <c r="E142" s="24"/>
      <c r="F142" s="36" t="s">
        <v>549</v>
      </c>
      <c r="G142" s="41">
        <v>12.32</v>
      </c>
      <c r="H142" s="24"/>
      <c r="I142" s="24"/>
      <c r="J142" s="24"/>
      <c r="K142" s="24"/>
      <c r="L142" s="24"/>
      <c r="M142" s="24"/>
      <c r="N142" s="24"/>
      <c r="O142" s="7"/>
    </row>
    <row r="143" spans="1:15" ht="115.2" outlineLevel="1" x14ac:dyDescent="0.3">
      <c r="A143" s="7">
        <v>111</v>
      </c>
      <c r="B143" s="7">
        <v>111</v>
      </c>
      <c r="C143" s="7" t="s">
        <v>68</v>
      </c>
      <c r="D143" s="8" t="s">
        <v>550</v>
      </c>
      <c r="E143" s="8">
        <v>2.72</v>
      </c>
      <c r="F143" s="36" t="s">
        <v>1052</v>
      </c>
      <c r="G143" s="41">
        <f>SUM(G144:G149)/1000</f>
        <v>2.7215999999999996</v>
      </c>
      <c r="H143" s="7"/>
      <c r="I143" s="7"/>
      <c r="J143" s="7"/>
      <c r="K143" s="7"/>
      <c r="L143" s="7"/>
      <c r="M143" s="7"/>
      <c r="N143" s="7" t="s">
        <v>666</v>
      </c>
      <c r="O143" s="7"/>
    </row>
    <row r="144" spans="1:15" outlineLevel="1" x14ac:dyDescent="0.3">
      <c r="A144" s="7"/>
      <c r="B144" s="7"/>
      <c r="C144" s="22" t="s">
        <v>1078</v>
      </c>
      <c r="D144" s="7"/>
      <c r="E144" s="7"/>
      <c r="F144" s="36" t="s">
        <v>549</v>
      </c>
      <c r="G144" s="41">
        <v>834.24</v>
      </c>
      <c r="H144" s="7"/>
      <c r="I144" s="7"/>
      <c r="J144" s="7"/>
      <c r="K144" s="7"/>
      <c r="L144" s="7"/>
      <c r="M144" s="7"/>
      <c r="N144" s="7"/>
      <c r="O144" s="7"/>
    </row>
    <row r="145" spans="1:16" outlineLevel="1" x14ac:dyDescent="0.3">
      <c r="A145" s="7"/>
      <c r="B145" s="7"/>
      <c r="C145" s="22" t="s">
        <v>1079</v>
      </c>
      <c r="D145" s="7"/>
      <c r="E145" s="7"/>
      <c r="F145" s="36" t="s">
        <v>549</v>
      </c>
      <c r="G145" s="41">
        <v>802.4</v>
      </c>
      <c r="H145" s="7"/>
      <c r="I145" s="7"/>
      <c r="J145" s="7"/>
      <c r="K145" s="7"/>
      <c r="L145" s="7"/>
      <c r="M145" s="7"/>
      <c r="N145" s="7"/>
      <c r="O145" s="7"/>
    </row>
    <row r="146" spans="1:16" ht="28.8" outlineLevel="1" x14ac:dyDescent="0.3">
      <c r="A146" s="7"/>
      <c r="B146" s="7"/>
      <c r="C146" s="22" t="s">
        <v>1080</v>
      </c>
      <c r="D146" s="7"/>
      <c r="E146" s="7"/>
      <c r="F146" s="36" t="s">
        <v>549</v>
      </c>
      <c r="G146" s="41">
        <v>440.64</v>
      </c>
      <c r="H146" s="7"/>
      <c r="I146" s="7"/>
      <c r="J146" s="7"/>
      <c r="K146" s="7"/>
      <c r="L146" s="7"/>
      <c r="M146" s="7"/>
      <c r="N146" s="7"/>
      <c r="O146" s="7"/>
    </row>
    <row r="147" spans="1:16" outlineLevel="1" x14ac:dyDescent="0.3">
      <c r="A147" s="7"/>
      <c r="B147" s="7"/>
      <c r="C147" s="22" t="s">
        <v>1081</v>
      </c>
      <c r="D147" s="7"/>
      <c r="E147" s="7"/>
      <c r="F147" s="36" t="s">
        <v>549</v>
      </c>
      <c r="G147" s="41">
        <v>11.04</v>
      </c>
      <c r="H147" s="7"/>
      <c r="I147" s="7"/>
      <c r="J147" s="7"/>
      <c r="K147" s="7"/>
      <c r="L147" s="7"/>
      <c r="M147" s="7"/>
      <c r="N147" s="7"/>
      <c r="O147" s="7"/>
    </row>
    <row r="148" spans="1:16" outlineLevel="1" x14ac:dyDescent="0.3">
      <c r="A148" s="7"/>
      <c r="B148" s="7"/>
      <c r="C148" s="22" t="s">
        <v>1082</v>
      </c>
      <c r="D148" s="7"/>
      <c r="E148" s="7"/>
      <c r="F148" s="36" t="s">
        <v>549</v>
      </c>
      <c r="G148" s="41">
        <v>30.08</v>
      </c>
      <c r="H148" s="7"/>
      <c r="I148" s="7"/>
      <c r="J148" s="7"/>
      <c r="K148" s="7"/>
      <c r="L148" s="7"/>
      <c r="M148" s="7"/>
      <c r="N148" s="7"/>
      <c r="O148" s="7"/>
    </row>
    <row r="149" spans="1:16" outlineLevel="1" x14ac:dyDescent="0.3">
      <c r="A149" s="7"/>
      <c r="B149" s="7"/>
      <c r="C149" s="22" t="s">
        <v>1083</v>
      </c>
      <c r="D149" s="7"/>
      <c r="E149" s="7"/>
      <c r="F149" s="36" t="s">
        <v>549</v>
      </c>
      <c r="G149" s="41">
        <v>603.20000000000005</v>
      </c>
      <c r="H149" s="7"/>
      <c r="I149" s="7"/>
      <c r="J149" s="7"/>
      <c r="K149" s="7"/>
      <c r="L149" s="7"/>
      <c r="M149" s="7"/>
      <c r="N149" s="7"/>
      <c r="O149" s="7"/>
    </row>
    <row r="150" spans="1:16" outlineLevel="1" x14ac:dyDescent="0.3">
      <c r="A150" s="7"/>
      <c r="B150" s="7"/>
      <c r="C150" s="7" t="s">
        <v>69</v>
      </c>
      <c r="D150" s="8"/>
      <c r="E150" s="8"/>
      <c r="F150" s="36"/>
      <c r="G150" s="41"/>
      <c r="H150" s="7"/>
      <c r="I150" s="7"/>
      <c r="J150" s="7"/>
      <c r="K150" s="7"/>
      <c r="L150" s="7"/>
      <c r="M150" s="7"/>
      <c r="N150" s="7"/>
      <c r="O150" s="7"/>
    </row>
    <row r="151" spans="1:16" ht="100.8" outlineLevel="1" x14ac:dyDescent="0.3">
      <c r="A151" s="7">
        <v>112</v>
      </c>
      <c r="B151" s="7">
        <v>112</v>
      </c>
      <c r="C151" s="7" t="s">
        <v>70</v>
      </c>
      <c r="D151" s="8" t="s">
        <v>550</v>
      </c>
      <c r="E151" s="8">
        <v>0.79900000000000004</v>
      </c>
      <c r="F151" s="36"/>
      <c r="G151" s="41">
        <f>SUM(G152:G156)/1000</f>
        <v>0.79869999999999997</v>
      </c>
      <c r="H151" s="7"/>
      <c r="I151" s="7"/>
      <c r="J151" s="7"/>
      <c r="K151" s="7"/>
      <c r="L151" s="7"/>
      <c r="M151" s="7"/>
      <c r="N151" s="7" t="s">
        <v>667</v>
      </c>
      <c r="O151" s="7"/>
    </row>
    <row r="152" spans="1:16" outlineLevel="1" x14ac:dyDescent="0.3">
      <c r="A152" s="7"/>
      <c r="B152" s="7"/>
      <c r="C152" s="22" t="s">
        <v>1084</v>
      </c>
      <c r="D152" s="24"/>
      <c r="E152" s="24"/>
      <c r="F152" s="36" t="s">
        <v>549</v>
      </c>
      <c r="G152" s="41">
        <v>343.14</v>
      </c>
      <c r="H152" s="7"/>
      <c r="I152" s="7"/>
      <c r="J152" s="7"/>
      <c r="K152" s="7"/>
      <c r="L152" s="7"/>
      <c r="M152" s="7"/>
      <c r="N152" s="7"/>
      <c r="O152" s="7"/>
    </row>
    <row r="153" spans="1:16" outlineLevel="1" x14ac:dyDescent="0.3">
      <c r="A153" s="7"/>
      <c r="B153" s="7"/>
      <c r="C153" s="22" t="s">
        <v>1085</v>
      </c>
      <c r="D153" s="24"/>
      <c r="E153" s="24"/>
      <c r="F153" s="36" t="s">
        <v>549</v>
      </c>
      <c r="G153" s="41">
        <v>107.1</v>
      </c>
      <c r="H153" s="7"/>
      <c r="I153" s="7"/>
      <c r="J153" s="7"/>
      <c r="K153" s="7"/>
      <c r="L153" s="7"/>
      <c r="M153" s="7"/>
      <c r="N153" s="7"/>
      <c r="O153" s="7"/>
    </row>
    <row r="154" spans="1:16" outlineLevel="1" x14ac:dyDescent="0.3">
      <c r="A154" s="7"/>
      <c r="B154" s="7"/>
      <c r="C154" s="22" t="s">
        <v>1076</v>
      </c>
      <c r="D154" s="24"/>
      <c r="E154" s="24"/>
      <c r="F154" s="36" t="s">
        <v>549</v>
      </c>
      <c r="G154" s="41">
        <v>12.32</v>
      </c>
      <c r="H154" s="7"/>
      <c r="I154" s="7"/>
      <c r="J154" s="7"/>
      <c r="K154" s="7"/>
      <c r="L154" s="7"/>
      <c r="M154" s="7"/>
      <c r="N154" s="7"/>
      <c r="O154" s="7"/>
    </row>
    <row r="155" spans="1:16" outlineLevel="1" x14ac:dyDescent="0.3">
      <c r="A155" s="7"/>
      <c r="B155" s="7"/>
      <c r="C155" s="22" t="s">
        <v>1086</v>
      </c>
      <c r="D155" s="24"/>
      <c r="E155" s="24"/>
      <c r="F155" s="36" t="s">
        <v>549</v>
      </c>
      <c r="G155" s="41">
        <v>311.5</v>
      </c>
      <c r="H155" s="7"/>
      <c r="I155" s="7"/>
      <c r="J155" s="7"/>
      <c r="K155" s="7"/>
      <c r="L155" s="7"/>
      <c r="M155" s="7"/>
      <c r="N155" s="7"/>
      <c r="O155" s="7"/>
    </row>
    <row r="156" spans="1:16" outlineLevel="1" x14ac:dyDescent="0.3">
      <c r="A156" s="7"/>
      <c r="B156" s="7"/>
      <c r="C156" s="22" t="s">
        <v>1071</v>
      </c>
      <c r="D156" s="24"/>
      <c r="E156" s="24"/>
      <c r="F156" s="36" t="s">
        <v>549</v>
      </c>
      <c r="G156" s="41">
        <v>24.64</v>
      </c>
      <c r="H156" s="7"/>
      <c r="I156" s="7"/>
      <c r="J156" s="7"/>
      <c r="K156" s="7"/>
      <c r="L156" s="7"/>
      <c r="M156" s="7"/>
      <c r="N156" s="7"/>
      <c r="O156" s="7"/>
    </row>
    <row r="157" spans="1:16" outlineLevel="1" x14ac:dyDescent="0.3">
      <c r="A157" s="7"/>
      <c r="B157" s="7"/>
      <c r="C157" s="7" t="s">
        <v>71</v>
      </c>
      <c r="D157" s="8"/>
      <c r="E157" s="8"/>
      <c r="F157" s="36"/>
      <c r="G157" s="41"/>
      <c r="H157" s="7"/>
      <c r="I157" s="7"/>
      <c r="J157" s="7"/>
      <c r="K157" s="7"/>
      <c r="L157" s="7"/>
      <c r="M157" s="7"/>
      <c r="N157" s="7"/>
      <c r="O157" s="7"/>
    </row>
    <row r="158" spans="1:16" ht="86.4" outlineLevel="1" x14ac:dyDescent="0.3">
      <c r="A158" s="7">
        <v>113</v>
      </c>
      <c r="B158" s="7">
        <v>113</v>
      </c>
      <c r="C158" s="7" t="s">
        <v>72</v>
      </c>
      <c r="D158" s="8" t="s">
        <v>550</v>
      </c>
      <c r="E158" s="8">
        <v>1.37</v>
      </c>
      <c r="F158" s="36"/>
      <c r="G158" s="41">
        <f>SUM(G159:G161)/1000</f>
        <v>1.3696000000000002</v>
      </c>
      <c r="H158" s="7"/>
      <c r="I158" s="7"/>
      <c r="J158" s="7"/>
      <c r="K158" s="7"/>
      <c r="L158" s="7"/>
      <c r="M158" s="7"/>
      <c r="N158" s="7" t="s">
        <v>668</v>
      </c>
      <c r="O158" s="7"/>
      <c r="P158" s="1" t="s">
        <v>1474</v>
      </c>
    </row>
    <row r="159" spans="1:16" outlineLevel="1" x14ac:dyDescent="0.3">
      <c r="A159" s="7"/>
      <c r="B159" s="7"/>
      <c r="C159" s="22" t="s">
        <v>1087</v>
      </c>
      <c r="D159" s="24"/>
      <c r="E159" s="24"/>
      <c r="F159" s="36" t="s">
        <v>549</v>
      </c>
      <c r="G159" s="41">
        <v>1016.96</v>
      </c>
      <c r="H159" s="7"/>
      <c r="I159" s="7"/>
      <c r="J159" s="7"/>
      <c r="K159" s="7"/>
      <c r="L159" s="7"/>
      <c r="M159" s="7"/>
      <c r="N159" s="7"/>
      <c r="O159" s="7"/>
    </row>
    <row r="160" spans="1:16" ht="28.8" outlineLevel="1" x14ac:dyDescent="0.3">
      <c r="A160" s="7"/>
      <c r="B160" s="7"/>
      <c r="C160" s="22" t="s">
        <v>1080</v>
      </c>
      <c r="D160" s="24"/>
      <c r="E160" s="24"/>
      <c r="F160" s="36" t="s">
        <v>549</v>
      </c>
      <c r="G160" s="41">
        <v>310.39999999999998</v>
      </c>
      <c r="H160" s="7"/>
      <c r="I160" s="7"/>
      <c r="J160" s="7"/>
      <c r="K160" s="7"/>
      <c r="L160" s="7"/>
      <c r="M160" s="7"/>
      <c r="N160" s="7"/>
      <c r="O160" s="7"/>
    </row>
    <row r="161" spans="1:15" outlineLevel="1" x14ac:dyDescent="0.3">
      <c r="A161" s="7"/>
      <c r="B161" s="7"/>
      <c r="C161" s="22" t="s">
        <v>1088</v>
      </c>
      <c r="D161" s="24"/>
      <c r="E161" s="24"/>
      <c r="F161" s="36" t="s">
        <v>549</v>
      </c>
      <c r="G161" s="41">
        <v>42.24</v>
      </c>
      <c r="H161" s="7"/>
      <c r="I161" s="7"/>
      <c r="J161" s="7"/>
      <c r="K161" s="7"/>
      <c r="L161" s="7"/>
      <c r="M161" s="7"/>
      <c r="N161" s="7"/>
      <c r="O161" s="7"/>
    </row>
    <row r="162" spans="1:15" s="2" customFormat="1" x14ac:dyDescent="0.3">
      <c r="A162" s="4"/>
      <c r="B162" s="4"/>
      <c r="C162" s="4" t="s">
        <v>73</v>
      </c>
      <c r="D162" s="6"/>
      <c r="E162" s="6"/>
      <c r="F162" s="36"/>
      <c r="G162" s="41"/>
      <c r="H162" s="4"/>
      <c r="I162" s="4"/>
      <c r="J162" s="4"/>
      <c r="K162" s="4"/>
      <c r="L162" s="4"/>
      <c r="M162" s="4"/>
      <c r="N162" s="4"/>
      <c r="O162" s="4"/>
    </row>
    <row r="163" spans="1:15" ht="28.8" outlineLevel="1" x14ac:dyDescent="0.3">
      <c r="A163" s="7">
        <v>114</v>
      </c>
      <c r="B163" s="7">
        <v>114</v>
      </c>
      <c r="C163" s="7" t="s">
        <v>74</v>
      </c>
      <c r="D163" s="8" t="s">
        <v>550</v>
      </c>
      <c r="E163" s="8">
        <v>4.0679999999999996</v>
      </c>
      <c r="F163" s="36" t="s">
        <v>1052</v>
      </c>
      <c r="G163" s="57">
        <v>4.0679999999999996</v>
      </c>
      <c r="H163" s="7"/>
      <c r="I163" s="7"/>
      <c r="J163" s="7"/>
      <c r="K163" s="7"/>
      <c r="L163" s="7"/>
      <c r="M163" s="7"/>
      <c r="N163" s="7" t="s">
        <v>669</v>
      </c>
      <c r="O163" s="7"/>
    </row>
    <row r="164" spans="1:15" ht="28.8" outlineLevel="1" x14ac:dyDescent="0.3">
      <c r="A164" s="7">
        <v>115</v>
      </c>
      <c r="B164" s="7">
        <v>115</v>
      </c>
      <c r="C164" s="7" t="s">
        <v>75</v>
      </c>
      <c r="D164" s="8" t="s">
        <v>550</v>
      </c>
      <c r="E164" s="8">
        <v>8.1359999999999992</v>
      </c>
      <c r="F164" s="36" t="s">
        <v>1052</v>
      </c>
      <c r="G164" s="57">
        <v>8.1359999999999992</v>
      </c>
      <c r="H164" s="7"/>
      <c r="I164" s="7"/>
      <c r="J164" s="7"/>
      <c r="K164" s="7"/>
      <c r="L164" s="7"/>
      <c r="M164" s="7"/>
      <c r="N164" s="7" t="s">
        <v>670</v>
      </c>
      <c r="O164" s="7"/>
    </row>
    <row r="165" spans="1:15" ht="28.8" outlineLevel="1" x14ac:dyDescent="0.3">
      <c r="A165" s="7">
        <v>116</v>
      </c>
      <c r="B165" s="7">
        <v>116</v>
      </c>
      <c r="C165" s="7" t="s">
        <v>76</v>
      </c>
      <c r="D165" s="8" t="s">
        <v>550</v>
      </c>
      <c r="E165" s="8">
        <v>7.1280000000000001</v>
      </c>
      <c r="F165" s="36" t="s">
        <v>1052</v>
      </c>
      <c r="G165" s="57">
        <v>7.1280000000000001</v>
      </c>
      <c r="H165" s="7"/>
      <c r="I165" s="7"/>
      <c r="J165" s="7"/>
      <c r="K165" s="7"/>
      <c r="L165" s="7"/>
      <c r="M165" s="7"/>
      <c r="N165" s="7" t="s">
        <v>671</v>
      </c>
      <c r="O165" s="7"/>
    </row>
    <row r="166" spans="1:15" ht="28.8" outlineLevel="1" x14ac:dyDescent="0.3">
      <c r="A166" s="7">
        <v>117</v>
      </c>
      <c r="B166" s="7">
        <v>117</v>
      </c>
      <c r="C166" s="7" t="s">
        <v>77</v>
      </c>
      <c r="D166" s="8" t="s">
        <v>550</v>
      </c>
      <c r="E166" s="8">
        <v>14.256</v>
      </c>
      <c r="F166" s="36" t="s">
        <v>1052</v>
      </c>
      <c r="G166" s="57">
        <v>14.256</v>
      </c>
      <c r="H166" s="7"/>
      <c r="I166" s="7"/>
      <c r="J166" s="7"/>
      <c r="K166" s="7"/>
      <c r="L166" s="7"/>
      <c r="M166" s="7"/>
      <c r="N166" s="7" t="s">
        <v>672</v>
      </c>
      <c r="O166" s="7"/>
    </row>
    <row r="167" spans="1:15" ht="28.8" outlineLevel="1" x14ac:dyDescent="0.3">
      <c r="A167" s="7">
        <v>118</v>
      </c>
      <c r="B167" s="7">
        <v>118</v>
      </c>
      <c r="C167" s="7" t="s">
        <v>78</v>
      </c>
      <c r="D167" s="8" t="s">
        <v>550</v>
      </c>
      <c r="E167" s="8">
        <v>0.17499999999999999</v>
      </c>
      <c r="F167" s="36" t="s">
        <v>1052</v>
      </c>
      <c r="G167" s="57">
        <v>0.17499999999999999</v>
      </c>
      <c r="H167" s="7"/>
      <c r="I167" s="7"/>
      <c r="J167" s="7"/>
      <c r="K167" s="7"/>
      <c r="L167" s="7"/>
      <c r="M167" s="7"/>
      <c r="N167" s="7" t="s">
        <v>673</v>
      </c>
      <c r="O167" s="7"/>
    </row>
    <row r="168" spans="1:15" ht="28.8" outlineLevel="1" x14ac:dyDescent="0.3">
      <c r="A168" s="7">
        <v>119</v>
      </c>
      <c r="B168" s="7">
        <v>119</v>
      </c>
      <c r="C168" s="7" t="s">
        <v>79</v>
      </c>
      <c r="D168" s="8" t="s">
        <v>550</v>
      </c>
      <c r="E168" s="8">
        <v>0.11799999999999999</v>
      </c>
      <c r="F168" s="36" t="s">
        <v>1052</v>
      </c>
      <c r="G168" s="57">
        <v>0.11799999999999999</v>
      </c>
      <c r="H168" s="7"/>
      <c r="I168" s="7"/>
      <c r="J168" s="7"/>
      <c r="K168" s="7"/>
      <c r="L168" s="7"/>
      <c r="M168" s="7"/>
      <c r="N168" s="7" t="s">
        <v>674</v>
      </c>
      <c r="O168" s="7"/>
    </row>
    <row r="169" spans="1:15" ht="43.2" outlineLevel="1" x14ac:dyDescent="0.3">
      <c r="A169" s="7">
        <v>120</v>
      </c>
      <c r="B169" s="7">
        <v>120</v>
      </c>
      <c r="C169" s="7" t="s">
        <v>80</v>
      </c>
      <c r="D169" s="8" t="s">
        <v>550</v>
      </c>
      <c r="E169" s="8">
        <v>0.307</v>
      </c>
      <c r="F169" s="36" t="s">
        <v>1052</v>
      </c>
      <c r="G169" s="57">
        <v>0.307</v>
      </c>
      <c r="H169" s="7"/>
      <c r="I169" s="7"/>
      <c r="J169" s="7"/>
      <c r="K169" s="7"/>
      <c r="L169" s="7"/>
      <c r="M169" s="7"/>
      <c r="N169" s="7" t="s">
        <v>675</v>
      </c>
      <c r="O169" s="7"/>
    </row>
    <row r="170" spans="1:15" ht="43.2" outlineLevel="1" x14ac:dyDescent="0.3">
      <c r="A170" s="7">
        <v>121</v>
      </c>
      <c r="B170" s="7">
        <v>121</v>
      </c>
      <c r="C170" s="7" t="s">
        <v>81</v>
      </c>
      <c r="D170" s="8" t="s">
        <v>550</v>
      </c>
      <c r="E170" s="8">
        <v>0.20699999999999999</v>
      </c>
      <c r="F170" s="36" t="s">
        <v>1052</v>
      </c>
      <c r="G170" s="57">
        <v>0.20699999999999999</v>
      </c>
      <c r="H170" s="7"/>
      <c r="I170" s="7"/>
      <c r="J170" s="7"/>
      <c r="K170" s="7"/>
      <c r="L170" s="7"/>
      <c r="M170" s="7"/>
      <c r="N170" s="7" t="s">
        <v>676</v>
      </c>
      <c r="O170" s="7"/>
    </row>
    <row r="171" spans="1:15" ht="28.8" outlineLevel="1" x14ac:dyDescent="0.3">
      <c r="A171" s="7">
        <v>122</v>
      </c>
      <c r="B171" s="7">
        <v>122</v>
      </c>
      <c r="C171" s="7" t="s">
        <v>82</v>
      </c>
      <c r="D171" s="8" t="s">
        <v>550</v>
      </c>
      <c r="E171" s="8">
        <v>4.04</v>
      </c>
      <c r="F171" s="36" t="s">
        <v>1052</v>
      </c>
      <c r="G171" s="57">
        <v>4.04</v>
      </c>
      <c r="H171" s="7"/>
      <c r="I171" s="7"/>
      <c r="J171" s="7"/>
      <c r="K171" s="7"/>
      <c r="L171" s="7"/>
      <c r="M171" s="7"/>
      <c r="N171" s="7" t="s">
        <v>677</v>
      </c>
      <c r="O171" s="7"/>
    </row>
    <row r="172" spans="1:15" ht="28.8" outlineLevel="1" x14ac:dyDescent="0.3">
      <c r="A172" s="7">
        <v>123</v>
      </c>
      <c r="B172" s="7">
        <v>123</v>
      </c>
      <c r="C172" s="7" t="s">
        <v>83</v>
      </c>
      <c r="D172" s="8" t="s">
        <v>550</v>
      </c>
      <c r="E172" s="8">
        <v>0.28999999999999998</v>
      </c>
      <c r="F172" s="36" t="s">
        <v>1052</v>
      </c>
      <c r="G172" s="57">
        <v>0.28999999999999998</v>
      </c>
      <c r="H172" s="7"/>
      <c r="I172" s="7"/>
      <c r="J172" s="7"/>
      <c r="K172" s="7"/>
      <c r="L172" s="7"/>
      <c r="M172" s="7"/>
      <c r="N172" s="7" t="s">
        <v>678</v>
      </c>
      <c r="O172" s="7"/>
    </row>
    <row r="173" spans="1:15" ht="28.8" outlineLevel="1" x14ac:dyDescent="0.3">
      <c r="A173" s="7">
        <v>124</v>
      </c>
      <c r="B173" s="7">
        <v>124</v>
      </c>
      <c r="C173" s="7" t="s">
        <v>84</v>
      </c>
      <c r="D173" s="8" t="s">
        <v>550</v>
      </c>
      <c r="E173" s="8">
        <v>1.31</v>
      </c>
      <c r="F173" s="36" t="s">
        <v>1052</v>
      </c>
      <c r="G173" s="57">
        <v>1.31</v>
      </c>
      <c r="H173" s="7"/>
      <c r="I173" s="7"/>
      <c r="J173" s="7"/>
      <c r="K173" s="7"/>
      <c r="L173" s="7"/>
      <c r="M173" s="7"/>
      <c r="N173" s="7" t="s">
        <v>679</v>
      </c>
      <c r="O173" s="7"/>
    </row>
    <row r="174" spans="1:15" s="2" customFormat="1" x14ac:dyDescent="0.3">
      <c r="A174" s="4"/>
      <c r="B174" s="4"/>
      <c r="C174" s="4" t="s">
        <v>85</v>
      </c>
      <c r="D174" s="6"/>
      <c r="E174" s="6"/>
      <c r="F174" s="36"/>
      <c r="G174" s="41"/>
      <c r="H174" s="4"/>
      <c r="I174" s="4"/>
      <c r="J174" s="4"/>
      <c r="K174" s="4"/>
      <c r="L174" s="4"/>
      <c r="M174" s="4"/>
      <c r="N174" s="4"/>
      <c r="O174" s="4"/>
    </row>
    <row r="175" spans="1:15" s="2" customFormat="1" x14ac:dyDescent="0.3">
      <c r="A175" s="4"/>
      <c r="B175" s="4"/>
      <c r="C175" s="4" t="s">
        <v>86</v>
      </c>
      <c r="D175" s="6"/>
      <c r="E175" s="6"/>
      <c r="F175" s="36"/>
      <c r="G175" s="41"/>
      <c r="H175" s="4"/>
      <c r="I175" s="4"/>
      <c r="J175" s="4"/>
      <c r="K175" s="4"/>
      <c r="L175" s="4"/>
      <c r="M175" s="4"/>
      <c r="N175" s="4"/>
      <c r="O175" s="4"/>
    </row>
    <row r="176" spans="1:15" ht="28.8" outlineLevel="1" x14ac:dyDescent="0.3">
      <c r="A176" s="7">
        <v>125</v>
      </c>
      <c r="B176" s="7">
        <v>125</v>
      </c>
      <c r="C176" s="7" t="s">
        <v>87</v>
      </c>
      <c r="D176" s="8" t="s">
        <v>550</v>
      </c>
      <c r="E176" s="8">
        <v>80.703000000000003</v>
      </c>
      <c r="F176" s="36" t="s">
        <v>1052</v>
      </c>
      <c r="G176" s="41">
        <v>80.703000000000003</v>
      </c>
      <c r="H176" s="7"/>
      <c r="I176" s="7"/>
      <c r="J176" s="7"/>
      <c r="K176" s="7"/>
      <c r="L176" s="7"/>
      <c r="M176" s="7"/>
      <c r="N176" s="7" t="s">
        <v>680</v>
      </c>
      <c r="O176" s="7"/>
    </row>
    <row r="177" spans="1:15" ht="28.8" outlineLevel="1" x14ac:dyDescent="0.3">
      <c r="A177" s="7">
        <v>126</v>
      </c>
      <c r="B177" s="7">
        <v>126</v>
      </c>
      <c r="C177" s="7" t="s">
        <v>88</v>
      </c>
      <c r="D177" s="8" t="s">
        <v>550</v>
      </c>
      <c r="E177" s="8">
        <v>0.77700000000000002</v>
      </c>
      <c r="F177" s="36" t="s">
        <v>1052</v>
      </c>
      <c r="G177" s="41">
        <v>0.77700000000000002</v>
      </c>
      <c r="H177" s="7"/>
      <c r="I177" s="7"/>
      <c r="J177" s="7"/>
      <c r="K177" s="7"/>
      <c r="L177" s="7"/>
      <c r="M177" s="7"/>
      <c r="N177" s="7" t="s">
        <v>681</v>
      </c>
      <c r="O177" s="7"/>
    </row>
    <row r="178" spans="1:15" ht="28.8" outlineLevel="1" x14ac:dyDescent="0.3">
      <c r="A178" s="7">
        <v>127</v>
      </c>
      <c r="B178" s="7">
        <v>127</v>
      </c>
      <c r="C178" s="7" t="s">
        <v>89</v>
      </c>
      <c r="D178" s="8" t="s">
        <v>550</v>
      </c>
      <c r="E178" s="8">
        <v>1.1539999999999999</v>
      </c>
      <c r="F178" s="36" t="s">
        <v>1052</v>
      </c>
      <c r="G178" s="41">
        <v>1.1539999999999999</v>
      </c>
      <c r="H178" s="7"/>
      <c r="I178" s="7"/>
      <c r="J178" s="7"/>
      <c r="K178" s="7"/>
      <c r="L178" s="7"/>
      <c r="M178" s="7"/>
      <c r="N178" s="7" t="s">
        <v>682</v>
      </c>
      <c r="O178" s="7"/>
    </row>
    <row r="179" spans="1:15" ht="86.4" outlineLevel="1" x14ac:dyDescent="0.3">
      <c r="A179" s="7">
        <v>128</v>
      </c>
      <c r="B179" s="7">
        <v>128</v>
      </c>
      <c r="C179" s="7" t="s">
        <v>90</v>
      </c>
      <c r="D179" s="8" t="s">
        <v>550</v>
      </c>
      <c r="E179" s="8">
        <v>2.2839999999999998</v>
      </c>
      <c r="F179" s="36" t="s">
        <v>1052</v>
      </c>
      <c r="G179" s="41">
        <v>2.2839999999999998</v>
      </c>
      <c r="H179" s="7"/>
      <c r="I179" s="7"/>
      <c r="J179" s="7"/>
      <c r="K179" s="7"/>
      <c r="L179" s="7"/>
      <c r="M179" s="7"/>
      <c r="N179" s="7" t="s">
        <v>683</v>
      </c>
      <c r="O179" s="7"/>
    </row>
    <row r="180" spans="1:15" ht="28.8" outlineLevel="1" x14ac:dyDescent="0.3">
      <c r="A180" s="7">
        <v>129</v>
      </c>
      <c r="B180" s="7">
        <v>129</v>
      </c>
      <c r="C180" s="7" t="s">
        <v>91</v>
      </c>
      <c r="D180" s="8" t="s">
        <v>547</v>
      </c>
      <c r="E180" s="8">
        <v>36</v>
      </c>
      <c r="F180" s="36" t="s">
        <v>547</v>
      </c>
      <c r="G180" s="41">
        <v>36</v>
      </c>
      <c r="H180" s="7"/>
      <c r="I180" s="7"/>
      <c r="J180" s="7"/>
      <c r="K180" s="7"/>
      <c r="L180" s="7"/>
      <c r="M180" s="7"/>
      <c r="N180" s="7" t="s">
        <v>684</v>
      </c>
      <c r="O180" s="7"/>
    </row>
    <row r="181" spans="1:15" ht="28.8" outlineLevel="1" x14ac:dyDescent="0.3">
      <c r="A181" s="7">
        <v>130</v>
      </c>
      <c r="B181" s="7">
        <v>130</v>
      </c>
      <c r="C181" s="7" t="s">
        <v>92</v>
      </c>
      <c r="D181" s="8" t="s">
        <v>551</v>
      </c>
      <c r="E181" s="8">
        <v>0.21</v>
      </c>
      <c r="F181" s="36" t="s">
        <v>551</v>
      </c>
      <c r="G181" s="41">
        <v>0.21</v>
      </c>
      <c r="H181" s="7"/>
      <c r="I181" s="7"/>
      <c r="J181" s="7"/>
      <c r="K181" s="7"/>
      <c r="L181" s="7"/>
      <c r="M181" s="7"/>
      <c r="N181" s="7" t="s">
        <v>685</v>
      </c>
      <c r="O181" s="7"/>
    </row>
    <row r="182" spans="1:15" ht="28.8" outlineLevel="1" x14ac:dyDescent="0.3">
      <c r="A182" s="7">
        <v>131</v>
      </c>
      <c r="B182" s="7">
        <v>131</v>
      </c>
      <c r="C182" s="7" t="s">
        <v>93</v>
      </c>
      <c r="D182" s="8" t="s">
        <v>551</v>
      </c>
      <c r="E182" s="8">
        <v>0.25600000000000001</v>
      </c>
      <c r="F182" s="36" t="s">
        <v>551</v>
      </c>
      <c r="G182" s="41">
        <v>0.25600000000000001</v>
      </c>
      <c r="H182" s="7"/>
      <c r="I182" s="7"/>
      <c r="J182" s="7"/>
      <c r="K182" s="7"/>
      <c r="L182" s="7"/>
      <c r="M182" s="7"/>
      <c r="N182" s="7" t="s">
        <v>686</v>
      </c>
      <c r="O182" s="7"/>
    </row>
    <row r="183" spans="1:15" ht="28.8" outlineLevel="1" x14ac:dyDescent="0.3">
      <c r="A183" s="7">
        <v>132</v>
      </c>
      <c r="B183" s="7">
        <v>132</v>
      </c>
      <c r="C183" s="7" t="s">
        <v>94</v>
      </c>
      <c r="D183" s="8" t="s">
        <v>551</v>
      </c>
      <c r="E183" s="8">
        <v>6.4000000000000001E-2</v>
      </c>
      <c r="F183" s="36" t="s">
        <v>551</v>
      </c>
      <c r="G183" s="41">
        <v>6.4000000000000001E-2</v>
      </c>
      <c r="H183" s="7"/>
      <c r="I183" s="7"/>
      <c r="J183" s="7"/>
      <c r="K183" s="7"/>
      <c r="L183" s="7"/>
      <c r="M183" s="7"/>
      <c r="N183" s="7" t="s">
        <v>687</v>
      </c>
      <c r="O183" s="7"/>
    </row>
    <row r="184" spans="1:15" outlineLevel="1" x14ac:dyDescent="0.3">
      <c r="A184" s="7"/>
      <c r="B184" s="7"/>
      <c r="C184" s="7" t="s">
        <v>95</v>
      </c>
      <c r="D184" s="8"/>
      <c r="E184" s="8"/>
      <c r="F184" s="36"/>
      <c r="G184" s="41"/>
      <c r="H184" s="7"/>
      <c r="I184" s="7"/>
      <c r="J184" s="7"/>
      <c r="K184" s="7"/>
      <c r="L184" s="7"/>
      <c r="M184" s="7"/>
      <c r="N184" s="7"/>
      <c r="O184" s="7"/>
    </row>
    <row r="185" spans="1:15" ht="28.8" outlineLevel="1" x14ac:dyDescent="0.3">
      <c r="A185" s="7">
        <v>133</v>
      </c>
      <c r="B185" s="7">
        <v>133</v>
      </c>
      <c r="C185" s="7" t="s">
        <v>96</v>
      </c>
      <c r="D185" s="8" t="s">
        <v>550</v>
      </c>
      <c r="E185" s="8">
        <v>4.968</v>
      </c>
      <c r="F185" s="36" t="s">
        <v>1052</v>
      </c>
      <c r="G185" s="57">
        <f>(3753.6+1214.4)/1000</f>
        <v>4.968</v>
      </c>
      <c r="H185" s="7"/>
      <c r="I185" s="7"/>
      <c r="J185" s="7"/>
      <c r="K185" s="7"/>
      <c r="L185" s="7"/>
      <c r="M185" s="7"/>
      <c r="N185" s="7" t="s">
        <v>688</v>
      </c>
      <c r="O185" s="7"/>
    </row>
    <row r="186" spans="1:15" ht="28.8" outlineLevel="1" x14ac:dyDescent="0.3">
      <c r="A186" s="7">
        <v>134</v>
      </c>
      <c r="B186" s="7">
        <v>134</v>
      </c>
      <c r="C186" s="7" t="s">
        <v>97</v>
      </c>
      <c r="D186" s="8" t="s">
        <v>550</v>
      </c>
      <c r="E186" s="8">
        <v>0.28799999999999998</v>
      </c>
      <c r="F186" s="36" t="s">
        <v>1052</v>
      </c>
      <c r="G186" s="57">
        <v>0.28799999999999998</v>
      </c>
      <c r="H186" s="7"/>
      <c r="I186" s="7"/>
      <c r="J186" s="7"/>
      <c r="K186" s="7"/>
      <c r="L186" s="7"/>
      <c r="M186" s="7"/>
      <c r="N186" s="7" t="s">
        <v>689</v>
      </c>
      <c r="O186" s="7"/>
    </row>
    <row r="187" spans="1:15" s="2" customFormat="1" ht="28.8" x14ac:dyDescent="0.3">
      <c r="A187" s="4"/>
      <c r="B187" s="4"/>
      <c r="C187" s="4" t="s">
        <v>98</v>
      </c>
      <c r="D187" s="6"/>
      <c r="E187" s="6"/>
      <c r="F187" s="36"/>
      <c r="G187" s="41"/>
      <c r="H187" s="4"/>
      <c r="I187" s="4"/>
      <c r="J187" s="4"/>
      <c r="K187" s="4"/>
      <c r="L187" s="4"/>
      <c r="M187" s="4"/>
      <c r="N187" s="4"/>
      <c r="O187" s="4"/>
    </row>
    <row r="188" spans="1:15" ht="43.2" outlineLevel="1" x14ac:dyDescent="0.3">
      <c r="A188" s="7">
        <v>135</v>
      </c>
      <c r="B188" s="7">
        <v>135</v>
      </c>
      <c r="C188" s="7" t="s">
        <v>99</v>
      </c>
      <c r="D188" s="8" t="s">
        <v>550</v>
      </c>
      <c r="E188" s="8">
        <v>1.399</v>
      </c>
      <c r="F188" s="36" t="s">
        <v>1052</v>
      </c>
      <c r="G188" s="57">
        <v>1.399</v>
      </c>
      <c r="H188" s="7"/>
      <c r="I188" s="7"/>
      <c r="J188" s="7"/>
      <c r="K188" s="7"/>
      <c r="L188" s="7"/>
      <c r="M188" s="7"/>
      <c r="N188" s="7" t="s">
        <v>690</v>
      </c>
      <c r="O188" s="7"/>
    </row>
    <row r="189" spans="1:15" ht="28.8" outlineLevel="1" x14ac:dyDescent="0.3">
      <c r="A189" s="7">
        <v>136</v>
      </c>
      <c r="B189" s="7">
        <v>136</v>
      </c>
      <c r="C189" s="7" t="s">
        <v>100</v>
      </c>
      <c r="D189" s="8" t="s">
        <v>550</v>
      </c>
      <c r="E189" s="8">
        <v>0.49299999999999999</v>
      </c>
      <c r="F189" s="36" t="s">
        <v>1052</v>
      </c>
      <c r="G189" s="57">
        <v>0.49299999999999999</v>
      </c>
      <c r="H189" s="7"/>
      <c r="I189" s="7"/>
      <c r="J189" s="7"/>
      <c r="K189" s="7"/>
      <c r="L189" s="7"/>
      <c r="M189" s="7"/>
      <c r="N189" s="7" t="s">
        <v>691</v>
      </c>
      <c r="O189" s="7"/>
    </row>
    <row r="190" spans="1:15" ht="28.8" outlineLevel="1" x14ac:dyDescent="0.3">
      <c r="A190" s="7">
        <v>137</v>
      </c>
      <c r="B190" s="7">
        <v>137</v>
      </c>
      <c r="C190" s="7" t="s">
        <v>101</v>
      </c>
      <c r="D190" s="8" t="s">
        <v>550</v>
      </c>
      <c r="E190" s="8">
        <v>1.208</v>
      </c>
      <c r="F190" s="36" t="s">
        <v>1052</v>
      </c>
      <c r="G190" s="57">
        <v>1.208</v>
      </c>
      <c r="H190" s="7"/>
      <c r="I190" s="7"/>
      <c r="J190" s="7"/>
      <c r="K190" s="7"/>
      <c r="L190" s="7"/>
      <c r="M190" s="7"/>
      <c r="N190" s="7" t="s">
        <v>692</v>
      </c>
      <c r="O190" s="7"/>
    </row>
    <row r="191" spans="1:15" ht="28.8" outlineLevel="1" x14ac:dyDescent="0.3">
      <c r="A191" s="7">
        <v>138</v>
      </c>
      <c r="B191" s="7">
        <v>138</v>
      </c>
      <c r="C191" s="7" t="s">
        <v>102</v>
      </c>
      <c r="D191" s="8" t="s">
        <v>550</v>
      </c>
      <c r="E191" s="8">
        <v>0.55800000000000005</v>
      </c>
      <c r="F191" s="36" t="s">
        <v>1052</v>
      </c>
      <c r="G191" s="57">
        <v>0.55800000000000005</v>
      </c>
      <c r="H191" s="7"/>
      <c r="I191" s="7"/>
      <c r="J191" s="7"/>
      <c r="K191" s="7"/>
      <c r="L191" s="7"/>
      <c r="M191" s="7"/>
      <c r="N191" s="7" t="s">
        <v>693</v>
      </c>
      <c r="O191" s="7"/>
    </row>
    <row r="192" spans="1:15" ht="28.8" outlineLevel="1" x14ac:dyDescent="0.3">
      <c r="A192" s="7">
        <v>139</v>
      </c>
      <c r="B192" s="7">
        <v>139</v>
      </c>
      <c r="C192" s="7" t="s">
        <v>103</v>
      </c>
      <c r="D192" s="8" t="s">
        <v>549</v>
      </c>
      <c r="E192" s="8">
        <v>21.87</v>
      </c>
      <c r="F192" s="36" t="s">
        <v>1052</v>
      </c>
      <c r="G192" s="57">
        <f>21.87/1000</f>
        <v>2.1870000000000001E-2</v>
      </c>
      <c r="H192" s="7"/>
      <c r="I192" s="7"/>
      <c r="J192" s="7"/>
      <c r="K192" s="7"/>
      <c r="L192" s="7"/>
      <c r="M192" s="7"/>
      <c r="N192" s="7" t="s">
        <v>694</v>
      </c>
      <c r="O192" s="7"/>
    </row>
    <row r="193" spans="1:15" ht="28.8" outlineLevel="1" x14ac:dyDescent="0.3">
      <c r="A193" s="7">
        <v>140</v>
      </c>
      <c r="B193" s="7">
        <v>140</v>
      </c>
      <c r="C193" s="7" t="s">
        <v>104</v>
      </c>
      <c r="D193" s="8" t="s">
        <v>550</v>
      </c>
      <c r="E193" s="8">
        <v>0.27900000000000003</v>
      </c>
      <c r="F193" s="36" t="s">
        <v>1052</v>
      </c>
      <c r="G193" s="57">
        <v>0.27900000000000003</v>
      </c>
      <c r="H193" s="7"/>
      <c r="I193" s="7"/>
      <c r="J193" s="7"/>
      <c r="K193" s="7"/>
      <c r="L193" s="7"/>
      <c r="M193" s="7"/>
      <c r="N193" s="7" t="s">
        <v>695</v>
      </c>
      <c r="O193" s="7"/>
    </row>
    <row r="194" spans="1:15" ht="43.2" outlineLevel="1" x14ac:dyDescent="0.3">
      <c r="A194" s="7">
        <v>141</v>
      </c>
      <c r="B194" s="7">
        <v>141</v>
      </c>
      <c r="C194" s="7" t="s">
        <v>105</v>
      </c>
      <c r="D194" s="8" t="s">
        <v>550</v>
      </c>
      <c r="E194" s="8">
        <v>0.98599999999999999</v>
      </c>
      <c r="F194" s="36" t="s">
        <v>1052</v>
      </c>
      <c r="G194" s="57">
        <v>0.98599999999999999</v>
      </c>
      <c r="H194" s="7"/>
      <c r="I194" s="7"/>
      <c r="J194" s="7"/>
      <c r="K194" s="7"/>
      <c r="L194" s="7"/>
      <c r="M194" s="7"/>
      <c r="N194" s="7" t="s">
        <v>696</v>
      </c>
      <c r="O194" s="7"/>
    </row>
    <row r="195" spans="1:15" ht="43.2" outlineLevel="1" x14ac:dyDescent="0.3">
      <c r="A195" s="7">
        <v>142</v>
      </c>
      <c r="B195" s="7">
        <v>142</v>
      </c>
      <c r="C195" s="7" t="s">
        <v>106</v>
      </c>
      <c r="D195" s="8" t="s">
        <v>550</v>
      </c>
      <c r="E195" s="8">
        <v>0.53100000000000003</v>
      </c>
      <c r="F195" s="36" t="s">
        <v>1052</v>
      </c>
      <c r="G195" s="57">
        <v>0.53100000000000003</v>
      </c>
      <c r="H195" s="7"/>
      <c r="I195" s="7"/>
      <c r="J195" s="7"/>
      <c r="K195" s="7"/>
      <c r="L195" s="7"/>
      <c r="M195" s="7"/>
      <c r="N195" s="7" t="s">
        <v>697</v>
      </c>
      <c r="O195" s="7"/>
    </row>
    <row r="196" spans="1:15" ht="43.2" outlineLevel="1" x14ac:dyDescent="0.3">
      <c r="A196" s="7">
        <v>143</v>
      </c>
      <c r="B196" s="7">
        <v>143</v>
      </c>
      <c r="C196" s="7" t="s">
        <v>107</v>
      </c>
      <c r="D196" s="8" t="s">
        <v>550</v>
      </c>
      <c r="E196" s="8">
        <v>0.32</v>
      </c>
      <c r="F196" s="36" t="s">
        <v>1052</v>
      </c>
      <c r="G196" s="57">
        <v>0.32</v>
      </c>
      <c r="H196" s="7"/>
      <c r="I196" s="7"/>
      <c r="J196" s="7"/>
      <c r="K196" s="7"/>
      <c r="L196" s="7"/>
      <c r="M196" s="7"/>
      <c r="N196" s="7" t="s">
        <v>698</v>
      </c>
      <c r="O196" s="7"/>
    </row>
    <row r="197" spans="1:15" ht="43.2" outlineLevel="1" x14ac:dyDescent="0.3">
      <c r="A197" s="7">
        <v>144</v>
      </c>
      <c r="B197" s="7">
        <v>144</v>
      </c>
      <c r="C197" s="7" t="s">
        <v>108</v>
      </c>
      <c r="D197" s="8" t="s">
        <v>549</v>
      </c>
      <c r="E197" s="8">
        <v>123</v>
      </c>
      <c r="F197" s="36" t="s">
        <v>1052</v>
      </c>
      <c r="G197" s="57">
        <f>123/1000</f>
        <v>0.123</v>
      </c>
      <c r="H197" s="7"/>
      <c r="I197" s="7"/>
      <c r="J197" s="7"/>
      <c r="K197" s="7"/>
      <c r="L197" s="7"/>
      <c r="M197" s="7"/>
      <c r="N197" s="7" t="s">
        <v>699</v>
      </c>
      <c r="O197" s="7"/>
    </row>
    <row r="198" spans="1:15" ht="43.2" outlineLevel="1" x14ac:dyDescent="0.3">
      <c r="A198" s="7">
        <v>145</v>
      </c>
      <c r="B198" s="7">
        <v>145</v>
      </c>
      <c r="C198" s="7" t="s">
        <v>109</v>
      </c>
      <c r="D198" s="8" t="s">
        <v>550</v>
      </c>
      <c r="E198" s="8">
        <v>0.55900000000000005</v>
      </c>
      <c r="F198" s="36" t="s">
        <v>1052</v>
      </c>
      <c r="G198" s="57">
        <v>0.55900000000000005</v>
      </c>
      <c r="H198" s="7"/>
      <c r="I198" s="7"/>
      <c r="J198" s="7"/>
      <c r="K198" s="7"/>
      <c r="L198" s="7"/>
      <c r="M198" s="7"/>
      <c r="N198" s="7" t="s">
        <v>700</v>
      </c>
      <c r="O198" s="7"/>
    </row>
    <row r="199" spans="1:15" ht="28.8" outlineLevel="1" x14ac:dyDescent="0.3">
      <c r="A199" s="7">
        <v>146</v>
      </c>
      <c r="B199" s="7">
        <v>146</v>
      </c>
      <c r="C199" s="7" t="s">
        <v>110</v>
      </c>
      <c r="D199" s="8" t="s">
        <v>550</v>
      </c>
      <c r="E199" s="8">
        <v>2.3109999999999999</v>
      </c>
      <c r="F199" s="36" t="s">
        <v>1052</v>
      </c>
      <c r="G199" s="57">
        <v>2.3109999999999999</v>
      </c>
      <c r="H199" s="7"/>
      <c r="I199" s="7"/>
      <c r="J199" s="7"/>
      <c r="K199" s="7"/>
      <c r="L199" s="7"/>
      <c r="M199" s="7"/>
      <c r="N199" s="7" t="s">
        <v>701</v>
      </c>
      <c r="O199" s="7"/>
    </row>
    <row r="200" spans="1:15" ht="28.8" outlineLevel="1" x14ac:dyDescent="0.3">
      <c r="A200" s="7">
        <v>147</v>
      </c>
      <c r="B200" s="7">
        <v>147</v>
      </c>
      <c r="C200" s="7" t="s">
        <v>111</v>
      </c>
      <c r="D200" s="8" t="s">
        <v>549</v>
      </c>
      <c r="E200" s="8">
        <v>88.11</v>
      </c>
      <c r="F200" s="36" t="s">
        <v>1052</v>
      </c>
      <c r="G200" s="57">
        <f>88.11/1000</f>
        <v>8.8109999999999994E-2</v>
      </c>
      <c r="H200" s="7"/>
      <c r="I200" s="7"/>
      <c r="J200" s="7"/>
      <c r="K200" s="7"/>
      <c r="L200" s="7"/>
      <c r="M200" s="7"/>
      <c r="N200" s="7" t="s">
        <v>702</v>
      </c>
      <c r="O200" s="7"/>
    </row>
    <row r="201" spans="1:15" ht="43.2" outlineLevel="1" x14ac:dyDescent="0.3">
      <c r="A201" s="7">
        <v>148</v>
      </c>
      <c r="B201" s="7">
        <v>148</v>
      </c>
      <c r="C201" s="7" t="s">
        <v>112</v>
      </c>
      <c r="D201" s="8" t="s">
        <v>550</v>
      </c>
      <c r="E201" s="8">
        <v>0.68899999999999995</v>
      </c>
      <c r="F201" s="36" t="s">
        <v>1052</v>
      </c>
      <c r="G201" s="57">
        <v>0.68899999999999995</v>
      </c>
      <c r="H201" s="7"/>
      <c r="I201" s="7"/>
      <c r="J201" s="7"/>
      <c r="K201" s="7"/>
      <c r="L201" s="7"/>
      <c r="M201" s="7"/>
      <c r="N201" s="7" t="s">
        <v>703</v>
      </c>
      <c r="O201" s="7"/>
    </row>
    <row r="202" spans="1:15" ht="43.2" outlineLevel="1" x14ac:dyDescent="0.3">
      <c r="A202" s="7">
        <v>149</v>
      </c>
      <c r="B202" s="7">
        <v>149</v>
      </c>
      <c r="C202" s="7" t="s">
        <v>113</v>
      </c>
      <c r="D202" s="8" t="s">
        <v>549</v>
      </c>
      <c r="E202" s="8">
        <v>342.11</v>
      </c>
      <c r="F202" s="36" t="s">
        <v>1052</v>
      </c>
      <c r="G202" s="57">
        <f>342.11/1000</f>
        <v>0.34211000000000003</v>
      </c>
      <c r="H202" s="7"/>
      <c r="I202" s="7"/>
      <c r="J202" s="7"/>
      <c r="K202" s="7"/>
      <c r="L202" s="7"/>
      <c r="M202" s="7"/>
      <c r="N202" s="7" t="s">
        <v>704</v>
      </c>
      <c r="O202" s="7"/>
    </row>
    <row r="203" spans="1:15" ht="43.2" outlineLevel="1" x14ac:dyDescent="0.3">
      <c r="A203" s="7">
        <v>150</v>
      </c>
      <c r="B203" s="7">
        <v>150</v>
      </c>
      <c r="C203" s="7" t="s">
        <v>114</v>
      </c>
      <c r="D203" s="8" t="s">
        <v>549</v>
      </c>
      <c r="E203" s="8">
        <v>356.85</v>
      </c>
      <c r="F203" s="36" t="s">
        <v>1052</v>
      </c>
      <c r="G203" s="57">
        <f>356.85/1000</f>
        <v>0.35685</v>
      </c>
      <c r="H203" s="7"/>
      <c r="I203" s="7"/>
      <c r="J203" s="7"/>
      <c r="K203" s="7"/>
      <c r="L203" s="7"/>
      <c r="M203" s="7"/>
      <c r="N203" s="7" t="s">
        <v>705</v>
      </c>
      <c r="O203" s="7"/>
    </row>
    <row r="204" spans="1:15" ht="43.2" outlineLevel="1" x14ac:dyDescent="0.3">
      <c r="A204" s="7">
        <v>151</v>
      </c>
      <c r="B204" s="7">
        <v>151</v>
      </c>
      <c r="C204" s="7" t="s">
        <v>115</v>
      </c>
      <c r="D204" s="8" t="s">
        <v>549</v>
      </c>
      <c r="E204" s="8">
        <v>205.84</v>
      </c>
      <c r="F204" s="36" t="s">
        <v>1052</v>
      </c>
      <c r="G204" s="57">
        <f>205.84/1000</f>
        <v>0.20584</v>
      </c>
      <c r="H204" s="7"/>
      <c r="I204" s="7"/>
      <c r="J204" s="7"/>
      <c r="K204" s="7"/>
      <c r="L204" s="7"/>
      <c r="M204" s="7"/>
      <c r="N204" s="7" t="s">
        <v>706</v>
      </c>
      <c r="O204" s="7"/>
    </row>
    <row r="205" spans="1:15" ht="28.8" outlineLevel="1" x14ac:dyDescent="0.3">
      <c r="A205" s="7">
        <v>152</v>
      </c>
      <c r="B205" s="7">
        <v>152</v>
      </c>
      <c r="C205" s="7" t="s">
        <v>116</v>
      </c>
      <c r="D205" s="8" t="s">
        <v>549</v>
      </c>
      <c r="E205" s="8">
        <v>34.31</v>
      </c>
      <c r="F205" s="36" t="s">
        <v>1052</v>
      </c>
      <c r="G205" s="57">
        <f>34.31/1000</f>
        <v>3.431E-2</v>
      </c>
      <c r="H205" s="7"/>
      <c r="I205" s="7"/>
      <c r="J205" s="7"/>
      <c r="K205" s="7"/>
      <c r="L205" s="7"/>
      <c r="M205" s="7"/>
      <c r="N205" s="7" t="s">
        <v>707</v>
      </c>
      <c r="O205" s="7"/>
    </row>
    <row r="206" spans="1:15" ht="43.2" outlineLevel="1" x14ac:dyDescent="0.3">
      <c r="A206" s="7">
        <v>153</v>
      </c>
      <c r="B206" s="7">
        <v>153</v>
      </c>
      <c r="C206" s="7" t="s">
        <v>117</v>
      </c>
      <c r="D206" s="8" t="s">
        <v>549</v>
      </c>
      <c r="E206" s="8">
        <v>274.02999999999997</v>
      </c>
      <c r="F206" s="36" t="s">
        <v>1052</v>
      </c>
      <c r="G206" s="57">
        <f>274.03/1000</f>
        <v>0.27403</v>
      </c>
      <c r="H206" s="7"/>
      <c r="I206" s="7"/>
      <c r="J206" s="7"/>
      <c r="K206" s="7"/>
      <c r="L206" s="7"/>
      <c r="M206" s="7"/>
      <c r="N206" s="7" t="s">
        <v>708</v>
      </c>
      <c r="O206" s="7"/>
    </row>
    <row r="207" spans="1:15" ht="43.2" outlineLevel="1" x14ac:dyDescent="0.3">
      <c r="A207" s="7">
        <v>154</v>
      </c>
      <c r="B207" s="7">
        <v>154</v>
      </c>
      <c r="C207" s="7" t="s">
        <v>118</v>
      </c>
      <c r="D207" s="8" t="s">
        <v>549</v>
      </c>
      <c r="E207" s="8">
        <v>184.44</v>
      </c>
      <c r="F207" s="36" t="s">
        <v>1052</v>
      </c>
      <c r="G207" s="57">
        <v>0.18443999999999999</v>
      </c>
      <c r="H207" s="7"/>
      <c r="I207" s="7"/>
      <c r="J207" s="7"/>
      <c r="K207" s="7"/>
      <c r="L207" s="7"/>
      <c r="M207" s="7"/>
      <c r="N207" s="7" t="s">
        <v>709</v>
      </c>
      <c r="O207" s="7"/>
    </row>
    <row r="208" spans="1:15" s="2" customFormat="1" ht="28.8" x14ac:dyDescent="0.3">
      <c r="A208" s="4"/>
      <c r="B208" s="4"/>
      <c r="C208" s="4" t="s">
        <v>119</v>
      </c>
      <c r="D208" s="6"/>
      <c r="E208" s="6"/>
      <c r="F208" s="36"/>
      <c r="G208" s="41"/>
      <c r="H208" s="4"/>
      <c r="I208" s="4"/>
      <c r="J208" s="4"/>
      <c r="K208" s="4"/>
      <c r="L208" s="4"/>
      <c r="M208" s="4"/>
      <c r="N208" s="4"/>
      <c r="O208" s="4"/>
    </row>
    <row r="209" spans="1:15" ht="57.6" outlineLevel="1" x14ac:dyDescent="0.3">
      <c r="A209" s="7">
        <v>155</v>
      </c>
      <c r="B209" s="7">
        <v>155</v>
      </c>
      <c r="C209" s="7" t="s">
        <v>120</v>
      </c>
      <c r="D209" s="8" t="s">
        <v>550</v>
      </c>
      <c r="E209" s="8">
        <v>1.4450000000000001</v>
      </c>
      <c r="F209" s="36" t="s">
        <v>1052</v>
      </c>
      <c r="G209" s="41">
        <f>SUM(G210:G211)/1000</f>
        <v>1.4453600000000002</v>
      </c>
      <c r="H209" s="7"/>
      <c r="I209" s="7"/>
      <c r="J209" s="7"/>
      <c r="K209" s="7"/>
      <c r="L209" s="7"/>
      <c r="M209" s="7"/>
      <c r="N209" s="7" t="s">
        <v>710</v>
      </c>
      <c r="O209" s="7"/>
    </row>
    <row r="210" spans="1:15" outlineLevel="1" x14ac:dyDescent="0.3">
      <c r="A210" s="7"/>
      <c r="B210" s="7"/>
      <c r="C210" s="22" t="s">
        <v>1089</v>
      </c>
      <c r="D210" s="8"/>
      <c r="E210" s="8"/>
      <c r="F210" s="36" t="s">
        <v>549</v>
      </c>
      <c r="G210" s="41">
        <v>1425.48</v>
      </c>
      <c r="H210" s="7"/>
      <c r="I210" s="7"/>
      <c r="J210" s="7"/>
      <c r="K210" s="7"/>
      <c r="L210" s="7"/>
      <c r="M210" s="7"/>
      <c r="N210" s="7"/>
      <c r="O210" s="7"/>
    </row>
    <row r="211" spans="1:15" outlineLevel="1" x14ac:dyDescent="0.3">
      <c r="A211" s="7"/>
      <c r="B211" s="7"/>
      <c r="C211" s="22" t="s">
        <v>1090</v>
      </c>
      <c r="D211" s="8"/>
      <c r="E211" s="8"/>
      <c r="F211" s="36" t="s">
        <v>549</v>
      </c>
      <c r="G211" s="41">
        <v>19.88</v>
      </c>
      <c r="H211" s="7"/>
      <c r="I211" s="7"/>
      <c r="J211" s="7"/>
      <c r="K211" s="7"/>
      <c r="L211" s="7"/>
      <c r="M211" s="7"/>
      <c r="N211" s="7"/>
      <c r="O211" s="7"/>
    </row>
    <row r="212" spans="1:15" ht="117.6" customHeight="1" outlineLevel="1" x14ac:dyDescent="0.3">
      <c r="A212" s="7">
        <v>156</v>
      </c>
      <c r="B212" s="7">
        <v>156</v>
      </c>
      <c r="C212" s="7" t="s">
        <v>121</v>
      </c>
      <c r="D212" s="8" t="s">
        <v>550</v>
      </c>
      <c r="E212" s="8">
        <v>3.0880000000000001</v>
      </c>
      <c r="F212" s="36" t="s">
        <v>1052</v>
      </c>
      <c r="G212" s="59">
        <f>SUM(G213:G215)/1000</f>
        <v>3.0880000000000001</v>
      </c>
      <c r="H212" s="7"/>
      <c r="I212" s="7"/>
      <c r="J212" s="7"/>
      <c r="K212" s="7"/>
      <c r="L212" s="7"/>
      <c r="M212" s="7"/>
      <c r="N212" s="7" t="s">
        <v>1091</v>
      </c>
      <c r="O212" s="7"/>
    </row>
    <row r="213" spans="1:15" outlineLevel="1" x14ac:dyDescent="0.3">
      <c r="A213" s="7"/>
      <c r="B213" s="7"/>
      <c r="C213" s="22" t="s">
        <v>1092</v>
      </c>
      <c r="D213" s="7"/>
      <c r="E213" s="7"/>
      <c r="F213" s="36" t="s">
        <v>549</v>
      </c>
      <c r="G213" s="60">
        <v>2690</v>
      </c>
      <c r="H213" s="7"/>
      <c r="I213" s="7"/>
      <c r="J213" s="7"/>
      <c r="K213" s="7"/>
      <c r="L213" s="7"/>
      <c r="M213" s="7"/>
      <c r="N213" s="7"/>
      <c r="O213" s="7"/>
    </row>
    <row r="214" spans="1:15" outlineLevel="1" x14ac:dyDescent="0.3">
      <c r="A214" s="7"/>
      <c r="B214" s="7"/>
      <c r="C214" s="22" t="s">
        <v>1093</v>
      </c>
      <c r="D214" s="7"/>
      <c r="E214" s="7"/>
      <c r="F214" s="36" t="s">
        <v>549</v>
      </c>
      <c r="G214" s="61">
        <v>35.5</v>
      </c>
      <c r="H214" s="7"/>
      <c r="I214" s="7"/>
      <c r="J214" s="7"/>
      <c r="K214" s="7"/>
      <c r="L214" s="7"/>
      <c r="M214" s="7"/>
      <c r="N214" s="7"/>
      <c r="O214" s="7"/>
    </row>
    <row r="215" spans="1:15" ht="20.399999999999999" customHeight="1" outlineLevel="1" x14ac:dyDescent="0.3">
      <c r="A215" s="7"/>
      <c r="B215" s="7"/>
      <c r="C215" s="22" t="s">
        <v>1094</v>
      </c>
      <c r="D215" s="7"/>
      <c r="E215" s="7"/>
      <c r="F215" s="36" t="s">
        <v>549</v>
      </c>
      <c r="G215" s="61">
        <v>362.5</v>
      </c>
      <c r="H215" s="24"/>
      <c r="I215" s="24"/>
      <c r="J215" s="24"/>
      <c r="K215" s="24"/>
      <c r="L215" s="24"/>
      <c r="M215" s="24"/>
      <c r="N215" s="24"/>
      <c r="O215" s="7"/>
    </row>
    <row r="216" spans="1:15" ht="17.399999999999999" customHeight="1" outlineLevel="1" x14ac:dyDescent="0.3">
      <c r="A216" s="7"/>
      <c r="B216" s="7"/>
      <c r="C216" s="22" t="s">
        <v>1095</v>
      </c>
      <c r="D216" s="7"/>
      <c r="E216" s="7"/>
      <c r="F216" s="36" t="s">
        <v>549</v>
      </c>
      <c r="G216" s="61">
        <v>45.5</v>
      </c>
      <c r="H216" s="7"/>
      <c r="I216" s="7"/>
      <c r="J216" s="7"/>
      <c r="K216" s="7"/>
      <c r="L216" s="7"/>
      <c r="M216" s="7"/>
      <c r="N216" s="7"/>
      <c r="O216" s="7"/>
    </row>
    <row r="217" spans="1:15" ht="17.399999999999999" customHeight="1" outlineLevel="1" x14ac:dyDescent="0.3">
      <c r="A217" s="7"/>
      <c r="B217" s="7"/>
      <c r="C217" s="22" t="s">
        <v>1096</v>
      </c>
      <c r="D217" s="7"/>
      <c r="E217" s="7"/>
      <c r="F217" s="36" t="s">
        <v>549</v>
      </c>
      <c r="G217" s="61">
        <v>28.5</v>
      </c>
      <c r="H217" s="7"/>
      <c r="I217" s="7"/>
      <c r="J217" s="7"/>
      <c r="K217" s="7"/>
      <c r="L217" s="7"/>
      <c r="M217" s="7"/>
      <c r="N217" s="7"/>
      <c r="O217" s="7"/>
    </row>
    <row r="218" spans="1:15" ht="17.399999999999999" customHeight="1" outlineLevel="1" x14ac:dyDescent="0.3">
      <c r="A218" s="7"/>
      <c r="B218" s="7"/>
      <c r="C218" s="22" t="s">
        <v>1097</v>
      </c>
      <c r="D218" s="7"/>
      <c r="E218" s="7"/>
      <c r="F218" s="36" t="s">
        <v>549</v>
      </c>
      <c r="G218" s="61">
        <v>7</v>
      </c>
      <c r="H218" s="7"/>
      <c r="I218" s="7"/>
      <c r="J218" s="7"/>
      <c r="K218" s="7"/>
      <c r="L218" s="7"/>
      <c r="M218" s="7"/>
      <c r="N218" s="7"/>
      <c r="O218" s="7"/>
    </row>
    <row r="219" spans="1:15" ht="129.6" outlineLevel="1" x14ac:dyDescent="0.3">
      <c r="A219" s="7">
        <v>157</v>
      </c>
      <c r="B219" s="7">
        <v>157</v>
      </c>
      <c r="C219" s="7" t="s">
        <v>122</v>
      </c>
      <c r="D219" s="8" t="s">
        <v>550</v>
      </c>
      <c r="E219" s="8">
        <v>0.69599999999999995</v>
      </c>
      <c r="F219" s="36" t="s">
        <v>1052</v>
      </c>
      <c r="G219" s="59">
        <f>SUM(G220:G222)/1000</f>
        <v>0.69623999999999997</v>
      </c>
      <c r="H219" s="7"/>
      <c r="I219" s="7"/>
      <c r="J219" s="7"/>
      <c r="K219" s="7"/>
      <c r="L219" s="7"/>
      <c r="M219" s="7"/>
      <c r="N219" s="7" t="s">
        <v>711</v>
      </c>
      <c r="O219" s="7"/>
    </row>
    <row r="220" spans="1:15" ht="17.399999999999999" customHeight="1" outlineLevel="1" x14ac:dyDescent="0.3">
      <c r="A220" s="7"/>
      <c r="B220" s="7"/>
      <c r="C220" s="22" t="s">
        <v>1098</v>
      </c>
      <c r="D220" s="8"/>
      <c r="E220" s="8"/>
      <c r="F220" s="36" t="s">
        <v>549</v>
      </c>
      <c r="G220" s="61">
        <v>606.36</v>
      </c>
      <c r="H220" s="7"/>
      <c r="I220" s="7"/>
      <c r="J220" s="7"/>
      <c r="K220" s="7"/>
      <c r="L220" s="7"/>
      <c r="M220" s="7"/>
      <c r="N220" s="7"/>
      <c r="O220" s="7"/>
    </row>
    <row r="221" spans="1:15" ht="17.399999999999999" customHeight="1" outlineLevel="1" x14ac:dyDescent="0.3">
      <c r="A221" s="7"/>
      <c r="B221" s="7"/>
      <c r="C221" s="22" t="s">
        <v>1093</v>
      </c>
      <c r="D221" s="8"/>
      <c r="E221" s="8"/>
      <c r="F221" s="36" t="s">
        <v>549</v>
      </c>
      <c r="G221" s="61">
        <v>8.52</v>
      </c>
      <c r="H221" s="7"/>
      <c r="I221" s="7"/>
      <c r="J221" s="7"/>
      <c r="K221" s="7"/>
      <c r="L221" s="7"/>
      <c r="M221" s="7"/>
      <c r="N221" s="7"/>
      <c r="O221" s="7"/>
    </row>
    <row r="222" spans="1:15" ht="17.399999999999999" customHeight="1" outlineLevel="1" x14ac:dyDescent="0.3">
      <c r="A222" s="7"/>
      <c r="B222" s="7"/>
      <c r="C222" s="22" t="s">
        <v>1099</v>
      </c>
      <c r="D222" s="7"/>
      <c r="E222" s="7"/>
      <c r="F222" s="36" t="s">
        <v>549</v>
      </c>
      <c r="G222" s="61">
        <v>81.36</v>
      </c>
      <c r="H222" s="7"/>
      <c r="I222" s="7"/>
      <c r="J222" s="7"/>
      <c r="K222" s="7"/>
      <c r="L222" s="7"/>
      <c r="M222" s="7"/>
      <c r="N222" s="7"/>
      <c r="O222" s="7"/>
    </row>
    <row r="223" spans="1:15" ht="17.399999999999999" customHeight="1" outlineLevel="1" x14ac:dyDescent="0.3">
      <c r="A223" s="7"/>
      <c r="B223" s="7"/>
      <c r="C223" s="22" t="s">
        <v>1095</v>
      </c>
      <c r="D223" s="7"/>
      <c r="E223" s="7"/>
      <c r="F223" s="36" t="s">
        <v>549</v>
      </c>
      <c r="G223" s="61">
        <v>11.52</v>
      </c>
      <c r="H223" s="7"/>
      <c r="I223" s="7"/>
      <c r="J223" s="7"/>
      <c r="K223" s="7"/>
      <c r="L223" s="7"/>
      <c r="M223" s="7"/>
      <c r="N223" s="7"/>
      <c r="O223" s="7"/>
    </row>
    <row r="224" spans="1:15" ht="17.399999999999999" customHeight="1" outlineLevel="1" x14ac:dyDescent="0.3">
      <c r="A224" s="7"/>
      <c r="B224" s="7"/>
      <c r="C224" s="22" t="s">
        <v>1096</v>
      </c>
      <c r="D224" s="7"/>
      <c r="E224" s="7"/>
      <c r="F224" s="36" t="s">
        <v>549</v>
      </c>
      <c r="G224" s="61">
        <v>6.84</v>
      </c>
      <c r="H224" s="7"/>
      <c r="I224" s="7"/>
      <c r="J224" s="7"/>
      <c r="K224" s="7"/>
      <c r="L224" s="7"/>
      <c r="M224" s="7"/>
      <c r="N224" s="7"/>
      <c r="O224" s="7"/>
    </row>
    <row r="225" spans="1:15" ht="17.399999999999999" customHeight="1" outlineLevel="1" x14ac:dyDescent="0.3">
      <c r="A225" s="7"/>
      <c r="B225" s="7"/>
      <c r="C225" s="22" t="s">
        <v>1097</v>
      </c>
      <c r="D225" s="7"/>
      <c r="E225" s="7"/>
      <c r="F225" s="36" t="s">
        <v>549</v>
      </c>
      <c r="G225" s="61">
        <v>1.68</v>
      </c>
      <c r="H225" s="7"/>
      <c r="I225" s="7"/>
      <c r="J225" s="7"/>
      <c r="K225" s="7"/>
      <c r="L225" s="7"/>
      <c r="M225" s="7"/>
      <c r="N225" s="7"/>
      <c r="O225" s="7"/>
    </row>
    <row r="226" spans="1:15" ht="128.4" customHeight="1" outlineLevel="1" x14ac:dyDescent="0.3">
      <c r="A226" s="7">
        <v>158</v>
      </c>
      <c r="B226" s="7">
        <v>158</v>
      </c>
      <c r="C226" s="7" t="s">
        <v>123</v>
      </c>
      <c r="D226" s="8" t="s">
        <v>550</v>
      </c>
      <c r="E226" s="8">
        <v>3.7080000000000002</v>
      </c>
      <c r="F226" s="36" t="s">
        <v>1052</v>
      </c>
      <c r="G226" s="59">
        <f>SUM(G227:G229)/1000</f>
        <v>3.7086000000000001</v>
      </c>
      <c r="H226" s="7"/>
      <c r="I226" s="7"/>
      <c r="J226" s="7"/>
      <c r="K226" s="7"/>
      <c r="L226" s="7"/>
      <c r="M226" s="7"/>
      <c r="N226" s="7" t="s">
        <v>712</v>
      </c>
      <c r="O226" s="7"/>
    </row>
    <row r="227" spans="1:15" ht="17.399999999999999" customHeight="1" outlineLevel="1" x14ac:dyDescent="0.3">
      <c r="A227" s="7"/>
      <c r="B227" s="7"/>
      <c r="C227" s="22" t="s">
        <v>1100</v>
      </c>
      <c r="D227" s="8"/>
      <c r="E227" s="8"/>
      <c r="F227" s="36" t="s">
        <v>549</v>
      </c>
      <c r="G227" s="62">
        <v>3228</v>
      </c>
      <c r="H227" s="7"/>
      <c r="I227" s="7"/>
      <c r="J227" s="7"/>
      <c r="K227" s="7"/>
      <c r="L227" s="7"/>
      <c r="M227" s="7"/>
      <c r="N227" s="7"/>
      <c r="O227" s="7"/>
    </row>
    <row r="228" spans="1:15" ht="17.399999999999999" customHeight="1" outlineLevel="1" x14ac:dyDescent="0.3">
      <c r="A228" s="7"/>
      <c r="B228" s="7"/>
      <c r="C228" s="22" t="s">
        <v>1093</v>
      </c>
      <c r="D228" s="8"/>
      <c r="E228" s="8"/>
      <c r="F228" s="36" t="s">
        <v>549</v>
      </c>
      <c r="G228" s="61">
        <v>42.6</v>
      </c>
      <c r="H228" s="7"/>
      <c r="I228" s="7"/>
      <c r="J228" s="7"/>
      <c r="K228" s="7"/>
      <c r="L228" s="7"/>
      <c r="M228" s="7"/>
      <c r="N228" s="7"/>
      <c r="O228" s="7"/>
    </row>
    <row r="229" spans="1:15" ht="17.399999999999999" customHeight="1" outlineLevel="1" x14ac:dyDescent="0.3">
      <c r="A229" s="7"/>
      <c r="B229" s="7"/>
      <c r="C229" s="22" t="s">
        <v>1094</v>
      </c>
      <c r="D229" s="8"/>
      <c r="E229" s="8"/>
      <c r="F229" s="36" t="s">
        <v>549</v>
      </c>
      <c r="G229" s="61">
        <v>438</v>
      </c>
      <c r="H229" s="7"/>
      <c r="I229" s="7"/>
      <c r="J229" s="7"/>
      <c r="K229" s="7"/>
      <c r="L229" s="7"/>
      <c r="M229" s="7"/>
      <c r="N229" s="7"/>
      <c r="O229" s="7"/>
    </row>
    <row r="230" spans="1:15" ht="17.399999999999999" customHeight="1" outlineLevel="1" x14ac:dyDescent="0.3">
      <c r="A230" s="7"/>
      <c r="B230" s="7"/>
      <c r="C230" s="22" t="s">
        <v>1101</v>
      </c>
      <c r="D230" s="8"/>
      <c r="E230" s="8"/>
      <c r="F230" s="36" t="s">
        <v>549</v>
      </c>
      <c r="G230" s="61">
        <v>54</v>
      </c>
      <c r="H230" s="7"/>
      <c r="I230" s="7"/>
      <c r="J230" s="7"/>
      <c r="K230" s="7"/>
      <c r="L230" s="7"/>
      <c r="M230" s="7"/>
      <c r="N230" s="7"/>
      <c r="O230" s="7"/>
    </row>
    <row r="231" spans="1:15" ht="17.399999999999999" customHeight="1" outlineLevel="1" x14ac:dyDescent="0.3">
      <c r="A231" s="7"/>
      <c r="B231" s="7"/>
      <c r="C231" s="22" t="s">
        <v>1096</v>
      </c>
      <c r="D231" s="8"/>
      <c r="E231" s="8"/>
      <c r="F231" s="36" t="s">
        <v>549</v>
      </c>
      <c r="G231" s="61">
        <v>36</v>
      </c>
      <c r="H231" s="7"/>
      <c r="I231" s="7"/>
      <c r="J231" s="7"/>
      <c r="K231" s="7"/>
      <c r="L231" s="7"/>
      <c r="M231" s="7"/>
      <c r="N231" s="7"/>
      <c r="O231" s="7"/>
    </row>
    <row r="232" spans="1:15" ht="17.399999999999999" customHeight="1" outlineLevel="1" x14ac:dyDescent="0.3">
      <c r="A232" s="7"/>
      <c r="B232" s="7"/>
      <c r="C232" s="22" t="s">
        <v>1097</v>
      </c>
      <c r="D232" s="8"/>
      <c r="E232" s="8"/>
      <c r="F232" s="36" t="s">
        <v>549</v>
      </c>
      <c r="G232" s="61">
        <v>6</v>
      </c>
      <c r="H232" s="7"/>
      <c r="I232" s="7"/>
      <c r="J232" s="7"/>
      <c r="K232" s="7"/>
      <c r="L232" s="7"/>
      <c r="M232" s="7"/>
      <c r="N232" s="7"/>
      <c r="O232" s="7"/>
    </row>
    <row r="233" spans="1:15" ht="115.2" outlineLevel="1" x14ac:dyDescent="0.3">
      <c r="A233" s="7">
        <v>159</v>
      </c>
      <c r="B233" s="7">
        <v>159</v>
      </c>
      <c r="C233" s="7" t="s">
        <v>124</v>
      </c>
      <c r="D233" s="8" t="s">
        <v>550</v>
      </c>
      <c r="E233" s="8">
        <v>0.61699999999999999</v>
      </c>
      <c r="F233" s="36" t="s">
        <v>1052</v>
      </c>
      <c r="G233" s="59">
        <f>SUM(G234:G236)/1000</f>
        <v>0.61670000000000003</v>
      </c>
      <c r="H233" s="7"/>
      <c r="I233" s="7"/>
      <c r="J233" s="7"/>
      <c r="K233" s="7"/>
      <c r="L233" s="7"/>
      <c r="M233" s="7"/>
      <c r="N233" s="7" t="s">
        <v>713</v>
      </c>
      <c r="O233" s="7"/>
    </row>
    <row r="234" spans="1:15" ht="17.399999999999999" customHeight="1" outlineLevel="1" x14ac:dyDescent="0.3">
      <c r="A234" s="7"/>
      <c r="B234" s="7"/>
      <c r="C234" s="22" t="s">
        <v>1104</v>
      </c>
      <c r="D234" s="8"/>
      <c r="E234" s="8"/>
      <c r="F234" s="36" t="s">
        <v>549</v>
      </c>
      <c r="G234" s="61">
        <v>534.1</v>
      </c>
      <c r="H234" s="7"/>
      <c r="I234" s="7"/>
      <c r="J234" s="7"/>
      <c r="K234" s="7"/>
      <c r="L234" s="7"/>
      <c r="M234" s="7"/>
      <c r="N234" s="7"/>
      <c r="O234" s="7"/>
    </row>
    <row r="235" spans="1:15" ht="17.399999999999999" customHeight="1" outlineLevel="1" x14ac:dyDescent="0.3">
      <c r="A235" s="7"/>
      <c r="B235" s="7"/>
      <c r="C235" s="22" t="s">
        <v>1102</v>
      </c>
      <c r="D235" s="8"/>
      <c r="E235" s="8"/>
      <c r="F235" s="36" t="s">
        <v>549</v>
      </c>
      <c r="G235" s="61">
        <v>59.5</v>
      </c>
      <c r="H235" s="7"/>
      <c r="I235" s="7"/>
      <c r="J235" s="7"/>
      <c r="K235" s="7"/>
      <c r="L235" s="7"/>
      <c r="M235" s="7"/>
      <c r="N235" s="7"/>
      <c r="O235" s="7"/>
    </row>
    <row r="236" spans="1:15" ht="17.399999999999999" customHeight="1" outlineLevel="1" x14ac:dyDescent="0.3">
      <c r="A236" s="7"/>
      <c r="B236" s="7"/>
      <c r="C236" s="22" t="s">
        <v>1103</v>
      </c>
      <c r="D236" s="8"/>
      <c r="E236" s="8"/>
      <c r="F236" s="36" t="s">
        <v>549</v>
      </c>
      <c r="G236" s="61">
        <v>23.1</v>
      </c>
      <c r="H236" s="7"/>
      <c r="I236" s="7"/>
      <c r="J236" s="7"/>
      <c r="K236" s="7"/>
      <c r="L236" s="7"/>
      <c r="M236" s="7"/>
      <c r="N236" s="7"/>
      <c r="O236" s="7"/>
    </row>
    <row r="237" spans="1:15" ht="17.399999999999999" customHeight="1" outlineLevel="1" x14ac:dyDescent="0.3">
      <c r="A237" s="7"/>
      <c r="B237" s="7"/>
      <c r="C237" s="22" t="s">
        <v>1095</v>
      </c>
      <c r="D237" s="8"/>
      <c r="E237" s="8"/>
      <c r="F237" s="36" t="s">
        <v>549</v>
      </c>
      <c r="G237" s="61">
        <v>6.3</v>
      </c>
      <c r="H237" s="7"/>
      <c r="I237" s="7"/>
      <c r="J237" s="7"/>
      <c r="K237" s="7"/>
      <c r="L237" s="7"/>
      <c r="M237" s="7"/>
      <c r="N237" s="7"/>
      <c r="O237" s="7"/>
    </row>
    <row r="238" spans="1:15" ht="17.399999999999999" customHeight="1" outlineLevel="1" x14ac:dyDescent="0.3">
      <c r="A238" s="7"/>
      <c r="B238" s="7"/>
      <c r="C238" s="22" t="s">
        <v>1096</v>
      </c>
      <c r="D238" s="8"/>
      <c r="E238" s="8"/>
      <c r="F238" s="36" t="s">
        <v>549</v>
      </c>
      <c r="G238" s="61">
        <v>4.2</v>
      </c>
      <c r="H238" s="7"/>
      <c r="I238" s="7"/>
      <c r="J238" s="7"/>
      <c r="K238" s="7"/>
      <c r="L238" s="7"/>
      <c r="M238" s="7"/>
      <c r="N238" s="7"/>
      <c r="O238" s="7"/>
    </row>
    <row r="239" spans="1:15" ht="17.399999999999999" customHeight="1" outlineLevel="1" x14ac:dyDescent="0.3">
      <c r="A239" s="7"/>
      <c r="B239" s="7"/>
      <c r="C239" s="22" t="s">
        <v>1097</v>
      </c>
      <c r="D239" s="8"/>
      <c r="E239" s="8"/>
      <c r="F239" s="36" t="s">
        <v>549</v>
      </c>
      <c r="G239" s="61">
        <v>0.7</v>
      </c>
      <c r="H239" s="7"/>
      <c r="I239" s="7"/>
      <c r="J239" s="7"/>
      <c r="K239" s="7"/>
      <c r="L239" s="7"/>
      <c r="M239" s="7"/>
      <c r="N239" s="7"/>
      <c r="O239" s="7"/>
    </row>
    <row r="240" spans="1:15" ht="100.8" outlineLevel="1" x14ac:dyDescent="0.3">
      <c r="A240" s="7">
        <v>160</v>
      </c>
      <c r="B240" s="7">
        <v>160</v>
      </c>
      <c r="C240" s="7" t="s">
        <v>125</v>
      </c>
      <c r="D240" s="8" t="s">
        <v>549</v>
      </c>
      <c r="E240" s="8">
        <v>135.16999999999999</v>
      </c>
      <c r="F240" s="36" t="s">
        <v>1052</v>
      </c>
      <c r="G240" s="59">
        <f>SUM(G241:G242)/1000</f>
        <v>0.13517000000000001</v>
      </c>
      <c r="H240" s="7"/>
      <c r="I240" s="7"/>
      <c r="J240" s="7"/>
      <c r="K240" s="7"/>
      <c r="L240" s="7"/>
      <c r="M240" s="7"/>
      <c r="N240" s="7" t="s">
        <v>714</v>
      </c>
      <c r="O240" s="7"/>
    </row>
    <row r="241" spans="1:15" ht="17.399999999999999" customHeight="1" outlineLevel="1" x14ac:dyDescent="0.3">
      <c r="A241" s="7"/>
      <c r="B241" s="7"/>
      <c r="C241" s="22" t="s">
        <v>1105</v>
      </c>
      <c r="D241" s="23"/>
      <c r="E241" s="23"/>
      <c r="F241" s="36" t="s">
        <v>549</v>
      </c>
      <c r="G241" s="61">
        <v>127.92</v>
      </c>
      <c r="H241" s="7"/>
      <c r="I241" s="7"/>
      <c r="J241" s="7"/>
      <c r="K241" s="7"/>
      <c r="L241" s="7"/>
      <c r="M241" s="7"/>
      <c r="N241" s="7"/>
      <c r="O241" s="7"/>
    </row>
    <row r="242" spans="1:15" ht="17.399999999999999" customHeight="1" outlineLevel="1" x14ac:dyDescent="0.3">
      <c r="A242" s="7"/>
      <c r="B242" s="7"/>
      <c r="C242" s="22" t="s">
        <v>1094</v>
      </c>
      <c r="D242" s="23"/>
      <c r="E242" s="23"/>
      <c r="F242" s="36" t="s">
        <v>549</v>
      </c>
      <c r="G242" s="61">
        <v>7.25</v>
      </c>
      <c r="H242" s="7"/>
      <c r="I242" s="7"/>
      <c r="J242" s="7"/>
      <c r="K242" s="7"/>
      <c r="L242" s="7"/>
      <c r="M242" s="7"/>
      <c r="N242" s="7"/>
      <c r="O242" s="7"/>
    </row>
    <row r="243" spans="1:15" ht="17.399999999999999" customHeight="1" outlineLevel="1" x14ac:dyDescent="0.3">
      <c r="A243" s="7"/>
      <c r="B243" s="7"/>
      <c r="C243" s="22" t="s">
        <v>1106</v>
      </c>
      <c r="D243" s="23"/>
      <c r="E243" s="23"/>
      <c r="F243" s="36" t="s">
        <v>549</v>
      </c>
      <c r="G243" s="61">
        <v>0.91</v>
      </c>
      <c r="H243" s="7"/>
      <c r="I243" s="7"/>
      <c r="J243" s="7"/>
      <c r="K243" s="7"/>
      <c r="L243" s="7"/>
      <c r="M243" s="7"/>
      <c r="N243" s="7"/>
      <c r="O243" s="7"/>
    </row>
    <row r="244" spans="1:15" ht="17.399999999999999" customHeight="1" outlineLevel="1" x14ac:dyDescent="0.3">
      <c r="A244" s="7"/>
      <c r="B244" s="7"/>
      <c r="C244" s="22" t="s">
        <v>1107</v>
      </c>
      <c r="D244" s="23"/>
      <c r="E244" s="23"/>
      <c r="F244" s="36" t="s">
        <v>549</v>
      </c>
      <c r="G244" s="61">
        <v>0.56999999999999995</v>
      </c>
      <c r="H244" s="7"/>
      <c r="I244" s="7"/>
      <c r="J244" s="7"/>
      <c r="K244" s="7"/>
      <c r="L244" s="7"/>
      <c r="M244" s="7"/>
      <c r="N244" s="7"/>
      <c r="O244" s="7"/>
    </row>
    <row r="245" spans="1:15" ht="17.399999999999999" customHeight="1" outlineLevel="1" x14ac:dyDescent="0.3">
      <c r="A245" s="7"/>
      <c r="B245" s="7"/>
      <c r="C245" s="22" t="s">
        <v>1108</v>
      </c>
      <c r="D245" s="23"/>
      <c r="E245" s="23"/>
      <c r="F245" s="36" t="s">
        <v>549</v>
      </c>
      <c r="G245" s="61">
        <v>0.14000000000000001</v>
      </c>
      <c r="H245" s="7"/>
      <c r="I245" s="7"/>
      <c r="J245" s="7"/>
      <c r="K245" s="7"/>
      <c r="L245" s="7"/>
      <c r="M245" s="7"/>
      <c r="N245" s="7"/>
      <c r="O245" s="7"/>
    </row>
    <row r="246" spans="1:15" ht="86.4" outlineLevel="1" x14ac:dyDescent="0.3">
      <c r="A246" s="7">
        <v>161</v>
      </c>
      <c r="B246" s="7">
        <v>161</v>
      </c>
      <c r="C246" s="7" t="s">
        <v>126</v>
      </c>
      <c r="D246" s="8" t="s">
        <v>549</v>
      </c>
      <c r="E246" s="8">
        <v>136.1</v>
      </c>
      <c r="F246" s="36" t="s">
        <v>1052</v>
      </c>
      <c r="G246" s="59">
        <f>SUM(G247:M249)/1000</f>
        <v>0.1361</v>
      </c>
      <c r="H246" s="7"/>
      <c r="I246" s="7"/>
      <c r="J246" s="7"/>
      <c r="K246" s="7"/>
      <c r="L246" s="7"/>
      <c r="M246" s="7"/>
      <c r="N246" s="7" t="s">
        <v>715</v>
      </c>
      <c r="O246" s="7"/>
    </row>
    <row r="247" spans="1:15" ht="17.399999999999999" customHeight="1" outlineLevel="1" x14ac:dyDescent="0.3">
      <c r="A247" s="7"/>
      <c r="B247" s="7"/>
      <c r="C247" s="22" t="s">
        <v>1114</v>
      </c>
      <c r="D247" s="23"/>
      <c r="E247" s="23"/>
      <c r="F247" s="36" t="s">
        <v>549</v>
      </c>
      <c r="G247" s="61">
        <v>121.1</v>
      </c>
      <c r="H247" s="7"/>
      <c r="I247" s="7"/>
      <c r="J247" s="7"/>
      <c r="K247" s="7"/>
      <c r="L247" s="7"/>
      <c r="M247" s="7"/>
      <c r="N247" s="7"/>
      <c r="O247" s="7"/>
    </row>
    <row r="248" spans="1:15" ht="17.399999999999999" customHeight="1" outlineLevel="1" x14ac:dyDescent="0.3">
      <c r="A248" s="7"/>
      <c r="B248" s="7"/>
      <c r="C248" s="22" t="s">
        <v>1109</v>
      </c>
      <c r="D248" s="23"/>
      <c r="E248" s="23"/>
      <c r="F248" s="36" t="s">
        <v>549</v>
      </c>
      <c r="G248" s="61">
        <v>4.4000000000000004</v>
      </c>
      <c r="H248" s="7"/>
      <c r="I248" s="7"/>
      <c r="J248" s="7"/>
      <c r="K248" s="7"/>
      <c r="L248" s="7"/>
      <c r="M248" s="7"/>
      <c r="N248" s="7"/>
      <c r="O248" s="7"/>
    </row>
    <row r="249" spans="1:15" ht="17.399999999999999" customHeight="1" outlineLevel="1" x14ac:dyDescent="0.3">
      <c r="A249" s="7"/>
      <c r="B249" s="7"/>
      <c r="C249" s="22" t="s">
        <v>1110</v>
      </c>
      <c r="D249" s="23"/>
      <c r="E249" s="23"/>
      <c r="F249" s="36" t="s">
        <v>549</v>
      </c>
      <c r="G249" s="61">
        <v>10.6</v>
      </c>
      <c r="H249" s="7"/>
      <c r="I249" s="7"/>
      <c r="J249" s="7"/>
      <c r="K249" s="7"/>
      <c r="L249" s="7"/>
      <c r="M249" s="7"/>
      <c r="N249" s="7"/>
      <c r="O249" s="7"/>
    </row>
    <row r="250" spans="1:15" ht="17.399999999999999" customHeight="1" outlineLevel="1" x14ac:dyDescent="0.3">
      <c r="A250" s="7"/>
      <c r="B250" s="7"/>
      <c r="C250" s="22" t="s">
        <v>1111</v>
      </c>
      <c r="D250" s="23"/>
      <c r="E250" s="23"/>
      <c r="F250" s="36" t="s">
        <v>549</v>
      </c>
      <c r="G250" s="61">
        <v>0.9</v>
      </c>
      <c r="H250" s="7"/>
      <c r="I250" s="7"/>
      <c r="J250" s="7"/>
      <c r="K250" s="7"/>
      <c r="L250" s="7"/>
      <c r="M250" s="7"/>
      <c r="N250" s="7"/>
      <c r="O250" s="7"/>
    </row>
    <row r="251" spans="1:15" ht="17.399999999999999" customHeight="1" outlineLevel="1" x14ac:dyDescent="0.3">
      <c r="A251" s="7"/>
      <c r="B251" s="7"/>
      <c r="C251" s="22" t="s">
        <v>1112</v>
      </c>
      <c r="D251" s="23"/>
      <c r="E251" s="23"/>
      <c r="F251" s="36" t="s">
        <v>549</v>
      </c>
      <c r="G251" s="61">
        <v>0.6</v>
      </c>
      <c r="H251" s="7"/>
      <c r="I251" s="7"/>
      <c r="J251" s="7"/>
      <c r="K251" s="7"/>
      <c r="L251" s="7"/>
      <c r="M251" s="7"/>
      <c r="N251" s="7"/>
      <c r="O251" s="7"/>
    </row>
    <row r="252" spans="1:15" ht="17.399999999999999" customHeight="1" outlineLevel="1" x14ac:dyDescent="0.3">
      <c r="A252" s="7"/>
      <c r="B252" s="7"/>
      <c r="C252" s="22" t="s">
        <v>1113</v>
      </c>
      <c r="D252" s="23"/>
      <c r="E252" s="23"/>
      <c r="F252" s="36" t="s">
        <v>549</v>
      </c>
      <c r="G252" s="61">
        <v>0.1</v>
      </c>
      <c r="H252" s="7"/>
      <c r="I252" s="7"/>
      <c r="J252" s="7"/>
      <c r="K252" s="7"/>
      <c r="L252" s="7"/>
      <c r="M252" s="7"/>
      <c r="N252" s="7"/>
      <c r="O252" s="7"/>
    </row>
    <row r="253" spans="1:15" ht="57.6" outlineLevel="1" x14ac:dyDescent="0.3">
      <c r="A253" s="7">
        <v>162</v>
      </c>
      <c r="B253" s="7">
        <v>162</v>
      </c>
      <c r="C253" s="7" t="s">
        <v>127</v>
      </c>
      <c r="D253" s="8" t="s">
        <v>549</v>
      </c>
      <c r="E253" s="8">
        <v>50.74</v>
      </c>
      <c r="F253" s="36" t="s">
        <v>1052</v>
      </c>
      <c r="G253" s="59">
        <f>SUM(G254:M255)/1000</f>
        <v>5.0819999999999997E-2</v>
      </c>
      <c r="H253" s="7"/>
      <c r="I253" s="7"/>
      <c r="J253" s="7"/>
      <c r="K253" s="7"/>
      <c r="L253" s="7"/>
      <c r="M253" s="7"/>
      <c r="N253" s="7" t="s">
        <v>716</v>
      </c>
      <c r="O253" s="7"/>
    </row>
    <row r="254" spans="1:15" ht="17.399999999999999" customHeight="1" outlineLevel="1" x14ac:dyDescent="0.3">
      <c r="A254" s="7"/>
      <c r="B254" s="7"/>
      <c r="C254" s="22" t="s">
        <v>1115</v>
      </c>
      <c r="D254" s="23"/>
      <c r="E254" s="23"/>
      <c r="F254" s="36" t="s">
        <v>549</v>
      </c>
      <c r="G254" s="61">
        <v>49.4</v>
      </c>
      <c r="H254" s="7"/>
      <c r="I254" s="7"/>
      <c r="J254" s="7"/>
      <c r="K254" s="7"/>
      <c r="L254" s="7"/>
      <c r="M254" s="7"/>
      <c r="N254" s="7"/>
      <c r="O254" s="7"/>
    </row>
    <row r="255" spans="1:15" ht="17.399999999999999" customHeight="1" outlineLevel="1" x14ac:dyDescent="0.3">
      <c r="A255" s="7"/>
      <c r="B255" s="7"/>
      <c r="C255" s="22" t="s">
        <v>1093</v>
      </c>
      <c r="D255" s="23"/>
      <c r="E255" s="23"/>
      <c r="F255" s="36" t="s">
        <v>549</v>
      </c>
      <c r="G255" s="61">
        <v>1.42</v>
      </c>
      <c r="H255" s="7"/>
      <c r="I255" s="7"/>
      <c r="J255" s="7"/>
      <c r="K255" s="7"/>
      <c r="L255" s="7"/>
      <c r="M255" s="7"/>
      <c r="N255" s="7"/>
      <c r="O255" s="7"/>
    </row>
    <row r="256" spans="1:15" ht="57.6" outlineLevel="1" x14ac:dyDescent="0.3">
      <c r="A256" s="7">
        <v>163</v>
      </c>
      <c r="B256" s="7">
        <v>163</v>
      </c>
      <c r="C256" s="7" t="s">
        <v>128</v>
      </c>
      <c r="D256" s="8" t="s">
        <v>550</v>
      </c>
      <c r="E256" s="8">
        <v>0.95899999999999996</v>
      </c>
      <c r="F256" s="36" t="s">
        <v>1052</v>
      </c>
      <c r="G256" s="59">
        <f>SUM(G257:G258)/1000</f>
        <v>0.95906999999999998</v>
      </c>
      <c r="H256" s="7"/>
      <c r="I256" s="7"/>
      <c r="J256" s="7"/>
      <c r="K256" s="7"/>
      <c r="L256" s="7"/>
      <c r="M256" s="7"/>
      <c r="N256" s="7" t="s">
        <v>717</v>
      </c>
      <c r="O256" s="7"/>
    </row>
    <row r="257" spans="1:15" ht="17.399999999999999" customHeight="1" outlineLevel="1" x14ac:dyDescent="0.3">
      <c r="A257" s="7"/>
      <c r="B257" s="7"/>
      <c r="C257" s="22" t="s">
        <v>1116</v>
      </c>
      <c r="D257" s="8"/>
      <c r="E257" s="8"/>
      <c r="F257" s="36" t="s">
        <v>549</v>
      </c>
      <c r="G257" s="61">
        <v>480.48</v>
      </c>
      <c r="H257" s="7"/>
      <c r="I257" s="7"/>
      <c r="J257" s="7"/>
      <c r="K257" s="7"/>
      <c r="L257" s="7"/>
      <c r="M257" s="7"/>
      <c r="N257" s="7"/>
      <c r="O257" s="7"/>
    </row>
    <row r="258" spans="1:15" ht="17.399999999999999" customHeight="1" outlineLevel="1" x14ac:dyDescent="0.3">
      <c r="A258" s="7"/>
      <c r="B258" s="7"/>
      <c r="C258" s="22" t="s">
        <v>1117</v>
      </c>
      <c r="D258" s="8"/>
      <c r="E258" s="8"/>
      <c r="F258" s="36" t="s">
        <v>549</v>
      </c>
      <c r="G258" s="61">
        <v>478.59</v>
      </c>
      <c r="H258" s="7"/>
      <c r="I258" s="7"/>
      <c r="J258" s="7"/>
      <c r="K258" s="7"/>
      <c r="L258" s="7"/>
      <c r="M258" s="7"/>
      <c r="N258" s="7"/>
      <c r="O258" s="7"/>
    </row>
    <row r="259" spans="1:15" outlineLevel="1" x14ac:dyDescent="0.3">
      <c r="A259" s="7"/>
      <c r="B259" s="7"/>
      <c r="C259" s="7"/>
      <c r="D259" s="8"/>
      <c r="E259" s="8"/>
      <c r="F259" s="36"/>
      <c r="G259" s="41"/>
      <c r="H259" s="7"/>
      <c r="I259" s="7"/>
      <c r="J259" s="7"/>
      <c r="K259" s="7"/>
      <c r="L259" s="7"/>
      <c r="M259" s="7"/>
      <c r="N259" s="7"/>
      <c r="O259" s="7"/>
    </row>
    <row r="260" spans="1:15" ht="57.6" outlineLevel="1" x14ac:dyDescent="0.3">
      <c r="A260" s="7">
        <v>164</v>
      </c>
      <c r="B260" s="7">
        <v>164</v>
      </c>
      <c r="C260" s="7" t="s">
        <v>129</v>
      </c>
      <c r="D260" s="8" t="s">
        <v>550</v>
      </c>
      <c r="E260" s="8">
        <v>1.484</v>
      </c>
      <c r="F260" s="36" t="s">
        <v>1052</v>
      </c>
      <c r="G260" s="59">
        <f>SUM(G261:G262)/1000</f>
        <v>1.4837400000000001</v>
      </c>
      <c r="H260" s="7"/>
      <c r="I260" s="7"/>
      <c r="J260" s="7"/>
      <c r="K260" s="7"/>
      <c r="L260" s="7"/>
      <c r="M260" s="7"/>
      <c r="N260" s="7" t="s">
        <v>718</v>
      </c>
      <c r="O260" s="7"/>
    </row>
    <row r="261" spans="1:15" ht="17.399999999999999" customHeight="1" outlineLevel="1" x14ac:dyDescent="0.3">
      <c r="A261" s="7"/>
      <c r="B261" s="7"/>
      <c r="C261" s="22" t="s">
        <v>1118</v>
      </c>
      <c r="D261" s="7"/>
      <c r="E261" s="7"/>
      <c r="F261" s="36" t="s">
        <v>549</v>
      </c>
      <c r="G261" s="61">
        <v>617.76</v>
      </c>
      <c r="H261" s="7"/>
      <c r="I261" s="7"/>
      <c r="J261" s="7"/>
      <c r="K261" s="7"/>
      <c r="L261" s="7"/>
      <c r="M261" s="7"/>
      <c r="N261" s="7"/>
      <c r="O261" s="7"/>
    </row>
    <row r="262" spans="1:15" ht="17.399999999999999" customHeight="1" outlineLevel="1" x14ac:dyDescent="0.3">
      <c r="A262" s="7"/>
      <c r="B262" s="7"/>
      <c r="C262" s="22" t="s">
        <v>1120</v>
      </c>
      <c r="D262" s="7"/>
      <c r="E262" s="7"/>
      <c r="F262" s="36" t="s">
        <v>549</v>
      </c>
      <c r="G262" s="61">
        <v>865.98</v>
      </c>
      <c r="H262" s="7"/>
      <c r="I262" s="7"/>
      <c r="J262" s="7"/>
      <c r="K262" s="7"/>
      <c r="L262" s="7"/>
      <c r="M262" s="7"/>
      <c r="N262" s="7"/>
      <c r="O262" s="7"/>
    </row>
    <row r="263" spans="1:15" ht="57.6" outlineLevel="1" x14ac:dyDescent="0.3">
      <c r="A263" s="7">
        <v>165</v>
      </c>
      <c r="B263" s="7">
        <v>165</v>
      </c>
      <c r="C263" s="7" t="s">
        <v>130</v>
      </c>
      <c r="D263" s="8" t="s">
        <v>549</v>
      </c>
      <c r="E263" s="8">
        <v>272.70999999999998</v>
      </c>
      <c r="F263" s="36" t="s">
        <v>1052</v>
      </c>
      <c r="G263" s="59">
        <f>SUM(G264:G265)/1000</f>
        <v>0.2727</v>
      </c>
      <c r="H263" s="7"/>
      <c r="I263" s="7"/>
      <c r="J263" s="7"/>
      <c r="K263" s="7"/>
      <c r="L263" s="7"/>
      <c r="M263" s="7"/>
      <c r="N263" s="7" t="s">
        <v>719</v>
      </c>
      <c r="O263" s="7"/>
    </row>
    <row r="264" spans="1:15" ht="17.399999999999999" customHeight="1" outlineLevel="1" x14ac:dyDescent="0.3">
      <c r="A264" s="7"/>
      <c r="B264" s="7"/>
      <c r="C264" s="22" t="s">
        <v>1120</v>
      </c>
      <c r="D264" s="24"/>
      <c r="E264" s="24"/>
      <c r="F264" s="36" t="s">
        <v>549</v>
      </c>
      <c r="G264" s="61">
        <v>102</v>
      </c>
      <c r="H264" s="7"/>
      <c r="I264" s="7"/>
      <c r="J264" s="7"/>
      <c r="K264" s="7"/>
      <c r="L264" s="7"/>
      <c r="M264" s="7"/>
      <c r="N264" s="7"/>
      <c r="O264" s="7"/>
    </row>
    <row r="265" spans="1:15" ht="17.399999999999999" customHeight="1" outlineLevel="1" x14ac:dyDescent="0.3">
      <c r="A265" s="7"/>
      <c r="B265" s="7"/>
      <c r="C265" s="22" t="s">
        <v>1119</v>
      </c>
      <c r="D265" s="24"/>
      <c r="E265" s="24"/>
      <c r="F265" s="36" t="s">
        <v>549</v>
      </c>
      <c r="G265" s="61">
        <v>170.7</v>
      </c>
      <c r="H265" s="7"/>
      <c r="I265" s="7"/>
      <c r="J265" s="7"/>
      <c r="K265" s="7"/>
      <c r="L265" s="7"/>
      <c r="M265" s="7"/>
      <c r="N265" s="7"/>
      <c r="O265" s="7"/>
    </row>
    <row r="266" spans="1:15" ht="28.8" outlineLevel="1" x14ac:dyDescent="0.3">
      <c r="A266" s="7">
        <v>166</v>
      </c>
      <c r="B266" s="7">
        <v>166</v>
      </c>
      <c r="C266" s="7" t="s">
        <v>131</v>
      </c>
      <c r="D266" s="8" t="s">
        <v>549</v>
      </c>
      <c r="E266" s="8">
        <v>141.30000000000001</v>
      </c>
      <c r="F266" s="36" t="s">
        <v>1052</v>
      </c>
      <c r="G266" s="41">
        <f>141.3/1000</f>
        <v>0.14130000000000001</v>
      </c>
      <c r="H266" s="7"/>
      <c r="I266" s="7"/>
      <c r="J266" s="7"/>
      <c r="K266" s="7"/>
      <c r="L266" s="7"/>
      <c r="M266" s="7"/>
      <c r="N266" s="7" t="s">
        <v>720</v>
      </c>
      <c r="O266" s="7"/>
    </row>
    <row r="267" spans="1:15" ht="17.399999999999999" customHeight="1" outlineLevel="1" x14ac:dyDescent="0.3">
      <c r="A267" s="7"/>
      <c r="B267" s="7"/>
      <c r="C267" s="22" t="s">
        <v>1121</v>
      </c>
      <c r="D267" s="7"/>
      <c r="E267" s="7"/>
      <c r="F267" s="63" t="s">
        <v>549</v>
      </c>
      <c r="G267" s="41">
        <f>23.55*6</f>
        <v>141.30000000000001</v>
      </c>
      <c r="H267" s="7"/>
      <c r="I267" s="7"/>
      <c r="J267" s="7"/>
      <c r="K267" s="7"/>
      <c r="L267" s="7"/>
      <c r="M267" s="7"/>
      <c r="N267" s="7"/>
      <c r="O267" s="7"/>
    </row>
    <row r="268" spans="1:15" ht="57.6" outlineLevel="1" x14ac:dyDescent="0.3">
      <c r="A268" s="7">
        <v>167</v>
      </c>
      <c r="B268" s="7">
        <v>167</v>
      </c>
      <c r="C268" s="7" t="s">
        <v>132</v>
      </c>
      <c r="D268" s="8" t="s">
        <v>549</v>
      </c>
      <c r="E268" s="8">
        <v>342.27</v>
      </c>
      <c r="F268" s="36" t="s">
        <v>1052</v>
      </c>
      <c r="G268" s="59">
        <f>SUM(G269:G270)/1000</f>
        <v>0.34226999999999996</v>
      </c>
      <c r="H268" s="7"/>
      <c r="I268" s="7"/>
      <c r="J268" s="7"/>
      <c r="K268" s="7"/>
      <c r="L268" s="7"/>
      <c r="M268" s="7"/>
      <c r="N268" s="7" t="s">
        <v>721</v>
      </c>
      <c r="O268" s="7"/>
    </row>
    <row r="269" spans="1:15" ht="17.399999999999999" customHeight="1" outlineLevel="1" x14ac:dyDescent="0.3">
      <c r="A269" s="7"/>
      <c r="B269" s="7"/>
      <c r="C269" s="22" t="s">
        <v>1123</v>
      </c>
      <c r="D269" s="8"/>
      <c r="E269" s="8"/>
      <c r="F269" s="36" t="s">
        <v>549</v>
      </c>
      <c r="G269" s="61">
        <v>70.650000000000006</v>
      </c>
      <c r="H269" s="7"/>
      <c r="I269" s="7"/>
      <c r="J269" s="7"/>
      <c r="K269" s="7"/>
      <c r="L269" s="7"/>
      <c r="M269" s="7"/>
      <c r="N269" s="7"/>
      <c r="O269" s="7"/>
    </row>
    <row r="270" spans="1:15" ht="17.399999999999999" customHeight="1" outlineLevel="1" x14ac:dyDescent="0.3">
      <c r="A270" s="7"/>
      <c r="B270" s="7"/>
      <c r="C270" s="22" t="s">
        <v>1119</v>
      </c>
      <c r="D270" s="8"/>
      <c r="E270" s="8"/>
      <c r="F270" s="36" t="s">
        <v>549</v>
      </c>
      <c r="G270" s="61">
        <v>271.62</v>
      </c>
      <c r="H270" s="7"/>
      <c r="I270" s="7"/>
      <c r="J270" s="7"/>
      <c r="K270" s="7"/>
      <c r="L270" s="7"/>
      <c r="M270" s="7"/>
      <c r="N270" s="7"/>
      <c r="O270" s="7"/>
    </row>
    <row r="271" spans="1:15" ht="28.8" outlineLevel="1" x14ac:dyDescent="0.3">
      <c r="A271" s="7">
        <v>168</v>
      </c>
      <c r="B271" s="7">
        <v>168</v>
      </c>
      <c r="C271" s="7" t="s">
        <v>133</v>
      </c>
      <c r="D271" s="8" t="s">
        <v>549</v>
      </c>
      <c r="E271" s="8">
        <v>42.72</v>
      </c>
      <c r="F271" s="36" t="s">
        <v>1052</v>
      </c>
      <c r="G271" s="41">
        <f>G272/1000</f>
        <v>4.2720000000000001E-2</v>
      </c>
      <c r="H271" s="7"/>
      <c r="I271" s="7"/>
      <c r="J271" s="7"/>
      <c r="K271" s="7"/>
      <c r="L271" s="7"/>
      <c r="M271" s="7"/>
      <c r="N271" s="7" t="s">
        <v>722</v>
      </c>
      <c r="O271" s="7"/>
    </row>
    <row r="272" spans="1:15" outlineLevel="1" x14ac:dyDescent="0.3">
      <c r="A272" s="7"/>
      <c r="B272" s="7"/>
      <c r="C272" s="22" t="s">
        <v>1122</v>
      </c>
      <c r="D272" s="8"/>
      <c r="E272" s="8"/>
      <c r="F272" s="36" t="s">
        <v>549</v>
      </c>
      <c r="G272" s="41">
        <f>21.36*2</f>
        <v>42.72</v>
      </c>
      <c r="H272" s="7"/>
      <c r="I272" s="7"/>
      <c r="J272" s="7"/>
      <c r="K272" s="7"/>
      <c r="L272" s="7"/>
      <c r="M272" s="7"/>
      <c r="N272" s="7"/>
      <c r="O272" s="7"/>
    </row>
    <row r="273" spans="1:15" ht="72" outlineLevel="1" x14ac:dyDescent="0.3">
      <c r="A273" s="7">
        <v>169</v>
      </c>
      <c r="B273" s="7">
        <v>169</v>
      </c>
      <c r="C273" s="7" t="s">
        <v>134</v>
      </c>
      <c r="D273" s="8" t="s">
        <v>549</v>
      </c>
      <c r="E273" s="8">
        <v>166.42</v>
      </c>
      <c r="F273" s="36" t="s">
        <v>1052</v>
      </c>
      <c r="G273" s="59">
        <f>SUM(G274:G276)/1000</f>
        <v>0.16644</v>
      </c>
      <c r="H273" s="7"/>
      <c r="I273" s="7"/>
      <c r="J273" s="7"/>
      <c r="K273" s="7"/>
      <c r="L273" s="7"/>
      <c r="M273" s="7"/>
      <c r="N273" s="7" t="s">
        <v>723</v>
      </c>
      <c r="O273" s="7"/>
    </row>
    <row r="274" spans="1:15" ht="17.399999999999999" customHeight="1" outlineLevel="1" x14ac:dyDescent="0.3">
      <c r="A274" s="7"/>
      <c r="B274" s="7"/>
      <c r="C274" s="22" t="s">
        <v>1120</v>
      </c>
      <c r="D274" s="24"/>
      <c r="E274" s="24"/>
      <c r="F274" s="36" t="s">
        <v>549</v>
      </c>
      <c r="G274" s="61">
        <v>142.32</v>
      </c>
      <c r="H274" s="7"/>
      <c r="I274" s="7"/>
      <c r="J274" s="7"/>
      <c r="K274" s="7"/>
      <c r="L274" s="7"/>
      <c r="M274" s="7"/>
      <c r="N274" s="7"/>
      <c r="O274" s="7"/>
    </row>
    <row r="275" spans="1:15" ht="17.399999999999999" customHeight="1" outlineLevel="1" x14ac:dyDescent="0.3">
      <c r="A275" s="7"/>
      <c r="B275" s="7"/>
      <c r="C275" s="22" t="s">
        <v>1124</v>
      </c>
      <c r="D275" s="24"/>
      <c r="E275" s="24"/>
      <c r="F275" s="36" t="s">
        <v>549</v>
      </c>
      <c r="G275" s="61">
        <v>20.16</v>
      </c>
      <c r="H275" s="7"/>
      <c r="I275" s="7"/>
      <c r="J275" s="7"/>
      <c r="K275" s="7"/>
      <c r="L275" s="7"/>
      <c r="M275" s="7"/>
      <c r="N275" s="7"/>
      <c r="O275" s="7"/>
    </row>
    <row r="276" spans="1:15" ht="17.399999999999999" customHeight="1" outlineLevel="1" x14ac:dyDescent="0.3">
      <c r="A276" s="7"/>
      <c r="B276" s="7"/>
      <c r="C276" s="22" t="s">
        <v>1125</v>
      </c>
      <c r="D276" s="24"/>
      <c r="E276" s="24"/>
      <c r="F276" s="36" t="s">
        <v>549</v>
      </c>
      <c r="G276" s="61">
        <v>3.96</v>
      </c>
      <c r="H276" s="7"/>
      <c r="I276" s="7"/>
      <c r="J276" s="7"/>
      <c r="K276" s="7"/>
      <c r="L276" s="7"/>
      <c r="M276" s="7"/>
      <c r="N276" s="7"/>
      <c r="O276" s="7"/>
    </row>
    <row r="277" spans="1:15" ht="57.6" outlineLevel="1" x14ac:dyDescent="0.3">
      <c r="A277" s="7">
        <v>170</v>
      </c>
      <c r="B277" s="7">
        <v>170</v>
      </c>
      <c r="C277" s="28" t="s">
        <v>135</v>
      </c>
      <c r="D277" s="8" t="s">
        <v>549</v>
      </c>
      <c r="E277" s="8">
        <v>83.28</v>
      </c>
      <c r="F277" s="36" t="s">
        <v>1052</v>
      </c>
      <c r="G277" s="59">
        <f>SUM(G278:G280)/1000</f>
        <v>8.3280000000000007E-2</v>
      </c>
      <c r="H277" s="7"/>
      <c r="I277" s="7"/>
      <c r="J277" s="7"/>
      <c r="K277" s="7"/>
      <c r="L277" s="7"/>
      <c r="M277" s="7"/>
      <c r="N277" s="7" t="s">
        <v>724</v>
      </c>
      <c r="O277" s="7"/>
    </row>
    <row r="278" spans="1:15" outlineLevel="1" x14ac:dyDescent="0.3">
      <c r="A278" s="7"/>
      <c r="B278" s="27"/>
      <c r="C278" s="22" t="s">
        <v>1120</v>
      </c>
      <c r="D278" s="8"/>
      <c r="E278" s="8"/>
      <c r="F278" s="36" t="s">
        <v>549</v>
      </c>
      <c r="G278" s="61">
        <v>71.16</v>
      </c>
      <c r="H278" s="7"/>
      <c r="I278" s="7"/>
      <c r="J278" s="7"/>
      <c r="K278" s="7"/>
      <c r="L278" s="7"/>
      <c r="M278" s="7"/>
      <c r="N278" s="7"/>
      <c r="O278" s="7"/>
    </row>
    <row r="279" spans="1:15" outlineLevel="1" x14ac:dyDescent="0.3">
      <c r="A279" s="7"/>
      <c r="B279" s="27"/>
      <c r="C279" s="22" t="s">
        <v>1126</v>
      </c>
      <c r="D279" s="8"/>
      <c r="E279" s="8"/>
      <c r="F279" s="36" t="s">
        <v>549</v>
      </c>
      <c r="G279" s="61">
        <v>10.14</v>
      </c>
      <c r="H279" s="7"/>
      <c r="I279" s="7"/>
      <c r="J279" s="7"/>
      <c r="K279" s="7"/>
      <c r="L279" s="7"/>
      <c r="M279" s="7"/>
      <c r="N279" s="7"/>
      <c r="O279" s="7"/>
    </row>
    <row r="280" spans="1:15" outlineLevel="1" x14ac:dyDescent="0.3">
      <c r="A280" s="7"/>
      <c r="B280" s="27"/>
      <c r="C280" s="22" t="s">
        <v>1127</v>
      </c>
      <c r="D280" s="8"/>
      <c r="E280" s="8"/>
      <c r="F280" s="36" t="s">
        <v>549</v>
      </c>
      <c r="G280" s="61">
        <v>1.98</v>
      </c>
      <c r="H280" s="7"/>
      <c r="I280" s="7"/>
      <c r="J280" s="7"/>
      <c r="K280" s="7"/>
      <c r="L280" s="7"/>
      <c r="M280" s="7"/>
      <c r="N280" s="7"/>
      <c r="O280" s="7"/>
    </row>
    <row r="281" spans="1:15" ht="57.6" outlineLevel="1" x14ac:dyDescent="0.3">
      <c r="A281" s="7">
        <v>171</v>
      </c>
      <c r="B281" s="7">
        <v>171</v>
      </c>
      <c r="C281" s="28" t="s">
        <v>136</v>
      </c>
      <c r="D281" s="8" t="s">
        <v>549</v>
      </c>
      <c r="E281" s="8">
        <v>83.34</v>
      </c>
      <c r="F281" s="36" t="s">
        <v>1052</v>
      </c>
      <c r="G281" s="59">
        <f>SUM(G282:G284)/1000</f>
        <v>8.3339999999999997E-2</v>
      </c>
      <c r="H281" s="7"/>
      <c r="I281" s="7"/>
      <c r="J281" s="7"/>
      <c r="K281" s="7"/>
      <c r="L281" s="7"/>
      <c r="M281" s="7"/>
      <c r="N281" s="7" t="s">
        <v>725</v>
      </c>
      <c r="O281" s="7"/>
    </row>
    <row r="282" spans="1:15" outlineLevel="1" x14ac:dyDescent="0.3">
      <c r="A282" s="7"/>
      <c r="B282" s="27"/>
      <c r="C282" s="22" t="s">
        <v>1120</v>
      </c>
      <c r="D282" s="7"/>
      <c r="E282" s="7"/>
      <c r="F282" s="36" t="s">
        <v>549</v>
      </c>
      <c r="G282" s="61">
        <v>71.010000000000005</v>
      </c>
      <c r="H282" s="7"/>
      <c r="I282" s="7"/>
      <c r="J282" s="7"/>
      <c r="K282" s="7"/>
      <c r="L282" s="7"/>
      <c r="M282" s="7"/>
      <c r="N282" s="7"/>
      <c r="O282" s="7"/>
    </row>
    <row r="283" spans="1:15" outlineLevel="1" x14ac:dyDescent="0.3">
      <c r="A283" s="7"/>
      <c r="B283" s="27"/>
      <c r="C283" s="22" t="s">
        <v>1128</v>
      </c>
      <c r="D283" s="7"/>
      <c r="E283" s="7"/>
      <c r="F283" s="36" t="s">
        <v>549</v>
      </c>
      <c r="G283" s="61">
        <v>10.35</v>
      </c>
      <c r="H283" s="7"/>
      <c r="I283" s="7"/>
      <c r="J283" s="7"/>
      <c r="K283" s="7"/>
      <c r="L283" s="7"/>
      <c r="M283" s="7"/>
      <c r="N283" s="7"/>
      <c r="O283" s="7"/>
    </row>
    <row r="284" spans="1:15" outlineLevel="1" x14ac:dyDescent="0.3">
      <c r="A284" s="7"/>
      <c r="B284" s="27"/>
      <c r="C284" s="22" t="s">
        <v>1127</v>
      </c>
      <c r="D284" s="7"/>
      <c r="E284" s="7"/>
      <c r="F284" s="36" t="s">
        <v>549</v>
      </c>
      <c r="G284" s="61">
        <v>1.98</v>
      </c>
      <c r="H284" s="7"/>
      <c r="I284" s="7"/>
      <c r="J284" s="7"/>
      <c r="K284" s="7"/>
      <c r="L284" s="7"/>
      <c r="M284" s="7"/>
      <c r="N284" s="7"/>
      <c r="O284" s="7"/>
    </row>
    <row r="285" spans="1:15" ht="57.6" outlineLevel="1" x14ac:dyDescent="0.3">
      <c r="A285" s="7">
        <v>172</v>
      </c>
      <c r="B285" s="7">
        <v>172</v>
      </c>
      <c r="C285" s="28" t="s">
        <v>137</v>
      </c>
      <c r="D285" s="8" t="s">
        <v>550</v>
      </c>
      <c r="E285" s="8">
        <v>2.3877000000000002</v>
      </c>
      <c r="F285" s="36" t="s">
        <v>1052</v>
      </c>
      <c r="G285" s="59">
        <f>SUM(G286)/1000</f>
        <v>2.3876500000000003</v>
      </c>
      <c r="H285" s="7"/>
      <c r="I285" s="7"/>
      <c r="J285" s="7"/>
      <c r="K285" s="7"/>
      <c r="L285" s="7"/>
      <c r="M285" s="7"/>
      <c r="N285" s="7" t="s">
        <v>726</v>
      </c>
      <c r="O285" s="7"/>
    </row>
    <row r="286" spans="1:15" outlineLevel="1" x14ac:dyDescent="0.3">
      <c r="A286" s="7"/>
      <c r="B286" s="27"/>
      <c r="C286" s="22" t="s">
        <v>1129</v>
      </c>
      <c r="D286" s="7"/>
      <c r="E286" s="7"/>
      <c r="F286" s="36" t="s">
        <v>549</v>
      </c>
      <c r="G286" s="62">
        <v>2387.65</v>
      </c>
      <c r="H286" s="7"/>
      <c r="I286" s="7"/>
      <c r="J286" s="7"/>
      <c r="K286" s="7"/>
      <c r="L286" s="7"/>
      <c r="M286" s="7"/>
      <c r="N286" s="7"/>
      <c r="O286" s="7"/>
    </row>
    <row r="287" spans="1:15" ht="129.6" outlineLevel="1" x14ac:dyDescent="0.3">
      <c r="A287" s="7">
        <v>173</v>
      </c>
      <c r="B287" s="7">
        <v>173</v>
      </c>
      <c r="C287" s="28" t="s">
        <v>138</v>
      </c>
      <c r="D287" s="8" t="s">
        <v>549</v>
      </c>
      <c r="E287" s="8">
        <v>353.8</v>
      </c>
      <c r="F287" s="36" t="s">
        <v>1052</v>
      </c>
      <c r="G287" s="59">
        <f>SUM(G288:M291)/1000</f>
        <v>0.3538</v>
      </c>
      <c r="H287" s="7"/>
      <c r="I287" s="7"/>
      <c r="J287" s="7"/>
      <c r="K287" s="7"/>
      <c r="L287" s="7"/>
      <c r="M287" s="7"/>
      <c r="N287" s="7" t="s">
        <v>727</v>
      </c>
      <c r="O287" s="7"/>
    </row>
    <row r="288" spans="1:15" outlineLevel="1" x14ac:dyDescent="0.3">
      <c r="A288" s="7"/>
      <c r="B288" s="27"/>
      <c r="C288" s="22" t="s">
        <v>1130</v>
      </c>
      <c r="D288" s="7"/>
      <c r="E288" s="7"/>
      <c r="F288" s="36" t="s">
        <v>549</v>
      </c>
      <c r="G288" s="61">
        <v>136.80000000000001</v>
      </c>
      <c r="H288" s="7"/>
      <c r="I288" s="7"/>
      <c r="J288" s="7"/>
      <c r="K288" s="7"/>
      <c r="L288" s="7"/>
      <c r="M288" s="7"/>
      <c r="N288" s="7"/>
      <c r="O288" s="7"/>
    </row>
    <row r="289" spans="1:15" outlineLevel="1" x14ac:dyDescent="0.3">
      <c r="A289" s="7"/>
      <c r="B289" s="27"/>
      <c r="C289" s="22" t="s">
        <v>1131</v>
      </c>
      <c r="D289" s="7"/>
      <c r="E289" s="7"/>
      <c r="F289" s="36" t="s">
        <v>549</v>
      </c>
      <c r="G289" s="61">
        <v>37</v>
      </c>
      <c r="H289" s="7"/>
      <c r="I289" s="7"/>
      <c r="J289" s="7"/>
      <c r="K289" s="7"/>
      <c r="L289" s="7"/>
      <c r="M289" s="7"/>
      <c r="N289" s="7"/>
      <c r="O289" s="7"/>
    </row>
    <row r="290" spans="1:15" outlineLevel="1" x14ac:dyDescent="0.3">
      <c r="A290" s="7"/>
      <c r="B290" s="27"/>
      <c r="C290" s="22" t="s">
        <v>1132</v>
      </c>
      <c r="D290" s="7"/>
      <c r="E290" s="7"/>
      <c r="F290" s="36" t="s">
        <v>549</v>
      </c>
      <c r="G290" s="61">
        <v>1.2</v>
      </c>
      <c r="H290" s="7"/>
      <c r="I290" s="7"/>
      <c r="J290" s="7"/>
      <c r="K290" s="7"/>
      <c r="L290" s="7"/>
      <c r="M290" s="7"/>
      <c r="N290" s="7"/>
      <c r="O290" s="7"/>
    </row>
    <row r="291" spans="1:15" outlineLevel="1" x14ac:dyDescent="0.3">
      <c r="A291" s="7"/>
      <c r="B291" s="27"/>
      <c r="C291" s="22" t="s">
        <v>1118</v>
      </c>
      <c r="D291" s="7"/>
      <c r="E291" s="7"/>
      <c r="F291" s="36" t="s">
        <v>549</v>
      </c>
      <c r="G291" s="61">
        <v>178.8</v>
      </c>
      <c r="H291" s="7"/>
      <c r="I291" s="7"/>
      <c r="J291" s="7"/>
      <c r="K291" s="7"/>
      <c r="L291" s="7"/>
      <c r="M291" s="7"/>
      <c r="N291" s="7"/>
      <c r="O291" s="7"/>
    </row>
    <row r="292" spans="1:15" outlineLevel="1" x14ac:dyDescent="0.3">
      <c r="A292" s="7"/>
      <c r="B292" s="27"/>
      <c r="C292" s="22" t="s">
        <v>1133</v>
      </c>
      <c r="D292" s="7"/>
      <c r="E292" s="7"/>
      <c r="F292" s="36" t="s">
        <v>549</v>
      </c>
      <c r="G292" s="61">
        <v>3.32</v>
      </c>
      <c r="H292" s="7"/>
      <c r="I292" s="7"/>
      <c r="J292" s="7"/>
      <c r="K292" s="7"/>
      <c r="L292" s="7"/>
      <c r="M292" s="7"/>
      <c r="N292" s="7"/>
      <c r="O292" s="7"/>
    </row>
    <row r="293" spans="1:15" ht="100.8" outlineLevel="1" x14ac:dyDescent="0.3">
      <c r="A293" s="7">
        <v>174</v>
      </c>
      <c r="B293" s="7">
        <v>174</v>
      </c>
      <c r="C293" s="29" t="s">
        <v>139</v>
      </c>
      <c r="D293" s="8" t="s">
        <v>549</v>
      </c>
      <c r="E293" s="8">
        <v>184.44</v>
      </c>
      <c r="F293" s="36" t="s">
        <v>1052</v>
      </c>
      <c r="G293" s="59">
        <f>SUM(G294:G295)/1000</f>
        <v>0.18443999999999999</v>
      </c>
      <c r="H293" s="7"/>
      <c r="I293" s="7"/>
      <c r="J293" s="7"/>
      <c r="K293" s="7"/>
      <c r="L293" s="7"/>
      <c r="M293" s="7"/>
      <c r="N293" s="7" t="s">
        <v>728</v>
      </c>
      <c r="O293" s="7"/>
    </row>
    <row r="294" spans="1:15" outlineLevel="1" x14ac:dyDescent="0.3">
      <c r="A294" s="7"/>
      <c r="B294" s="27"/>
      <c r="C294" s="22" t="s">
        <v>1134</v>
      </c>
      <c r="D294" s="7"/>
      <c r="E294" s="7"/>
      <c r="F294" s="36" t="s">
        <v>549</v>
      </c>
      <c r="G294" s="61">
        <v>82.68</v>
      </c>
      <c r="H294" s="7"/>
      <c r="I294" s="7"/>
      <c r="J294" s="7"/>
      <c r="K294" s="7"/>
      <c r="L294" s="7"/>
      <c r="M294" s="7"/>
      <c r="N294" s="7"/>
      <c r="O294" s="7"/>
    </row>
    <row r="295" spans="1:15" outlineLevel="1" x14ac:dyDescent="0.3">
      <c r="A295" s="7"/>
      <c r="B295" s="27"/>
      <c r="C295" s="22" t="s">
        <v>1120</v>
      </c>
      <c r="D295" s="7"/>
      <c r="E295" s="7"/>
      <c r="F295" s="36" t="s">
        <v>549</v>
      </c>
      <c r="G295" s="61">
        <v>101.76</v>
      </c>
      <c r="H295" s="7"/>
      <c r="I295" s="7"/>
      <c r="J295" s="7"/>
      <c r="K295" s="7"/>
      <c r="L295" s="7"/>
      <c r="M295" s="7"/>
      <c r="N295" s="7"/>
      <c r="O295" s="7"/>
    </row>
    <row r="296" spans="1:15" outlineLevel="1" x14ac:dyDescent="0.3">
      <c r="A296" s="7"/>
      <c r="B296" s="27"/>
      <c r="C296" s="22" t="s">
        <v>1133</v>
      </c>
      <c r="D296" s="7"/>
      <c r="E296" s="7"/>
      <c r="F296" s="36" t="s">
        <v>549</v>
      </c>
      <c r="G296" s="61">
        <v>1.7</v>
      </c>
      <c r="H296" s="7"/>
      <c r="I296" s="7"/>
      <c r="J296" s="7"/>
      <c r="K296" s="7"/>
      <c r="L296" s="7"/>
      <c r="M296" s="7"/>
      <c r="N296" s="7"/>
      <c r="O296" s="7"/>
    </row>
    <row r="297" spans="1:15" ht="100.8" outlineLevel="1" x14ac:dyDescent="0.3">
      <c r="A297" s="7">
        <v>175</v>
      </c>
      <c r="B297" s="7">
        <v>175</v>
      </c>
      <c r="C297" s="28" t="s">
        <v>140</v>
      </c>
      <c r="D297" s="8" t="s">
        <v>549</v>
      </c>
      <c r="E297" s="8">
        <v>205.8</v>
      </c>
      <c r="F297" s="36" t="s">
        <v>1052</v>
      </c>
      <c r="G297" s="59">
        <f>SUM(G298)/1000</f>
        <v>0.20580000000000001</v>
      </c>
      <c r="H297" s="7"/>
      <c r="I297" s="7"/>
      <c r="J297" s="7"/>
      <c r="K297" s="7"/>
      <c r="L297" s="7"/>
      <c r="M297" s="7"/>
      <c r="N297" s="7" t="s">
        <v>729</v>
      </c>
      <c r="O297" s="7"/>
    </row>
    <row r="298" spans="1:15" outlineLevel="1" x14ac:dyDescent="0.3">
      <c r="A298" s="7"/>
      <c r="B298" s="27"/>
      <c r="C298" s="22" t="s">
        <v>1120</v>
      </c>
      <c r="D298" s="7"/>
      <c r="E298" s="7"/>
      <c r="F298" s="36" t="s">
        <v>549</v>
      </c>
      <c r="G298" s="61">
        <v>205.8</v>
      </c>
      <c r="H298" s="7"/>
      <c r="I298" s="7"/>
      <c r="J298" s="7"/>
      <c r="K298" s="7"/>
      <c r="L298" s="7"/>
      <c r="M298" s="7"/>
      <c r="N298" s="7"/>
      <c r="O298" s="7"/>
    </row>
    <row r="299" spans="1:15" outlineLevel="1" x14ac:dyDescent="0.3">
      <c r="A299" s="7"/>
      <c r="B299" s="27"/>
      <c r="C299" s="22" t="s">
        <v>1133</v>
      </c>
      <c r="D299" s="7"/>
      <c r="E299" s="7"/>
      <c r="F299" s="36" t="s">
        <v>549</v>
      </c>
      <c r="G299" s="61">
        <v>9.9</v>
      </c>
      <c r="H299" s="7"/>
      <c r="I299" s="7"/>
      <c r="J299" s="7"/>
      <c r="K299" s="7"/>
      <c r="L299" s="7"/>
      <c r="M299" s="7"/>
      <c r="N299" s="7"/>
      <c r="O299" s="7"/>
    </row>
    <row r="300" spans="1:15" ht="28.8" outlineLevel="1" x14ac:dyDescent="0.3">
      <c r="A300" s="7">
        <v>176</v>
      </c>
      <c r="B300" s="7">
        <v>176</v>
      </c>
      <c r="C300" s="28" t="s">
        <v>141</v>
      </c>
      <c r="D300" s="8" t="s">
        <v>549</v>
      </c>
      <c r="E300" s="8">
        <v>34</v>
      </c>
      <c r="F300" s="36" t="s">
        <v>1052</v>
      </c>
      <c r="G300" s="59">
        <f>SUM(G301)/1000</f>
        <v>3.4000000000000002E-2</v>
      </c>
      <c r="H300" s="7"/>
      <c r="I300" s="7"/>
      <c r="J300" s="7"/>
      <c r="K300" s="7"/>
      <c r="L300" s="7"/>
      <c r="M300" s="7"/>
      <c r="N300" s="7" t="s">
        <v>730</v>
      </c>
      <c r="O300" s="7"/>
    </row>
    <row r="301" spans="1:15" outlineLevel="1" x14ac:dyDescent="0.3">
      <c r="A301" s="7"/>
      <c r="B301" s="27"/>
      <c r="C301" s="22" t="s">
        <v>1120</v>
      </c>
      <c r="D301" s="7"/>
      <c r="E301" s="7"/>
      <c r="F301" s="36" t="s">
        <v>549</v>
      </c>
      <c r="G301" s="61">
        <v>34</v>
      </c>
      <c r="H301" s="7"/>
      <c r="I301" s="7"/>
      <c r="J301" s="7"/>
      <c r="K301" s="7"/>
      <c r="L301" s="7"/>
      <c r="M301" s="7"/>
      <c r="N301" s="7"/>
      <c r="O301" s="7"/>
    </row>
    <row r="302" spans="1:15" ht="28.8" outlineLevel="1" x14ac:dyDescent="0.3">
      <c r="A302" s="7">
        <v>177</v>
      </c>
      <c r="B302" s="7">
        <v>177</v>
      </c>
      <c r="C302" s="28" t="s">
        <v>142</v>
      </c>
      <c r="D302" s="8" t="s">
        <v>549</v>
      </c>
      <c r="E302" s="8">
        <v>34.299999999999997</v>
      </c>
      <c r="F302" s="36" t="s">
        <v>1052</v>
      </c>
      <c r="G302" s="59">
        <f>SUM(G303)/1000</f>
        <v>3.4299999999999997E-2</v>
      </c>
      <c r="H302" s="7"/>
      <c r="I302" s="7"/>
      <c r="J302" s="7"/>
      <c r="K302" s="7"/>
      <c r="L302" s="7"/>
      <c r="M302" s="7"/>
      <c r="N302" s="7" t="s">
        <v>731</v>
      </c>
      <c r="O302" s="7"/>
    </row>
    <row r="303" spans="1:15" outlineLevel="1" x14ac:dyDescent="0.3">
      <c r="A303" s="7"/>
      <c r="B303" s="27"/>
      <c r="C303" s="22" t="s">
        <v>1120</v>
      </c>
      <c r="D303" s="7"/>
      <c r="E303" s="7"/>
      <c r="F303" s="36" t="s">
        <v>549</v>
      </c>
      <c r="G303" s="61">
        <v>34.299999999999997</v>
      </c>
      <c r="H303" s="7"/>
      <c r="I303" s="7"/>
      <c r="J303" s="7"/>
      <c r="K303" s="7"/>
      <c r="L303" s="7"/>
      <c r="M303" s="7"/>
      <c r="N303" s="7"/>
      <c r="O303" s="7"/>
    </row>
    <row r="304" spans="1:15" ht="115.2" outlineLevel="1" x14ac:dyDescent="0.3">
      <c r="A304" s="7">
        <v>178</v>
      </c>
      <c r="B304" s="7">
        <v>178</v>
      </c>
      <c r="C304" s="28" t="s">
        <v>143</v>
      </c>
      <c r="D304" s="8" t="s">
        <v>550</v>
      </c>
      <c r="E304" s="8">
        <v>1.276</v>
      </c>
      <c r="F304" s="36" t="s">
        <v>1052</v>
      </c>
      <c r="G304" s="59">
        <f>SUM(G305:G306)/1000</f>
        <v>1.2762</v>
      </c>
      <c r="H304" s="7"/>
      <c r="I304" s="7"/>
      <c r="J304" s="7"/>
      <c r="K304" s="7"/>
      <c r="L304" s="7"/>
      <c r="M304" s="7"/>
      <c r="N304" s="7" t="s">
        <v>732</v>
      </c>
      <c r="O304" s="7"/>
    </row>
    <row r="305" spans="1:15" outlineLevel="1" x14ac:dyDescent="0.3">
      <c r="A305" s="7"/>
      <c r="B305" s="27"/>
      <c r="C305" s="22" t="s">
        <v>1118</v>
      </c>
      <c r="D305" s="7"/>
      <c r="E305" s="7"/>
      <c r="F305" s="36" t="s">
        <v>549</v>
      </c>
      <c r="G305" s="62">
        <v>1212.1500000000001</v>
      </c>
      <c r="H305" s="7"/>
      <c r="I305" s="7"/>
      <c r="J305" s="7"/>
      <c r="K305" s="7"/>
      <c r="L305" s="7"/>
      <c r="M305" s="7"/>
      <c r="N305" s="7"/>
      <c r="O305" s="7"/>
    </row>
    <row r="306" spans="1:15" outlineLevel="1" x14ac:dyDescent="0.3">
      <c r="A306" s="7"/>
      <c r="B306" s="27"/>
      <c r="C306" s="22" t="s">
        <v>1135</v>
      </c>
      <c r="D306" s="7"/>
      <c r="E306" s="7"/>
      <c r="F306" s="36" t="s">
        <v>549</v>
      </c>
      <c r="G306" s="61">
        <v>64.05</v>
      </c>
      <c r="H306" s="7"/>
      <c r="I306" s="7"/>
      <c r="J306" s="7"/>
      <c r="K306" s="7"/>
      <c r="L306" s="7"/>
      <c r="M306" s="7"/>
      <c r="N306" s="7"/>
      <c r="O306" s="7"/>
    </row>
    <row r="307" spans="1:15" outlineLevel="1" x14ac:dyDescent="0.3">
      <c r="A307" s="7"/>
      <c r="B307" s="27"/>
      <c r="C307" s="22" t="s">
        <v>1136</v>
      </c>
      <c r="D307" s="7"/>
      <c r="E307" s="7"/>
      <c r="F307" s="36" t="s">
        <v>549</v>
      </c>
      <c r="G307" s="61">
        <v>36.299999999999997</v>
      </c>
      <c r="H307" s="7"/>
      <c r="I307" s="7"/>
      <c r="J307" s="7"/>
      <c r="K307" s="7"/>
      <c r="L307" s="7"/>
      <c r="M307" s="7"/>
      <c r="N307" s="7"/>
      <c r="O307" s="7"/>
    </row>
    <row r="308" spans="1:15" ht="100.8" outlineLevel="1" x14ac:dyDescent="0.3">
      <c r="A308" s="7">
        <v>179</v>
      </c>
      <c r="B308" s="7">
        <v>179</v>
      </c>
      <c r="C308" s="28" t="s">
        <v>144</v>
      </c>
      <c r="D308" s="8" t="s">
        <v>550</v>
      </c>
      <c r="E308" s="8">
        <v>2.5659999999999998</v>
      </c>
      <c r="F308" s="36" t="s">
        <v>1052</v>
      </c>
      <c r="G308" s="59">
        <f>SUM(G309:G310)/1000</f>
        <v>2.5656299999999996</v>
      </c>
      <c r="H308" s="7"/>
      <c r="I308" s="7"/>
      <c r="J308" s="7"/>
      <c r="K308" s="7"/>
      <c r="L308" s="7"/>
      <c r="M308" s="7"/>
      <c r="N308" s="7" t="s">
        <v>1298</v>
      </c>
      <c r="O308" s="7"/>
    </row>
    <row r="309" spans="1:15" outlineLevel="1" x14ac:dyDescent="0.3">
      <c r="A309" s="7"/>
      <c r="B309" s="27"/>
      <c r="C309" s="22" t="s">
        <v>1118</v>
      </c>
      <c r="D309" s="7"/>
      <c r="E309" s="7"/>
      <c r="F309" s="36" t="s">
        <v>549</v>
      </c>
      <c r="G309" s="62">
        <v>2325.2199999999998</v>
      </c>
      <c r="H309" s="7"/>
      <c r="I309" s="7"/>
      <c r="J309" s="7"/>
      <c r="K309" s="7"/>
      <c r="L309" s="7"/>
      <c r="M309" s="7"/>
      <c r="N309" s="7"/>
      <c r="O309" s="7"/>
    </row>
    <row r="310" spans="1:15" outlineLevel="1" x14ac:dyDescent="0.3">
      <c r="A310" s="7"/>
      <c r="B310" s="27"/>
      <c r="C310" s="22" t="s">
        <v>1137</v>
      </c>
      <c r="D310" s="7"/>
      <c r="E310" s="7"/>
      <c r="F310" s="36" t="s">
        <v>549</v>
      </c>
      <c r="G310" s="61">
        <v>240.41</v>
      </c>
      <c r="H310" s="7"/>
      <c r="I310" s="7"/>
      <c r="J310" s="7"/>
      <c r="K310" s="7"/>
      <c r="L310" s="7"/>
      <c r="M310" s="7"/>
      <c r="N310" s="7"/>
      <c r="O310" s="7"/>
    </row>
    <row r="311" spans="1:15" outlineLevel="1" x14ac:dyDescent="0.3">
      <c r="A311" s="7"/>
      <c r="B311" s="27"/>
      <c r="C311" s="22" t="s">
        <v>1133</v>
      </c>
      <c r="D311" s="7"/>
      <c r="E311" s="7"/>
      <c r="F311" s="36" t="s">
        <v>549</v>
      </c>
      <c r="G311" s="61">
        <v>107.59</v>
      </c>
      <c r="H311" s="7"/>
      <c r="I311" s="7"/>
      <c r="J311" s="7"/>
      <c r="K311" s="7"/>
      <c r="L311" s="7"/>
      <c r="M311" s="7"/>
      <c r="N311" s="7"/>
      <c r="O311" s="7"/>
    </row>
    <row r="312" spans="1:15" ht="144" outlineLevel="1" x14ac:dyDescent="0.3">
      <c r="A312" s="7">
        <v>180</v>
      </c>
      <c r="B312" s="7">
        <v>180</v>
      </c>
      <c r="C312" s="28" t="s">
        <v>145</v>
      </c>
      <c r="D312" s="8" t="s">
        <v>549</v>
      </c>
      <c r="E312" s="8">
        <v>130.91</v>
      </c>
      <c r="F312" s="36" t="s">
        <v>1052</v>
      </c>
      <c r="G312" s="59">
        <f>SUM(G313:M315)/1000</f>
        <v>0.13091000000000003</v>
      </c>
      <c r="H312" s="7"/>
      <c r="I312" s="7"/>
      <c r="J312" s="7"/>
      <c r="K312" s="7"/>
      <c r="L312" s="7"/>
      <c r="M312" s="7"/>
      <c r="N312" s="7" t="s">
        <v>733</v>
      </c>
      <c r="O312" s="7"/>
    </row>
    <row r="313" spans="1:15" outlineLevel="1" x14ac:dyDescent="0.3">
      <c r="A313" s="7"/>
      <c r="B313" s="27"/>
      <c r="C313" s="22" t="s">
        <v>1138</v>
      </c>
      <c r="D313" s="7"/>
      <c r="E313" s="7"/>
      <c r="F313" s="36" t="s">
        <v>549</v>
      </c>
      <c r="G313" s="61">
        <v>86.26</v>
      </c>
      <c r="H313" s="7"/>
      <c r="I313" s="7"/>
      <c r="J313" s="7"/>
      <c r="K313" s="7"/>
      <c r="L313" s="7"/>
      <c r="M313" s="7"/>
      <c r="N313" s="7"/>
      <c r="O313" s="7"/>
    </row>
    <row r="314" spans="1:15" outlineLevel="1" x14ac:dyDescent="0.3">
      <c r="A314" s="7"/>
      <c r="B314" s="27"/>
      <c r="C314" s="22" t="s">
        <v>1139</v>
      </c>
      <c r="D314" s="7"/>
      <c r="E314" s="7"/>
      <c r="F314" s="36" t="s">
        <v>549</v>
      </c>
      <c r="G314" s="61">
        <v>8.2899999999999991</v>
      </c>
      <c r="H314" s="7"/>
      <c r="I314" s="7"/>
      <c r="J314" s="7"/>
      <c r="K314" s="7"/>
      <c r="L314" s="7"/>
      <c r="M314" s="7"/>
      <c r="N314" s="7"/>
      <c r="O314" s="7"/>
    </row>
    <row r="315" spans="1:15" outlineLevel="1" x14ac:dyDescent="0.3">
      <c r="A315" s="7"/>
      <c r="B315" s="27"/>
      <c r="C315" s="22" t="s">
        <v>1140</v>
      </c>
      <c r="D315" s="7"/>
      <c r="E315" s="7"/>
      <c r="F315" s="36" t="s">
        <v>549</v>
      </c>
      <c r="G315" s="61">
        <v>36.36</v>
      </c>
      <c r="H315" s="7"/>
      <c r="I315" s="7"/>
      <c r="J315" s="7"/>
      <c r="K315" s="7"/>
      <c r="L315" s="7"/>
      <c r="M315" s="7"/>
      <c r="N315" s="7"/>
      <c r="O315" s="7"/>
    </row>
    <row r="316" spans="1:15" ht="15" customHeight="1" outlineLevel="1" x14ac:dyDescent="0.3">
      <c r="A316" s="7"/>
      <c r="B316" s="27"/>
      <c r="C316" s="22" t="s">
        <v>1141</v>
      </c>
      <c r="D316" s="7"/>
      <c r="E316" s="7"/>
      <c r="F316" s="36" t="s">
        <v>549</v>
      </c>
      <c r="G316" s="61">
        <v>4.1399999999999997</v>
      </c>
      <c r="H316" s="7"/>
      <c r="I316" s="7"/>
      <c r="J316" s="7"/>
      <c r="K316" s="7"/>
      <c r="L316" s="7"/>
      <c r="M316" s="7"/>
      <c r="N316" s="7"/>
      <c r="O316" s="7"/>
    </row>
    <row r="317" spans="1:15" s="2" customFormat="1" ht="28.8" x14ac:dyDescent="0.3">
      <c r="A317" s="4"/>
      <c r="B317" s="4"/>
      <c r="C317" s="4" t="s">
        <v>146</v>
      </c>
      <c r="D317" s="6"/>
      <c r="E317" s="6"/>
      <c r="F317" s="36"/>
      <c r="G317" s="41"/>
      <c r="H317" s="4"/>
      <c r="I317" s="4"/>
      <c r="J317" s="4"/>
      <c r="K317" s="4"/>
      <c r="L317" s="4"/>
      <c r="M317" s="4"/>
      <c r="N317" s="4"/>
      <c r="O317" s="4"/>
    </row>
    <row r="318" spans="1:15" ht="43.2" outlineLevel="1" x14ac:dyDescent="0.3">
      <c r="A318" s="7">
        <v>181</v>
      </c>
      <c r="B318" s="7">
        <v>181</v>
      </c>
      <c r="C318" s="7" t="s">
        <v>147</v>
      </c>
      <c r="D318" s="8" t="s">
        <v>546</v>
      </c>
      <c r="E318" s="8">
        <v>9354</v>
      </c>
      <c r="F318" s="36" t="s">
        <v>546</v>
      </c>
      <c r="G318" s="61">
        <v>9354</v>
      </c>
      <c r="H318" s="7"/>
      <c r="I318" s="7"/>
      <c r="J318" s="7"/>
      <c r="K318" s="7"/>
      <c r="L318" s="7"/>
      <c r="M318" s="7"/>
      <c r="N318" s="7"/>
      <c r="O318" s="7"/>
    </row>
    <row r="319" spans="1:15" ht="28.8" outlineLevel="1" x14ac:dyDescent="0.3">
      <c r="A319" s="7">
        <v>182</v>
      </c>
      <c r="B319" s="7">
        <v>182</v>
      </c>
      <c r="C319" s="7" t="s">
        <v>148</v>
      </c>
      <c r="D319" s="8" t="s">
        <v>546</v>
      </c>
      <c r="E319" s="8">
        <v>9354</v>
      </c>
      <c r="F319" s="36" t="s">
        <v>546</v>
      </c>
      <c r="G319" s="61">
        <v>9354</v>
      </c>
      <c r="H319" s="7"/>
      <c r="I319" s="7"/>
      <c r="J319" s="7"/>
      <c r="K319" s="7"/>
      <c r="L319" s="7"/>
      <c r="M319" s="7"/>
      <c r="N319" s="7" t="s">
        <v>734</v>
      </c>
      <c r="O319" s="7"/>
    </row>
    <row r="320" spans="1:15" ht="28.8" outlineLevel="1" x14ac:dyDescent="0.3">
      <c r="A320" s="7">
        <v>183</v>
      </c>
      <c r="B320" s="7">
        <v>183</v>
      </c>
      <c r="C320" s="7" t="s">
        <v>149</v>
      </c>
      <c r="D320" s="8" t="s">
        <v>546</v>
      </c>
      <c r="E320" s="8">
        <v>9354</v>
      </c>
      <c r="F320" s="36" t="s">
        <v>549</v>
      </c>
      <c r="G320" s="64">
        <f>9354*0.1</f>
        <v>935.40000000000009</v>
      </c>
      <c r="H320" s="7"/>
      <c r="I320" s="7"/>
      <c r="J320" s="7"/>
      <c r="K320" s="7"/>
      <c r="L320" s="7"/>
      <c r="M320" s="7"/>
      <c r="N320" s="7" t="s">
        <v>735</v>
      </c>
      <c r="O320" s="7"/>
    </row>
    <row r="321" spans="1:15" ht="28.8" outlineLevel="1" x14ac:dyDescent="0.3">
      <c r="A321" s="7">
        <v>184</v>
      </c>
      <c r="B321" s="7">
        <v>184</v>
      </c>
      <c r="C321" s="7" t="s">
        <v>150</v>
      </c>
      <c r="D321" s="8" t="s">
        <v>546</v>
      </c>
      <c r="E321" s="8">
        <v>9354</v>
      </c>
      <c r="F321" s="36" t="s">
        <v>549</v>
      </c>
      <c r="G321" s="65">
        <v>4037</v>
      </c>
      <c r="H321" s="7"/>
      <c r="I321" s="7"/>
      <c r="J321" s="7"/>
      <c r="K321" s="7"/>
      <c r="L321" s="7"/>
      <c r="M321" s="7"/>
      <c r="N321" s="7" t="s">
        <v>736</v>
      </c>
      <c r="O321" s="7"/>
    </row>
    <row r="322" spans="1:15" ht="28.8" outlineLevel="1" x14ac:dyDescent="0.3">
      <c r="A322" s="7">
        <v>185</v>
      </c>
      <c r="B322" s="7">
        <v>185</v>
      </c>
      <c r="C322" s="7" t="s">
        <v>151</v>
      </c>
      <c r="D322" s="8" t="s">
        <v>546</v>
      </c>
      <c r="E322" s="8">
        <v>9354</v>
      </c>
      <c r="F322" s="36" t="s">
        <v>549</v>
      </c>
      <c r="G322" s="41">
        <f>9354*0.18*2</f>
        <v>3367.44</v>
      </c>
      <c r="H322" s="7"/>
      <c r="I322" s="7"/>
      <c r="J322" s="7"/>
      <c r="K322" s="7"/>
      <c r="L322" s="7"/>
      <c r="M322" s="7"/>
      <c r="N322" s="7" t="s">
        <v>737</v>
      </c>
      <c r="O322" s="7"/>
    </row>
    <row r="323" spans="1:15" ht="28.8" outlineLevel="1" x14ac:dyDescent="0.3">
      <c r="A323" s="7">
        <v>186</v>
      </c>
      <c r="B323" s="7">
        <v>186</v>
      </c>
      <c r="C323" s="7" t="s">
        <v>152</v>
      </c>
      <c r="D323" s="8" t="s">
        <v>546</v>
      </c>
      <c r="E323" s="8">
        <v>3842</v>
      </c>
      <c r="F323" s="36" t="s">
        <v>549</v>
      </c>
      <c r="G323" s="41">
        <f>3842*0.1</f>
        <v>384.20000000000005</v>
      </c>
      <c r="H323" s="7"/>
      <c r="I323" s="7"/>
      <c r="J323" s="7"/>
      <c r="K323" s="7"/>
      <c r="L323" s="7"/>
      <c r="M323" s="7"/>
      <c r="N323" s="7" t="s">
        <v>735</v>
      </c>
      <c r="O323" s="7"/>
    </row>
    <row r="324" spans="1:15" ht="28.8" outlineLevel="1" x14ac:dyDescent="0.3">
      <c r="A324" s="7">
        <v>187</v>
      </c>
      <c r="B324" s="7">
        <v>187</v>
      </c>
      <c r="C324" s="7" t="s">
        <v>153</v>
      </c>
      <c r="D324" s="8" t="s">
        <v>546</v>
      </c>
      <c r="E324" s="8">
        <v>3842</v>
      </c>
      <c r="F324" s="36" t="s">
        <v>549</v>
      </c>
      <c r="G324" s="41">
        <v>1043</v>
      </c>
      <c r="H324" s="7"/>
      <c r="I324" s="7"/>
      <c r="J324" s="7"/>
      <c r="K324" s="7"/>
      <c r="L324" s="7"/>
      <c r="M324" s="7"/>
      <c r="N324" s="7" t="s">
        <v>738</v>
      </c>
      <c r="O324" s="7"/>
    </row>
    <row r="325" spans="1:15" ht="43.2" outlineLevel="1" x14ac:dyDescent="0.3">
      <c r="A325" s="7">
        <v>188</v>
      </c>
      <c r="B325" s="7">
        <v>188</v>
      </c>
      <c r="C325" s="7" t="s">
        <v>154</v>
      </c>
      <c r="D325" s="8" t="s">
        <v>546</v>
      </c>
      <c r="E325" s="8">
        <v>3842</v>
      </c>
      <c r="F325" s="36" t="s">
        <v>549</v>
      </c>
      <c r="G325" s="41">
        <f>3842*0.18*2</f>
        <v>1383.12</v>
      </c>
      <c r="H325" s="7"/>
      <c r="I325" s="7"/>
      <c r="J325" s="7"/>
      <c r="K325" s="7"/>
      <c r="L325" s="7"/>
      <c r="M325" s="7"/>
      <c r="N325" s="7" t="s">
        <v>737</v>
      </c>
      <c r="O325" s="7"/>
    </row>
    <row r="326" spans="1:15" s="2" customFormat="1" x14ac:dyDescent="0.3">
      <c r="A326" s="4"/>
      <c r="B326" s="4"/>
      <c r="C326" s="4" t="s">
        <v>155</v>
      </c>
      <c r="D326" s="6"/>
      <c r="E326" s="6"/>
      <c r="F326" s="36"/>
      <c r="G326" s="41"/>
      <c r="H326" s="4"/>
      <c r="I326" s="4"/>
      <c r="J326" s="4"/>
      <c r="K326" s="4"/>
      <c r="L326" s="4"/>
      <c r="M326" s="4"/>
      <c r="N326" s="4"/>
      <c r="O326" s="4"/>
    </row>
    <row r="327" spans="1:15" ht="28.8" outlineLevel="1" x14ac:dyDescent="0.3">
      <c r="A327" s="7">
        <v>189</v>
      </c>
      <c r="B327" s="7">
        <v>189</v>
      </c>
      <c r="C327" s="7" t="s">
        <v>156</v>
      </c>
      <c r="D327" s="8" t="s">
        <v>548</v>
      </c>
      <c r="E327" s="8">
        <v>5.7</v>
      </c>
      <c r="F327" s="36" t="s">
        <v>548</v>
      </c>
      <c r="G327" s="61">
        <v>5.7</v>
      </c>
      <c r="H327" s="7"/>
      <c r="I327" s="7"/>
      <c r="J327" s="7"/>
      <c r="K327" s="7"/>
      <c r="L327" s="7"/>
      <c r="M327" s="7"/>
      <c r="N327" s="7" t="s">
        <v>739</v>
      </c>
      <c r="O327" s="7"/>
    </row>
    <row r="328" spans="1:15" outlineLevel="1" x14ac:dyDescent="0.3">
      <c r="A328" s="7">
        <v>190</v>
      </c>
      <c r="B328" s="7">
        <v>190</v>
      </c>
      <c r="C328" s="7" t="s">
        <v>157</v>
      </c>
      <c r="D328" s="8" t="s">
        <v>548</v>
      </c>
      <c r="E328" s="8">
        <v>5</v>
      </c>
      <c r="F328" s="36" t="s">
        <v>548</v>
      </c>
      <c r="G328" s="61">
        <v>5</v>
      </c>
      <c r="H328" s="7"/>
      <c r="I328" s="7"/>
      <c r="J328" s="7"/>
      <c r="K328" s="7"/>
      <c r="L328" s="7"/>
      <c r="M328" s="7"/>
      <c r="N328" s="7"/>
      <c r="O328" s="7"/>
    </row>
    <row r="329" spans="1:15" outlineLevel="1" x14ac:dyDescent="0.3">
      <c r="A329" s="7">
        <v>191</v>
      </c>
      <c r="B329" s="7">
        <v>191</v>
      </c>
      <c r="C329" s="7" t="s">
        <v>158</v>
      </c>
      <c r="D329" s="8" t="s">
        <v>547</v>
      </c>
      <c r="E329" s="8">
        <v>60</v>
      </c>
      <c r="F329" s="36" t="s">
        <v>547</v>
      </c>
      <c r="G329" s="61">
        <v>60</v>
      </c>
      <c r="H329" s="7"/>
      <c r="I329" s="7"/>
      <c r="J329" s="7"/>
      <c r="K329" s="7"/>
      <c r="L329" s="7"/>
      <c r="M329" s="7"/>
      <c r="N329" s="7"/>
      <c r="O329" s="7"/>
    </row>
    <row r="330" spans="1:15" ht="72" outlineLevel="1" x14ac:dyDescent="0.3">
      <c r="A330" s="7">
        <v>192</v>
      </c>
      <c r="B330" s="7">
        <v>192</v>
      </c>
      <c r="C330" s="7" t="s">
        <v>159</v>
      </c>
      <c r="D330" s="8" t="s">
        <v>547</v>
      </c>
      <c r="E330" s="8">
        <v>45</v>
      </c>
      <c r="F330" s="36" t="s">
        <v>549</v>
      </c>
      <c r="G330" s="41">
        <f>SUM(G331:G333)</f>
        <v>18.810000000000002</v>
      </c>
      <c r="H330" s="7"/>
      <c r="I330" s="7"/>
      <c r="J330" s="7"/>
      <c r="K330" s="7"/>
      <c r="L330" s="7"/>
      <c r="M330" s="7"/>
      <c r="N330" s="7" t="s">
        <v>740</v>
      </c>
      <c r="O330" s="7"/>
    </row>
    <row r="331" spans="1:15" outlineLevel="1" x14ac:dyDescent="0.3">
      <c r="A331" s="7"/>
      <c r="B331" s="7"/>
      <c r="C331" s="22" t="s">
        <v>1142</v>
      </c>
      <c r="D331" s="7"/>
      <c r="E331" s="7"/>
      <c r="F331" s="36" t="s">
        <v>549</v>
      </c>
      <c r="G331" s="61">
        <v>10.845000000000001</v>
      </c>
      <c r="H331" s="7"/>
      <c r="I331" s="7"/>
      <c r="J331" s="7"/>
      <c r="K331" s="7"/>
      <c r="L331" s="7"/>
      <c r="M331" s="7"/>
      <c r="N331" s="7"/>
      <c r="O331" s="7"/>
    </row>
    <row r="332" spans="1:15" outlineLevel="1" x14ac:dyDescent="0.3">
      <c r="A332" s="7"/>
      <c r="B332" s="7"/>
      <c r="C332" s="22" t="s">
        <v>1143</v>
      </c>
      <c r="D332" s="7"/>
      <c r="E332" s="7"/>
      <c r="F332" s="36" t="s">
        <v>549</v>
      </c>
      <c r="G332" s="61">
        <v>6.4349999999999996</v>
      </c>
      <c r="H332" s="7"/>
      <c r="I332" s="7"/>
      <c r="J332" s="7"/>
      <c r="K332" s="7"/>
      <c r="L332" s="7"/>
      <c r="M332" s="7"/>
      <c r="N332" s="7"/>
      <c r="O332" s="7"/>
    </row>
    <row r="333" spans="1:15" outlineLevel="1" x14ac:dyDescent="0.3">
      <c r="A333" s="7"/>
      <c r="B333" s="7"/>
      <c r="C333" s="22" t="s">
        <v>1144</v>
      </c>
      <c r="D333" s="7"/>
      <c r="E333" s="7"/>
      <c r="F333" s="36" t="s">
        <v>549</v>
      </c>
      <c r="G333" s="61">
        <v>1.53</v>
      </c>
      <c r="H333" s="7"/>
      <c r="I333" s="7"/>
      <c r="J333" s="7"/>
      <c r="K333" s="7"/>
      <c r="L333" s="7"/>
      <c r="M333" s="7"/>
      <c r="N333" s="7"/>
      <c r="O333" s="7"/>
    </row>
    <row r="334" spans="1:15" ht="144" outlineLevel="1" x14ac:dyDescent="0.3">
      <c r="A334" s="7">
        <v>193</v>
      </c>
      <c r="B334" s="7">
        <v>193</v>
      </c>
      <c r="C334" s="7" t="s">
        <v>160</v>
      </c>
      <c r="D334" s="8" t="s">
        <v>550</v>
      </c>
      <c r="E334" s="8">
        <v>1.2929999999999999</v>
      </c>
      <c r="F334" s="36" t="s">
        <v>1052</v>
      </c>
      <c r="G334" s="59">
        <f>SUM(G335:G341)/1000</f>
        <v>1.2930670000000002</v>
      </c>
      <c r="H334" s="7"/>
      <c r="I334" s="7"/>
      <c r="J334" s="7"/>
      <c r="K334" s="7"/>
      <c r="L334" s="7"/>
      <c r="M334" s="7"/>
      <c r="N334" s="7" t="s">
        <v>741</v>
      </c>
      <c r="O334" s="7"/>
    </row>
    <row r="335" spans="1:15" outlineLevel="1" x14ac:dyDescent="0.3">
      <c r="A335" s="7"/>
      <c r="B335" s="7"/>
      <c r="C335" s="22" t="s">
        <v>1118</v>
      </c>
      <c r="D335" s="7"/>
      <c r="E335" s="7"/>
      <c r="F335" s="36" t="s">
        <v>549</v>
      </c>
      <c r="G335" s="61">
        <v>665.23599999999999</v>
      </c>
      <c r="H335" s="7"/>
      <c r="I335" s="7"/>
      <c r="J335" s="7"/>
      <c r="K335" s="7"/>
      <c r="L335" s="7"/>
      <c r="M335" s="7"/>
      <c r="N335" s="7"/>
      <c r="O335" s="7"/>
    </row>
    <row r="336" spans="1:15" outlineLevel="1" x14ac:dyDescent="0.3">
      <c r="A336" s="7"/>
      <c r="B336" s="7"/>
      <c r="C336" s="22" t="s">
        <v>1145</v>
      </c>
      <c r="D336" s="7"/>
      <c r="E336" s="7"/>
      <c r="F336" s="36" t="s">
        <v>549</v>
      </c>
      <c r="G336" s="61">
        <v>84.64</v>
      </c>
      <c r="H336" s="7"/>
      <c r="I336" s="7"/>
      <c r="J336" s="7"/>
      <c r="K336" s="7"/>
      <c r="L336" s="7"/>
      <c r="M336" s="7"/>
      <c r="N336" s="7"/>
      <c r="O336" s="7"/>
    </row>
    <row r="337" spans="1:15" outlineLevel="1" x14ac:dyDescent="0.3">
      <c r="A337" s="7"/>
      <c r="B337" s="7"/>
      <c r="C337" s="22" t="s">
        <v>1134</v>
      </c>
      <c r="D337" s="7"/>
      <c r="E337" s="7"/>
      <c r="F337" s="36" t="s">
        <v>549</v>
      </c>
      <c r="G337" s="61">
        <v>37.206000000000003</v>
      </c>
      <c r="H337" s="7"/>
      <c r="I337" s="7"/>
      <c r="J337" s="7"/>
      <c r="K337" s="7"/>
      <c r="L337" s="7"/>
      <c r="M337" s="7"/>
      <c r="N337" s="7"/>
      <c r="O337" s="7"/>
    </row>
    <row r="338" spans="1:15" outlineLevel="1" x14ac:dyDescent="0.3">
      <c r="A338" s="7"/>
      <c r="B338" s="7"/>
      <c r="C338" s="22" t="s">
        <v>1120</v>
      </c>
      <c r="D338" s="7"/>
      <c r="E338" s="7"/>
      <c r="F338" s="36" t="s">
        <v>549</v>
      </c>
      <c r="G338" s="61">
        <v>266.05</v>
      </c>
      <c r="H338" s="7"/>
      <c r="I338" s="7"/>
      <c r="J338" s="7"/>
      <c r="K338" s="7"/>
      <c r="L338" s="7"/>
      <c r="M338" s="7"/>
      <c r="N338" s="7"/>
      <c r="O338" s="7"/>
    </row>
    <row r="339" spans="1:15" outlineLevel="1" x14ac:dyDescent="0.3">
      <c r="A339" s="7"/>
      <c r="B339" s="7"/>
      <c r="C339" s="22" t="s">
        <v>1146</v>
      </c>
      <c r="D339" s="7"/>
      <c r="E339" s="7"/>
      <c r="F339" s="36" t="s">
        <v>549</v>
      </c>
      <c r="G339" s="61">
        <v>123.509</v>
      </c>
      <c r="H339" s="7"/>
      <c r="I339" s="7"/>
      <c r="J339" s="7"/>
      <c r="K339" s="7"/>
      <c r="L339" s="7"/>
      <c r="M339" s="7"/>
      <c r="N339" s="7"/>
      <c r="O339" s="7"/>
    </row>
    <row r="340" spans="1:15" outlineLevel="1" x14ac:dyDescent="0.3">
      <c r="A340" s="7"/>
      <c r="B340" s="7"/>
      <c r="C340" s="22" t="s">
        <v>1147</v>
      </c>
      <c r="D340" s="7"/>
      <c r="E340" s="7"/>
      <c r="F340" s="36" t="s">
        <v>549</v>
      </c>
      <c r="G340" s="61">
        <v>59.485999999999997</v>
      </c>
      <c r="H340" s="7"/>
      <c r="I340" s="7"/>
      <c r="J340" s="7"/>
      <c r="K340" s="7"/>
      <c r="L340" s="7"/>
      <c r="M340" s="7"/>
      <c r="N340" s="7"/>
      <c r="O340" s="7"/>
    </row>
    <row r="341" spans="1:15" outlineLevel="1" x14ac:dyDescent="0.3">
      <c r="A341" s="7"/>
      <c r="B341" s="7"/>
      <c r="C341" s="22" t="s">
        <v>1148</v>
      </c>
      <c r="D341" s="7"/>
      <c r="E341" s="7"/>
      <c r="F341" s="36" t="s">
        <v>549</v>
      </c>
      <c r="G341" s="61">
        <v>56.94</v>
      </c>
      <c r="H341" s="7"/>
      <c r="I341" s="7"/>
      <c r="J341" s="7"/>
      <c r="K341" s="7"/>
      <c r="L341" s="7"/>
      <c r="M341" s="7"/>
      <c r="N341" s="7"/>
      <c r="O341" s="7"/>
    </row>
    <row r="342" spans="1:15" outlineLevel="1" x14ac:dyDescent="0.3">
      <c r="A342" s="7"/>
      <c r="B342" s="7"/>
      <c r="C342" s="4" t="s">
        <v>161</v>
      </c>
      <c r="D342" s="8"/>
      <c r="E342" s="8"/>
      <c r="F342" s="36"/>
      <c r="G342" s="41"/>
      <c r="H342" s="7"/>
      <c r="I342" s="7"/>
      <c r="J342" s="7"/>
      <c r="K342" s="7"/>
      <c r="L342" s="7"/>
      <c r="M342" s="7"/>
      <c r="N342" s="7"/>
      <c r="O342" s="7"/>
    </row>
    <row r="343" spans="1:15" outlineLevel="1" x14ac:dyDescent="0.3">
      <c r="A343" s="7">
        <v>194</v>
      </c>
      <c r="B343" s="7">
        <v>194</v>
      </c>
      <c r="C343" s="7" t="s">
        <v>162</v>
      </c>
      <c r="D343" s="8" t="s">
        <v>549</v>
      </c>
      <c r="E343" s="8">
        <v>4.24</v>
      </c>
      <c r="F343" s="36" t="s">
        <v>549</v>
      </c>
      <c r="G343" s="61">
        <v>4.24</v>
      </c>
      <c r="H343" s="7"/>
      <c r="I343" s="7"/>
      <c r="J343" s="7"/>
      <c r="K343" s="7"/>
      <c r="L343" s="7"/>
      <c r="M343" s="7"/>
      <c r="N343" s="7" t="s">
        <v>742</v>
      </c>
      <c r="O343" s="7"/>
    </row>
    <row r="344" spans="1:15" ht="28.8" outlineLevel="1" x14ac:dyDescent="0.3">
      <c r="A344" s="7">
        <v>195</v>
      </c>
      <c r="B344" s="7">
        <v>195</v>
      </c>
      <c r="C344" s="7" t="s">
        <v>163</v>
      </c>
      <c r="D344" s="8" t="s">
        <v>549</v>
      </c>
      <c r="E344" s="8">
        <v>13.65</v>
      </c>
      <c r="F344" s="36" t="s">
        <v>1052</v>
      </c>
      <c r="G344" s="66">
        <f>13.65/1000</f>
        <v>1.3650000000000001E-2</v>
      </c>
      <c r="H344" s="7"/>
      <c r="I344" s="7"/>
      <c r="J344" s="7"/>
      <c r="K344" s="7"/>
      <c r="L344" s="7"/>
      <c r="M344" s="7"/>
      <c r="N344" s="7" t="s">
        <v>743</v>
      </c>
      <c r="O344" s="7"/>
    </row>
    <row r="345" spans="1:15" ht="28.8" outlineLevel="1" x14ac:dyDescent="0.3">
      <c r="A345" s="7">
        <v>196</v>
      </c>
      <c r="B345" s="7">
        <v>196</v>
      </c>
      <c r="C345" s="7" t="s">
        <v>164</v>
      </c>
      <c r="D345" s="8" t="s">
        <v>546</v>
      </c>
      <c r="E345" s="8">
        <v>1.18</v>
      </c>
      <c r="F345" s="36" t="s">
        <v>546</v>
      </c>
      <c r="G345" s="61">
        <v>1.18</v>
      </c>
      <c r="H345" s="7"/>
      <c r="I345" s="7"/>
      <c r="J345" s="7"/>
      <c r="K345" s="7"/>
      <c r="L345" s="7"/>
      <c r="M345" s="7"/>
      <c r="N345" s="7" t="s">
        <v>744</v>
      </c>
      <c r="O345" s="7"/>
    </row>
    <row r="346" spans="1:15" ht="28.8" outlineLevel="1" x14ac:dyDescent="0.3">
      <c r="A346" s="7">
        <v>197</v>
      </c>
      <c r="B346" s="7">
        <v>197</v>
      </c>
      <c r="C346" s="7" t="s">
        <v>164</v>
      </c>
      <c r="D346" s="8" t="s">
        <v>546</v>
      </c>
      <c r="E346" s="8">
        <v>0.54</v>
      </c>
      <c r="F346" s="36" t="s">
        <v>546</v>
      </c>
      <c r="G346" s="61">
        <v>0.54</v>
      </c>
      <c r="H346" s="7"/>
      <c r="I346" s="7"/>
      <c r="J346" s="7"/>
      <c r="K346" s="7"/>
      <c r="L346" s="7"/>
      <c r="M346" s="7"/>
      <c r="N346" s="7" t="s">
        <v>745</v>
      </c>
      <c r="O346" s="7"/>
    </row>
    <row r="347" spans="1:15" s="2" customFormat="1" x14ac:dyDescent="0.3">
      <c r="A347" s="4"/>
      <c r="B347" s="4"/>
      <c r="C347" s="4" t="s">
        <v>165</v>
      </c>
      <c r="D347" s="6"/>
      <c r="E347" s="6"/>
      <c r="F347" s="36"/>
      <c r="G347" s="41"/>
      <c r="H347" s="4"/>
      <c r="I347" s="4"/>
      <c r="J347" s="4"/>
      <c r="K347" s="4"/>
      <c r="L347" s="4"/>
      <c r="M347" s="4"/>
      <c r="N347" s="4"/>
      <c r="O347" s="4"/>
    </row>
    <row r="348" spans="1:15" ht="100.8" outlineLevel="1" x14ac:dyDescent="0.3">
      <c r="A348" s="7">
        <v>198</v>
      </c>
      <c r="B348" s="7">
        <v>198</v>
      </c>
      <c r="C348" s="7" t="s">
        <v>166</v>
      </c>
      <c r="D348" s="8" t="s">
        <v>549</v>
      </c>
      <c r="E348" s="8">
        <v>30.17</v>
      </c>
      <c r="F348" s="36" t="s">
        <v>1052</v>
      </c>
      <c r="G348" s="41">
        <f>SUM(G349:G350)/1000</f>
        <v>3.0168E-2</v>
      </c>
      <c r="H348" s="7"/>
      <c r="I348" s="7"/>
      <c r="J348" s="7"/>
      <c r="K348" s="7"/>
      <c r="L348" s="7"/>
      <c r="M348" s="7"/>
      <c r="N348" s="7" t="s">
        <v>746</v>
      </c>
      <c r="O348" s="7"/>
    </row>
    <row r="349" spans="1:15" outlineLevel="1" x14ac:dyDescent="0.3">
      <c r="A349" s="7"/>
      <c r="B349" s="7"/>
      <c r="C349" s="22" t="s">
        <v>1149</v>
      </c>
      <c r="D349" s="7"/>
      <c r="E349" s="7"/>
      <c r="F349" s="36" t="s">
        <v>549</v>
      </c>
      <c r="G349" s="61">
        <v>22.32</v>
      </c>
      <c r="H349" s="7"/>
      <c r="I349" s="7"/>
      <c r="J349" s="7"/>
      <c r="K349" s="7"/>
      <c r="L349" s="7"/>
      <c r="M349" s="7"/>
      <c r="N349" s="7"/>
      <c r="O349" s="7"/>
    </row>
    <row r="350" spans="1:15" outlineLevel="1" x14ac:dyDescent="0.3">
      <c r="A350" s="7"/>
      <c r="B350" s="7"/>
      <c r="C350" s="22" t="s">
        <v>1150</v>
      </c>
      <c r="D350" s="7"/>
      <c r="E350" s="7"/>
      <c r="F350" s="36" t="s">
        <v>549</v>
      </c>
      <c r="G350" s="61">
        <v>7.8479999999999999</v>
      </c>
      <c r="H350" s="7"/>
      <c r="I350" s="7"/>
      <c r="J350" s="7"/>
      <c r="K350" s="7"/>
      <c r="L350" s="7"/>
      <c r="M350" s="7"/>
      <c r="N350" s="7"/>
      <c r="O350" s="7"/>
    </row>
    <row r="351" spans="1:15" outlineLevel="1" x14ac:dyDescent="0.3">
      <c r="A351" s="7"/>
      <c r="B351" s="7"/>
      <c r="C351" s="22" t="s">
        <v>1151</v>
      </c>
      <c r="D351" s="7"/>
      <c r="E351" s="7"/>
      <c r="F351" s="36" t="s">
        <v>549</v>
      </c>
      <c r="G351" s="61">
        <v>2.92</v>
      </c>
      <c r="H351" s="7"/>
      <c r="I351" s="7"/>
      <c r="J351" s="7"/>
      <c r="K351" s="7"/>
      <c r="L351" s="7"/>
      <c r="M351" s="7"/>
      <c r="N351" s="7"/>
      <c r="O351" s="7"/>
    </row>
    <row r="352" spans="1:15" outlineLevel="1" x14ac:dyDescent="0.3">
      <c r="A352" s="7"/>
      <c r="B352" s="7"/>
      <c r="C352" s="22" t="s">
        <v>1152</v>
      </c>
      <c r="D352" s="7"/>
      <c r="E352" s="7"/>
      <c r="F352" s="36" t="s">
        <v>549</v>
      </c>
      <c r="G352" s="61">
        <v>1.72</v>
      </c>
      <c r="H352" s="7"/>
      <c r="I352" s="7"/>
      <c r="J352" s="7"/>
      <c r="K352" s="7"/>
      <c r="L352" s="7"/>
      <c r="M352" s="7"/>
      <c r="N352" s="7"/>
      <c r="O352" s="7"/>
    </row>
    <row r="353" spans="1:15" outlineLevel="1" x14ac:dyDescent="0.3">
      <c r="A353" s="7"/>
      <c r="B353" s="7"/>
      <c r="C353" s="22" t="s">
        <v>1153</v>
      </c>
      <c r="D353" s="7"/>
      <c r="E353" s="7"/>
      <c r="F353" s="36" t="s">
        <v>549</v>
      </c>
      <c r="G353" s="61">
        <v>0.48</v>
      </c>
      <c r="H353" s="7"/>
      <c r="I353" s="7"/>
      <c r="J353" s="7"/>
      <c r="K353" s="7"/>
      <c r="L353" s="7"/>
      <c r="M353" s="7"/>
      <c r="N353" s="7"/>
      <c r="O353" s="7"/>
    </row>
    <row r="354" spans="1:15" ht="43.2" outlineLevel="1" x14ac:dyDescent="0.3">
      <c r="A354" s="7">
        <v>199</v>
      </c>
      <c r="B354" s="7">
        <v>199</v>
      </c>
      <c r="C354" s="7" t="s">
        <v>167</v>
      </c>
      <c r="D354" s="8" t="s">
        <v>546</v>
      </c>
      <c r="E354" s="8">
        <v>4.12</v>
      </c>
      <c r="F354" s="36" t="s">
        <v>549</v>
      </c>
      <c r="G354" s="41">
        <f>SUM(G355:G356)</f>
        <v>1.8952</v>
      </c>
      <c r="H354" s="7"/>
      <c r="I354" s="7"/>
      <c r="J354" s="7"/>
      <c r="K354" s="7"/>
      <c r="L354" s="7"/>
      <c r="M354" s="7"/>
      <c r="N354" s="7" t="s">
        <v>747</v>
      </c>
      <c r="O354" s="7"/>
    </row>
    <row r="355" spans="1:15" outlineLevel="1" x14ac:dyDescent="0.3">
      <c r="A355" s="7"/>
      <c r="B355" s="7"/>
      <c r="C355" s="22" t="s">
        <v>1154</v>
      </c>
      <c r="D355" s="8"/>
      <c r="E355" s="8"/>
      <c r="F355" s="36" t="s">
        <v>549</v>
      </c>
      <c r="G355" s="41">
        <f>4.12*0.1</f>
        <v>0.41200000000000003</v>
      </c>
      <c r="H355" s="7"/>
      <c r="I355" s="7"/>
      <c r="J355" s="7"/>
      <c r="K355" s="7"/>
      <c r="L355" s="7"/>
      <c r="M355" s="7"/>
      <c r="N355" s="7"/>
      <c r="O355" s="7"/>
    </row>
    <row r="356" spans="1:15" ht="28.8" outlineLevel="1" x14ac:dyDescent="0.3">
      <c r="A356" s="7"/>
      <c r="B356" s="7"/>
      <c r="C356" s="22" t="s">
        <v>1155</v>
      </c>
      <c r="D356" s="8"/>
      <c r="E356" s="8"/>
      <c r="F356" s="36" t="s">
        <v>549</v>
      </c>
      <c r="G356" s="41">
        <f>4.12*0.18*2</f>
        <v>1.4832000000000001</v>
      </c>
      <c r="H356" s="7"/>
      <c r="I356" s="7"/>
      <c r="J356" s="7"/>
      <c r="K356" s="7"/>
      <c r="L356" s="7"/>
      <c r="M356" s="7"/>
      <c r="N356" s="7"/>
      <c r="O356" s="7"/>
    </row>
    <row r="357" spans="1:15" ht="45" customHeight="1" outlineLevel="1" x14ac:dyDescent="0.3">
      <c r="A357" s="7">
        <v>200</v>
      </c>
      <c r="B357" s="7">
        <v>200</v>
      </c>
      <c r="C357" s="7" t="s">
        <v>168</v>
      </c>
      <c r="D357" s="8" t="s">
        <v>549</v>
      </c>
      <c r="E357" s="8">
        <v>8.83</v>
      </c>
      <c r="F357" s="36" t="s">
        <v>1052</v>
      </c>
      <c r="G357" s="41">
        <f>G358/1000</f>
        <v>8.879999999999999E-3</v>
      </c>
      <c r="H357" s="7"/>
      <c r="I357" s="7"/>
      <c r="J357" s="7"/>
      <c r="K357" s="7"/>
      <c r="L357" s="7"/>
      <c r="M357" s="7"/>
      <c r="N357" s="7" t="s">
        <v>748</v>
      </c>
      <c r="O357" s="7"/>
    </row>
    <row r="358" spans="1:15" outlineLevel="1" x14ac:dyDescent="0.3">
      <c r="A358" s="7"/>
      <c r="B358" s="7"/>
      <c r="C358" s="22" t="s">
        <v>1156</v>
      </c>
      <c r="D358" s="8"/>
      <c r="E358" s="8"/>
      <c r="F358" s="36" t="s">
        <v>549</v>
      </c>
      <c r="G358" s="41">
        <f>12*0.74</f>
        <v>8.879999999999999</v>
      </c>
      <c r="H358" s="7"/>
      <c r="I358" s="7"/>
      <c r="J358" s="7"/>
      <c r="K358" s="7"/>
      <c r="L358" s="7"/>
      <c r="M358" s="7"/>
      <c r="N358" s="7"/>
      <c r="O358" s="7"/>
    </row>
    <row r="359" spans="1:15" ht="43.2" outlineLevel="1" x14ac:dyDescent="0.3">
      <c r="A359" s="7">
        <v>201</v>
      </c>
      <c r="B359" s="7">
        <v>201</v>
      </c>
      <c r="C359" s="7" t="s">
        <v>167</v>
      </c>
      <c r="D359" s="8" t="s">
        <v>546</v>
      </c>
      <c r="E359" s="8">
        <v>0.84</v>
      </c>
      <c r="F359" s="36"/>
      <c r="G359" s="41">
        <f>SUM(G360:G361)</f>
        <v>0.38640000000000002</v>
      </c>
      <c r="H359" s="7"/>
      <c r="I359" s="7"/>
      <c r="J359" s="7"/>
      <c r="K359" s="7"/>
      <c r="L359" s="7"/>
      <c r="M359" s="7"/>
      <c r="N359" s="7" t="s">
        <v>747</v>
      </c>
      <c r="O359" s="7"/>
    </row>
    <row r="360" spans="1:15" outlineLevel="1" x14ac:dyDescent="0.3">
      <c r="A360" s="7"/>
      <c r="B360" s="7"/>
      <c r="C360" s="22" t="s">
        <v>1154</v>
      </c>
      <c r="D360" s="8"/>
      <c r="E360" s="8"/>
      <c r="F360" s="36" t="s">
        <v>549</v>
      </c>
      <c r="G360" s="41">
        <f>0.84*0.1</f>
        <v>8.4000000000000005E-2</v>
      </c>
      <c r="H360" s="7"/>
      <c r="I360" s="7"/>
      <c r="J360" s="7"/>
      <c r="K360" s="7"/>
      <c r="L360" s="7"/>
      <c r="M360" s="7"/>
      <c r="N360" s="7"/>
      <c r="O360" s="7"/>
    </row>
    <row r="361" spans="1:15" ht="28.8" outlineLevel="1" x14ac:dyDescent="0.3">
      <c r="A361" s="7"/>
      <c r="B361" s="7"/>
      <c r="C361" s="22" t="s">
        <v>1155</v>
      </c>
      <c r="D361" s="8"/>
      <c r="E361" s="8"/>
      <c r="F361" s="36" t="s">
        <v>549</v>
      </c>
      <c r="G361" s="41">
        <f>0.84*0.18*2</f>
        <v>0.3024</v>
      </c>
      <c r="H361" s="7"/>
      <c r="I361" s="7"/>
      <c r="J361" s="7"/>
      <c r="K361" s="7"/>
      <c r="L361" s="7"/>
      <c r="M361" s="7"/>
      <c r="N361" s="7"/>
      <c r="O361" s="7"/>
    </row>
    <row r="362" spans="1:15" s="2" customFormat="1" x14ac:dyDescent="0.3">
      <c r="A362" s="4"/>
      <c r="B362" s="4"/>
      <c r="C362" s="4" t="s">
        <v>169</v>
      </c>
      <c r="D362" s="6"/>
      <c r="E362" s="6"/>
      <c r="F362" s="36"/>
      <c r="G362" s="41"/>
      <c r="H362" s="4"/>
      <c r="I362" s="4"/>
      <c r="J362" s="4"/>
      <c r="K362" s="4"/>
      <c r="L362" s="4"/>
      <c r="M362" s="4"/>
      <c r="N362" s="4"/>
      <c r="O362" s="4"/>
    </row>
    <row r="363" spans="1:15" ht="100.8" outlineLevel="1" x14ac:dyDescent="0.3">
      <c r="A363" s="7">
        <v>202</v>
      </c>
      <c r="B363" s="7">
        <v>202</v>
      </c>
      <c r="C363" s="7" t="s">
        <v>170</v>
      </c>
      <c r="D363" s="8" t="s">
        <v>550</v>
      </c>
      <c r="E363" s="8">
        <v>11.45</v>
      </c>
      <c r="F363" s="36"/>
      <c r="G363" s="41">
        <f>SUM(G364:G369)/1000</f>
        <v>11.446</v>
      </c>
      <c r="H363" s="7"/>
      <c r="I363" s="7"/>
      <c r="J363" s="7"/>
      <c r="K363" s="7"/>
      <c r="L363" s="7"/>
      <c r="M363" s="7"/>
      <c r="N363" s="7" t="s">
        <v>749</v>
      </c>
      <c r="O363" s="7"/>
    </row>
    <row r="364" spans="1:15" outlineLevel="1" x14ac:dyDescent="0.3">
      <c r="A364" s="7"/>
      <c r="B364" s="7"/>
      <c r="C364" s="22" t="s">
        <v>1157</v>
      </c>
      <c r="D364" s="24"/>
      <c r="E364" s="24"/>
      <c r="F364" s="36" t="s">
        <v>549</v>
      </c>
      <c r="G364" s="61">
        <v>418.2</v>
      </c>
      <c r="H364" s="7"/>
      <c r="I364" s="7"/>
      <c r="J364" s="7"/>
      <c r="K364" s="7"/>
      <c r="L364" s="7"/>
      <c r="M364" s="7"/>
      <c r="N364" s="7"/>
      <c r="O364" s="7"/>
    </row>
    <row r="365" spans="1:15" outlineLevel="1" x14ac:dyDescent="0.3">
      <c r="A365" s="7"/>
      <c r="B365" s="7"/>
      <c r="C365" s="22" t="s">
        <v>1158</v>
      </c>
      <c r="D365" s="24"/>
      <c r="E365" s="24"/>
      <c r="F365" s="36" t="s">
        <v>549</v>
      </c>
      <c r="G365" s="62">
        <v>2476.6999999999998</v>
      </c>
      <c r="H365" s="7"/>
      <c r="I365" s="7"/>
      <c r="J365" s="7"/>
      <c r="K365" s="7"/>
      <c r="L365" s="7"/>
      <c r="M365" s="7"/>
      <c r="N365" s="7"/>
      <c r="O365" s="7"/>
    </row>
    <row r="366" spans="1:15" outlineLevel="1" x14ac:dyDescent="0.3">
      <c r="A366" s="7"/>
      <c r="B366" s="7"/>
      <c r="C366" s="22" t="s">
        <v>1159</v>
      </c>
      <c r="D366" s="24"/>
      <c r="E366" s="24"/>
      <c r="F366" s="36" t="s">
        <v>549</v>
      </c>
      <c r="G366" s="61">
        <v>375.7</v>
      </c>
      <c r="H366" s="7"/>
      <c r="I366" s="7"/>
      <c r="J366" s="7"/>
      <c r="K366" s="7"/>
      <c r="L366" s="7"/>
      <c r="M366" s="7"/>
      <c r="N366" s="7"/>
      <c r="O366" s="7"/>
    </row>
    <row r="367" spans="1:15" outlineLevel="1" x14ac:dyDescent="0.3">
      <c r="A367" s="7"/>
      <c r="B367" s="7"/>
      <c r="C367" s="22" t="s">
        <v>1160</v>
      </c>
      <c r="D367" s="24"/>
      <c r="E367" s="24"/>
      <c r="F367" s="36" t="s">
        <v>549</v>
      </c>
      <c r="G367" s="62">
        <v>2476.6999999999998</v>
      </c>
      <c r="H367" s="7"/>
      <c r="I367" s="7"/>
      <c r="J367" s="7"/>
      <c r="K367" s="7"/>
      <c r="L367" s="7"/>
      <c r="M367" s="7"/>
      <c r="N367" s="7"/>
      <c r="O367" s="7"/>
    </row>
    <row r="368" spans="1:15" outlineLevel="1" x14ac:dyDescent="0.3">
      <c r="A368" s="7"/>
      <c r="B368" s="7"/>
      <c r="C368" s="22" t="s">
        <v>1161</v>
      </c>
      <c r="D368" s="24"/>
      <c r="E368" s="24"/>
      <c r="F368" s="36" t="s">
        <v>549</v>
      </c>
      <c r="G368" s="61">
        <v>742</v>
      </c>
      <c r="H368" s="7"/>
      <c r="I368" s="7"/>
      <c r="J368" s="7"/>
      <c r="K368" s="7"/>
      <c r="L368" s="7"/>
      <c r="M368" s="7"/>
      <c r="N368" s="7"/>
      <c r="O368" s="7"/>
    </row>
    <row r="369" spans="1:15" outlineLevel="1" x14ac:dyDescent="0.3">
      <c r="A369" s="7"/>
      <c r="B369" s="7"/>
      <c r="C369" s="22" t="s">
        <v>1162</v>
      </c>
      <c r="D369" s="24"/>
      <c r="E369" s="24"/>
      <c r="F369" s="36" t="s">
        <v>549</v>
      </c>
      <c r="G369" s="62">
        <v>4956.7</v>
      </c>
      <c r="H369" s="7"/>
      <c r="I369" s="7"/>
      <c r="J369" s="7"/>
      <c r="K369" s="7"/>
      <c r="L369" s="7"/>
      <c r="M369" s="7"/>
      <c r="N369" s="7"/>
      <c r="O369" s="7"/>
    </row>
    <row r="370" spans="1:15" ht="28.8" outlineLevel="1" x14ac:dyDescent="0.3">
      <c r="A370" s="7">
        <v>203</v>
      </c>
      <c r="B370" s="7">
        <v>203</v>
      </c>
      <c r="C370" s="7" t="s">
        <v>171</v>
      </c>
      <c r="D370" s="8" t="s">
        <v>546</v>
      </c>
      <c r="E370" s="8">
        <v>1278.42</v>
      </c>
      <c r="F370" s="36" t="s">
        <v>546</v>
      </c>
      <c r="G370" s="61">
        <v>1278.42</v>
      </c>
      <c r="H370" s="7"/>
      <c r="I370" s="7"/>
      <c r="J370" s="7"/>
      <c r="K370" s="7"/>
      <c r="L370" s="7"/>
      <c r="M370" s="7"/>
      <c r="N370" s="7" t="s">
        <v>750</v>
      </c>
      <c r="O370" s="7"/>
    </row>
    <row r="371" spans="1:15" ht="86.4" outlineLevel="1" x14ac:dyDescent="0.3">
      <c r="A371" s="7">
        <v>204</v>
      </c>
      <c r="B371" s="7">
        <v>204</v>
      </c>
      <c r="C371" s="7" t="s">
        <v>172</v>
      </c>
      <c r="D371" s="8" t="s">
        <v>546</v>
      </c>
      <c r="E371" s="8">
        <v>1037.088</v>
      </c>
      <c r="F371" s="36" t="s">
        <v>546</v>
      </c>
      <c r="G371" s="41">
        <f>SUM(G372:G374)</f>
        <v>1037.0880000000002</v>
      </c>
      <c r="H371" s="7"/>
      <c r="I371" s="7"/>
      <c r="J371" s="7"/>
      <c r="K371" s="7"/>
      <c r="L371" s="7"/>
      <c r="M371" s="7"/>
      <c r="N371" s="7" t="s">
        <v>751</v>
      </c>
      <c r="O371" s="7"/>
    </row>
    <row r="372" spans="1:15" ht="28.8" outlineLevel="1" x14ac:dyDescent="0.3">
      <c r="A372" s="7"/>
      <c r="B372" s="7"/>
      <c r="C372" s="22" t="s">
        <v>1164</v>
      </c>
      <c r="D372" s="7"/>
      <c r="E372" s="7"/>
      <c r="F372" s="36" t="s">
        <v>546</v>
      </c>
      <c r="G372" s="61">
        <v>264.74400000000003</v>
      </c>
      <c r="H372" s="7"/>
      <c r="I372" s="7"/>
      <c r="J372" s="7"/>
      <c r="K372" s="7"/>
      <c r="L372" s="7"/>
      <c r="M372" s="7"/>
      <c r="N372" s="7"/>
      <c r="O372" s="7"/>
    </row>
    <row r="373" spans="1:15" ht="28.8" outlineLevel="1" x14ac:dyDescent="0.3">
      <c r="A373" s="7"/>
      <c r="B373" s="7"/>
      <c r="C373" s="22" t="s">
        <v>1165</v>
      </c>
      <c r="D373" s="7"/>
      <c r="E373" s="7"/>
      <c r="F373" s="36" t="s">
        <v>551</v>
      </c>
      <c r="G373" s="61">
        <v>258.33600000000001</v>
      </c>
      <c r="H373" s="7"/>
      <c r="I373" s="7"/>
      <c r="J373" s="7"/>
      <c r="K373" s="7"/>
      <c r="L373" s="7"/>
      <c r="M373" s="7"/>
      <c r="N373" s="7"/>
      <c r="O373" s="7"/>
    </row>
    <row r="374" spans="1:15" ht="28.8" outlineLevel="1" x14ac:dyDescent="0.3">
      <c r="A374" s="7"/>
      <c r="B374" s="7"/>
      <c r="C374" s="22" t="s">
        <v>1166</v>
      </c>
      <c r="D374" s="7"/>
      <c r="E374" s="7"/>
      <c r="F374" s="36" t="s">
        <v>1163</v>
      </c>
      <c r="G374" s="61">
        <v>514.00800000000004</v>
      </c>
      <c r="H374" s="7"/>
      <c r="I374" s="7"/>
      <c r="J374" s="7"/>
      <c r="K374" s="7"/>
      <c r="L374" s="7"/>
      <c r="M374" s="7"/>
      <c r="N374" s="7"/>
      <c r="O374" s="7"/>
    </row>
    <row r="375" spans="1:15" ht="42.6" customHeight="1" outlineLevel="1" x14ac:dyDescent="0.3">
      <c r="A375" s="7">
        <v>205</v>
      </c>
      <c r="B375" s="7">
        <v>205</v>
      </c>
      <c r="C375" s="7" t="s">
        <v>173</v>
      </c>
      <c r="D375" s="8" t="s">
        <v>546</v>
      </c>
      <c r="E375" s="8">
        <v>19.2</v>
      </c>
      <c r="F375" s="36" t="s">
        <v>546</v>
      </c>
      <c r="G375" s="61">
        <v>19.2</v>
      </c>
      <c r="H375" s="7"/>
      <c r="I375" s="7"/>
      <c r="J375" s="7"/>
      <c r="K375" s="7"/>
      <c r="L375" s="7"/>
      <c r="M375" s="7"/>
      <c r="N375" s="7" t="s">
        <v>752</v>
      </c>
      <c r="O375" s="7"/>
    </row>
    <row r="376" spans="1:15" s="2" customFormat="1" x14ac:dyDescent="0.3">
      <c r="A376" s="4"/>
      <c r="B376" s="4"/>
      <c r="C376" s="4" t="s">
        <v>174</v>
      </c>
      <c r="D376" s="6"/>
      <c r="E376" s="6"/>
      <c r="F376" s="36"/>
      <c r="G376" s="41"/>
      <c r="H376" s="4"/>
      <c r="I376" s="4"/>
      <c r="J376" s="4"/>
      <c r="K376" s="4"/>
      <c r="L376" s="4"/>
      <c r="M376" s="4"/>
      <c r="N376" s="4"/>
      <c r="O376" s="4"/>
    </row>
    <row r="377" spans="1:15" ht="129.6" outlineLevel="1" x14ac:dyDescent="0.3">
      <c r="A377" s="7">
        <v>206</v>
      </c>
      <c r="B377" s="7">
        <v>206</v>
      </c>
      <c r="C377" s="7" t="s">
        <v>175</v>
      </c>
      <c r="D377" s="8" t="s">
        <v>549</v>
      </c>
      <c r="E377" s="8">
        <v>1003.9</v>
      </c>
      <c r="F377" s="36" t="s">
        <v>1052</v>
      </c>
      <c r="G377" s="41">
        <f>SUM(G378)/1000</f>
        <v>1.0039</v>
      </c>
      <c r="H377" s="7"/>
      <c r="I377" s="7"/>
      <c r="J377" s="7"/>
      <c r="K377" s="7"/>
      <c r="L377" s="7"/>
      <c r="M377" s="7"/>
      <c r="N377" s="7" t="s">
        <v>1168</v>
      </c>
      <c r="O377" s="7"/>
    </row>
    <row r="378" spans="1:15" outlineLevel="1" x14ac:dyDescent="0.3">
      <c r="A378" s="7"/>
      <c r="B378" s="7"/>
      <c r="C378" s="22" t="s">
        <v>1173</v>
      </c>
      <c r="D378" s="7"/>
      <c r="E378" s="7"/>
      <c r="F378" s="36" t="s">
        <v>549</v>
      </c>
      <c r="G378" s="61">
        <v>1003.9</v>
      </c>
      <c r="H378" s="7"/>
      <c r="I378" s="7"/>
      <c r="J378" s="7"/>
      <c r="K378" s="7"/>
      <c r="L378" s="7"/>
      <c r="M378" s="7"/>
      <c r="N378" s="7"/>
      <c r="O378" s="7"/>
    </row>
    <row r="379" spans="1:15" ht="28.8" outlineLevel="1" x14ac:dyDescent="0.3">
      <c r="A379" s="7"/>
      <c r="B379" s="7"/>
      <c r="C379" s="22" t="s">
        <v>1169</v>
      </c>
      <c r="D379" s="7"/>
      <c r="E379" s="7"/>
      <c r="F379" s="36" t="s">
        <v>547</v>
      </c>
      <c r="G379" s="61">
        <v>44</v>
      </c>
      <c r="H379" s="7"/>
      <c r="I379" s="7"/>
      <c r="J379" s="7"/>
      <c r="K379" s="7"/>
      <c r="L379" s="7"/>
      <c r="M379" s="7"/>
      <c r="N379" s="7"/>
      <c r="O379" s="7"/>
    </row>
    <row r="380" spans="1:15" outlineLevel="1" x14ac:dyDescent="0.3">
      <c r="A380" s="7"/>
      <c r="B380" s="7"/>
      <c r="C380" s="22" t="s">
        <v>1170</v>
      </c>
      <c r="D380" s="7"/>
      <c r="E380" s="7"/>
      <c r="F380" s="36" t="s">
        <v>549</v>
      </c>
      <c r="G380" s="61">
        <v>2.31</v>
      </c>
      <c r="H380" s="7"/>
      <c r="I380" s="7"/>
      <c r="J380" s="7"/>
      <c r="K380" s="7"/>
      <c r="L380" s="7"/>
      <c r="M380" s="7"/>
      <c r="N380" s="7"/>
      <c r="O380" s="7"/>
    </row>
    <row r="381" spans="1:15" outlineLevel="1" x14ac:dyDescent="0.3">
      <c r="A381" s="7"/>
      <c r="B381" s="7"/>
      <c r="C381" s="22" t="s">
        <v>1171</v>
      </c>
      <c r="D381" s="7"/>
      <c r="E381" s="7"/>
      <c r="F381" s="36" t="s">
        <v>549</v>
      </c>
      <c r="G381" s="61">
        <v>5.5</v>
      </c>
      <c r="H381" s="7"/>
      <c r="I381" s="7"/>
      <c r="J381" s="7"/>
      <c r="K381" s="7"/>
      <c r="L381" s="7"/>
      <c r="M381" s="7"/>
      <c r="N381" s="7"/>
      <c r="O381" s="7"/>
    </row>
    <row r="382" spans="1:15" outlineLevel="1" x14ac:dyDescent="0.3">
      <c r="A382" s="7"/>
      <c r="B382" s="7"/>
      <c r="C382" s="22" t="s">
        <v>1172</v>
      </c>
      <c r="D382" s="7"/>
      <c r="E382" s="7"/>
      <c r="F382" s="36" t="s">
        <v>549</v>
      </c>
      <c r="G382" s="61">
        <v>2.2000000000000002</v>
      </c>
      <c r="H382" s="7"/>
      <c r="I382" s="7"/>
      <c r="J382" s="7"/>
      <c r="K382" s="7"/>
      <c r="L382" s="7"/>
      <c r="M382" s="7"/>
      <c r="N382" s="7"/>
      <c r="O382" s="7"/>
    </row>
    <row r="383" spans="1:15" s="2" customFormat="1" ht="28.8" x14ac:dyDescent="0.3">
      <c r="A383" s="4"/>
      <c r="B383" s="4"/>
      <c r="C383" s="5" t="s">
        <v>176</v>
      </c>
      <c r="D383" s="5"/>
      <c r="E383" s="5"/>
      <c r="F383" s="37" t="s">
        <v>546</v>
      </c>
      <c r="G383" s="42">
        <v>3431.3</v>
      </c>
      <c r="H383" s="4"/>
      <c r="I383" s="4"/>
      <c r="J383" s="4"/>
      <c r="K383" s="4"/>
      <c r="L383" s="4"/>
      <c r="M383" s="4"/>
      <c r="N383" s="4" t="s">
        <v>753</v>
      </c>
      <c r="O383" s="4"/>
    </row>
    <row r="384" spans="1:15" ht="100.8" outlineLevel="1" x14ac:dyDescent="0.3">
      <c r="A384" s="7">
        <v>207</v>
      </c>
      <c r="B384" s="7">
        <v>207</v>
      </c>
      <c r="C384" s="7" t="s">
        <v>177</v>
      </c>
      <c r="D384" s="8" t="s">
        <v>550</v>
      </c>
      <c r="E384" s="8" t="s">
        <v>570</v>
      </c>
      <c r="F384" s="36" t="s">
        <v>546</v>
      </c>
      <c r="G384" s="41">
        <v>10459.469999999999</v>
      </c>
      <c r="H384" s="7"/>
      <c r="I384" s="7"/>
      <c r="J384" s="7"/>
      <c r="K384" s="7"/>
      <c r="L384" s="7"/>
      <c r="M384" s="7"/>
      <c r="N384" s="7" t="s">
        <v>1175</v>
      </c>
      <c r="O384" s="7"/>
    </row>
    <row r="385" spans="1:15" outlineLevel="1" x14ac:dyDescent="0.3">
      <c r="A385" s="7"/>
      <c r="B385" s="7"/>
      <c r="C385" s="22" t="s">
        <v>1174</v>
      </c>
      <c r="D385" s="8"/>
      <c r="E385" s="8"/>
      <c r="F385" s="36" t="s">
        <v>546</v>
      </c>
      <c r="G385" s="41">
        <v>10459.469999999999</v>
      </c>
      <c r="H385" s="7"/>
      <c r="I385" s="7"/>
      <c r="J385" s="7"/>
      <c r="K385" s="7"/>
      <c r="L385" s="7"/>
      <c r="M385" s="7"/>
      <c r="N385" s="7"/>
      <c r="O385" s="7"/>
    </row>
    <row r="386" spans="1:15" outlineLevel="1" x14ac:dyDescent="0.3">
      <c r="A386" s="7"/>
      <c r="B386" s="7"/>
      <c r="C386" s="22" t="s">
        <v>1176</v>
      </c>
      <c r="D386" s="8"/>
      <c r="E386" s="8"/>
      <c r="F386" s="36" t="s">
        <v>547</v>
      </c>
      <c r="G386" s="67">
        <v>95778</v>
      </c>
      <c r="H386" s="7"/>
      <c r="I386" s="7"/>
      <c r="J386" s="7"/>
      <c r="K386" s="7"/>
      <c r="L386" s="7"/>
      <c r="M386" s="7"/>
      <c r="N386" s="7"/>
      <c r="O386" s="7"/>
    </row>
    <row r="387" spans="1:15" ht="28.8" outlineLevel="1" x14ac:dyDescent="0.3">
      <c r="A387" s="7">
        <v>208</v>
      </c>
      <c r="B387" s="7">
        <v>208</v>
      </c>
      <c r="C387" s="7" t="s">
        <v>178</v>
      </c>
      <c r="D387" s="8" t="s">
        <v>546</v>
      </c>
      <c r="E387" s="8">
        <v>9577.7999999999993</v>
      </c>
      <c r="F387" s="36" t="s">
        <v>546</v>
      </c>
      <c r="G387" s="41">
        <f>9577.8*1.18</f>
        <v>11301.803999999998</v>
      </c>
      <c r="H387" s="7"/>
      <c r="I387" s="7"/>
      <c r="J387" s="7"/>
      <c r="K387" s="7"/>
      <c r="L387" s="7"/>
      <c r="M387" s="7"/>
      <c r="N387" s="7" t="s">
        <v>754</v>
      </c>
      <c r="O387" s="7"/>
    </row>
    <row r="388" spans="1:15" ht="86.4" outlineLevel="1" x14ac:dyDescent="0.3">
      <c r="A388" s="7">
        <v>209</v>
      </c>
      <c r="B388" s="7">
        <v>209</v>
      </c>
      <c r="C388" s="7" t="s">
        <v>179</v>
      </c>
      <c r="D388" s="8" t="s">
        <v>546</v>
      </c>
      <c r="E388" s="8">
        <v>9577.7999999999993</v>
      </c>
      <c r="F388" s="36" t="s">
        <v>546</v>
      </c>
      <c r="G388" s="41">
        <f>591.94+116.424+116.424+5580.432+535.392+9864.825</f>
        <v>16805.436999999998</v>
      </c>
      <c r="H388" s="7"/>
      <c r="I388" s="7"/>
      <c r="J388" s="7"/>
      <c r="K388" s="7"/>
      <c r="L388" s="7"/>
      <c r="M388" s="7"/>
      <c r="N388" s="7" t="s">
        <v>755</v>
      </c>
      <c r="O388" s="7"/>
    </row>
    <row r="389" spans="1:15" ht="28.8" outlineLevel="1" x14ac:dyDescent="0.3">
      <c r="A389" s="7"/>
      <c r="B389" s="7"/>
      <c r="C389" s="22" t="s">
        <v>1177</v>
      </c>
      <c r="D389" s="8"/>
      <c r="E389" s="8"/>
      <c r="F389" s="36" t="s">
        <v>546</v>
      </c>
      <c r="G389" s="41">
        <v>591.94100000000003</v>
      </c>
      <c r="H389" s="7"/>
      <c r="I389" s="7"/>
      <c r="J389" s="7"/>
      <c r="K389" s="7"/>
      <c r="L389" s="7"/>
      <c r="M389" s="7"/>
      <c r="N389" s="7"/>
      <c r="O389" s="7"/>
    </row>
    <row r="390" spans="1:15" ht="28.8" outlineLevel="1" x14ac:dyDescent="0.3">
      <c r="A390" s="7"/>
      <c r="B390" s="7"/>
      <c r="C390" s="22" t="s">
        <v>1178</v>
      </c>
      <c r="D390" s="8"/>
      <c r="E390" s="8"/>
      <c r="F390" s="36" t="s">
        <v>552</v>
      </c>
      <c r="G390" s="41" t="s">
        <v>1183</v>
      </c>
      <c r="H390" s="7"/>
      <c r="I390" s="7"/>
      <c r="J390" s="7"/>
      <c r="K390" s="7"/>
      <c r="L390" s="7"/>
      <c r="M390" s="7"/>
      <c r="N390" s="7"/>
      <c r="O390" s="7"/>
    </row>
    <row r="391" spans="1:15" ht="28.8" outlineLevel="1" x14ac:dyDescent="0.3">
      <c r="A391" s="7"/>
      <c r="B391" s="7"/>
      <c r="C391" s="22" t="s">
        <v>1179</v>
      </c>
      <c r="D391" s="8"/>
      <c r="E391" s="8"/>
      <c r="F391" s="36" t="s">
        <v>552</v>
      </c>
      <c r="G391" s="41" t="s">
        <v>1184</v>
      </c>
      <c r="H391" s="7"/>
      <c r="I391" s="7"/>
      <c r="J391" s="7"/>
      <c r="K391" s="7"/>
      <c r="L391" s="7"/>
      <c r="M391" s="7"/>
      <c r="N391" s="7"/>
      <c r="O391" s="7"/>
    </row>
    <row r="392" spans="1:15" ht="28.8" outlineLevel="1" x14ac:dyDescent="0.3">
      <c r="A392" s="7"/>
      <c r="B392" s="7"/>
      <c r="C392" s="22" t="s">
        <v>1180</v>
      </c>
      <c r="D392" s="8"/>
      <c r="E392" s="8"/>
      <c r="F392" s="36" t="s">
        <v>552</v>
      </c>
      <c r="G392" s="68" t="s">
        <v>1185</v>
      </c>
      <c r="H392" s="7"/>
      <c r="I392" s="7"/>
      <c r="J392" s="7"/>
      <c r="K392" s="7"/>
      <c r="L392" s="7"/>
      <c r="M392" s="7"/>
      <c r="N392" s="7"/>
      <c r="O392" s="7"/>
    </row>
    <row r="393" spans="1:15" ht="28.8" outlineLevel="1" x14ac:dyDescent="0.3">
      <c r="A393" s="7"/>
      <c r="B393" s="7"/>
      <c r="C393" s="22" t="s">
        <v>1181</v>
      </c>
      <c r="D393" s="8"/>
      <c r="E393" s="8"/>
      <c r="F393" s="36" t="s">
        <v>552</v>
      </c>
      <c r="G393" s="41" t="s">
        <v>1186</v>
      </c>
      <c r="H393" s="7"/>
      <c r="I393" s="7"/>
      <c r="J393" s="7"/>
      <c r="K393" s="7"/>
      <c r="L393" s="7"/>
      <c r="M393" s="7"/>
      <c r="N393" s="7"/>
      <c r="O393" s="7"/>
    </row>
    <row r="394" spans="1:15" ht="43.2" outlineLevel="1" x14ac:dyDescent="0.3">
      <c r="A394" s="7"/>
      <c r="B394" s="7"/>
      <c r="C394" s="22" t="s">
        <v>1182</v>
      </c>
      <c r="D394" s="8"/>
      <c r="E394" s="8"/>
      <c r="F394" s="36" t="s">
        <v>552</v>
      </c>
      <c r="G394" s="41" t="s">
        <v>1187</v>
      </c>
      <c r="H394" s="7"/>
      <c r="I394" s="7"/>
      <c r="J394" s="7"/>
      <c r="K394" s="7"/>
      <c r="L394" s="7"/>
      <c r="M394" s="7"/>
      <c r="N394" s="7"/>
      <c r="O394" s="7"/>
    </row>
    <row r="395" spans="1:15" ht="28.8" outlineLevel="1" x14ac:dyDescent="0.3">
      <c r="A395" s="7">
        <v>210</v>
      </c>
      <c r="B395" s="7">
        <v>210</v>
      </c>
      <c r="C395" s="7" t="s">
        <v>180</v>
      </c>
      <c r="D395" s="8" t="s">
        <v>547</v>
      </c>
      <c r="E395" s="8">
        <v>47889</v>
      </c>
      <c r="F395" s="36" t="s">
        <v>547</v>
      </c>
      <c r="G395" s="67">
        <f>9577.8*5</f>
        <v>47889</v>
      </c>
      <c r="H395" s="7"/>
      <c r="I395" s="7"/>
      <c r="J395" s="7"/>
      <c r="K395" s="7"/>
      <c r="L395" s="7"/>
      <c r="M395" s="7"/>
      <c r="N395" s="7" t="s">
        <v>756</v>
      </c>
      <c r="O395" s="7"/>
    </row>
    <row r="396" spans="1:15" ht="28.8" outlineLevel="1" x14ac:dyDescent="0.3">
      <c r="A396" s="7">
        <v>211</v>
      </c>
      <c r="B396" s="7">
        <v>211</v>
      </c>
      <c r="C396" s="7" t="s">
        <v>181</v>
      </c>
      <c r="D396" s="8" t="s">
        <v>546</v>
      </c>
      <c r="E396" s="8">
        <v>9577.7999999999993</v>
      </c>
      <c r="F396" s="36" t="s">
        <v>546</v>
      </c>
      <c r="G396" s="41">
        <f>9577.8*1.11</f>
        <v>10631.358</v>
      </c>
      <c r="H396" s="7"/>
      <c r="I396" s="7"/>
      <c r="J396" s="7"/>
      <c r="K396" s="7"/>
      <c r="L396" s="7"/>
      <c r="M396" s="7"/>
      <c r="N396" s="7" t="s">
        <v>757</v>
      </c>
      <c r="O396" s="7"/>
    </row>
    <row r="397" spans="1:15" outlineLevel="1" x14ac:dyDescent="0.3">
      <c r="A397" s="7">
        <v>212</v>
      </c>
      <c r="B397" s="7">
        <v>212</v>
      </c>
      <c r="C397" s="7" t="s">
        <v>182</v>
      </c>
      <c r="D397" s="8" t="s">
        <v>547</v>
      </c>
      <c r="E397" s="8">
        <v>3</v>
      </c>
      <c r="F397" s="36" t="s">
        <v>547</v>
      </c>
      <c r="G397" s="61">
        <v>3</v>
      </c>
      <c r="H397" s="7"/>
      <c r="I397" s="7"/>
      <c r="J397" s="7"/>
      <c r="K397" s="7"/>
      <c r="L397" s="7"/>
      <c r="M397" s="7"/>
      <c r="N397" s="7"/>
      <c r="O397" s="7"/>
    </row>
    <row r="398" spans="1:15" ht="28.8" outlineLevel="1" x14ac:dyDescent="0.3">
      <c r="A398" s="7">
        <v>213</v>
      </c>
      <c r="B398" s="7">
        <v>213</v>
      </c>
      <c r="C398" s="7" t="s">
        <v>183</v>
      </c>
      <c r="D398" s="8" t="s">
        <v>547</v>
      </c>
      <c r="E398" s="8">
        <v>1</v>
      </c>
      <c r="F398" s="36" t="s">
        <v>547</v>
      </c>
      <c r="G398" s="61">
        <v>1</v>
      </c>
      <c r="H398" s="7"/>
      <c r="I398" s="7"/>
      <c r="J398" s="7"/>
      <c r="K398" s="7"/>
      <c r="L398" s="7"/>
      <c r="M398" s="7"/>
      <c r="N398" s="7"/>
      <c r="O398" s="7"/>
    </row>
    <row r="399" spans="1:15" ht="28.8" outlineLevel="1" x14ac:dyDescent="0.3">
      <c r="A399" s="7">
        <v>214</v>
      </c>
      <c r="B399" s="7">
        <v>214</v>
      </c>
      <c r="C399" s="7" t="s">
        <v>184</v>
      </c>
      <c r="D399" s="8" t="s">
        <v>547</v>
      </c>
      <c r="E399" s="8">
        <v>1</v>
      </c>
      <c r="F399" s="36" t="s">
        <v>547</v>
      </c>
      <c r="G399" s="61">
        <v>1</v>
      </c>
      <c r="H399" s="7"/>
      <c r="I399" s="7"/>
      <c r="J399" s="7"/>
      <c r="K399" s="7"/>
      <c r="L399" s="7"/>
      <c r="M399" s="7"/>
      <c r="N399" s="7"/>
      <c r="O399" s="7" t="s">
        <v>1049</v>
      </c>
    </row>
    <row r="400" spans="1:15" s="2" customFormat="1" x14ac:dyDescent="0.3">
      <c r="A400" s="4"/>
      <c r="B400" s="4"/>
      <c r="C400" s="4" t="s">
        <v>185</v>
      </c>
      <c r="D400" s="6"/>
      <c r="E400" s="6"/>
      <c r="F400" s="36"/>
      <c r="G400" s="41"/>
      <c r="H400" s="4"/>
      <c r="I400" s="4"/>
      <c r="J400" s="4"/>
      <c r="K400" s="4"/>
      <c r="L400" s="4"/>
      <c r="M400" s="4"/>
      <c r="N400" s="4"/>
      <c r="O400" s="4"/>
    </row>
    <row r="401" spans="1:15" ht="28.8" outlineLevel="1" x14ac:dyDescent="0.3">
      <c r="A401" s="7">
        <v>215</v>
      </c>
      <c r="B401" s="7">
        <v>215</v>
      </c>
      <c r="C401" s="7" t="s">
        <v>186</v>
      </c>
      <c r="D401" s="8" t="s">
        <v>546</v>
      </c>
      <c r="E401" s="8">
        <v>1008</v>
      </c>
      <c r="F401" s="36" t="s">
        <v>546</v>
      </c>
      <c r="G401" s="61">
        <v>1008</v>
      </c>
      <c r="H401" s="7"/>
      <c r="I401" s="7"/>
      <c r="J401" s="7"/>
      <c r="K401" s="7"/>
      <c r="L401" s="7"/>
      <c r="M401" s="7"/>
      <c r="N401" s="7"/>
      <c r="O401" s="7"/>
    </row>
    <row r="402" spans="1:15" ht="28.8" outlineLevel="1" x14ac:dyDescent="0.3">
      <c r="A402" s="7">
        <v>216</v>
      </c>
      <c r="B402" s="7">
        <v>216</v>
      </c>
      <c r="C402" s="7" t="s">
        <v>187</v>
      </c>
      <c r="D402" s="8" t="s">
        <v>546</v>
      </c>
      <c r="E402" s="8">
        <v>3862</v>
      </c>
      <c r="F402" s="36" t="s">
        <v>546</v>
      </c>
      <c r="G402" s="61">
        <v>3862</v>
      </c>
      <c r="H402" s="7"/>
      <c r="I402" s="7"/>
      <c r="J402" s="7"/>
      <c r="K402" s="7"/>
      <c r="L402" s="7"/>
      <c r="M402" s="7"/>
      <c r="N402" s="7" t="s">
        <v>758</v>
      </c>
      <c r="O402" s="7"/>
    </row>
    <row r="403" spans="1:15" ht="28.8" outlineLevel="1" x14ac:dyDescent="0.3">
      <c r="A403" s="7">
        <v>217</v>
      </c>
      <c r="B403" s="7">
        <v>217</v>
      </c>
      <c r="C403" s="7" t="s">
        <v>188</v>
      </c>
      <c r="D403" s="8" t="s">
        <v>550</v>
      </c>
      <c r="E403" s="8">
        <v>2.41</v>
      </c>
      <c r="F403" s="36" t="s">
        <v>546</v>
      </c>
      <c r="G403" s="41">
        <v>71.72</v>
      </c>
      <c r="H403" s="7"/>
      <c r="I403" s="7"/>
      <c r="J403" s="7"/>
      <c r="K403" s="7"/>
      <c r="L403" s="7"/>
      <c r="M403" s="7"/>
      <c r="N403" s="7" t="s">
        <v>759</v>
      </c>
      <c r="O403" s="7"/>
    </row>
    <row r="404" spans="1:15" ht="28.8" outlineLevel="1" x14ac:dyDescent="0.3">
      <c r="A404" s="7">
        <v>218</v>
      </c>
      <c r="B404" s="7">
        <v>218</v>
      </c>
      <c r="C404" s="7" t="s">
        <v>189</v>
      </c>
      <c r="D404" s="8" t="s">
        <v>552</v>
      </c>
      <c r="E404" s="8" t="s">
        <v>571</v>
      </c>
      <c r="F404" s="36" t="s">
        <v>552</v>
      </c>
      <c r="G404" s="61" t="s">
        <v>571</v>
      </c>
      <c r="H404" s="7"/>
      <c r="I404" s="7"/>
      <c r="J404" s="7"/>
      <c r="K404" s="7"/>
      <c r="L404" s="7"/>
      <c r="M404" s="7"/>
      <c r="N404" s="7" t="s">
        <v>760</v>
      </c>
      <c r="O404" s="7"/>
    </row>
    <row r="405" spans="1:15" s="2" customFormat="1" ht="28.8" x14ac:dyDescent="0.3">
      <c r="A405" s="4"/>
      <c r="B405" s="4"/>
      <c r="C405" s="4" t="s">
        <v>190</v>
      </c>
      <c r="D405" s="6"/>
      <c r="E405" s="6"/>
      <c r="F405" s="36"/>
      <c r="G405" s="41"/>
      <c r="H405" s="4"/>
      <c r="I405" s="4"/>
      <c r="J405" s="4"/>
      <c r="K405" s="4"/>
      <c r="L405" s="4"/>
      <c r="M405" s="4"/>
      <c r="N405" s="4"/>
      <c r="O405" s="4"/>
    </row>
    <row r="406" spans="1:15" s="2" customFormat="1" x14ac:dyDescent="0.3">
      <c r="A406" s="4"/>
      <c r="B406" s="4"/>
      <c r="C406" s="4" t="s">
        <v>1194</v>
      </c>
      <c r="D406" s="6"/>
      <c r="E406" s="6"/>
      <c r="F406" s="36"/>
      <c r="G406" s="41"/>
      <c r="H406" s="4"/>
      <c r="I406" s="4"/>
      <c r="J406" s="4"/>
      <c r="K406" s="4"/>
      <c r="L406" s="4"/>
      <c r="M406" s="4"/>
      <c r="N406" s="4"/>
      <c r="O406" s="4"/>
    </row>
    <row r="407" spans="1:15" ht="28.8" outlineLevel="1" x14ac:dyDescent="0.3">
      <c r="A407" s="7">
        <v>219</v>
      </c>
      <c r="B407" s="7">
        <v>219</v>
      </c>
      <c r="C407" s="7" t="s">
        <v>191</v>
      </c>
      <c r="D407" s="8" t="s">
        <v>548</v>
      </c>
      <c r="E407" s="8">
        <v>705.3</v>
      </c>
      <c r="F407" s="36" t="s">
        <v>548</v>
      </c>
      <c r="G407" s="61">
        <v>705.3</v>
      </c>
      <c r="H407" s="7"/>
      <c r="I407" s="7"/>
      <c r="J407" s="7"/>
      <c r="K407" s="7"/>
      <c r="L407" s="7"/>
      <c r="M407" s="7"/>
      <c r="N407" s="7" t="s">
        <v>761</v>
      </c>
      <c r="O407" s="7"/>
    </row>
    <row r="408" spans="1:15" ht="28.8" outlineLevel="1" x14ac:dyDescent="0.3">
      <c r="A408" s="7">
        <v>220</v>
      </c>
      <c r="B408" s="7">
        <v>220</v>
      </c>
      <c r="C408" s="7" t="s">
        <v>192</v>
      </c>
      <c r="D408" s="8" t="s">
        <v>546</v>
      </c>
      <c r="E408" s="8">
        <v>458.4</v>
      </c>
      <c r="F408" s="36" t="s">
        <v>552</v>
      </c>
      <c r="G408" s="41" t="s">
        <v>1197</v>
      </c>
      <c r="H408" s="7"/>
      <c r="I408" s="7"/>
      <c r="J408" s="7"/>
      <c r="K408" s="7"/>
      <c r="L408" s="7"/>
      <c r="M408" s="7"/>
      <c r="N408" s="7" t="s">
        <v>762</v>
      </c>
      <c r="O408" s="31" t="s">
        <v>1198</v>
      </c>
    </row>
    <row r="409" spans="1:15" outlineLevel="1" x14ac:dyDescent="0.3">
      <c r="A409" s="7"/>
      <c r="B409" s="7"/>
      <c r="C409" s="22" t="s">
        <v>1195</v>
      </c>
      <c r="D409" s="8"/>
      <c r="E409" s="8"/>
      <c r="F409" s="36" t="s">
        <v>552</v>
      </c>
      <c r="G409" s="41" t="s">
        <v>1197</v>
      </c>
      <c r="H409" s="7"/>
      <c r="I409" s="7"/>
      <c r="J409" s="7"/>
      <c r="K409" s="7"/>
      <c r="L409" s="7"/>
      <c r="M409" s="7"/>
      <c r="N409" s="7"/>
      <c r="O409" s="7"/>
    </row>
    <row r="410" spans="1:15" outlineLevel="1" x14ac:dyDescent="0.3">
      <c r="A410" s="7"/>
      <c r="B410" s="7"/>
      <c r="C410" s="22" t="s">
        <v>1196</v>
      </c>
      <c r="D410" s="8"/>
      <c r="E410" s="8"/>
      <c r="F410" s="36" t="s">
        <v>547</v>
      </c>
      <c r="G410" s="67">
        <f>458.4*5</f>
        <v>2292</v>
      </c>
      <c r="H410" s="7"/>
      <c r="I410" s="7"/>
      <c r="J410" s="7"/>
      <c r="K410" s="7"/>
      <c r="L410" s="7"/>
      <c r="M410" s="7"/>
      <c r="N410" s="7"/>
      <c r="O410" s="7"/>
    </row>
    <row r="411" spans="1:15" ht="144" outlineLevel="1" x14ac:dyDescent="0.3">
      <c r="A411" s="7">
        <v>221</v>
      </c>
      <c r="B411" s="7">
        <v>221</v>
      </c>
      <c r="C411" s="7" t="s">
        <v>193</v>
      </c>
      <c r="D411" s="8" t="s">
        <v>548</v>
      </c>
      <c r="E411" s="8">
        <v>705.3</v>
      </c>
      <c r="F411" s="69" t="s">
        <v>548</v>
      </c>
      <c r="G411" s="70">
        <v>705.3</v>
      </c>
      <c r="H411" s="7"/>
      <c r="I411" s="7"/>
      <c r="J411" s="7"/>
      <c r="K411" s="7"/>
      <c r="L411" s="7"/>
      <c r="M411" s="7"/>
      <c r="N411" s="7" t="s">
        <v>1199</v>
      </c>
      <c r="O411" s="7"/>
    </row>
    <row r="412" spans="1:15" s="35" customFormat="1" outlineLevel="1" x14ac:dyDescent="0.3">
      <c r="A412" s="32"/>
      <c r="B412" s="32"/>
      <c r="C412" s="33" t="s">
        <v>1188</v>
      </c>
      <c r="D412" s="34"/>
      <c r="E412" s="34"/>
      <c r="F412" s="36" t="s">
        <v>1167</v>
      </c>
      <c r="G412" s="61">
        <v>508.87400000000002</v>
      </c>
      <c r="H412" s="32"/>
      <c r="I412" s="32"/>
      <c r="J412" s="32"/>
      <c r="K412" s="32"/>
      <c r="L412" s="32"/>
      <c r="M412" s="32"/>
      <c r="N412" s="32"/>
      <c r="O412" s="32"/>
    </row>
    <row r="413" spans="1:15" s="35" customFormat="1" outlineLevel="1" x14ac:dyDescent="0.3">
      <c r="A413" s="32"/>
      <c r="B413" s="32"/>
      <c r="C413" s="33" t="s">
        <v>1189</v>
      </c>
      <c r="D413" s="34"/>
      <c r="E413" s="34"/>
      <c r="F413" s="36" t="s">
        <v>548</v>
      </c>
      <c r="G413" s="61">
        <v>705.3</v>
      </c>
      <c r="H413" s="32"/>
      <c r="I413" s="32"/>
      <c r="J413" s="32"/>
      <c r="K413" s="32"/>
      <c r="L413" s="32"/>
      <c r="M413" s="32"/>
      <c r="N413" s="32"/>
      <c r="O413" s="32"/>
    </row>
    <row r="414" spans="1:15" s="35" customFormat="1" outlineLevel="1" x14ac:dyDescent="0.3">
      <c r="A414" s="32"/>
      <c r="B414" s="32"/>
      <c r="C414" s="33" t="s">
        <v>1190</v>
      </c>
      <c r="D414" s="34"/>
      <c r="E414" s="34"/>
      <c r="F414" s="36" t="s">
        <v>1167</v>
      </c>
      <c r="G414" s="61">
        <v>208.06399999999999</v>
      </c>
      <c r="H414" s="32"/>
      <c r="I414" s="32"/>
      <c r="J414" s="32"/>
      <c r="K414" s="32"/>
      <c r="L414" s="32"/>
      <c r="M414" s="32"/>
      <c r="N414" s="32"/>
      <c r="O414" s="32"/>
    </row>
    <row r="415" spans="1:15" s="35" customFormat="1" outlineLevel="1" x14ac:dyDescent="0.3">
      <c r="A415" s="32"/>
      <c r="B415" s="32"/>
      <c r="C415" s="33" t="s">
        <v>1191</v>
      </c>
      <c r="D415" s="34"/>
      <c r="E415" s="34"/>
      <c r="F415" s="36" t="s">
        <v>1167</v>
      </c>
      <c r="G415" s="62">
        <v>1452.9179999999999</v>
      </c>
      <c r="H415" s="32"/>
      <c r="I415" s="32"/>
      <c r="J415" s="32"/>
      <c r="K415" s="32"/>
      <c r="L415" s="32"/>
      <c r="M415" s="32"/>
      <c r="N415" s="32"/>
      <c r="O415" s="32"/>
    </row>
    <row r="416" spans="1:15" s="35" customFormat="1" outlineLevel="1" x14ac:dyDescent="0.3">
      <c r="A416" s="32"/>
      <c r="B416" s="32"/>
      <c r="C416" s="33" t="s">
        <v>1192</v>
      </c>
      <c r="D416" s="34"/>
      <c r="E416" s="34"/>
      <c r="F416" s="36" t="s">
        <v>548</v>
      </c>
      <c r="G416" s="61">
        <v>705.3</v>
      </c>
      <c r="H416" s="32"/>
      <c r="I416" s="32"/>
      <c r="J416" s="32"/>
      <c r="K416" s="32"/>
      <c r="L416" s="32"/>
      <c r="M416" s="32"/>
      <c r="N416" s="32"/>
      <c r="O416" s="32"/>
    </row>
    <row r="417" spans="1:15" s="35" customFormat="1" outlineLevel="1" x14ac:dyDescent="0.3">
      <c r="A417" s="32"/>
      <c r="B417" s="32"/>
      <c r="C417" s="33" t="s">
        <v>1193</v>
      </c>
      <c r="D417" s="34"/>
      <c r="E417" s="34"/>
      <c r="F417" s="36" t="s">
        <v>547</v>
      </c>
      <c r="G417" s="61">
        <v>176.32499999999999</v>
      </c>
      <c r="H417" s="32"/>
      <c r="I417" s="32"/>
      <c r="J417" s="32"/>
      <c r="K417" s="32"/>
      <c r="L417" s="32"/>
      <c r="M417" s="32"/>
      <c r="N417" s="32"/>
      <c r="O417" s="32"/>
    </row>
    <row r="418" spans="1:15" ht="86.4" outlineLevel="1" x14ac:dyDescent="0.3">
      <c r="A418" s="7">
        <v>222</v>
      </c>
      <c r="B418" s="7">
        <v>222</v>
      </c>
      <c r="C418" s="7" t="s">
        <v>194</v>
      </c>
      <c r="D418" s="8" t="s">
        <v>548</v>
      </c>
      <c r="E418" s="8">
        <v>646.79999999999995</v>
      </c>
      <c r="F418" s="36" t="s">
        <v>548</v>
      </c>
      <c r="G418" s="61">
        <v>646.79999999999995</v>
      </c>
      <c r="H418" s="7"/>
      <c r="I418" s="7"/>
      <c r="J418" s="7"/>
      <c r="K418" s="7"/>
      <c r="L418" s="7"/>
      <c r="M418" s="7"/>
      <c r="N418" s="7" t="s">
        <v>763</v>
      </c>
      <c r="O418" s="7"/>
    </row>
    <row r="419" spans="1:15" ht="31.2" customHeight="1" outlineLevel="1" x14ac:dyDescent="0.3">
      <c r="A419" s="7"/>
      <c r="B419" s="7"/>
      <c r="C419" s="22" t="s">
        <v>1203</v>
      </c>
      <c r="D419" s="7"/>
      <c r="E419" s="7"/>
      <c r="F419" s="36" t="s">
        <v>548</v>
      </c>
      <c r="G419" s="61">
        <v>646.79999999999995</v>
      </c>
      <c r="H419" s="7"/>
      <c r="I419" s="7"/>
      <c r="J419" s="7"/>
      <c r="K419" s="7"/>
      <c r="L419" s="7"/>
      <c r="M419" s="7"/>
      <c r="N419" s="7"/>
      <c r="O419" s="7"/>
    </row>
    <row r="420" spans="1:15" outlineLevel="1" x14ac:dyDescent="0.3">
      <c r="A420" s="7"/>
      <c r="B420" s="7"/>
      <c r="C420" s="22" t="s">
        <v>1200</v>
      </c>
      <c r="D420" s="7"/>
      <c r="E420" s="7"/>
      <c r="F420" s="36" t="s">
        <v>1167</v>
      </c>
      <c r="G420" s="61">
        <v>349.27199999999999</v>
      </c>
      <c r="H420" s="7"/>
      <c r="I420" s="7"/>
      <c r="J420" s="7"/>
      <c r="K420" s="7"/>
      <c r="L420" s="7"/>
      <c r="M420" s="7"/>
      <c r="N420" s="7"/>
      <c r="O420" s="7"/>
    </row>
    <row r="421" spans="1:15" outlineLevel="1" x14ac:dyDescent="0.3">
      <c r="A421" s="7"/>
      <c r="B421" s="7"/>
      <c r="C421" s="22" t="s">
        <v>1201</v>
      </c>
      <c r="D421" s="7"/>
      <c r="E421" s="7"/>
      <c r="F421" s="36" t="s">
        <v>547</v>
      </c>
      <c r="G421" s="71">
        <v>12936</v>
      </c>
      <c r="H421" s="7"/>
      <c r="I421" s="7"/>
      <c r="J421" s="7"/>
      <c r="K421" s="7"/>
      <c r="L421" s="7"/>
      <c r="M421" s="7"/>
      <c r="N421" s="7"/>
      <c r="O421" s="7"/>
    </row>
    <row r="422" spans="1:15" ht="28.8" outlineLevel="1" x14ac:dyDescent="0.3">
      <c r="A422" s="7"/>
      <c r="B422" s="7"/>
      <c r="C422" s="7" t="s">
        <v>1204</v>
      </c>
      <c r="D422" s="8"/>
      <c r="E422" s="8"/>
      <c r="F422" s="36"/>
      <c r="G422" s="41"/>
      <c r="H422" s="7"/>
      <c r="I422" s="7"/>
      <c r="J422" s="7"/>
      <c r="K422" s="7"/>
      <c r="L422" s="7"/>
      <c r="M422" s="7"/>
      <c r="N422" s="7" t="s">
        <v>764</v>
      </c>
      <c r="O422" s="7"/>
    </row>
    <row r="423" spans="1:15" ht="28.8" outlineLevel="1" x14ac:dyDescent="0.3">
      <c r="A423" s="7">
        <v>223</v>
      </c>
      <c r="B423" s="7">
        <v>223</v>
      </c>
      <c r="C423" s="7" t="s">
        <v>195</v>
      </c>
      <c r="D423" s="8" t="s">
        <v>548</v>
      </c>
      <c r="E423" s="8">
        <v>375.3</v>
      </c>
      <c r="F423" s="36" t="s">
        <v>1052</v>
      </c>
      <c r="G423" s="41">
        <v>0.876</v>
      </c>
      <c r="H423" s="7"/>
      <c r="I423" s="7"/>
      <c r="J423" s="7"/>
      <c r="K423" s="7"/>
      <c r="L423" s="7"/>
      <c r="M423" s="7"/>
      <c r="N423" s="7" t="s">
        <v>765</v>
      </c>
      <c r="O423" s="7"/>
    </row>
    <row r="424" spans="1:15" outlineLevel="1" x14ac:dyDescent="0.3">
      <c r="A424" s="7"/>
      <c r="B424" s="7"/>
      <c r="C424" s="22" t="s">
        <v>1206</v>
      </c>
      <c r="D424" s="8"/>
      <c r="E424" s="8"/>
      <c r="F424" s="36" t="s">
        <v>1208</v>
      </c>
      <c r="G424" s="61" t="s">
        <v>1209</v>
      </c>
      <c r="H424" s="7"/>
      <c r="I424" s="7"/>
      <c r="J424" s="7"/>
      <c r="K424" s="7"/>
      <c r="L424" s="7"/>
      <c r="M424" s="7"/>
      <c r="N424" s="7"/>
      <c r="O424" s="7"/>
    </row>
    <row r="425" spans="1:15" outlineLevel="1" x14ac:dyDescent="0.3">
      <c r="A425" s="7"/>
      <c r="B425" s="7"/>
      <c r="C425" s="22" t="s">
        <v>1205</v>
      </c>
      <c r="D425" s="8"/>
      <c r="E425" s="8"/>
      <c r="F425" s="36" t="s">
        <v>547</v>
      </c>
      <c r="G425" s="41">
        <v>3003</v>
      </c>
      <c r="H425" s="7"/>
      <c r="I425" s="7"/>
      <c r="J425" s="7"/>
      <c r="K425" s="7"/>
      <c r="L425" s="7"/>
      <c r="M425" s="7"/>
      <c r="N425" s="7"/>
      <c r="O425" s="7"/>
    </row>
    <row r="426" spans="1:15" ht="43.2" outlineLevel="1" x14ac:dyDescent="0.3">
      <c r="A426" s="7">
        <v>224</v>
      </c>
      <c r="B426" s="7">
        <v>224</v>
      </c>
      <c r="C426" s="7" t="s">
        <v>196</v>
      </c>
      <c r="D426" s="8" t="s">
        <v>546</v>
      </c>
      <c r="E426" s="8">
        <v>210</v>
      </c>
      <c r="F426" s="36" t="s">
        <v>546</v>
      </c>
      <c r="G426" s="41">
        <v>216.47</v>
      </c>
      <c r="H426" s="7"/>
      <c r="I426" s="7"/>
      <c r="J426" s="7"/>
      <c r="K426" s="7"/>
      <c r="L426" s="7"/>
      <c r="M426" s="7"/>
      <c r="N426" s="7" t="s">
        <v>1207</v>
      </c>
      <c r="O426" s="7"/>
    </row>
    <row r="427" spans="1:15" outlineLevel="1" x14ac:dyDescent="0.3">
      <c r="A427" s="7"/>
      <c r="B427" s="7"/>
      <c r="C427" s="22" t="s">
        <v>1210</v>
      </c>
      <c r="D427" s="8"/>
      <c r="E427" s="8"/>
      <c r="F427" s="36" t="s">
        <v>546</v>
      </c>
      <c r="G427" s="41">
        <v>216.47</v>
      </c>
      <c r="H427" s="7"/>
      <c r="I427" s="7"/>
      <c r="J427" s="7"/>
      <c r="K427" s="7"/>
      <c r="L427" s="7"/>
      <c r="M427" s="7"/>
      <c r="N427" s="7"/>
      <c r="O427" s="7"/>
    </row>
    <row r="428" spans="1:15" outlineLevel="1" x14ac:dyDescent="0.3">
      <c r="A428" s="7"/>
      <c r="B428" s="7"/>
      <c r="C428" s="22" t="s">
        <v>1196</v>
      </c>
      <c r="D428" s="8"/>
      <c r="E428" s="8"/>
      <c r="F428" s="36" t="s">
        <v>547</v>
      </c>
      <c r="G428" s="67">
        <f>216.47*5</f>
        <v>1082.3499999999999</v>
      </c>
      <c r="H428" s="7"/>
      <c r="I428" s="7"/>
      <c r="J428" s="7"/>
      <c r="K428" s="7"/>
      <c r="L428" s="7"/>
      <c r="M428" s="7"/>
      <c r="N428" s="7"/>
      <c r="O428" s="7"/>
    </row>
    <row r="429" spans="1:15" outlineLevel="1" x14ac:dyDescent="0.3">
      <c r="A429" s="7">
        <v>225</v>
      </c>
      <c r="B429" s="7">
        <v>225</v>
      </c>
      <c r="C429" s="7" t="s">
        <v>197</v>
      </c>
      <c r="D429" s="8" t="s">
        <v>546</v>
      </c>
      <c r="E429" s="8">
        <v>37.5</v>
      </c>
      <c r="F429" s="36" t="s">
        <v>546</v>
      </c>
      <c r="G429" s="61">
        <v>37.5</v>
      </c>
      <c r="H429" s="7"/>
      <c r="I429" s="7"/>
      <c r="J429" s="7"/>
      <c r="K429" s="7"/>
      <c r="L429" s="7"/>
      <c r="M429" s="7"/>
      <c r="N429" s="7" t="s">
        <v>766</v>
      </c>
      <c r="O429" s="7"/>
    </row>
    <row r="430" spans="1:15" ht="115.2" outlineLevel="1" x14ac:dyDescent="0.3">
      <c r="A430" s="7">
        <v>226</v>
      </c>
      <c r="B430" s="7">
        <v>226</v>
      </c>
      <c r="C430" s="7" t="s">
        <v>198</v>
      </c>
      <c r="D430" s="8" t="s">
        <v>553</v>
      </c>
      <c r="E430" s="8">
        <v>375.3</v>
      </c>
      <c r="F430" s="36" t="s">
        <v>553</v>
      </c>
      <c r="G430" s="61">
        <v>375.3</v>
      </c>
      <c r="H430" s="7"/>
      <c r="I430" s="7"/>
      <c r="J430" s="7"/>
      <c r="K430" s="7"/>
      <c r="L430" s="7"/>
      <c r="M430" s="7"/>
      <c r="N430" s="7" t="s">
        <v>1217</v>
      </c>
      <c r="O430" s="7"/>
    </row>
    <row r="431" spans="1:15" outlineLevel="1" x14ac:dyDescent="0.3">
      <c r="A431" s="7"/>
      <c r="B431" s="7"/>
      <c r="C431" s="22" t="s">
        <v>1211</v>
      </c>
      <c r="D431" s="7"/>
      <c r="E431" s="7"/>
      <c r="F431" s="36" t="s">
        <v>1167</v>
      </c>
      <c r="G431" s="61">
        <v>516.56299999999999</v>
      </c>
      <c r="H431" s="7"/>
      <c r="I431" s="7"/>
      <c r="J431" s="7"/>
      <c r="K431" s="7"/>
      <c r="L431" s="7"/>
      <c r="M431" s="7"/>
      <c r="N431" s="7"/>
      <c r="O431" s="7"/>
    </row>
    <row r="432" spans="1:15" outlineLevel="1" x14ac:dyDescent="0.3">
      <c r="A432" s="7"/>
      <c r="B432" s="7"/>
      <c r="C432" s="22" t="s">
        <v>1212</v>
      </c>
      <c r="D432" s="7"/>
      <c r="E432" s="7"/>
      <c r="F432" s="36" t="s">
        <v>1167</v>
      </c>
      <c r="G432" s="61">
        <v>220.864</v>
      </c>
      <c r="H432" s="7"/>
      <c r="I432" s="7"/>
      <c r="J432" s="7"/>
      <c r="K432" s="7"/>
      <c r="L432" s="7"/>
      <c r="M432" s="7"/>
      <c r="N432" s="7"/>
      <c r="O432" s="7"/>
    </row>
    <row r="433" spans="1:15" outlineLevel="1" x14ac:dyDescent="0.3">
      <c r="A433" s="7"/>
      <c r="B433" s="7"/>
      <c r="C433" s="22" t="s">
        <v>1213</v>
      </c>
      <c r="D433" s="7"/>
      <c r="E433" s="7"/>
      <c r="F433" s="36" t="s">
        <v>1167</v>
      </c>
      <c r="G433" s="61">
        <v>110.714</v>
      </c>
      <c r="H433" s="7"/>
      <c r="I433" s="7"/>
      <c r="J433" s="7"/>
      <c r="K433" s="7"/>
      <c r="L433" s="7"/>
      <c r="M433" s="7"/>
      <c r="N433" s="7"/>
      <c r="O433" s="7"/>
    </row>
    <row r="434" spans="1:15" outlineLevel="1" x14ac:dyDescent="0.3">
      <c r="A434" s="7"/>
      <c r="B434" s="7"/>
      <c r="C434" s="22" t="s">
        <v>1189</v>
      </c>
      <c r="D434" s="7"/>
      <c r="E434" s="21"/>
      <c r="F434" s="36" t="s">
        <v>548</v>
      </c>
      <c r="G434" s="61">
        <v>375.3</v>
      </c>
      <c r="H434" s="7"/>
      <c r="I434" s="7"/>
      <c r="J434" s="7"/>
      <c r="K434" s="7"/>
      <c r="L434" s="7"/>
      <c r="M434" s="7"/>
      <c r="N434" s="7"/>
      <c r="O434" s="7"/>
    </row>
    <row r="435" spans="1:15" outlineLevel="1" x14ac:dyDescent="0.3">
      <c r="A435" s="7"/>
      <c r="B435" s="7"/>
      <c r="C435" s="22" t="s">
        <v>1214</v>
      </c>
      <c r="D435" s="7"/>
      <c r="E435" s="21"/>
      <c r="F435" s="36" t="s">
        <v>548</v>
      </c>
      <c r="G435" s="61">
        <v>375.3</v>
      </c>
      <c r="H435" s="7"/>
      <c r="I435" s="7"/>
      <c r="J435" s="7"/>
      <c r="K435" s="7"/>
      <c r="L435" s="7"/>
      <c r="M435" s="7"/>
      <c r="N435" s="7"/>
      <c r="O435" s="7"/>
    </row>
    <row r="436" spans="1:15" outlineLevel="1" x14ac:dyDescent="0.3">
      <c r="A436" s="7"/>
      <c r="B436" s="7"/>
      <c r="C436" s="22" t="s">
        <v>1215</v>
      </c>
      <c r="D436" s="7"/>
      <c r="E436" s="7"/>
      <c r="F436" s="36" t="s">
        <v>556</v>
      </c>
      <c r="G436" s="61" t="s">
        <v>1216</v>
      </c>
      <c r="H436" s="7"/>
      <c r="I436" s="7"/>
      <c r="J436" s="7"/>
      <c r="K436" s="7"/>
      <c r="L436" s="7"/>
      <c r="M436" s="7"/>
      <c r="N436" s="7"/>
      <c r="O436" s="7"/>
    </row>
    <row r="437" spans="1:15" ht="43.2" outlineLevel="1" x14ac:dyDescent="0.3">
      <c r="A437" s="7">
        <v>227</v>
      </c>
      <c r="B437" s="7">
        <v>227</v>
      </c>
      <c r="C437" s="7" t="s">
        <v>199</v>
      </c>
      <c r="D437" s="8" t="s">
        <v>548</v>
      </c>
      <c r="E437" s="8">
        <v>375.3</v>
      </c>
      <c r="F437" s="36" t="s">
        <v>548</v>
      </c>
      <c r="G437" s="61">
        <v>375.3</v>
      </c>
      <c r="H437" s="7"/>
      <c r="I437" s="7"/>
      <c r="J437" s="7"/>
      <c r="K437" s="7"/>
      <c r="L437" s="7"/>
      <c r="M437" s="7"/>
      <c r="N437" s="7" t="s">
        <v>1218</v>
      </c>
      <c r="O437" s="7"/>
    </row>
    <row r="438" spans="1:15" outlineLevel="1" x14ac:dyDescent="0.3">
      <c r="A438" s="7"/>
      <c r="B438" s="7"/>
      <c r="C438" s="22" t="s">
        <v>1219</v>
      </c>
      <c r="D438" s="8"/>
      <c r="E438" s="8"/>
      <c r="F438" s="36" t="s">
        <v>1167</v>
      </c>
      <c r="G438" s="65">
        <v>342.27</v>
      </c>
      <c r="H438" s="7"/>
      <c r="I438" s="7"/>
      <c r="J438" s="7"/>
      <c r="K438" s="7"/>
      <c r="L438" s="7"/>
      <c r="M438" s="7"/>
      <c r="N438" s="7"/>
      <c r="O438" s="7"/>
    </row>
    <row r="439" spans="1:15" outlineLevel="1" x14ac:dyDescent="0.3">
      <c r="A439" s="7"/>
      <c r="B439" s="7"/>
      <c r="C439" s="22" t="s">
        <v>1220</v>
      </c>
      <c r="D439" s="8"/>
      <c r="E439" s="8"/>
      <c r="F439" s="36" t="s">
        <v>547</v>
      </c>
      <c r="G439" s="61">
        <v>751</v>
      </c>
      <c r="H439" s="7"/>
      <c r="I439" s="7"/>
      <c r="J439" s="7"/>
      <c r="K439" s="7"/>
      <c r="L439" s="7"/>
      <c r="M439" s="7"/>
      <c r="N439" s="7"/>
      <c r="O439" s="7"/>
    </row>
    <row r="440" spans="1:15" s="2" customFormat="1" ht="43.2" x14ac:dyDescent="0.3">
      <c r="A440" s="4"/>
      <c r="B440" s="4"/>
      <c r="C440" s="4" t="s">
        <v>200</v>
      </c>
      <c r="D440" s="6"/>
      <c r="E440" s="6"/>
      <c r="F440" s="36"/>
      <c r="G440" s="41"/>
      <c r="H440" s="4"/>
      <c r="I440" s="4"/>
      <c r="J440" s="4"/>
      <c r="K440" s="4"/>
      <c r="L440" s="4"/>
      <c r="M440" s="4"/>
      <c r="N440" s="4" t="s">
        <v>767</v>
      </c>
      <c r="O440" s="4"/>
    </row>
    <row r="441" spans="1:15" ht="100.8" outlineLevel="1" x14ac:dyDescent="0.3">
      <c r="A441" s="7">
        <v>228</v>
      </c>
      <c r="B441" s="7">
        <v>228</v>
      </c>
      <c r="C441" s="7" t="s">
        <v>201</v>
      </c>
      <c r="D441" s="8" t="s">
        <v>548</v>
      </c>
      <c r="E441" s="8">
        <v>367.6</v>
      </c>
      <c r="F441" s="36" t="s">
        <v>548</v>
      </c>
      <c r="G441" s="61">
        <v>367.6</v>
      </c>
      <c r="H441" s="7"/>
      <c r="I441" s="7"/>
      <c r="J441" s="7"/>
      <c r="K441" s="7"/>
      <c r="L441" s="7"/>
      <c r="M441" s="7"/>
      <c r="N441" s="7" t="s">
        <v>1229</v>
      </c>
      <c r="O441" s="7"/>
    </row>
    <row r="442" spans="1:15" ht="28.8" outlineLevel="1" x14ac:dyDescent="0.3">
      <c r="A442" s="7"/>
      <c r="B442" s="7"/>
      <c r="C442" s="22" t="s">
        <v>1221</v>
      </c>
      <c r="D442" s="7"/>
      <c r="E442" s="7"/>
      <c r="F442" s="36" t="s">
        <v>1222</v>
      </c>
      <c r="G442" s="61">
        <v>123</v>
      </c>
      <c r="H442" s="7"/>
      <c r="I442" s="7"/>
      <c r="J442" s="7"/>
      <c r="K442" s="7"/>
      <c r="L442" s="7"/>
      <c r="M442" s="7"/>
      <c r="N442" s="7"/>
      <c r="O442" s="7"/>
    </row>
    <row r="443" spans="1:15" outlineLevel="1" x14ac:dyDescent="0.3">
      <c r="A443" s="7"/>
      <c r="B443" s="7"/>
      <c r="C443" s="22" t="s">
        <v>1223</v>
      </c>
      <c r="D443" s="7"/>
      <c r="E443" s="7"/>
      <c r="F443" s="36" t="s">
        <v>547</v>
      </c>
      <c r="G443" s="61">
        <v>185</v>
      </c>
      <c r="H443" s="7"/>
      <c r="I443" s="7"/>
      <c r="J443" s="7"/>
      <c r="K443" s="7"/>
      <c r="L443" s="7"/>
      <c r="M443" s="7"/>
      <c r="N443" s="7"/>
      <c r="O443" s="7"/>
    </row>
    <row r="444" spans="1:15" outlineLevel="1" x14ac:dyDescent="0.3">
      <c r="A444" s="7"/>
      <c r="B444" s="7"/>
      <c r="C444" s="22" t="s">
        <v>1224</v>
      </c>
      <c r="D444" s="7"/>
      <c r="E444" s="7"/>
      <c r="F444" s="36" t="s">
        <v>556</v>
      </c>
      <c r="G444" s="61">
        <v>51.37</v>
      </c>
      <c r="H444" s="7"/>
      <c r="I444" s="7"/>
      <c r="J444" s="7"/>
      <c r="K444" s="7"/>
      <c r="L444" s="7"/>
      <c r="M444" s="7"/>
      <c r="N444" s="7"/>
      <c r="O444" s="7"/>
    </row>
    <row r="445" spans="1:15" ht="28.8" outlineLevel="1" x14ac:dyDescent="0.3">
      <c r="A445" s="7"/>
      <c r="B445" s="7"/>
      <c r="C445" s="22" t="s">
        <v>1225</v>
      </c>
      <c r="D445" s="7"/>
      <c r="E445" s="7"/>
      <c r="F445" s="36" t="s">
        <v>1228</v>
      </c>
      <c r="G445" s="61" t="s">
        <v>1227</v>
      </c>
      <c r="H445" s="7"/>
      <c r="I445" s="7"/>
      <c r="J445" s="7"/>
      <c r="K445" s="7"/>
      <c r="L445" s="7"/>
      <c r="M445" s="7"/>
      <c r="N445" s="7"/>
      <c r="O445" s="7"/>
    </row>
    <row r="446" spans="1:15" outlineLevel="1" x14ac:dyDescent="0.3">
      <c r="A446" s="7"/>
      <c r="B446" s="7"/>
      <c r="C446" s="22" t="s">
        <v>1226</v>
      </c>
      <c r="D446" s="7"/>
      <c r="E446" s="7"/>
      <c r="F446" s="36" t="s">
        <v>1230</v>
      </c>
      <c r="G446" s="61" t="s">
        <v>1231</v>
      </c>
      <c r="H446" s="7"/>
      <c r="I446" s="7"/>
      <c r="J446" s="7"/>
      <c r="K446" s="7"/>
      <c r="L446" s="7"/>
      <c r="M446" s="7"/>
      <c r="N446" s="7"/>
      <c r="O446" s="7"/>
    </row>
    <row r="447" spans="1:15" s="2" customFormat="1" x14ac:dyDescent="0.3">
      <c r="A447" s="4"/>
      <c r="B447" s="4"/>
      <c r="C447" s="4" t="s">
        <v>202</v>
      </c>
      <c r="D447" s="6"/>
      <c r="E447" s="6"/>
      <c r="F447" s="36"/>
      <c r="G447" s="41"/>
      <c r="H447" s="4"/>
      <c r="I447" s="4"/>
      <c r="J447" s="4"/>
      <c r="K447" s="4"/>
      <c r="L447" s="4"/>
      <c r="M447" s="4"/>
      <c r="N447" s="4" t="s">
        <v>768</v>
      </c>
      <c r="O447" s="4"/>
    </row>
    <row r="448" spans="1:15" ht="28.8" outlineLevel="1" x14ac:dyDescent="0.3">
      <c r="A448" s="7">
        <v>229</v>
      </c>
      <c r="B448" s="7">
        <v>229</v>
      </c>
      <c r="C448" s="7" t="s">
        <v>195</v>
      </c>
      <c r="D448" s="8" t="s">
        <v>548</v>
      </c>
      <c r="E448" s="8">
        <v>91.948999999999998</v>
      </c>
      <c r="F448" s="36" t="s">
        <v>1052</v>
      </c>
      <c r="G448" s="59">
        <v>0.20499999999999999</v>
      </c>
      <c r="H448" s="7"/>
      <c r="I448" s="7"/>
      <c r="J448" s="7"/>
      <c r="K448" s="7"/>
      <c r="L448" s="7"/>
      <c r="M448" s="7"/>
      <c r="N448" s="7" t="s">
        <v>769</v>
      </c>
      <c r="O448" s="7"/>
    </row>
    <row r="449" spans="1:15" outlineLevel="1" x14ac:dyDescent="0.3">
      <c r="A449" s="7"/>
      <c r="B449" s="7"/>
      <c r="C449" s="22" t="s">
        <v>1232</v>
      </c>
      <c r="D449" s="8"/>
      <c r="E449" s="8"/>
      <c r="F449" s="36" t="s">
        <v>1208</v>
      </c>
      <c r="G449" s="61" t="s">
        <v>1233</v>
      </c>
      <c r="H449" s="7"/>
      <c r="I449" s="7"/>
      <c r="J449" s="7"/>
      <c r="K449" s="7"/>
      <c r="L449" s="7"/>
      <c r="M449" s="7"/>
      <c r="N449" s="7"/>
      <c r="O449" s="7"/>
    </row>
    <row r="450" spans="1:15" outlineLevel="1" x14ac:dyDescent="0.3">
      <c r="A450" s="7"/>
      <c r="B450" s="7"/>
      <c r="C450" s="22" t="s">
        <v>1205</v>
      </c>
      <c r="D450" s="8"/>
      <c r="E450" s="8"/>
      <c r="F450" s="36" t="s">
        <v>547</v>
      </c>
      <c r="G450" s="41">
        <v>736</v>
      </c>
      <c r="H450" s="7"/>
      <c r="I450" s="7"/>
      <c r="J450" s="7"/>
      <c r="K450" s="7"/>
      <c r="L450" s="7"/>
      <c r="M450" s="7"/>
      <c r="N450" s="7"/>
      <c r="O450" s="7"/>
    </row>
    <row r="451" spans="1:15" ht="28.8" outlineLevel="1" x14ac:dyDescent="0.3">
      <c r="A451" s="7">
        <v>230</v>
      </c>
      <c r="B451" s="7">
        <v>230</v>
      </c>
      <c r="C451" s="7" t="s">
        <v>203</v>
      </c>
      <c r="D451" s="8" t="s">
        <v>546</v>
      </c>
      <c r="E451" s="8">
        <v>12.9</v>
      </c>
      <c r="F451" s="36" t="s">
        <v>551</v>
      </c>
      <c r="G451" s="41">
        <f>0.14*0.08*91.949</f>
        <v>1.0298288000000002</v>
      </c>
      <c r="H451" s="7"/>
      <c r="I451" s="7"/>
      <c r="J451" s="7"/>
      <c r="K451" s="7"/>
      <c r="L451" s="7"/>
      <c r="M451" s="7"/>
      <c r="N451" s="7" t="s">
        <v>770</v>
      </c>
      <c r="O451" s="7"/>
    </row>
    <row r="452" spans="1:15" ht="28.8" outlineLevel="1" x14ac:dyDescent="0.3">
      <c r="A452" s="7">
        <v>231</v>
      </c>
      <c r="B452" s="7">
        <v>231</v>
      </c>
      <c r="C452" s="7" t="s">
        <v>204</v>
      </c>
      <c r="D452" s="8" t="s">
        <v>546</v>
      </c>
      <c r="E452" s="8">
        <v>128.72999999999999</v>
      </c>
      <c r="F452" s="36" t="s">
        <v>546</v>
      </c>
      <c r="G452" s="61">
        <v>128.72999999999999</v>
      </c>
      <c r="H452" s="7"/>
      <c r="I452" s="7"/>
      <c r="J452" s="7"/>
      <c r="K452" s="7"/>
      <c r="L452" s="7"/>
      <c r="M452" s="7"/>
      <c r="N452" s="7" t="s">
        <v>771</v>
      </c>
      <c r="O452" s="7"/>
    </row>
    <row r="453" spans="1:15" ht="28.8" outlineLevel="1" x14ac:dyDescent="0.3">
      <c r="A453" s="7">
        <v>232</v>
      </c>
      <c r="B453" s="7">
        <v>232</v>
      </c>
      <c r="C453" s="7" t="s">
        <v>205</v>
      </c>
      <c r="D453" s="8" t="s">
        <v>546</v>
      </c>
      <c r="E453" s="8">
        <v>46.89</v>
      </c>
      <c r="F453" s="36" t="s">
        <v>556</v>
      </c>
      <c r="G453" s="41" t="s">
        <v>1234</v>
      </c>
      <c r="H453" s="7"/>
      <c r="I453" s="7"/>
      <c r="J453" s="7"/>
      <c r="K453" s="7"/>
      <c r="L453" s="7"/>
      <c r="M453" s="7"/>
      <c r="N453" s="7" t="s">
        <v>772</v>
      </c>
      <c r="O453" s="7"/>
    </row>
    <row r="454" spans="1:15" ht="58.8" customHeight="1" outlineLevel="1" x14ac:dyDescent="0.3">
      <c r="A454" s="7">
        <v>233</v>
      </c>
      <c r="B454" s="7">
        <v>233</v>
      </c>
      <c r="C454" s="7" t="s">
        <v>206</v>
      </c>
      <c r="D454" s="8" t="s">
        <v>546</v>
      </c>
      <c r="E454" s="8">
        <v>73.56</v>
      </c>
      <c r="F454" s="36" t="s">
        <v>546</v>
      </c>
      <c r="G454" s="41">
        <v>81.650000000000006</v>
      </c>
      <c r="H454" s="7"/>
      <c r="I454" s="7"/>
      <c r="J454" s="7"/>
      <c r="K454" s="7"/>
      <c r="L454" s="7"/>
      <c r="M454" s="7"/>
      <c r="N454" s="7" t="s">
        <v>773</v>
      </c>
      <c r="O454" s="7"/>
    </row>
    <row r="455" spans="1:15" ht="15.6" customHeight="1" outlineLevel="1" x14ac:dyDescent="0.3">
      <c r="A455" s="7"/>
      <c r="B455" s="7"/>
      <c r="C455" s="22" t="s">
        <v>1235</v>
      </c>
      <c r="D455" s="23"/>
      <c r="E455" s="23"/>
      <c r="F455" s="36" t="s">
        <v>546</v>
      </c>
      <c r="G455" s="61">
        <v>81.650000000000006</v>
      </c>
      <c r="H455" s="7"/>
      <c r="I455" s="7"/>
      <c r="J455" s="7"/>
      <c r="K455" s="7"/>
      <c r="L455" s="7"/>
      <c r="M455" s="7"/>
      <c r="N455" s="7"/>
      <c r="O455" s="7"/>
    </row>
    <row r="456" spans="1:15" ht="15.6" customHeight="1" outlineLevel="1" x14ac:dyDescent="0.3">
      <c r="A456" s="7"/>
      <c r="B456" s="7"/>
      <c r="C456" s="22" t="s">
        <v>1213</v>
      </c>
      <c r="D456" s="23"/>
      <c r="E456" s="23"/>
      <c r="F456" s="36" t="s">
        <v>546</v>
      </c>
      <c r="G456" s="61">
        <v>71.61</v>
      </c>
      <c r="H456" s="7"/>
      <c r="I456" s="7"/>
      <c r="J456" s="7"/>
      <c r="K456" s="7"/>
      <c r="L456" s="7"/>
      <c r="M456" s="7"/>
      <c r="N456" s="7"/>
      <c r="O456" s="7"/>
    </row>
    <row r="457" spans="1:15" ht="15.6" customHeight="1" outlineLevel="1" x14ac:dyDescent="0.3">
      <c r="A457" s="7"/>
      <c r="B457" s="7"/>
      <c r="C457" s="22" t="s">
        <v>1212</v>
      </c>
      <c r="D457" s="23"/>
      <c r="E457" s="23"/>
      <c r="F457" s="36" t="s">
        <v>546</v>
      </c>
      <c r="G457" s="61">
        <v>51.59</v>
      </c>
      <c r="H457" s="7"/>
      <c r="I457" s="7"/>
      <c r="J457" s="7"/>
      <c r="K457" s="7"/>
      <c r="L457" s="7"/>
      <c r="M457" s="7"/>
      <c r="N457" s="7"/>
      <c r="O457" s="7"/>
    </row>
    <row r="458" spans="1:15" ht="57.6" outlineLevel="1" x14ac:dyDescent="0.3">
      <c r="A458" s="7">
        <v>234</v>
      </c>
      <c r="B458" s="7">
        <v>234</v>
      </c>
      <c r="C458" s="7" t="s">
        <v>207</v>
      </c>
      <c r="D458" s="8" t="s">
        <v>548</v>
      </c>
      <c r="E458" s="8">
        <v>91.948999999999998</v>
      </c>
      <c r="F458" s="26" t="s">
        <v>548</v>
      </c>
      <c r="G458" s="39">
        <v>91.948999999999998</v>
      </c>
      <c r="H458" s="7"/>
      <c r="I458" s="7"/>
      <c r="J458" s="7"/>
      <c r="K458" s="7"/>
      <c r="L458" s="7"/>
      <c r="M458" s="7"/>
      <c r="N458" s="7" t="s">
        <v>1238</v>
      </c>
      <c r="O458" s="7"/>
    </row>
    <row r="459" spans="1:15" outlineLevel="1" x14ac:dyDescent="0.3">
      <c r="A459" s="7"/>
      <c r="B459" s="7"/>
      <c r="C459" s="22" t="s">
        <v>1237</v>
      </c>
      <c r="D459" s="7"/>
      <c r="E459" s="7"/>
      <c r="F459" s="36" t="s">
        <v>1167</v>
      </c>
      <c r="G459" s="61">
        <v>68.040000000000006</v>
      </c>
      <c r="H459" s="7"/>
      <c r="I459" s="7"/>
      <c r="J459" s="7"/>
      <c r="K459" s="7"/>
      <c r="L459" s="7"/>
      <c r="M459" s="7"/>
      <c r="N459" s="7"/>
      <c r="O459" s="7"/>
    </row>
    <row r="460" spans="1:15" outlineLevel="1" x14ac:dyDescent="0.3">
      <c r="A460" s="7"/>
      <c r="B460" s="7"/>
      <c r="C460" s="22" t="s">
        <v>1236</v>
      </c>
      <c r="D460" s="7"/>
      <c r="E460" s="7"/>
      <c r="F460" s="36" t="s">
        <v>556</v>
      </c>
      <c r="G460" s="61">
        <v>73.56</v>
      </c>
      <c r="H460" s="7"/>
      <c r="I460" s="7"/>
      <c r="J460" s="7"/>
      <c r="K460" s="7"/>
      <c r="L460" s="7"/>
      <c r="M460" s="7"/>
      <c r="N460" s="7"/>
      <c r="O460" s="7"/>
    </row>
    <row r="461" spans="1:15" s="2" customFormat="1" ht="43.2" x14ac:dyDescent="0.3">
      <c r="A461" s="4"/>
      <c r="B461" s="4"/>
      <c r="C461" s="4" t="s">
        <v>208</v>
      </c>
      <c r="D461" s="6"/>
      <c r="E461" s="6"/>
      <c r="F461" s="36"/>
      <c r="G461" s="41"/>
      <c r="H461" s="4"/>
      <c r="I461" s="4"/>
      <c r="J461" s="4"/>
      <c r="K461" s="4"/>
      <c r="L461" s="4"/>
      <c r="M461" s="4"/>
      <c r="N461" s="4" t="s">
        <v>774</v>
      </c>
      <c r="O461" s="4"/>
    </row>
    <row r="462" spans="1:15" ht="110.4" customHeight="1" outlineLevel="1" x14ac:dyDescent="0.3">
      <c r="A462" s="7">
        <v>235</v>
      </c>
      <c r="B462" s="7">
        <v>235</v>
      </c>
      <c r="C462" s="7" t="s">
        <v>209</v>
      </c>
      <c r="D462" s="8" t="s">
        <v>548</v>
      </c>
      <c r="E462" s="8">
        <v>90.8</v>
      </c>
      <c r="F462" s="26" t="s">
        <v>548</v>
      </c>
      <c r="G462" s="39">
        <v>90.8</v>
      </c>
      <c r="H462" s="7"/>
      <c r="I462" s="7"/>
      <c r="J462" s="7"/>
      <c r="K462" s="7"/>
      <c r="L462" s="7"/>
      <c r="M462" s="7"/>
      <c r="N462" s="7" t="s">
        <v>775</v>
      </c>
      <c r="O462" s="7"/>
    </row>
    <row r="463" spans="1:15" ht="25.8" customHeight="1" outlineLevel="1" x14ac:dyDescent="0.3">
      <c r="A463" s="7"/>
      <c r="B463" s="7"/>
      <c r="C463" s="22" t="s">
        <v>1239</v>
      </c>
      <c r="D463" s="24"/>
      <c r="E463" s="24"/>
      <c r="F463" s="26" t="s">
        <v>1222</v>
      </c>
      <c r="G463" s="39">
        <v>31</v>
      </c>
      <c r="H463" s="7"/>
      <c r="I463" s="7"/>
      <c r="J463" s="7"/>
      <c r="K463" s="7"/>
      <c r="L463" s="7"/>
      <c r="M463" s="7"/>
      <c r="N463" s="7"/>
      <c r="O463" s="7"/>
    </row>
    <row r="464" spans="1:15" ht="16.8" customHeight="1" outlineLevel="1" x14ac:dyDescent="0.3">
      <c r="A464" s="7"/>
      <c r="B464" s="7"/>
      <c r="C464" s="22" t="s">
        <v>1240</v>
      </c>
      <c r="D464" s="24"/>
      <c r="E464" s="24"/>
      <c r="F464" s="26" t="s">
        <v>547</v>
      </c>
      <c r="G464" s="39">
        <v>186</v>
      </c>
      <c r="H464" s="7"/>
      <c r="I464" s="7"/>
      <c r="J464" s="7"/>
      <c r="K464" s="7"/>
      <c r="L464" s="7"/>
      <c r="M464" s="7"/>
      <c r="N464" s="7"/>
      <c r="O464" s="7"/>
    </row>
    <row r="465" spans="1:15" ht="16.8" customHeight="1" outlineLevel="1" x14ac:dyDescent="0.3">
      <c r="A465" s="7"/>
      <c r="B465" s="7"/>
      <c r="C465" s="22" t="s">
        <v>1225</v>
      </c>
      <c r="D465" s="24"/>
      <c r="E465" s="24"/>
      <c r="F465" s="26" t="s">
        <v>1241</v>
      </c>
      <c r="G465" s="39" t="s">
        <v>1242</v>
      </c>
      <c r="H465" s="7"/>
      <c r="I465" s="7"/>
      <c r="J465" s="7"/>
      <c r="K465" s="7"/>
      <c r="L465" s="7"/>
      <c r="M465" s="7"/>
      <c r="N465" s="7"/>
      <c r="O465" s="7"/>
    </row>
    <row r="466" spans="1:15" ht="16.8" customHeight="1" outlineLevel="1" x14ac:dyDescent="0.3">
      <c r="A466" s="7"/>
      <c r="B466" s="7"/>
      <c r="C466" s="22" t="s">
        <v>1226</v>
      </c>
      <c r="D466" s="24"/>
      <c r="E466" s="24"/>
      <c r="F466" s="26" t="s">
        <v>1230</v>
      </c>
      <c r="G466" s="39" t="s">
        <v>1243</v>
      </c>
      <c r="H466" s="7"/>
      <c r="I466" s="7"/>
      <c r="J466" s="7"/>
      <c r="K466" s="7"/>
      <c r="L466" s="7"/>
      <c r="M466" s="7"/>
      <c r="N466" s="7"/>
      <c r="O466" s="7"/>
    </row>
    <row r="467" spans="1:15" s="13" customFormat="1" ht="86.4" outlineLevel="1" x14ac:dyDescent="0.3">
      <c r="A467" s="11"/>
      <c r="B467" s="11"/>
      <c r="C467" s="11" t="s">
        <v>210</v>
      </c>
      <c r="D467" s="12" t="s">
        <v>546</v>
      </c>
      <c r="E467" s="12">
        <v>614.07000000000005</v>
      </c>
      <c r="F467" s="36" t="s">
        <v>1230</v>
      </c>
      <c r="G467" s="67" t="s">
        <v>1244</v>
      </c>
      <c r="H467" s="11"/>
      <c r="I467" s="11"/>
      <c r="J467" s="11"/>
      <c r="K467" s="11"/>
      <c r="L467" s="11"/>
      <c r="M467" s="11"/>
      <c r="N467" s="30" t="s">
        <v>776</v>
      </c>
      <c r="O467" s="11"/>
    </row>
    <row r="468" spans="1:15" ht="100.8" outlineLevel="1" x14ac:dyDescent="0.3">
      <c r="A468" s="7">
        <v>236</v>
      </c>
      <c r="B468" s="7">
        <v>236</v>
      </c>
      <c r="C468" s="7" t="s">
        <v>211</v>
      </c>
      <c r="D468" s="8" t="s">
        <v>547</v>
      </c>
      <c r="E468" s="8">
        <v>39</v>
      </c>
      <c r="F468" s="26" t="s">
        <v>547</v>
      </c>
      <c r="G468" s="39">
        <v>39</v>
      </c>
      <c r="H468" s="7"/>
      <c r="I468" s="7"/>
      <c r="J468" s="7"/>
      <c r="K468" s="7"/>
      <c r="L468" s="7"/>
      <c r="M468" s="7"/>
      <c r="N468" s="7" t="s">
        <v>777</v>
      </c>
      <c r="O468" s="7"/>
    </row>
    <row r="469" spans="1:15" outlineLevel="1" x14ac:dyDescent="0.3">
      <c r="A469" s="7"/>
      <c r="B469" s="7"/>
      <c r="C469" s="22" t="s">
        <v>1245</v>
      </c>
      <c r="D469" s="25"/>
      <c r="E469" s="25"/>
      <c r="F469" s="26" t="s">
        <v>547</v>
      </c>
      <c r="G469" s="39">
        <v>39</v>
      </c>
      <c r="H469" s="7"/>
      <c r="I469" s="7"/>
      <c r="J469" s="7"/>
      <c r="K469" s="7"/>
      <c r="L469" s="7"/>
      <c r="M469" s="7"/>
      <c r="N469" s="7"/>
      <c r="O469" s="7"/>
    </row>
    <row r="470" spans="1:15" outlineLevel="1" x14ac:dyDescent="0.3">
      <c r="A470" s="7"/>
      <c r="B470" s="7"/>
      <c r="C470" s="22" t="s">
        <v>1246</v>
      </c>
      <c r="D470" s="25"/>
      <c r="E470" s="25"/>
      <c r="F470" s="26" t="s">
        <v>547</v>
      </c>
      <c r="G470" s="39">
        <v>39</v>
      </c>
      <c r="H470" s="7"/>
      <c r="I470" s="7"/>
      <c r="J470" s="7"/>
      <c r="K470" s="7"/>
      <c r="L470" s="7"/>
      <c r="M470" s="7"/>
      <c r="N470" s="7"/>
      <c r="O470" s="7"/>
    </row>
    <row r="471" spans="1:15" outlineLevel="1" x14ac:dyDescent="0.3">
      <c r="A471" s="7"/>
      <c r="B471" s="7"/>
      <c r="C471" s="22" t="s">
        <v>1247</v>
      </c>
      <c r="D471" s="25"/>
      <c r="E471" s="25"/>
      <c r="F471" s="26" t="s">
        <v>547</v>
      </c>
      <c r="G471" s="39">
        <v>39</v>
      </c>
      <c r="H471" s="7"/>
      <c r="I471" s="7"/>
      <c r="J471" s="7"/>
      <c r="K471" s="7"/>
      <c r="L471" s="7"/>
      <c r="M471" s="7"/>
      <c r="N471" s="7"/>
      <c r="O471" s="7"/>
    </row>
    <row r="472" spans="1:15" outlineLevel="1" x14ac:dyDescent="0.3">
      <c r="A472" s="7"/>
      <c r="B472" s="7"/>
      <c r="C472" s="22" t="s">
        <v>1250</v>
      </c>
      <c r="D472" s="25"/>
      <c r="E472" s="25"/>
      <c r="F472" s="26" t="s">
        <v>1167</v>
      </c>
      <c r="G472" s="39">
        <v>9.2040000000000006</v>
      </c>
      <c r="H472" s="7"/>
      <c r="I472" s="7"/>
      <c r="J472" s="7"/>
      <c r="K472" s="7"/>
      <c r="L472" s="7"/>
      <c r="M472" s="7"/>
      <c r="N472" s="7"/>
      <c r="O472" s="7"/>
    </row>
    <row r="473" spans="1:15" outlineLevel="1" x14ac:dyDescent="0.3">
      <c r="A473" s="7"/>
      <c r="B473" s="7"/>
      <c r="C473" s="22" t="s">
        <v>1248</v>
      </c>
      <c r="D473" s="25"/>
      <c r="E473" s="25"/>
      <c r="F473" s="26" t="s">
        <v>556</v>
      </c>
      <c r="G473" s="39">
        <v>68.718000000000004</v>
      </c>
      <c r="H473" s="7"/>
      <c r="I473" s="7"/>
      <c r="J473" s="7"/>
      <c r="K473" s="7"/>
      <c r="L473" s="7"/>
      <c r="M473" s="7"/>
      <c r="N473" s="7"/>
      <c r="O473" s="7"/>
    </row>
    <row r="474" spans="1:15" outlineLevel="1" x14ac:dyDescent="0.3">
      <c r="A474" s="7"/>
      <c r="B474" s="7"/>
      <c r="C474" s="22" t="s">
        <v>1249</v>
      </c>
      <c r="D474" s="25"/>
      <c r="E474" s="25"/>
      <c r="F474" s="26" t="s">
        <v>1167</v>
      </c>
      <c r="G474" s="39">
        <v>27.3</v>
      </c>
      <c r="H474" s="7"/>
      <c r="I474" s="7"/>
      <c r="J474" s="7"/>
      <c r="K474" s="7"/>
      <c r="L474" s="7"/>
      <c r="M474" s="7"/>
      <c r="N474" s="7"/>
      <c r="O474" s="7"/>
    </row>
    <row r="475" spans="1:15" outlineLevel="1" x14ac:dyDescent="0.3">
      <c r="A475" s="7">
        <v>237</v>
      </c>
      <c r="B475" s="7">
        <v>237</v>
      </c>
      <c r="C475" s="7" t="s">
        <v>212</v>
      </c>
      <c r="D475" s="8" t="s">
        <v>547</v>
      </c>
      <c r="E475" s="8">
        <v>57</v>
      </c>
      <c r="F475" s="26" t="s">
        <v>547</v>
      </c>
      <c r="G475" s="39">
        <v>57</v>
      </c>
      <c r="H475" s="7"/>
      <c r="I475" s="7"/>
      <c r="J475" s="7"/>
      <c r="K475" s="7"/>
      <c r="L475" s="7"/>
      <c r="M475" s="7"/>
      <c r="N475" s="7" t="s">
        <v>778</v>
      </c>
      <c r="O475" s="7"/>
    </row>
    <row r="476" spans="1:15" s="2" customFormat="1" ht="28.8" x14ac:dyDescent="0.3">
      <c r="A476" s="4"/>
      <c r="B476" s="4"/>
      <c r="C476" s="4" t="s">
        <v>213</v>
      </c>
      <c r="D476" s="6"/>
      <c r="E476" s="6"/>
      <c r="F476" s="36"/>
      <c r="G476" s="41"/>
      <c r="H476" s="4"/>
      <c r="I476" s="4"/>
      <c r="J476" s="4"/>
      <c r="K476" s="4"/>
      <c r="L476" s="4"/>
      <c r="M476" s="4"/>
      <c r="N476" s="4"/>
      <c r="O476" s="4"/>
    </row>
    <row r="477" spans="1:15" ht="28.8" outlineLevel="1" x14ac:dyDescent="0.3">
      <c r="A477" s="7">
        <v>238</v>
      </c>
      <c r="B477" s="7">
        <v>238</v>
      </c>
      <c r="C477" s="7" t="s">
        <v>214</v>
      </c>
      <c r="D477" s="8" t="s">
        <v>553</v>
      </c>
      <c r="E477" s="8">
        <v>283.29000000000002</v>
      </c>
      <c r="F477" s="26" t="s">
        <v>553</v>
      </c>
      <c r="G477" s="39">
        <v>283.29000000000002</v>
      </c>
      <c r="H477" s="7"/>
      <c r="I477" s="7"/>
      <c r="J477" s="7"/>
      <c r="K477" s="7"/>
      <c r="L477" s="7"/>
      <c r="M477" s="7"/>
      <c r="N477" s="7" t="s">
        <v>779</v>
      </c>
      <c r="O477" s="7"/>
    </row>
    <row r="478" spans="1:15" ht="28.8" outlineLevel="1" x14ac:dyDescent="0.3">
      <c r="A478" s="7">
        <v>239</v>
      </c>
      <c r="B478" s="7">
        <v>239</v>
      </c>
      <c r="C478" s="7" t="s">
        <v>215</v>
      </c>
      <c r="D478" s="8" t="s">
        <v>546</v>
      </c>
      <c r="E478" s="8">
        <v>85</v>
      </c>
      <c r="F478" s="36" t="s">
        <v>551</v>
      </c>
      <c r="G478" s="41">
        <v>4.3780000000000001</v>
      </c>
      <c r="H478" s="7"/>
      <c r="I478" s="7"/>
      <c r="J478" s="7"/>
      <c r="K478" s="7"/>
      <c r="L478" s="7"/>
      <c r="M478" s="7"/>
      <c r="N478" s="7" t="s">
        <v>780</v>
      </c>
      <c r="O478" s="7" t="s">
        <v>1252</v>
      </c>
    </row>
    <row r="479" spans="1:15" outlineLevel="1" x14ac:dyDescent="0.3">
      <c r="A479" s="7"/>
      <c r="B479" s="7"/>
      <c r="C479" s="22" t="s">
        <v>1253</v>
      </c>
      <c r="D479" s="8"/>
      <c r="E479" s="8"/>
      <c r="F479" s="36" t="s">
        <v>551</v>
      </c>
      <c r="G479" s="41">
        <v>4.3780000000000001</v>
      </c>
      <c r="H479" s="7"/>
      <c r="I479" s="7"/>
      <c r="J479" s="7"/>
      <c r="K479" s="7"/>
      <c r="L479" s="7"/>
      <c r="M479" s="7"/>
      <c r="N479" s="7"/>
      <c r="O479" s="7"/>
    </row>
    <row r="480" spans="1:15" outlineLevel="1" x14ac:dyDescent="0.3">
      <c r="A480" s="7"/>
      <c r="B480" s="7"/>
      <c r="C480" s="22" t="s">
        <v>1251</v>
      </c>
      <c r="D480" s="8"/>
      <c r="E480" s="8"/>
      <c r="F480" s="36" t="s">
        <v>547</v>
      </c>
      <c r="G480" s="41">
        <v>438</v>
      </c>
      <c r="H480" s="7"/>
      <c r="I480" s="7"/>
      <c r="J480" s="7"/>
      <c r="K480" s="7"/>
      <c r="L480" s="7"/>
      <c r="M480" s="7"/>
      <c r="N480" s="7"/>
      <c r="O480" s="7"/>
    </row>
    <row r="481" spans="1:15" ht="28.8" outlineLevel="1" x14ac:dyDescent="0.3">
      <c r="A481" s="7">
        <v>240</v>
      </c>
      <c r="B481" s="7">
        <v>240</v>
      </c>
      <c r="C481" s="7" t="s">
        <v>216</v>
      </c>
      <c r="D481" s="8" t="s">
        <v>546</v>
      </c>
      <c r="E481" s="8">
        <v>283.29000000000002</v>
      </c>
      <c r="F481" s="36" t="s">
        <v>549</v>
      </c>
      <c r="G481" s="41">
        <v>198.3</v>
      </c>
      <c r="H481" s="7"/>
      <c r="I481" s="7"/>
      <c r="J481" s="7"/>
      <c r="K481" s="7"/>
      <c r="L481" s="7"/>
      <c r="M481" s="7"/>
      <c r="N481" s="7" t="s">
        <v>781</v>
      </c>
      <c r="O481" s="7" t="s">
        <v>1254</v>
      </c>
    </row>
    <row r="482" spans="1:15" ht="129.6" outlineLevel="1" x14ac:dyDescent="0.3">
      <c r="A482" s="7">
        <v>241</v>
      </c>
      <c r="B482" s="7">
        <v>241</v>
      </c>
      <c r="C482" s="7" t="s">
        <v>217</v>
      </c>
      <c r="D482" s="8" t="s">
        <v>548</v>
      </c>
      <c r="E482" s="8">
        <v>283.28500000000003</v>
      </c>
      <c r="F482" s="26" t="s">
        <v>548</v>
      </c>
      <c r="G482" s="39">
        <v>283.28500000000003</v>
      </c>
      <c r="H482" s="7"/>
      <c r="I482" s="7"/>
      <c r="J482" s="7"/>
      <c r="K482" s="7"/>
      <c r="L482" s="7"/>
      <c r="M482" s="7"/>
      <c r="N482" s="7" t="s">
        <v>782</v>
      </c>
      <c r="O482" s="7"/>
    </row>
    <row r="483" spans="1:15" outlineLevel="1" x14ac:dyDescent="0.3">
      <c r="A483" s="7"/>
      <c r="B483" s="7"/>
      <c r="C483" s="22" t="s">
        <v>1255</v>
      </c>
      <c r="D483" s="24"/>
      <c r="E483" s="24"/>
      <c r="F483" s="26" t="s">
        <v>1167</v>
      </c>
      <c r="G483" s="39">
        <v>204.39</v>
      </c>
      <c r="H483" s="7"/>
      <c r="I483" s="7"/>
      <c r="J483" s="7"/>
      <c r="K483" s="7"/>
      <c r="L483" s="7"/>
      <c r="M483" s="7"/>
      <c r="N483" s="7"/>
      <c r="O483" s="7"/>
    </row>
    <row r="484" spans="1:15" outlineLevel="1" x14ac:dyDescent="0.3">
      <c r="A484" s="7"/>
      <c r="B484" s="7"/>
      <c r="C484" s="22" t="s">
        <v>1189</v>
      </c>
      <c r="D484" s="24"/>
      <c r="E484" s="24"/>
      <c r="F484" s="26" t="s">
        <v>548</v>
      </c>
      <c r="G484" s="39">
        <v>283.28500000000003</v>
      </c>
      <c r="H484" s="7"/>
      <c r="I484" s="7"/>
      <c r="J484" s="7"/>
      <c r="K484" s="7"/>
      <c r="L484" s="7"/>
      <c r="M484" s="7"/>
      <c r="N484" s="7"/>
      <c r="O484" s="7"/>
    </row>
    <row r="485" spans="1:15" outlineLevel="1" x14ac:dyDescent="0.3">
      <c r="A485" s="7"/>
      <c r="B485" s="7"/>
      <c r="C485" s="22" t="s">
        <v>1256</v>
      </c>
      <c r="D485" s="24"/>
      <c r="E485" s="24"/>
      <c r="F485" s="26" t="s">
        <v>1167</v>
      </c>
      <c r="G485" s="39">
        <v>83.57</v>
      </c>
      <c r="H485" s="7"/>
      <c r="I485" s="7"/>
      <c r="J485" s="7"/>
      <c r="K485" s="7"/>
      <c r="L485" s="7"/>
      <c r="M485" s="7"/>
      <c r="N485" s="7"/>
      <c r="O485" s="7"/>
    </row>
    <row r="486" spans="1:15" outlineLevel="1" x14ac:dyDescent="0.3">
      <c r="A486" s="7"/>
      <c r="B486" s="7"/>
      <c r="C486" s="22" t="s">
        <v>1192</v>
      </c>
      <c r="D486" s="24"/>
      <c r="E486" s="24"/>
      <c r="F486" s="26" t="s">
        <v>548</v>
      </c>
      <c r="G486" s="39">
        <v>283.28500000000003</v>
      </c>
      <c r="H486" s="7"/>
      <c r="I486" s="7"/>
      <c r="J486" s="7"/>
      <c r="K486" s="7"/>
      <c r="L486" s="7"/>
      <c r="M486" s="7"/>
      <c r="N486" s="7"/>
      <c r="O486" s="7"/>
    </row>
    <row r="487" spans="1:15" ht="28.8" outlineLevel="1" x14ac:dyDescent="0.3">
      <c r="A487" s="7"/>
      <c r="B487" s="7"/>
      <c r="C487" s="22" t="s">
        <v>1257</v>
      </c>
      <c r="D487" s="24"/>
      <c r="E487" s="24"/>
      <c r="F487" s="26" t="s">
        <v>1167</v>
      </c>
      <c r="G487" s="39">
        <v>166.71</v>
      </c>
      <c r="H487" s="7"/>
      <c r="I487" s="7"/>
      <c r="J487" s="7"/>
      <c r="K487" s="7"/>
      <c r="L487" s="7"/>
      <c r="M487" s="7"/>
      <c r="N487" s="7"/>
      <c r="O487" s="7" t="s">
        <v>1258</v>
      </c>
    </row>
    <row r="488" spans="1:15" ht="43.2" outlineLevel="1" x14ac:dyDescent="0.3">
      <c r="A488" s="7">
        <v>242</v>
      </c>
      <c r="B488" s="7">
        <v>242</v>
      </c>
      <c r="C488" s="7" t="s">
        <v>218</v>
      </c>
      <c r="D488" s="8" t="s">
        <v>553</v>
      </c>
      <c r="E488" s="8">
        <v>283.29000000000002</v>
      </c>
      <c r="F488" s="26" t="s">
        <v>553</v>
      </c>
      <c r="G488" s="39">
        <v>283.29000000000002</v>
      </c>
      <c r="H488" s="7"/>
      <c r="I488" s="7"/>
      <c r="J488" s="7"/>
      <c r="K488" s="7"/>
      <c r="L488" s="7"/>
      <c r="M488" s="7"/>
      <c r="N488" s="7" t="s">
        <v>783</v>
      </c>
      <c r="O488" s="7"/>
    </row>
    <row r="489" spans="1:15" outlineLevel="1" x14ac:dyDescent="0.3">
      <c r="A489" s="7"/>
      <c r="B489" s="7"/>
      <c r="C489" s="22" t="s">
        <v>1259</v>
      </c>
      <c r="D489" s="7"/>
      <c r="E489" s="7"/>
      <c r="F489" s="26" t="s">
        <v>1202</v>
      </c>
      <c r="G489" s="39" t="s">
        <v>1262</v>
      </c>
      <c r="H489" s="7"/>
      <c r="I489" s="7"/>
      <c r="J489" s="7"/>
      <c r="K489" s="7"/>
      <c r="L489" s="7"/>
      <c r="M489" s="7"/>
      <c r="N489" s="7"/>
      <c r="O489" s="7"/>
    </row>
    <row r="490" spans="1:15" outlineLevel="1" x14ac:dyDescent="0.3">
      <c r="A490" s="7"/>
      <c r="B490" s="7"/>
      <c r="C490" s="22" t="s">
        <v>1260</v>
      </c>
      <c r="D490" s="7"/>
      <c r="E490" s="7"/>
      <c r="F490" s="26" t="s">
        <v>547</v>
      </c>
      <c r="G490" s="72">
        <v>1417</v>
      </c>
      <c r="H490" s="7"/>
      <c r="I490" s="7"/>
      <c r="J490" s="7"/>
      <c r="K490" s="7"/>
      <c r="L490" s="7"/>
      <c r="M490" s="7"/>
      <c r="N490" s="7"/>
      <c r="O490" s="7"/>
    </row>
    <row r="491" spans="1:15" outlineLevel="1" x14ac:dyDescent="0.3">
      <c r="A491" s="7"/>
      <c r="B491" s="7"/>
      <c r="C491" s="22" t="s">
        <v>1261</v>
      </c>
      <c r="D491" s="7"/>
      <c r="E491" s="7"/>
      <c r="F491" s="26" t="s">
        <v>547</v>
      </c>
      <c r="G491" s="39">
        <v>71</v>
      </c>
      <c r="H491" s="7"/>
      <c r="I491" s="7"/>
      <c r="J491" s="7"/>
      <c r="K491" s="7"/>
      <c r="L491" s="7"/>
      <c r="M491" s="7"/>
      <c r="N491" s="7"/>
      <c r="O491" s="7"/>
    </row>
    <row r="492" spans="1:15" s="2" customFormat="1" x14ac:dyDescent="0.3">
      <c r="A492" s="4"/>
      <c r="B492" s="4"/>
      <c r="C492" s="4" t="s">
        <v>219</v>
      </c>
      <c r="D492" s="6"/>
      <c r="E492" s="6"/>
      <c r="F492" s="36"/>
      <c r="G492" s="41"/>
      <c r="H492" s="4"/>
      <c r="I492" s="4"/>
      <c r="J492" s="4"/>
      <c r="K492" s="4"/>
      <c r="L492" s="4"/>
      <c r="M492" s="4"/>
      <c r="N492" s="4"/>
      <c r="O492" s="4"/>
    </row>
    <row r="493" spans="1:15" ht="57.6" outlineLevel="1" x14ac:dyDescent="0.3">
      <c r="A493" s="7">
        <v>243</v>
      </c>
      <c r="B493" s="7">
        <v>243</v>
      </c>
      <c r="C493" s="7" t="s">
        <v>179</v>
      </c>
      <c r="D493" s="8" t="s">
        <v>546</v>
      </c>
      <c r="E493" s="8">
        <v>152.6</v>
      </c>
      <c r="F493" s="26" t="s">
        <v>546</v>
      </c>
      <c r="G493" s="39">
        <v>152.6</v>
      </c>
      <c r="H493" s="7"/>
      <c r="I493" s="7"/>
      <c r="J493" s="7"/>
      <c r="K493" s="7"/>
      <c r="L493" s="7"/>
      <c r="M493" s="7"/>
      <c r="N493" s="7" t="s">
        <v>784</v>
      </c>
      <c r="O493" s="7" t="s">
        <v>1265</v>
      </c>
    </row>
    <row r="494" spans="1:15" outlineLevel="1" x14ac:dyDescent="0.3">
      <c r="A494" s="7"/>
      <c r="B494" s="7"/>
      <c r="C494" s="22" t="s">
        <v>1264</v>
      </c>
      <c r="D494" s="7"/>
      <c r="E494" s="8"/>
      <c r="F494" s="26" t="s">
        <v>551</v>
      </c>
      <c r="G494" s="73">
        <v>1.8311999999999999</v>
      </c>
      <c r="H494" s="7"/>
      <c r="I494" s="7"/>
      <c r="J494" s="7"/>
      <c r="K494" s="7"/>
      <c r="L494" s="7"/>
      <c r="M494" s="7"/>
      <c r="N494" s="7"/>
      <c r="O494" s="7"/>
    </row>
    <row r="495" spans="1:15" outlineLevel="1" x14ac:dyDescent="0.3">
      <c r="A495" s="7"/>
      <c r="B495" s="7"/>
      <c r="C495" s="22" t="s">
        <v>1263</v>
      </c>
      <c r="D495" s="7"/>
      <c r="E495" s="8"/>
      <c r="F495" s="26" t="s">
        <v>551</v>
      </c>
      <c r="G495" s="73">
        <v>6.4092000000000002</v>
      </c>
      <c r="H495" s="7"/>
      <c r="I495" s="7"/>
      <c r="J495" s="7"/>
      <c r="K495" s="7"/>
      <c r="L495" s="7"/>
      <c r="M495" s="7"/>
      <c r="N495" s="7"/>
      <c r="O495" s="7"/>
    </row>
    <row r="496" spans="1:15" outlineLevel="1" x14ac:dyDescent="0.3">
      <c r="A496" s="7">
        <v>244</v>
      </c>
      <c r="B496" s="7">
        <v>244</v>
      </c>
      <c r="C496" s="7" t="s">
        <v>220</v>
      </c>
      <c r="D496" s="8" t="s">
        <v>546</v>
      </c>
      <c r="E496" s="8">
        <v>46.9</v>
      </c>
      <c r="F496" s="36" t="s">
        <v>549</v>
      </c>
      <c r="G496" s="41">
        <f>46.9*0.7</f>
        <v>32.83</v>
      </c>
      <c r="H496" s="7"/>
      <c r="I496" s="7"/>
      <c r="J496" s="7"/>
      <c r="K496" s="7"/>
      <c r="L496" s="7"/>
      <c r="M496" s="7"/>
      <c r="N496" s="7" t="s">
        <v>785</v>
      </c>
      <c r="O496" s="7" t="s">
        <v>1266</v>
      </c>
    </row>
    <row r="497" spans="1:15" ht="43.2" outlineLevel="1" x14ac:dyDescent="0.3">
      <c r="A497" s="7">
        <v>245</v>
      </c>
      <c r="B497" s="7">
        <v>245</v>
      </c>
      <c r="C497" s="7" t="s">
        <v>221</v>
      </c>
      <c r="D497" s="8" t="s">
        <v>546</v>
      </c>
      <c r="E497" s="8">
        <v>717.2</v>
      </c>
      <c r="F497" s="26" t="s">
        <v>546</v>
      </c>
      <c r="G497" s="39">
        <v>717.2</v>
      </c>
      <c r="H497" s="7"/>
      <c r="I497" s="7"/>
      <c r="J497" s="7"/>
      <c r="K497" s="7"/>
      <c r="L497" s="7"/>
      <c r="M497" s="7"/>
      <c r="N497" s="7" t="s">
        <v>1269</v>
      </c>
      <c r="O497" s="7"/>
    </row>
    <row r="498" spans="1:15" outlineLevel="1" x14ac:dyDescent="0.3">
      <c r="A498" s="7"/>
      <c r="B498" s="7"/>
      <c r="C498" s="22" t="s">
        <v>1267</v>
      </c>
      <c r="D498" s="7"/>
      <c r="E498" s="7"/>
      <c r="F498" s="26" t="s">
        <v>1167</v>
      </c>
      <c r="G498" s="39">
        <v>795.09</v>
      </c>
      <c r="H498" s="7"/>
      <c r="I498" s="7"/>
      <c r="J498" s="7"/>
      <c r="K498" s="7"/>
      <c r="L498" s="7"/>
      <c r="M498" s="7"/>
      <c r="N498" s="7"/>
      <c r="O498" s="7"/>
    </row>
    <row r="499" spans="1:15" outlineLevel="1" x14ac:dyDescent="0.3">
      <c r="A499" s="7"/>
      <c r="B499" s="7"/>
      <c r="C499" s="22" t="s">
        <v>1268</v>
      </c>
      <c r="D499" s="7"/>
      <c r="E499" s="7"/>
      <c r="F499" s="26" t="s">
        <v>1167</v>
      </c>
      <c r="G499" s="39">
        <v>880.15</v>
      </c>
      <c r="H499" s="7"/>
      <c r="I499" s="7"/>
      <c r="J499" s="7"/>
      <c r="K499" s="7"/>
      <c r="L499" s="7"/>
      <c r="M499" s="7"/>
      <c r="N499" s="7"/>
      <c r="O499" s="7"/>
    </row>
    <row r="500" spans="1:15" ht="28.8" outlineLevel="1" x14ac:dyDescent="0.3">
      <c r="A500" s="7">
        <v>246</v>
      </c>
      <c r="B500" s="7">
        <v>246</v>
      </c>
      <c r="C500" s="7" t="s">
        <v>222</v>
      </c>
      <c r="D500" s="8" t="s">
        <v>546</v>
      </c>
      <c r="E500" s="8">
        <v>717.2</v>
      </c>
      <c r="F500" s="26" t="s">
        <v>546</v>
      </c>
      <c r="G500" s="39">
        <v>717.2</v>
      </c>
      <c r="H500" s="7"/>
      <c r="I500" s="7"/>
      <c r="J500" s="7"/>
      <c r="K500" s="7"/>
      <c r="L500" s="7"/>
      <c r="M500" s="7"/>
      <c r="N500" s="7" t="s">
        <v>786</v>
      </c>
      <c r="O500" s="7" t="s">
        <v>1272</v>
      </c>
    </row>
    <row r="501" spans="1:15" outlineLevel="1" x14ac:dyDescent="0.3">
      <c r="A501" s="7"/>
      <c r="B501" s="7"/>
      <c r="C501" s="22" t="s">
        <v>1270</v>
      </c>
      <c r="D501" s="8"/>
      <c r="E501" s="8"/>
      <c r="F501" s="36" t="s">
        <v>548</v>
      </c>
      <c r="G501" s="41">
        <v>630.4</v>
      </c>
      <c r="H501" s="7"/>
      <c r="I501" s="7"/>
      <c r="J501" s="7"/>
      <c r="K501" s="7"/>
      <c r="L501" s="7"/>
      <c r="M501" s="7"/>
      <c r="N501" s="7"/>
      <c r="O501" s="7"/>
    </row>
    <row r="502" spans="1:15" outlineLevel="1" x14ac:dyDescent="0.3">
      <c r="A502" s="7"/>
      <c r="B502" s="7"/>
      <c r="C502" s="22" t="s">
        <v>1271</v>
      </c>
      <c r="D502" s="8"/>
      <c r="E502" s="8"/>
      <c r="F502" s="36" t="s">
        <v>556</v>
      </c>
      <c r="G502" s="41">
        <f>0.25*630.4</f>
        <v>157.6</v>
      </c>
      <c r="H502" s="7"/>
      <c r="I502" s="7"/>
      <c r="J502" s="7"/>
      <c r="K502" s="7"/>
      <c r="L502" s="7"/>
      <c r="M502" s="7"/>
      <c r="N502" s="7"/>
      <c r="O502" s="7"/>
    </row>
    <row r="503" spans="1:15" s="2" customFormat="1" x14ac:dyDescent="0.3">
      <c r="A503" s="4"/>
      <c r="B503" s="4"/>
      <c r="C503" s="4" t="s">
        <v>223</v>
      </c>
      <c r="D503" s="6"/>
      <c r="E503" s="6"/>
      <c r="F503" s="36"/>
      <c r="G503" s="41"/>
      <c r="H503" s="4"/>
      <c r="I503" s="4"/>
      <c r="J503" s="4"/>
      <c r="K503" s="4"/>
      <c r="L503" s="4"/>
      <c r="M503" s="4"/>
      <c r="N503" s="4"/>
      <c r="O503" s="4"/>
    </row>
    <row r="504" spans="1:15" ht="28.8" outlineLevel="1" x14ac:dyDescent="0.3">
      <c r="A504" s="7">
        <v>247</v>
      </c>
      <c r="B504" s="7">
        <v>247</v>
      </c>
      <c r="C504" s="7" t="s">
        <v>224</v>
      </c>
      <c r="D504" s="8" t="s">
        <v>548</v>
      </c>
      <c r="E504" s="8">
        <v>92.39</v>
      </c>
      <c r="F504" s="26" t="s">
        <v>548</v>
      </c>
      <c r="G504" s="39">
        <v>92.39</v>
      </c>
      <c r="H504" s="7"/>
      <c r="I504" s="7"/>
      <c r="J504" s="7"/>
      <c r="K504" s="7"/>
      <c r="L504" s="7"/>
      <c r="M504" s="7"/>
      <c r="N504" s="7" t="s">
        <v>787</v>
      </c>
      <c r="O504" s="7"/>
    </row>
    <row r="505" spans="1:15" outlineLevel="1" x14ac:dyDescent="0.3">
      <c r="A505" s="7"/>
      <c r="B505" s="7"/>
      <c r="C505" s="22" t="s">
        <v>1274</v>
      </c>
      <c r="D505" s="8"/>
      <c r="E505" s="8"/>
      <c r="F505" s="26" t="s">
        <v>1167</v>
      </c>
      <c r="G505" s="39">
        <v>65.13</v>
      </c>
      <c r="H505" s="7"/>
      <c r="I505" s="7"/>
      <c r="J505" s="7"/>
      <c r="K505" s="7"/>
      <c r="L505" s="7"/>
      <c r="M505" s="7"/>
      <c r="N505" s="7"/>
      <c r="O505" s="7"/>
    </row>
    <row r="506" spans="1:15" outlineLevel="1" x14ac:dyDescent="0.3">
      <c r="A506" s="7"/>
      <c r="B506" s="7"/>
      <c r="C506" s="22" t="s">
        <v>1273</v>
      </c>
      <c r="D506" s="8"/>
      <c r="E506" s="8"/>
      <c r="F506" s="26" t="s">
        <v>547</v>
      </c>
      <c r="G506" s="39">
        <v>370</v>
      </c>
      <c r="H506" s="7"/>
      <c r="I506" s="7"/>
      <c r="J506" s="7"/>
      <c r="K506" s="7"/>
      <c r="L506" s="7"/>
      <c r="M506" s="7"/>
      <c r="N506" s="7"/>
      <c r="O506" s="7"/>
    </row>
    <row r="507" spans="1:15" ht="43.2" outlineLevel="1" x14ac:dyDescent="0.3">
      <c r="A507" s="7">
        <v>248</v>
      </c>
      <c r="B507" s="7">
        <v>248</v>
      </c>
      <c r="C507" s="7" t="s">
        <v>225</v>
      </c>
      <c r="D507" s="8" t="s">
        <v>546</v>
      </c>
      <c r="E507" s="8">
        <v>31.87</v>
      </c>
      <c r="F507" s="26" t="s">
        <v>546</v>
      </c>
      <c r="G507" s="39">
        <v>31.87</v>
      </c>
      <c r="H507" s="7"/>
      <c r="I507" s="7"/>
      <c r="J507" s="7"/>
      <c r="K507" s="7"/>
      <c r="L507" s="7"/>
      <c r="M507" s="7"/>
      <c r="N507" s="7" t="s">
        <v>788</v>
      </c>
      <c r="O507" s="7"/>
    </row>
    <row r="508" spans="1:15" s="2" customFormat="1" x14ac:dyDescent="0.3">
      <c r="A508" s="4"/>
      <c r="B508" s="4"/>
      <c r="C508" s="4" t="s">
        <v>226</v>
      </c>
      <c r="D508" s="6"/>
      <c r="E508" s="6"/>
      <c r="F508" s="36"/>
      <c r="G508" s="41"/>
      <c r="H508" s="4"/>
      <c r="I508" s="4"/>
      <c r="J508" s="4"/>
      <c r="K508" s="4"/>
      <c r="L508" s="4"/>
      <c r="M508" s="4"/>
      <c r="N508" s="4"/>
      <c r="O508" s="4"/>
    </row>
    <row r="509" spans="1:15" ht="172.8" outlineLevel="1" x14ac:dyDescent="0.3">
      <c r="A509" s="7">
        <v>249</v>
      </c>
      <c r="B509" s="7">
        <v>249</v>
      </c>
      <c r="C509" s="7" t="s">
        <v>226</v>
      </c>
      <c r="D509" s="8" t="s">
        <v>549</v>
      </c>
      <c r="E509" s="8">
        <v>645.64</v>
      </c>
      <c r="F509" s="36" t="s">
        <v>1052</v>
      </c>
      <c r="G509" s="41">
        <f>SUM(G510:G523)/1000</f>
        <v>0.64563999999999988</v>
      </c>
      <c r="H509" s="7"/>
      <c r="I509" s="7"/>
      <c r="J509" s="7"/>
      <c r="K509" s="7"/>
      <c r="L509" s="7"/>
      <c r="M509" s="7"/>
      <c r="N509" s="7" t="s">
        <v>789</v>
      </c>
      <c r="O509" s="7"/>
    </row>
    <row r="510" spans="1:15" outlineLevel="1" x14ac:dyDescent="0.3">
      <c r="A510" s="7"/>
      <c r="B510" s="7"/>
      <c r="C510" s="22" t="s">
        <v>1275</v>
      </c>
      <c r="D510" s="22"/>
      <c r="E510" s="22"/>
      <c r="F510" s="26" t="s">
        <v>549</v>
      </c>
      <c r="G510" s="39">
        <v>201.48</v>
      </c>
      <c r="H510" s="7"/>
      <c r="I510" s="7"/>
      <c r="J510" s="7"/>
      <c r="K510" s="7"/>
      <c r="L510" s="7"/>
      <c r="M510" s="7"/>
      <c r="N510" s="7"/>
      <c r="O510" s="7"/>
    </row>
    <row r="511" spans="1:15" outlineLevel="1" x14ac:dyDescent="0.3">
      <c r="A511" s="7"/>
      <c r="B511" s="7"/>
      <c r="C511" s="22" t="s">
        <v>1276</v>
      </c>
      <c r="D511" s="22"/>
      <c r="E511" s="22"/>
      <c r="F511" s="26" t="s">
        <v>549</v>
      </c>
      <c r="G511" s="39">
        <v>49.72</v>
      </c>
      <c r="H511" s="7"/>
      <c r="I511" s="7"/>
      <c r="J511" s="7"/>
      <c r="K511" s="7"/>
      <c r="L511" s="7"/>
      <c r="M511" s="7"/>
      <c r="N511" s="7"/>
      <c r="O511" s="7"/>
    </row>
    <row r="512" spans="1:15" outlineLevel="1" x14ac:dyDescent="0.3">
      <c r="A512" s="7"/>
      <c r="B512" s="7"/>
      <c r="C512" s="22" t="s">
        <v>1277</v>
      </c>
      <c r="D512" s="22"/>
      <c r="E512" s="22"/>
      <c r="F512" s="26" t="s">
        <v>549</v>
      </c>
      <c r="G512" s="39">
        <v>28.12</v>
      </c>
      <c r="H512" s="7"/>
      <c r="I512" s="7"/>
      <c r="J512" s="7"/>
      <c r="K512" s="7"/>
      <c r="L512" s="7"/>
      <c r="M512" s="7"/>
      <c r="N512" s="7"/>
      <c r="O512" s="7"/>
    </row>
    <row r="513" spans="1:15" outlineLevel="1" x14ac:dyDescent="0.3">
      <c r="A513" s="7"/>
      <c r="B513" s="7"/>
      <c r="C513" s="22" t="s">
        <v>1278</v>
      </c>
      <c r="D513" s="22"/>
      <c r="E513" s="22"/>
      <c r="F513" s="26" t="s">
        <v>549</v>
      </c>
      <c r="G513" s="39">
        <v>32.479999999999997</v>
      </c>
      <c r="H513" s="7"/>
      <c r="I513" s="7"/>
      <c r="J513" s="7"/>
      <c r="K513" s="7"/>
      <c r="L513" s="7"/>
      <c r="M513" s="7"/>
      <c r="N513" s="7"/>
      <c r="O513" s="7"/>
    </row>
    <row r="514" spans="1:15" outlineLevel="1" x14ac:dyDescent="0.3">
      <c r="A514" s="7"/>
      <c r="B514" s="7"/>
      <c r="C514" s="22" t="s">
        <v>1279</v>
      </c>
      <c r="D514" s="22"/>
      <c r="E514" s="22"/>
      <c r="F514" s="26" t="s">
        <v>549</v>
      </c>
      <c r="G514" s="39">
        <v>14.32</v>
      </c>
      <c r="H514" s="7"/>
      <c r="I514" s="7"/>
      <c r="J514" s="7"/>
      <c r="K514" s="7"/>
      <c r="L514" s="7"/>
      <c r="M514" s="7"/>
      <c r="N514" s="7"/>
      <c r="O514" s="7"/>
    </row>
    <row r="515" spans="1:15" outlineLevel="1" x14ac:dyDescent="0.3">
      <c r="A515" s="7"/>
      <c r="B515" s="7"/>
      <c r="C515" s="22" t="s">
        <v>1280</v>
      </c>
      <c r="D515" s="22"/>
      <c r="E515" s="22"/>
      <c r="F515" s="26" t="s">
        <v>549</v>
      </c>
      <c r="G515" s="39">
        <v>14.84</v>
      </c>
      <c r="H515" s="7"/>
      <c r="I515" s="7"/>
      <c r="J515" s="7"/>
      <c r="K515" s="7"/>
      <c r="L515" s="7"/>
      <c r="M515" s="7"/>
      <c r="N515" s="7"/>
      <c r="O515" s="7"/>
    </row>
    <row r="516" spans="1:15" outlineLevel="1" x14ac:dyDescent="0.3">
      <c r="A516" s="7"/>
      <c r="B516" s="7"/>
      <c r="C516" s="22" t="s">
        <v>1281</v>
      </c>
      <c r="D516" s="22"/>
      <c r="E516" s="22"/>
      <c r="F516" s="26" t="s">
        <v>549</v>
      </c>
      <c r="G516" s="39">
        <v>34.68</v>
      </c>
      <c r="H516" s="7"/>
      <c r="I516" s="7"/>
      <c r="J516" s="7"/>
      <c r="K516" s="7"/>
      <c r="L516" s="7"/>
      <c r="M516" s="7"/>
      <c r="N516" s="7"/>
      <c r="O516" s="7"/>
    </row>
    <row r="517" spans="1:15" outlineLevel="1" x14ac:dyDescent="0.3">
      <c r="A517" s="7"/>
      <c r="B517" s="7"/>
      <c r="C517" s="22" t="s">
        <v>1282</v>
      </c>
      <c r="D517" s="22"/>
      <c r="E517" s="22"/>
      <c r="F517" s="26" t="s">
        <v>549</v>
      </c>
      <c r="G517" s="39">
        <v>28.2</v>
      </c>
      <c r="H517" s="7"/>
      <c r="I517" s="7"/>
      <c r="J517" s="7"/>
      <c r="K517" s="7"/>
      <c r="L517" s="7"/>
      <c r="M517" s="7"/>
      <c r="N517" s="7"/>
      <c r="O517" s="7"/>
    </row>
    <row r="518" spans="1:15" outlineLevel="1" x14ac:dyDescent="0.3">
      <c r="A518" s="7"/>
      <c r="B518" s="7"/>
      <c r="C518" s="22" t="s">
        <v>1283</v>
      </c>
      <c r="D518" s="22"/>
      <c r="E518" s="22"/>
      <c r="F518" s="26" t="s">
        <v>549</v>
      </c>
      <c r="G518" s="39">
        <v>7.24</v>
      </c>
      <c r="H518" s="7"/>
      <c r="I518" s="7"/>
      <c r="J518" s="7"/>
      <c r="K518" s="7"/>
      <c r="L518" s="7"/>
      <c r="M518" s="7"/>
      <c r="N518" s="7"/>
      <c r="O518" s="7"/>
    </row>
    <row r="519" spans="1:15" outlineLevel="1" x14ac:dyDescent="0.3">
      <c r="A519" s="7"/>
      <c r="B519" s="7"/>
      <c r="C519" s="22" t="s">
        <v>1284</v>
      </c>
      <c r="D519" s="22"/>
      <c r="E519" s="22"/>
      <c r="F519" s="26" t="s">
        <v>549</v>
      </c>
      <c r="G519" s="39">
        <v>24.88</v>
      </c>
      <c r="H519" s="7"/>
      <c r="I519" s="7"/>
      <c r="J519" s="7"/>
      <c r="K519" s="7"/>
      <c r="L519" s="7"/>
      <c r="M519" s="7"/>
      <c r="N519" s="7"/>
      <c r="O519" s="7"/>
    </row>
    <row r="520" spans="1:15" ht="28.8" outlineLevel="1" x14ac:dyDescent="0.3">
      <c r="A520" s="7"/>
      <c r="B520" s="7"/>
      <c r="C520" s="22" t="s">
        <v>1285</v>
      </c>
      <c r="D520" s="22"/>
      <c r="E520" s="22"/>
      <c r="F520" s="26" t="s">
        <v>549</v>
      </c>
      <c r="G520" s="39">
        <v>27.44</v>
      </c>
      <c r="H520" s="7"/>
      <c r="I520" s="7"/>
      <c r="J520" s="7"/>
      <c r="K520" s="7"/>
      <c r="L520" s="7"/>
      <c r="M520" s="7"/>
      <c r="N520" s="7"/>
      <c r="O520" s="7"/>
    </row>
    <row r="521" spans="1:15" outlineLevel="1" x14ac:dyDescent="0.3">
      <c r="A521" s="7"/>
      <c r="B521" s="7"/>
      <c r="C521" s="22" t="s">
        <v>1286</v>
      </c>
      <c r="D521" s="22"/>
      <c r="E521" s="22"/>
      <c r="F521" s="26" t="s">
        <v>549</v>
      </c>
      <c r="G521" s="39">
        <v>89.68</v>
      </c>
      <c r="H521" s="7"/>
      <c r="I521" s="7"/>
      <c r="J521" s="7"/>
      <c r="K521" s="7"/>
      <c r="L521" s="7"/>
      <c r="M521" s="7"/>
      <c r="N521" s="7"/>
      <c r="O521" s="7"/>
    </row>
    <row r="522" spans="1:15" outlineLevel="1" x14ac:dyDescent="0.3">
      <c r="A522" s="7"/>
      <c r="B522" s="7"/>
      <c r="C522" s="22" t="s">
        <v>1287</v>
      </c>
      <c r="D522" s="22"/>
      <c r="E522" s="22"/>
      <c r="F522" s="26" t="s">
        <v>549</v>
      </c>
      <c r="G522" s="39">
        <v>16.04</v>
      </c>
      <c r="H522" s="7"/>
      <c r="I522" s="7"/>
      <c r="J522" s="7"/>
      <c r="K522" s="7"/>
      <c r="L522" s="7"/>
      <c r="M522" s="7"/>
      <c r="N522" s="7"/>
      <c r="O522" s="7"/>
    </row>
    <row r="523" spans="1:15" outlineLevel="1" x14ac:dyDescent="0.3">
      <c r="A523" s="7"/>
      <c r="B523" s="7"/>
      <c r="C523" s="22" t="s">
        <v>1288</v>
      </c>
      <c r="D523" s="22"/>
      <c r="E523" s="22"/>
      <c r="F523" s="26" t="s">
        <v>549</v>
      </c>
      <c r="G523" s="39">
        <v>76.52</v>
      </c>
      <c r="H523" s="7"/>
      <c r="I523" s="7"/>
      <c r="J523" s="7"/>
      <c r="K523" s="7"/>
      <c r="L523" s="7"/>
      <c r="M523" s="7"/>
      <c r="N523" s="7"/>
      <c r="O523" s="7"/>
    </row>
    <row r="524" spans="1:15" ht="28.8" outlineLevel="1" x14ac:dyDescent="0.3">
      <c r="A524" s="7">
        <v>250</v>
      </c>
      <c r="B524" s="7">
        <v>250</v>
      </c>
      <c r="C524" s="7" t="s">
        <v>227</v>
      </c>
      <c r="D524" s="8" t="s">
        <v>549</v>
      </c>
      <c r="E524" s="8">
        <v>102.73</v>
      </c>
      <c r="F524" s="36" t="s">
        <v>1052</v>
      </c>
      <c r="G524" s="59">
        <f>5.45*18.85/1000</f>
        <v>0.10273250000000002</v>
      </c>
      <c r="H524" s="7"/>
      <c r="I524" s="7"/>
      <c r="J524" s="7"/>
      <c r="K524" s="7"/>
      <c r="L524" s="7"/>
      <c r="M524" s="7"/>
      <c r="N524" s="7" t="s">
        <v>790</v>
      </c>
      <c r="O524" s="7"/>
    </row>
    <row r="525" spans="1:15" outlineLevel="1" x14ac:dyDescent="0.3">
      <c r="A525" s="7">
        <v>251</v>
      </c>
      <c r="B525" s="7">
        <v>251</v>
      </c>
      <c r="C525" s="7" t="s">
        <v>228</v>
      </c>
      <c r="D525" s="8" t="s">
        <v>546</v>
      </c>
      <c r="E525" s="8">
        <v>28</v>
      </c>
      <c r="F525" s="36" t="s">
        <v>549</v>
      </c>
      <c r="G525" s="41">
        <v>2.8</v>
      </c>
      <c r="H525" s="7"/>
      <c r="I525" s="7"/>
      <c r="J525" s="7"/>
      <c r="K525" s="7"/>
      <c r="L525" s="7"/>
      <c r="M525" s="7"/>
      <c r="N525" s="7"/>
      <c r="O525" s="7" t="s">
        <v>1289</v>
      </c>
    </row>
    <row r="526" spans="1:15" outlineLevel="1" x14ac:dyDescent="0.3">
      <c r="A526" s="7">
        <v>252</v>
      </c>
      <c r="B526" s="7">
        <v>252</v>
      </c>
      <c r="C526" s="7" t="s">
        <v>229</v>
      </c>
      <c r="D526" s="8" t="s">
        <v>546</v>
      </c>
      <c r="E526" s="8">
        <v>28</v>
      </c>
      <c r="F526" s="36" t="s">
        <v>549</v>
      </c>
      <c r="G526" s="41">
        <f>28*2*0.18</f>
        <v>10.08</v>
      </c>
      <c r="H526" s="7"/>
      <c r="I526" s="7"/>
      <c r="J526" s="7"/>
      <c r="K526" s="7"/>
      <c r="L526" s="7"/>
      <c r="M526" s="7"/>
      <c r="N526" s="7"/>
      <c r="O526" s="7" t="s">
        <v>1290</v>
      </c>
    </row>
    <row r="527" spans="1:15" ht="28.8" outlineLevel="1" x14ac:dyDescent="0.3">
      <c r="A527" s="7">
        <v>253</v>
      </c>
      <c r="B527" s="7">
        <v>253</v>
      </c>
      <c r="C527" s="7" t="s">
        <v>230</v>
      </c>
      <c r="D527" s="8" t="s">
        <v>546</v>
      </c>
      <c r="E527" s="8">
        <v>33.33</v>
      </c>
      <c r="F527" s="26" t="s">
        <v>546</v>
      </c>
      <c r="G527" s="39">
        <v>33.33</v>
      </c>
      <c r="H527" s="7"/>
      <c r="I527" s="7"/>
      <c r="J527" s="7"/>
      <c r="K527" s="7"/>
      <c r="L527" s="7"/>
      <c r="M527" s="7"/>
      <c r="N527" s="7" t="s">
        <v>791</v>
      </c>
      <c r="O527" s="7"/>
    </row>
    <row r="528" spans="1:15" ht="115.2" outlineLevel="1" x14ac:dyDescent="0.3">
      <c r="A528" s="7">
        <v>254</v>
      </c>
      <c r="B528" s="7">
        <v>254</v>
      </c>
      <c r="C528" s="7" t="s">
        <v>231</v>
      </c>
      <c r="D528" s="8" t="s">
        <v>546</v>
      </c>
      <c r="E528" s="8">
        <v>5.66</v>
      </c>
      <c r="F528" s="36" t="s">
        <v>546</v>
      </c>
      <c r="G528" s="41">
        <f>G530+G531</f>
        <v>6.6343999999999994</v>
      </c>
      <c r="H528" s="7"/>
      <c r="I528" s="7"/>
      <c r="J528" s="7"/>
      <c r="K528" s="7"/>
      <c r="L528" s="7"/>
      <c r="M528" s="7"/>
      <c r="N528" s="7" t="s">
        <v>792</v>
      </c>
      <c r="O528" s="7"/>
    </row>
    <row r="529" spans="1:15" outlineLevel="1" x14ac:dyDescent="0.3">
      <c r="A529" s="7"/>
      <c r="B529" s="7"/>
      <c r="C529" s="22" t="s">
        <v>1213</v>
      </c>
      <c r="D529" s="23"/>
      <c r="E529" s="23"/>
      <c r="F529" s="26" t="s">
        <v>1167</v>
      </c>
      <c r="G529" s="74">
        <f>0.92*1.18</f>
        <v>1.0855999999999999</v>
      </c>
      <c r="H529" s="7"/>
      <c r="I529" s="7"/>
      <c r="J529" s="7"/>
      <c r="K529" s="7"/>
      <c r="L529" s="7"/>
      <c r="M529" s="7"/>
      <c r="N529" s="7"/>
      <c r="O529" s="7"/>
    </row>
    <row r="530" spans="1:15" outlineLevel="1" x14ac:dyDescent="0.3">
      <c r="A530" s="7"/>
      <c r="B530" s="7"/>
      <c r="C530" s="22" t="s">
        <v>1291</v>
      </c>
      <c r="D530" s="23"/>
      <c r="E530" s="23"/>
      <c r="F530" s="26" t="s">
        <v>1167</v>
      </c>
      <c r="G530" s="74">
        <f>5.08*1.18</f>
        <v>5.9943999999999997</v>
      </c>
      <c r="H530" s="7"/>
      <c r="I530" s="7"/>
      <c r="J530" s="7"/>
      <c r="K530" s="7"/>
      <c r="L530" s="7"/>
      <c r="M530" s="7"/>
      <c r="N530" s="7"/>
      <c r="O530" s="7"/>
    </row>
    <row r="531" spans="1:15" outlineLevel="1" x14ac:dyDescent="0.3">
      <c r="A531" s="7"/>
      <c r="B531" s="7"/>
      <c r="C531" s="22" t="s">
        <v>1235</v>
      </c>
      <c r="D531" s="23"/>
      <c r="E531" s="23"/>
      <c r="F531" s="26" t="s">
        <v>1167</v>
      </c>
      <c r="G531" s="39">
        <v>0.64</v>
      </c>
      <c r="H531" s="7"/>
      <c r="I531" s="7"/>
      <c r="J531" s="7"/>
      <c r="K531" s="7"/>
      <c r="L531" s="7"/>
      <c r="M531" s="7"/>
      <c r="N531" s="7"/>
      <c r="O531" s="7"/>
    </row>
    <row r="532" spans="1:15" outlineLevel="1" x14ac:dyDescent="0.3">
      <c r="A532" s="7"/>
      <c r="B532" s="7"/>
      <c r="C532" s="22" t="s">
        <v>1292</v>
      </c>
      <c r="D532" s="23"/>
      <c r="E532" s="23"/>
      <c r="F532" s="26" t="s">
        <v>1293</v>
      </c>
      <c r="G532" s="39">
        <v>0.01</v>
      </c>
      <c r="H532" s="7"/>
      <c r="I532" s="7"/>
      <c r="J532" s="7"/>
      <c r="K532" s="7"/>
      <c r="L532" s="7"/>
      <c r="M532" s="7"/>
      <c r="N532" s="7"/>
      <c r="O532" s="7"/>
    </row>
    <row r="533" spans="1:15" outlineLevel="1" x14ac:dyDescent="0.3">
      <c r="A533" s="7"/>
      <c r="B533" s="7"/>
      <c r="C533" s="22" t="s">
        <v>1294</v>
      </c>
      <c r="D533" s="23"/>
      <c r="E533" s="23"/>
      <c r="F533" s="26" t="s">
        <v>547</v>
      </c>
      <c r="G533" s="39">
        <v>2</v>
      </c>
      <c r="H533" s="7"/>
      <c r="I533" s="7"/>
      <c r="J533" s="7"/>
      <c r="K533" s="7"/>
      <c r="L533" s="7"/>
      <c r="M533" s="7"/>
      <c r="N533" s="7"/>
      <c r="O533" s="7"/>
    </row>
    <row r="534" spans="1:15" outlineLevel="1" x14ac:dyDescent="0.3">
      <c r="A534" s="7"/>
      <c r="B534" s="7"/>
      <c r="C534" s="22" t="s">
        <v>1295</v>
      </c>
      <c r="D534" s="23"/>
      <c r="E534" s="23"/>
      <c r="F534" s="26" t="s">
        <v>547</v>
      </c>
      <c r="G534" s="39">
        <v>8</v>
      </c>
      <c r="H534" s="7"/>
      <c r="I534" s="7"/>
      <c r="J534" s="7"/>
      <c r="K534" s="7"/>
      <c r="L534" s="7"/>
      <c r="M534" s="7"/>
      <c r="N534" s="7"/>
      <c r="O534" s="7"/>
    </row>
    <row r="535" spans="1:15" outlineLevel="1" x14ac:dyDescent="0.3">
      <c r="A535" s="7"/>
      <c r="B535" s="7"/>
      <c r="C535" s="22" t="s">
        <v>1296</v>
      </c>
      <c r="D535" s="23"/>
      <c r="E535" s="23"/>
      <c r="F535" s="26" t="s">
        <v>547</v>
      </c>
      <c r="G535" s="39">
        <v>8</v>
      </c>
      <c r="H535" s="7"/>
      <c r="I535" s="7"/>
      <c r="J535" s="7"/>
      <c r="K535" s="7"/>
      <c r="L535" s="7"/>
      <c r="M535" s="7"/>
      <c r="N535" s="7"/>
      <c r="O535" s="7"/>
    </row>
    <row r="536" spans="1:15" outlineLevel="1" x14ac:dyDescent="0.3">
      <c r="A536" s="7"/>
      <c r="B536" s="7"/>
      <c r="C536" s="22" t="s">
        <v>1297</v>
      </c>
      <c r="D536" s="23"/>
      <c r="E536" s="23"/>
      <c r="F536" s="26" t="s">
        <v>1167</v>
      </c>
      <c r="G536" s="39">
        <v>0.44</v>
      </c>
      <c r="H536" s="7"/>
      <c r="I536" s="7"/>
      <c r="J536" s="7"/>
      <c r="K536" s="7"/>
      <c r="L536" s="7"/>
      <c r="M536" s="7"/>
      <c r="N536" s="7"/>
      <c r="O536" s="7"/>
    </row>
    <row r="537" spans="1:15" s="2" customFormat="1" x14ac:dyDescent="0.3">
      <c r="A537" s="4"/>
      <c r="B537" s="4"/>
      <c r="C537" s="4" t="s">
        <v>232</v>
      </c>
      <c r="D537" s="6"/>
      <c r="E537" s="6"/>
      <c r="F537" s="36"/>
      <c r="G537" s="43"/>
      <c r="H537" s="4"/>
      <c r="I537" s="4"/>
      <c r="J537" s="4"/>
      <c r="K537" s="4"/>
      <c r="L537" s="4"/>
      <c r="M537" s="4"/>
      <c r="N537" s="4"/>
      <c r="O537" s="4"/>
    </row>
    <row r="538" spans="1:15" ht="28.8" outlineLevel="1" x14ac:dyDescent="0.3">
      <c r="A538" s="7">
        <v>255</v>
      </c>
      <c r="B538" s="7">
        <v>255</v>
      </c>
      <c r="C538" s="7" t="s">
        <v>233</v>
      </c>
      <c r="D538" s="8" t="s">
        <v>548</v>
      </c>
      <c r="E538" s="8">
        <v>3363.6</v>
      </c>
      <c r="F538" s="26" t="s">
        <v>548</v>
      </c>
      <c r="G538" s="39">
        <v>3363.6</v>
      </c>
      <c r="H538" s="7"/>
      <c r="I538" s="7"/>
      <c r="J538" s="7"/>
      <c r="K538" s="7"/>
      <c r="L538" s="7"/>
      <c r="M538" s="7"/>
      <c r="N538" s="7" t="s">
        <v>793</v>
      </c>
      <c r="O538" s="7"/>
    </row>
    <row r="539" spans="1:15" ht="28.8" outlineLevel="1" x14ac:dyDescent="0.3">
      <c r="A539" s="7">
        <v>256</v>
      </c>
      <c r="B539" s="7">
        <v>256</v>
      </c>
      <c r="C539" s="7" t="s">
        <v>234</v>
      </c>
      <c r="D539" s="8" t="s">
        <v>548</v>
      </c>
      <c r="E539" s="8">
        <v>1026.04</v>
      </c>
      <c r="F539" s="26" t="s">
        <v>548</v>
      </c>
      <c r="G539" s="39">
        <v>1026.04</v>
      </c>
      <c r="H539" s="7"/>
      <c r="I539" s="7"/>
      <c r="J539" s="7"/>
      <c r="K539" s="7"/>
      <c r="L539" s="7"/>
      <c r="M539" s="7"/>
      <c r="N539" s="7" t="s">
        <v>794</v>
      </c>
      <c r="O539" s="7"/>
    </row>
    <row r="540" spans="1:15" ht="43.2" outlineLevel="1" x14ac:dyDescent="0.3">
      <c r="A540" s="7">
        <v>257</v>
      </c>
      <c r="B540" s="7">
        <v>257</v>
      </c>
      <c r="C540" s="7" t="s">
        <v>235</v>
      </c>
      <c r="D540" s="8" t="s">
        <v>548</v>
      </c>
      <c r="E540" s="8">
        <v>292.60000000000002</v>
      </c>
      <c r="F540" s="26" t="s">
        <v>548</v>
      </c>
      <c r="G540" s="39">
        <v>292.60000000000002</v>
      </c>
      <c r="H540" s="7"/>
      <c r="I540" s="7"/>
      <c r="J540" s="7"/>
      <c r="K540" s="7"/>
      <c r="L540" s="7"/>
      <c r="M540" s="7"/>
      <c r="N540" s="7" t="s">
        <v>795</v>
      </c>
      <c r="O540" s="7"/>
    </row>
    <row r="541" spans="1:15" s="2" customFormat="1" x14ac:dyDescent="0.3">
      <c r="A541" s="4">
        <v>0</v>
      </c>
      <c r="B541" s="4"/>
      <c r="C541" s="4" t="s">
        <v>236</v>
      </c>
      <c r="D541" s="6"/>
      <c r="E541" s="6"/>
      <c r="F541" s="36"/>
      <c r="G541" s="41"/>
      <c r="H541" s="4"/>
      <c r="I541" s="4"/>
      <c r="J541" s="4"/>
      <c r="K541" s="4"/>
      <c r="L541" s="4"/>
      <c r="M541" s="4"/>
      <c r="N541" s="4"/>
      <c r="O541" s="4"/>
    </row>
    <row r="542" spans="1:15" ht="235.8" customHeight="1" outlineLevel="1" x14ac:dyDescent="0.3">
      <c r="A542" s="7">
        <v>258</v>
      </c>
      <c r="B542" s="7">
        <v>258</v>
      </c>
      <c r="C542" s="7" t="s">
        <v>236</v>
      </c>
      <c r="D542" s="8" t="s">
        <v>549</v>
      </c>
      <c r="E542" s="8">
        <v>825.1</v>
      </c>
      <c r="F542" s="36" t="s">
        <v>1052</v>
      </c>
      <c r="G542" s="75">
        <f>SUM(G543:G551)/1000</f>
        <v>0.82505000000000006</v>
      </c>
      <c r="H542" s="7"/>
      <c r="I542" s="7"/>
      <c r="J542" s="7"/>
      <c r="K542" s="7"/>
      <c r="L542" s="7"/>
      <c r="M542" s="7"/>
      <c r="N542" s="7" t="s">
        <v>796</v>
      </c>
      <c r="O542" s="7"/>
    </row>
    <row r="543" spans="1:15" outlineLevel="1" x14ac:dyDescent="0.3">
      <c r="A543" s="7"/>
      <c r="B543" s="24"/>
      <c r="C543" s="22" t="s">
        <v>1134</v>
      </c>
      <c r="D543" s="23"/>
      <c r="E543" s="23"/>
      <c r="F543" s="26" t="s">
        <v>549</v>
      </c>
      <c r="G543" s="39">
        <v>427.5</v>
      </c>
      <c r="H543" s="7"/>
      <c r="I543" s="7"/>
      <c r="J543" s="7"/>
      <c r="K543" s="7"/>
      <c r="L543" s="7"/>
      <c r="M543" s="7"/>
      <c r="N543" s="7"/>
      <c r="O543" s="7"/>
    </row>
    <row r="544" spans="1:15" outlineLevel="1" x14ac:dyDescent="0.3">
      <c r="A544" s="7"/>
      <c r="B544" s="24"/>
      <c r="C544" s="22" t="s">
        <v>1299</v>
      </c>
      <c r="D544" s="23"/>
      <c r="E544" s="23"/>
      <c r="F544" s="26" t="s">
        <v>549</v>
      </c>
      <c r="G544" s="39">
        <v>35.25</v>
      </c>
      <c r="H544" s="7"/>
      <c r="I544" s="7"/>
      <c r="J544" s="7"/>
      <c r="K544" s="7"/>
      <c r="L544" s="7"/>
      <c r="M544" s="7"/>
      <c r="N544" s="7"/>
      <c r="O544" s="7"/>
    </row>
    <row r="545" spans="1:15" outlineLevel="1" x14ac:dyDescent="0.3">
      <c r="A545" s="7"/>
      <c r="B545" s="24"/>
      <c r="C545" s="22" t="s">
        <v>1300</v>
      </c>
      <c r="D545" s="23"/>
      <c r="E545" s="23"/>
      <c r="F545" s="26" t="s">
        <v>549</v>
      </c>
      <c r="G545" s="39">
        <v>71</v>
      </c>
      <c r="H545" s="7"/>
      <c r="I545" s="7"/>
      <c r="J545" s="7"/>
      <c r="K545" s="7"/>
      <c r="L545" s="7"/>
      <c r="M545" s="7"/>
      <c r="N545" s="7"/>
      <c r="O545" s="7"/>
    </row>
    <row r="546" spans="1:15" outlineLevel="1" x14ac:dyDescent="0.3">
      <c r="A546" s="7"/>
      <c r="B546" s="24"/>
      <c r="C546" s="22" t="s">
        <v>1301</v>
      </c>
      <c r="D546" s="23"/>
      <c r="E546" s="23"/>
      <c r="F546" s="26" t="s">
        <v>549</v>
      </c>
      <c r="G546" s="39">
        <v>105</v>
      </c>
      <c r="H546" s="7"/>
      <c r="I546" s="7"/>
      <c r="J546" s="7"/>
      <c r="K546" s="7"/>
      <c r="L546" s="7"/>
      <c r="M546" s="7"/>
      <c r="N546" s="7"/>
      <c r="O546" s="7"/>
    </row>
    <row r="547" spans="1:15" outlineLevel="1" x14ac:dyDescent="0.3">
      <c r="A547" s="7"/>
      <c r="B547" s="24"/>
      <c r="C547" s="22" t="s">
        <v>1305</v>
      </c>
      <c r="D547" s="23"/>
      <c r="E547" s="23"/>
      <c r="F547" s="26" t="s">
        <v>549</v>
      </c>
      <c r="G547" s="39">
        <v>20.75</v>
      </c>
      <c r="H547" s="7"/>
      <c r="I547" s="7"/>
      <c r="J547" s="7"/>
      <c r="K547" s="7"/>
      <c r="L547" s="7"/>
      <c r="M547" s="7"/>
      <c r="N547" s="7"/>
      <c r="O547" s="7"/>
    </row>
    <row r="548" spans="1:15" outlineLevel="1" x14ac:dyDescent="0.3">
      <c r="A548" s="7"/>
      <c r="B548" s="24"/>
      <c r="C548" s="22" t="s">
        <v>1306</v>
      </c>
      <c r="D548" s="23"/>
      <c r="E548" s="23"/>
      <c r="F548" s="26" t="s">
        <v>549</v>
      </c>
      <c r="G548" s="39">
        <v>50.7</v>
      </c>
      <c r="H548" s="7"/>
      <c r="I548" s="7"/>
      <c r="J548" s="7"/>
      <c r="K548" s="7"/>
      <c r="L548" s="7"/>
      <c r="M548" s="7"/>
      <c r="N548" s="7"/>
      <c r="O548" s="7"/>
    </row>
    <row r="549" spans="1:15" outlineLevel="1" x14ac:dyDescent="0.3">
      <c r="A549" s="7"/>
      <c r="B549" s="24"/>
      <c r="C549" s="22" t="s">
        <v>1307</v>
      </c>
      <c r="D549" s="23"/>
      <c r="E549" s="23"/>
      <c r="F549" s="26" t="s">
        <v>549</v>
      </c>
      <c r="G549" s="39">
        <v>22.7</v>
      </c>
      <c r="H549" s="7"/>
      <c r="I549" s="7"/>
      <c r="J549" s="7"/>
      <c r="K549" s="7"/>
      <c r="L549" s="7"/>
      <c r="M549" s="7"/>
      <c r="N549" s="7"/>
      <c r="O549" s="7"/>
    </row>
    <row r="550" spans="1:15" outlineLevel="1" x14ac:dyDescent="0.3">
      <c r="A550" s="7"/>
      <c r="B550" s="24"/>
      <c r="C550" s="22" t="s">
        <v>1302</v>
      </c>
      <c r="D550" s="23"/>
      <c r="E550" s="23"/>
      <c r="F550" s="26" t="s">
        <v>549</v>
      </c>
      <c r="G550" s="39">
        <v>26.1</v>
      </c>
      <c r="H550" s="7"/>
      <c r="I550" s="7"/>
      <c r="J550" s="7"/>
      <c r="K550" s="7"/>
      <c r="L550" s="7"/>
      <c r="M550" s="7"/>
      <c r="N550" s="7"/>
      <c r="O550" s="7"/>
    </row>
    <row r="551" spans="1:15" outlineLevel="1" x14ac:dyDescent="0.3">
      <c r="A551" s="7"/>
      <c r="B551" s="24"/>
      <c r="C551" s="22" t="s">
        <v>1308</v>
      </c>
      <c r="D551" s="23"/>
      <c r="E551" s="23"/>
      <c r="F551" s="26" t="s">
        <v>549</v>
      </c>
      <c r="G551" s="39">
        <v>66.05</v>
      </c>
      <c r="H551" s="7"/>
      <c r="I551" s="7"/>
      <c r="J551" s="7"/>
      <c r="K551" s="7"/>
      <c r="L551" s="7"/>
      <c r="M551" s="7"/>
      <c r="N551" s="7"/>
      <c r="O551" s="7"/>
    </row>
    <row r="552" spans="1:15" outlineLevel="1" x14ac:dyDescent="0.3">
      <c r="A552" s="7"/>
      <c r="B552" s="24"/>
      <c r="C552" s="22" t="s">
        <v>1309</v>
      </c>
      <c r="D552" s="24"/>
      <c r="E552" s="24"/>
      <c r="F552" s="26" t="s">
        <v>549</v>
      </c>
      <c r="G552" s="39">
        <v>2.64</v>
      </c>
      <c r="H552" s="7"/>
      <c r="I552" s="7"/>
      <c r="J552" s="7"/>
      <c r="K552" s="7"/>
      <c r="L552" s="7"/>
      <c r="M552" s="7"/>
      <c r="N552" s="7"/>
      <c r="O552" s="7"/>
    </row>
    <row r="553" spans="1:15" outlineLevel="1" x14ac:dyDescent="0.3">
      <c r="A553" s="7"/>
      <c r="B553" s="24"/>
      <c r="C553" s="22" t="s">
        <v>1310</v>
      </c>
      <c r="D553" s="24"/>
      <c r="E553" s="24"/>
      <c r="F553" s="26" t="s">
        <v>547</v>
      </c>
      <c r="G553" s="39">
        <v>20</v>
      </c>
      <c r="H553" s="7"/>
      <c r="I553" s="7"/>
      <c r="J553" s="7"/>
      <c r="K553" s="7"/>
      <c r="L553" s="7"/>
      <c r="M553" s="7"/>
      <c r="N553" s="7"/>
      <c r="O553" s="7"/>
    </row>
    <row r="554" spans="1:15" outlineLevel="1" x14ac:dyDescent="0.3">
      <c r="A554" s="7"/>
      <c r="B554" s="24"/>
      <c r="C554" s="22" t="s">
        <v>1311</v>
      </c>
      <c r="D554" s="24"/>
      <c r="E554" s="24"/>
      <c r="F554" s="26" t="s">
        <v>556</v>
      </c>
      <c r="G554" s="39">
        <v>0.5</v>
      </c>
      <c r="H554" s="7"/>
      <c r="I554" s="7"/>
      <c r="J554" s="7"/>
      <c r="K554" s="7"/>
      <c r="L554" s="7"/>
      <c r="M554" s="7"/>
      <c r="N554" s="7"/>
      <c r="O554" s="7"/>
    </row>
    <row r="555" spans="1:15" outlineLevel="1" x14ac:dyDescent="0.3">
      <c r="A555" s="7"/>
      <c r="B555" s="24"/>
      <c r="C555" s="22" t="s">
        <v>1294</v>
      </c>
      <c r="D555" s="24"/>
      <c r="E555" s="24"/>
      <c r="F555" s="26" t="s">
        <v>547</v>
      </c>
      <c r="G555" s="39">
        <v>2.5</v>
      </c>
      <c r="H555" s="7"/>
      <c r="I555" s="7"/>
      <c r="J555" s="7"/>
      <c r="K555" s="7"/>
      <c r="L555" s="7"/>
      <c r="M555" s="7"/>
      <c r="N555" s="7"/>
      <c r="O555" s="7"/>
    </row>
    <row r="556" spans="1:15" outlineLevel="1" x14ac:dyDescent="0.3">
      <c r="A556" s="7"/>
      <c r="B556" s="24"/>
      <c r="C556" s="22" t="s">
        <v>1303</v>
      </c>
      <c r="D556" s="24"/>
      <c r="E556" s="24"/>
      <c r="F556" s="26" t="s">
        <v>547</v>
      </c>
      <c r="G556" s="39">
        <v>10</v>
      </c>
      <c r="H556" s="7"/>
      <c r="I556" s="7"/>
      <c r="J556" s="7"/>
      <c r="K556" s="7"/>
      <c r="L556" s="7"/>
      <c r="M556" s="7"/>
      <c r="N556" s="7"/>
      <c r="O556" s="7"/>
    </row>
    <row r="557" spans="1:15" outlineLevel="1" x14ac:dyDescent="0.3">
      <c r="A557" s="7"/>
      <c r="B557" s="24"/>
      <c r="C557" s="22" t="s">
        <v>1304</v>
      </c>
      <c r="D557" s="24"/>
      <c r="E557" s="24"/>
      <c r="F557" s="26" t="s">
        <v>549</v>
      </c>
      <c r="G557" s="39">
        <v>14.625</v>
      </c>
      <c r="H557" s="7"/>
      <c r="I557" s="7"/>
      <c r="J557" s="7"/>
      <c r="K557" s="7"/>
      <c r="L557" s="7"/>
      <c r="M557" s="7"/>
      <c r="N557" s="7"/>
      <c r="O557" s="7"/>
    </row>
    <row r="558" spans="1:15" outlineLevel="1" x14ac:dyDescent="0.3">
      <c r="A558" s="7"/>
      <c r="B558" s="24"/>
      <c r="C558" s="22" t="s">
        <v>1312</v>
      </c>
      <c r="D558" s="24"/>
      <c r="E558" s="24"/>
      <c r="F558" s="26" t="s">
        <v>547</v>
      </c>
      <c r="G558" s="39">
        <v>30</v>
      </c>
      <c r="H558" s="7"/>
      <c r="I558" s="7"/>
      <c r="J558" s="7"/>
      <c r="K558" s="7"/>
      <c r="L558" s="7"/>
      <c r="M558" s="7"/>
      <c r="N558" s="7"/>
      <c r="O558" s="7"/>
    </row>
    <row r="559" spans="1:15" outlineLevel="1" x14ac:dyDescent="0.3">
      <c r="A559" s="7"/>
      <c r="B559" s="24"/>
      <c r="C559" s="22" t="s">
        <v>1313</v>
      </c>
      <c r="D559" s="24"/>
      <c r="E559" s="24"/>
      <c r="F559" s="26" t="s">
        <v>1167</v>
      </c>
      <c r="G559" s="39">
        <v>0.97</v>
      </c>
      <c r="H559" s="7"/>
      <c r="I559" s="7"/>
      <c r="J559" s="7"/>
      <c r="K559" s="7"/>
      <c r="L559" s="7"/>
      <c r="M559" s="7"/>
      <c r="N559" s="7"/>
      <c r="O559" s="7"/>
    </row>
    <row r="560" spans="1:15" outlineLevel="1" x14ac:dyDescent="0.3">
      <c r="A560" s="7">
        <v>259</v>
      </c>
      <c r="B560" s="7">
        <v>259</v>
      </c>
      <c r="C560" s="7" t="s">
        <v>228</v>
      </c>
      <c r="D560" s="8" t="s">
        <v>546</v>
      </c>
      <c r="E560" s="8">
        <v>22.3</v>
      </c>
      <c r="F560" s="36" t="s">
        <v>549</v>
      </c>
      <c r="G560" s="41">
        <f>22.3*0.1</f>
        <v>2.23</v>
      </c>
      <c r="H560" s="7"/>
      <c r="I560" s="7"/>
      <c r="J560" s="7"/>
      <c r="K560" s="7"/>
      <c r="L560" s="7"/>
      <c r="M560" s="7"/>
      <c r="N560" s="7"/>
      <c r="O560" s="7" t="s">
        <v>1289</v>
      </c>
    </row>
    <row r="561" spans="1:15" outlineLevel="1" x14ac:dyDescent="0.3">
      <c r="A561" s="7">
        <v>260</v>
      </c>
      <c r="B561" s="7">
        <v>260</v>
      </c>
      <c r="C561" s="7" t="s">
        <v>229</v>
      </c>
      <c r="D561" s="8" t="s">
        <v>546</v>
      </c>
      <c r="E561" s="8">
        <v>22.3</v>
      </c>
      <c r="F561" s="36" t="s">
        <v>549</v>
      </c>
      <c r="G561" s="41">
        <f>22.3*2*0.18</f>
        <v>8.0280000000000005</v>
      </c>
      <c r="H561" s="7"/>
      <c r="I561" s="7"/>
      <c r="J561" s="7"/>
      <c r="K561" s="7"/>
      <c r="L561" s="7"/>
      <c r="M561" s="7"/>
      <c r="N561" s="7"/>
      <c r="O561" s="7" t="s">
        <v>1290</v>
      </c>
    </row>
    <row r="562" spans="1:15" s="2" customFormat="1" x14ac:dyDescent="0.3">
      <c r="A562" s="4"/>
      <c r="B562" s="4"/>
      <c r="C562" s="4" t="s">
        <v>237</v>
      </c>
      <c r="D562" s="6"/>
      <c r="E562" s="6"/>
      <c r="F562" s="36"/>
      <c r="G562" s="41"/>
      <c r="H562" s="4"/>
      <c r="I562" s="4"/>
      <c r="J562" s="4"/>
      <c r="K562" s="4"/>
      <c r="L562" s="4"/>
      <c r="M562" s="4"/>
      <c r="N562" s="4"/>
      <c r="O562" s="4"/>
    </row>
    <row r="563" spans="1:15" ht="145.19999999999999" customHeight="1" outlineLevel="1" x14ac:dyDescent="0.3">
      <c r="A563" s="7">
        <v>261</v>
      </c>
      <c r="B563" s="7">
        <v>261</v>
      </c>
      <c r="C563" s="7" t="s">
        <v>238</v>
      </c>
      <c r="D563" s="8" t="s">
        <v>550</v>
      </c>
      <c r="E563" s="8">
        <v>29.693000000000001</v>
      </c>
      <c r="F563" s="36" t="s">
        <v>1052</v>
      </c>
      <c r="G563" s="41">
        <f>SUM(G564:G572)/1000</f>
        <v>29.693279999999998</v>
      </c>
      <c r="H563" s="7"/>
      <c r="I563" s="7"/>
      <c r="J563" s="7"/>
      <c r="K563" s="7"/>
      <c r="L563" s="7"/>
      <c r="M563" s="7"/>
      <c r="N563" s="7" t="s">
        <v>797</v>
      </c>
      <c r="O563" s="7"/>
    </row>
    <row r="564" spans="1:15" outlineLevel="1" x14ac:dyDescent="0.3">
      <c r="A564" s="7"/>
      <c r="B564" s="7"/>
      <c r="C564" s="22" t="s">
        <v>1314</v>
      </c>
      <c r="D564" s="7"/>
      <c r="E564" s="7"/>
      <c r="F564" s="26" t="s">
        <v>549</v>
      </c>
      <c r="G564" s="45">
        <v>9086.6</v>
      </c>
      <c r="H564" s="7"/>
      <c r="I564" s="7"/>
      <c r="J564" s="7"/>
      <c r="K564" s="7"/>
      <c r="L564" s="7"/>
      <c r="M564" s="7"/>
      <c r="N564" s="7"/>
      <c r="O564" s="7"/>
    </row>
    <row r="565" spans="1:15" outlineLevel="1" x14ac:dyDescent="0.3">
      <c r="A565" s="7"/>
      <c r="B565" s="7"/>
      <c r="C565" s="22" t="s">
        <v>1315</v>
      </c>
      <c r="D565" s="7"/>
      <c r="E565" s="7"/>
      <c r="F565" s="26" t="s">
        <v>549</v>
      </c>
      <c r="G565" s="45">
        <v>2437.52</v>
      </c>
      <c r="H565" s="7"/>
      <c r="I565" s="7"/>
      <c r="J565" s="7"/>
      <c r="K565" s="7"/>
      <c r="L565" s="7"/>
      <c r="M565" s="7"/>
      <c r="N565" s="7"/>
      <c r="O565" s="7"/>
    </row>
    <row r="566" spans="1:15" outlineLevel="1" x14ac:dyDescent="0.3">
      <c r="A566" s="7"/>
      <c r="B566" s="7"/>
      <c r="C566" s="22" t="s">
        <v>1316</v>
      </c>
      <c r="D566" s="7"/>
      <c r="E566" s="7"/>
      <c r="F566" s="26" t="s">
        <v>549</v>
      </c>
      <c r="G566" s="39">
        <v>182.16</v>
      </c>
      <c r="H566" s="7"/>
      <c r="I566" s="7"/>
      <c r="J566" s="7"/>
      <c r="K566" s="7"/>
      <c r="L566" s="7"/>
      <c r="M566" s="7"/>
      <c r="N566" s="7"/>
      <c r="O566" s="7"/>
    </row>
    <row r="567" spans="1:15" outlineLevel="1" x14ac:dyDescent="0.3">
      <c r="A567" s="7"/>
      <c r="B567" s="7"/>
      <c r="C567" s="22" t="s">
        <v>1317</v>
      </c>
      <c r="D567" s="7"/>
      <c r="E567" s="7"/>
      <c r="F567" s="26" t="s">
        <v>549</v>
      </c>
      <c r="G567" s="39">
        <v>52.64</v>
      </c>
      <c r="H567" s="7"/>
      <c r="I567" s="7"/>
      <c r="J567" s="7"/>
      <c r="K567" s="7"/>
      <c r="L567" s="7"/>
      <c r="M567" s="7"/>
      <c r="N567" s="7"/>
      <c r="O567" s="7"/>
    </row>
    <row r="568" spans="1:15" outlineLevel="1" x14ac:dyDescent="0.3">
      <c r="A568" s="7"/>
      <c r="B568" s="7"/>
      <c r="C568" s="22" t="s">
        <v>1318</v>
      </c>
      <c r="D568" s="7"/>
      <c r="E568" s="7"/>
      <c r="F568" s="26" t="s">
        <v>549</v>
      </c>
      <c r="G568" s="39">
        <v>42.12</v>
      </c>
      <c r="H568" s="7"/>
      <c r="I568" s="7"/>
      <c r="J568" s="7"/>
      <c r="K568" s="7"/>
      <c r="L568" s="7"/>
      <c r="M568" s="7"/>
      <c r="N568" s="7"/>
      <c r="O568" s="7"/>
    </row>
    <row r="569" spans="1:15" outlineLevel="1" x14ac:dyDescent="0.3">
      <c r="A569" s="7"/>
      <c r="B569" s="7"/>
      <c r="C569" s="22" t="s">
        <v>1302</v>
      </c>
      <c r="D569" s="7"/>
      <c r="E569" s="7"/>
      <c r="F569" s="26" t="s">
        <v>549</v>
      </c>
      <c r="G569" s="45">
        <v>4702.4799999999996</v>
      </c>
      <c r="H569" s="7"/>
      <c r="I569" s="7"/>
      <c r="J569" s="7"/>
      <c r="K569" s="7"/>
      <c r="L569" s="7"/>
      <c r="M569" s="7"/>
      <c r="N569" s="7"/>
      <c r="O569" s="7"/>
    </row>
    <row r="570" spans="1:15" outlineLevel="1" x14ac:dyDescent="0.3">
      <c r="A570" s="7"/>
      <c r="B570" s="7"/>
      <c r="C570" s="22" t="s">
        <v>1319</v>
      </c>
      <c r="D570" s="7"/>
      <c r="E570" s="7"/>
      <c r="F570" s="26" t="s">
        <v>549</v>
      </c>
      <c r="G570" s="39">
        <v>659.84</v>
      </c>
      <c r="H570" s="7"/>
      <c r="I570" s="7"/>
      <c r="J570" s="7"/>
      <c r="K570" s="7"/>
      <c r="L570" s="7"/>
      <c r="M570" s="7"/>
      <c r="N570" s="7"/>
      <c r="O570" s="7"/>
    </row>
    <row r="571" spans="1:15" outlineLevel="1" x14ac:dyDescent="0.3">
      <c r="A571" s="7"/>
      <c r="B571" s="7"/>
      <c r="C571" s="22" t="s">
        <v>1320</v>
      </c>
      <c r="D571" s="7"/>
      <c r="E571" s="7"/>
      <c r="F571" s="26" t="s">
        <v>549</v>
      </c>
      <c r="G571" s="45">
        <v>4704.96</v>
      </c>
      <c r="H571" s="7"/>
      <c r="I571" s="7"/>
      <c r="J571" s="7"/>
      <c r="K571" s="7"/>
      <c r="L571" s="7"/>
      <c r="M571" s="7"/>
      <c r="N571" s="7"/>
      <c r="O571" s="7"/>
    </row>
    <row r="572" spans="1:15" outlineLevel="1" x14ac:dyDescent="0.3">
      <c r="A572" s="7"/>
      <c r="B572" s="7"/>
      <c r="C572" s="22" t="s">
        <v>1321</v>
      </c>
      <c r="D572" s="7"/>
      <c r="E572" s="7"/>
      <c r="F572" s="26" t="s">
        <v>549</v>
      </c>
      <c r="G572" s="45">
        <v>7824.96</v>
      </c>
      <c r="H572" s="7"/>
      <c r="I572" s="7"/>
      <c r="J572" s="7"/>
      <c r="K572" s="7"/>
      <c r="L572" s="7"/>
      <c r="M572" s="7"/>
      <c r="N572" s="7"/>
      <c r="O572" s="7"/>
    </row>
    <row r="573" spans="1:15" outlineLevel="1" x14ac:dyDescent="0.3">
      <c r="A573" s="7">
        <v>262</v>
      </c>
      <c r="B573" s="7">
        <v>262</v>
      </c>
      <c r="C573" s="7" t="s">
        <v>228</v>
      </c>
      <c r="D573" s="8" t="s">
        <v>546</v>
      </c>
      <c r="E573" s="8">
        <v>1656.2</v>
      </c>
      <c r="F573" s="36" t="s">
        <v>549</v>
      </c>
      <c r="G573" s="41">
        <f>1656.2*0.1</f>
        <v>165.62</v>
      </c>
      <c r="H573" s="7"/>
      <c r="I573" s="7"/>
      <c r="J573" s="7"/>
      <c r="K573" s="7"/>
      <c r="L573" s="7"/>
      <c r="M573" s="7"/>
      <c r="N573" s="7" t="s">
        <v>798</v>
      </c>
      <c r="O573" s="7" t="s">
        <v>1289</v>
      </c>
    </row>
    <row r="574" spans="1:15" outlineLevel="1" x14ac:dyDescent="0.3">
      <c r="A574" s="7">
        <v>263</v>
      </c>
      <c r="B574" s="7">
        <v>263</v>
      </c>
      <c r="C574" s="7" t="s">
        <v>229</v>
      </c>
      <c r="D574" s="8" t="s">
        <v>546</v>
      </c>
      <c r="E574" s="8">
        <v>1656.2</v>
      </c>
      <c r="F574" s="36" t="s">
        <v>549</v>
      </c>
      <c r="G574" s="41">
        <f>1656.2*2*0.18</f>
        <v>596.23199999999997</v>
      </c>
      <c r="H574" s="7"/>
      <c r="I574" s="7"/>
      <c r="J574" s="7"/>
      <c r="K574" s="7"/>
      <c r="L574" s="7"/>
      <c r="M574" s="7"/>
      <c r="N574" s="7"/>
      <c r="O574" s="7" t="s">
        <v>1290</v>
      </c>
    </row>
    <row r="575" spans="1:15" s="2" customFormat="1" x14ac:dyDescent="0.3">
      <c r="A575" s="4"/>
      <c r="B575" s="4"/>
      <c r="C575" s="4" t="s">
        <v>239</v>
      </c>
      <c r="D575" s="6"/>
      <c r="E575" s="6"/>
      <c r="F575" s="36"/>
      <c r="G575" s="41"/>
      <c r="H575" s="4"/>
      <c r="I575" s="4"/>
      <c r="J575" s="4"/>
      <c r="K575" s="4"/>
      <c r="L575" s="4"/>
      <c r="M575" s="4"/>
      <c r="N575" s="4"/>
      <c r="O575" s="4"/>
    </row>
    <row r="576" spans="1:15" ht="28.8" outlineLevel="1" x14ac:dyDescent="0.3">
      <c r="A576" s="7">
        <v>264</v>
      </c>
      <c r="B576" s="7">
        <v>264</v>
      </c>
      <c r="C576" s="7" t="s">
        <v>240</v>
      </c>
      <c r="D576" s="8" t="s">
        <v>550</v>
      </c>
      <c r="E576" s="8">
        <v>6.3310000000000004</v>
      </c>
      <c r="F576" s="26" t="s">
        <v>550</v>
      </c>
      <c r="G576" s="39">
        <v>6.3310000000000004</v>
      </c>
      <c r="H576" s="7"/>
      <c r="I576" s="7"/>
      <c r="J576" s="7"/>
      <c r="K576" s="7"/>
      <c r="L576" s="7"/>
      <c r="M576" s="7"/>
      <c r="N576" s="7" t="s">
        <v>799</v>
      </c>
      <c r="O576" s="7"/>
    </row>
    <row r="577" spans="1:15" ht="43.2" outlineLevel="1" x14ac:dyDescent="0.3">
      <c r="A577" s="7">
        <v>265</v>
      </c>
      <c r="B577" s="7">
        <v>265</v>
      </c>
      <c r="C577" s="7" t="s">
        <v>241</v>
      </c>
      <c r="D577" s="8" t="s">
        <v>550</v>
      </c>
      <c r="E577" s="8">
        <v>1.1819999999999999</v>
      </c>
      <c r="F577" s="26" t="s">
        <v>550</v>
      </c>
      <c r="G577" s="39">
        <v>1.1819999999999999</v>
      </c>
      <c r="H577" s="7"/>
      <c r="I577" s="7"/>
      <c r="J577" s="7"/>
      <c r="K577" s="7"/>
      <c r="L577" s="7"/>
      <c r="M577" s="7"/>
      <c r="N577" s="7" t="s">
        <v>800</v>
      </c>
      <c r="O577" s="7"/>
    </row>
    <row r="578" spans="1:15" outlineLevel="1" x14ac:dyDescent="0.3">
      <c r="A578" s="7">
        <v>266</v>
      </c>
      <c r="B578" s="7">
        <v>266</v>
      </c>
      <c r="C578" s="7" t="s">
        <v>228</v>
      </c>
      <c r="D578" s="8" t="s">
        <v>546</v>
      </c>
      <c r="E578" s="8">
        <v>20.3</v>
      </c>
      <c r="F578" s="36" t="s">
        <v>549</v>
      </c>
      <c r="G578" s="41">
        <f>20.3*0.1</f>
        <v>2.0300000000000002</v>
      </c>
      <c r="H578" s="7"/>
      <c r="I578" s="7"/>
      <c r="J578" s="7"/>
      <c r="K578" s="7"/>
      <c r="L578" s="7"/>
      <c r="M578" s="7"/>
      <c r="N578" s="7"/>
      <c r="O578" s="7" t="s">
        <v>1289</v>
      </c>
    </row>
    <row r="579" spans="1:15" outlineLevel="1" x14ac:dyDescent="0.3">
      <c r="A579" s="7">
        <v>267</v>
      </c>
      <c r="B579" s="7">
        <v>267</v>
      </c>
      <c r="C579" s="7" t="s">
        <v>229</v>
      </c>
      <c r="D579" s="8" t="s">
        <v>546</v>
      </c>
      <c r="E579" s="8">
        <v>20.3</v>
      </c>
      <c r="F579" s="36" t="s">
        <v>549</v>
      </c>
      <c r="G579" s="41">
        <f>20.3*2*0.18</f>
        <v>7.3079999999999998</v>
      </c>
      <c r="H579" s="7"/>
      <c r="I579" s="7"/>
      <c r="J579" s="7"/>
      <c r="K579" s="7"/>
      <c r="L579" s="7"/>
      <c r="M579" s="7"/>
      <c r="N579" s="7"/>
      <c r="O579" s="7" t="s">
        <v>1290</v>
      </c>
    </row>
    <row r="580" spans="1:15" s="2" customFormat="1" ht="21" x14ac:dyDescent="0.3">
      <c r="A580" s="4"/>
      <c r="B580" s="4"/>
      <c r="C580" s="4" t="s">
        <v>242</v>
      </c>
      <c r="D580" s="6"/>
      <c r="E580" s="6"/>
      <c r="F580" s="36"/>
      <c r="G580" s="41"/>
      <c r="H580" s="4"/>
      <c r="I580" s="4"/>
      <c r="J580" s="4"/>
      <c r="K580" s="4"/>
      <c r="L580" s="4"/>
      <c r="M580" s="4"/>
      <c r="N580" s="48"/>
      <c r="O580" s="4"/>
    </row>
    <row r="581" spans="1:15" outlineLevel="1" x14ac:dyDescent="0.3">
      <c r="A581" s="7">
        <v>268</v>
      </c>
      <c r="B581" s="7">
        <v>268</v>
      </c>
      <c r="C581" s="7" t="s">
        <v>243</v>
      </c>
      <c r="D581" s="31" t="s">
        <v>550</v>
      </c>
      <c r="E581" s="31">
        <v>724.14</v>
      </c>
      <c r="F581" s="36" t="s">
        <v>1052</v>
      </c>
      <c r="G581" s="80">
        <v>56.85</v>
      </c>
      <c r="H581" s="7"/>
      <c r="I581" s="7"/>
      <c r="J581" s="7"/>
      <c r="K581" s="7"/>
      <c r="L581" s="7"/>
      <c r="M581" s="7"/>
      <c r="N581" s="7"/>
      <c r="O581" s="7"/>
    </row>
    <row r="582" spans="1:15" outlineLevel="1" x14ac:dyDescent="0.3">
      <c r="A582" s="7">
        <v>269</v>
      </c>
      <c r="B582" s="7">
        <v>269</v>
      </c>
      <c r="C582" s="7" t="s">
        <v>244</v>
      </c>
      <c r="D582" s="31" t="s">
        <v>550</v>
      </c>
      <c r="E582" s="31">
        <v>724.14</v>
      </c>
      <c r="F582" s="36" t="s">
        <v>1052</v>
      </c>
      <c r="G582" s="80">
        <v>56.85</v>
      </c>
      <c r="H582" s="7"/>
      <c r="I582" s="7"/>
      <c r="J582" s="7"/>
      <c r="K582" s="7"/>
      <c r="L582" s="7"/>
      <c r="M582" s="7"/>
      <c r="N582" s="7"/>
      <c r="O582" s="7"/>
    </row>
    <row r="583" spans="1:15" outlineLevel="1" x14ac:dyDescent="0.3">
      <c r="A583" s="7">
        <v>270</v>
      </c>
      <c r="B583" s="7">
        <v>270</v>
      </c>
      <c r="C583" s="7" t="s">
        <v>245</v>
      </c>
      <c r="D583" s="31" t="s">
        <v>550</v>
      </c>
      <c r="E583" s="31">
        <v>724.14</v>
      </c>
      <c r="F583" s="36" t="s">
        <v>1052</v>
      </c>
      <c r="G583" s="80">
        <v>56.85</v>
      </c>
      <c r="H583" s="7"/>
      <c r="I583" s="7"/>
      <c r="J583" s="7"/>
      <c r="K583" s="7"/>
      <c r="L583" s="7"/>
      <c r="M583" s="7"/>
      <c r="N583" s="7"/>
      <c r="O583" s="7"/>
    </row>
    <row r="584" spans="1:15" ht="28.8" outlineLevel="1" x14ac:dyDescent="0.3">
      <c r="A584" s="7">
        <v>271</v>
      </c>
      <c r="B584" s="7">
        <v>271</v>
      </c>
      <c r="C584" s="7" t="s">
        <v>246</v>
      </c>
      <c r="D584" s="8" t="s">
        <v>550</v>
      </c>
      <c r="E584" s="8">
        <v>481.13</v>
      </c>
      <c r="F584" s="36" t="s">
        <v>1052</v>
      </c>
      <c r="G584" s="44">
        <v>802.01</v>
      </c>
      <c r="H584" s="7"/>
      <c r="I584" s="7"/>
      <c r="J584" s="7"/>
      <c r="K584" s="7"/>
      <c r="L584" s="7"/>
      <c r="M584" s="7"/>
      <c r="N584" s="7"/>
      <c r="O584" s="7"/>
    </row>
    <row r="585" spans="1:15" ht="28.8" outlineLevel="1" x14ac:dyDescent="0.3">
      <c r="A585" s="7">
        <v>272</v>
      </c>
      <c r="B585" s="7">
        <v>272</v>
      </c>
      <c r="C585" s="7" t="s">
        <v>247</v>
      </c>
      <c r="D585" s="8" t="s">
        <v>550</v>
      </c>
      <c r="E585" s="8">
        <v>481.13</v>
      </c>
      <c r="F585" s="36" t="s">
        <v>1052</v>
      </c>
      <c r="G585" s="44">
        <v>802.01</v>
      </c>
      <c r="H585" s="7"/>
      <c r="I585" s="7"/>
      <c r="J585" s="7"/>
      <c r="K585" s="7"/>
      <c r="L585" s="7"/>
      <c r="M585" s="7"/>
      <c r="N585" s="7"/>
      <c r="O585" s="7"/>
    </row>
    <row r="586" spans="1:15" s="54" customFormat="1" ht="23.4" x14ac:dyDescent="0.3">
      <c r="A586" s="49"/>
      <c r="B586" s="49"/>
      <c r="C586" s="50" t="s">
        <v>248</v>
      </c>
      <c r="D586" s="50"/>
      <c r="E586" s="50"/>
      <c r="F586" s="51"/>
      <c r="G586" s="52"/>
      <c r="H586" s="50"/>
      <c r="I586" s="50"/>
      <c r="J586" s="50"/>
      <c r="K586" s="50"/>
      <c r="L586" s="50"/>
      <c r="M586" s="50"/>
      <c r="N586" s="50"/>
      <c r="O586" s="49"/>
    </row>
    <row r="587" spans="1:15" s="2" customFormat="1" x14ac:dyDescent="0.3">
      <c r="A587" s="4"/>
      <c r="B587" s="4"/>
      <c r="C587" s="5" t="s">
        <v>7</v>
      </c>
      <c r="D587" s="5"/>
      <c r="E587" s="5"/>
      <c r="F587" s="37"/>
      <c r="G587" s="42"/>
      <c r="H587" s="5"/>
      <c r="I587" s="5"/>
      <c r="J587" s="5"/>
      <c r="K587" s="5"/>
      <c r="L587" s="5"/>
      <c r="M587" s="5"/>
      <c r="N587" s="5"/>
      <c r="O587" s="4"/>
    </row>
    <row r="588" spans="1:15" s="2" customFormat="1" x14ac:dyDescent="0.3">
      <c r="A588" s="4"/>
      <c r="B588" s="4"/>
      <c r="C588" s="4" t="s">
        <v>249</v>
      </c>
      <c r="D588" s="6"/>
      <c r="E588" s="6"/>
      <c r="F588" s="36"/>
      <c r="G588" s="41"/>
      <c r="H588" s="4"/>
      <c r="I588" s="4"/>
      <c r="J588" s="4"/>
      <c r="K588" s="4"/>
      <c r="L588" s="4"/>
      <c r="M588" s="4"/>
      <c r="N588" s="4"/>
      <c r="O588" s="4"/>
    </row>
    <row r="589" spans="1:15" ht="72" outlineLevel="1" x14ac:dyDescent="0.3">
      <c r="A589" s="7">
        <v>273</v>
      </c>
      <c r="B589" s="7">
        <v>273</v>
      </c>
      <c r="C589" s="7" t="s">
        <v>250</v>
      </c>
      <c r="D589" s="8" t="s">
        <v>554</v>
      </c>
      <c r="E589" s="8">
        <v>2375.1999999999998</v>
      </c>
      <c r="F589" s="36" t="s">
        <v>1052</v>
      </c>
      <c r="G589" s="41">
        <v>9.5009999999999994</v>
      </c>
      <c r="H589" s="7"/>
      <c r="I589" s="7"/>
      <c r="J589" s="7"/>
      <c r="K589" s="7"/>
      <c r="L589" s="7"/>
      <c r="M589" s="7"/>
      <c r="N589" s="7" t="s">
        <v>801</v>
      </c>
      <c r="O589" s="7" t="s">
        <v>1046</v>
      </c>
    </row>
    <row r="590" spans="1:15" ht="28.8" outlineLevel="1" x14ac:dyDescent="0.3">
      <c r="A590" s="7">
        <v>274</v>
      </c>
      <c r="B590" s="7">
        <v>274</v>
      </c>
      <c r="C590" s="7" t="s">
        <v>251</v>
      </c>
      <c r="D590" s="8" t="s">
        <v>554</v>
      </c>
      <c r="E590" s="8">
        <v>2375.1999999999998</v>
      </c>
      <c r="F590" s="36" t="s">
        <v>1052</v>
      </c>
      <c r="G590" s="41">
        <v>5.9379999999999997</v>
      </c>
      <c r="H590" s="7"/>
      <c r="I590" s="7"/>
      <c r="J590" s="7"/>
      <c r="K590" s="7"/>
      <c r="L590" s="7"/>
      <c r="M590" s="7"/>
      <c r="N590" s="7" t="s">
        <v>802</v>
      </c>
      <c r="O590" s="7"/>
    </row>
    <row r="591" spans="1:15" ht="57.6" outlineLevel="1" x14ac:dyDescent="0.3">
      <c r="A591" s="7">
        <v>275</v>
      </c>
      <c r="B591" s="7">
        <v>275</v>
      </c>
      <c r="C591" s="7" t="s">
        <v>252</v>
      </c>
      <c r="D591" s="8" t="s">
        <v>546</v>
      </c>
      <c r="E591" s="8">
        <v>2375.1999999999998</v>
      </c>
      <c r="F591" s="36" t="s">
        <v>1052</v>
      </c>
      <c r="G591" s="41">
        <v>112.63</v>
      </c>
      <c r="H591" s="7"/>
      <c r="I591" s="7"/>
      <c r="J591" s="7"/>
      <c r="K591" s="7"/>
      <c r="L591" s="7"/>
      <c r="M591" s="7"/>
      <c r="N591" s="7" t="s">
        <v>803</v>
      </c>
      <c r="O591" s="7" t="s">
        <v>1047</v>
      </c>
    </row>
    <row r="592" spans="1:15" ht="28.8" outlineLevel="1" x14ac:dyDescent="0.3">
      <c r="A592" s="7">
        <v>276</v>
      </c>
      <c r="B592" s="7">
        <v>276</v>
      </c>
      <c r="C592" s="7" t="s">
        <v>253</v>
      </c>
      <c r="D592" s="8" t="s">
        <v>546</v>
      </c>
      <c r="E592" s="8">
        <v>2375.1999999999998</v>
      </c>
      <c r="F592" s="36" t="s">
        <v>551</v>
      </c>
      <c r="G592" s="41">
        <f>2375.2*0.055</f>
        <v>130.636</v>
      </c>
      <c r="H592" s="7"/>
      <c r="I592" s="7"/>
      <c r="J592" s="7"/>
      <c r="K592" s="7"/>
      <c r="L592" s="7"/>
      <c r="M592" s="7"/>
      <c r="N592" s="7" t="s">
        <v>804</v>
      </c>
      <c r="O592" s="7"/>
    </row>
    <row r="593" spans="1:15" ht="28.8" outlineLevel="1" x14ac:dyDescent="0.3">
      <c r="A593" s="7">
        <v>277</v>
      </c>
      <c r="B593" s="7">
        <v>277</v>
      </c>
      <c r="C593" s="7" t="s">
        <v>254</v>
      </c>
      <c r="D593" s="8" t="s">
        <v>546</v>
      </c>
      <c r="E593" s="8">
        <v>2035.8</v>
      </c>
      <c r="F593" s="26" t="s">
        <v>546</v>
      </c>
      <c r="G593" s="39">
        <v>2035.8</v>
      </c>
      <c r="H593" s="7"/>
      <c r="I593" s="7"/>
      <c r="J593" s="7"/>
      <c r="K593" s="7"/>
      <c r="L593" s="7"/>
      <c r="M593" s="7"/>
      <c r="N593" s="7" t="s">
        <v>805</v>
      </c>
      <c r="O593" s="7"/>
    </row>
    <row r="594" spans="1:15" ht="28.8" outlineLevel="1" x14ac:dyDescent="0.3">
      <c r="A594" s="7">
        <v>278</v>
      </c>
      <c r="B594" s="7">
        <v>278</v>
      </c>
      <c r="C594" s="7" t="s">
        <v>255</v>
      </c>
      <c r="D594" s="8" t="s">
        <v>546</v>
      </c>
      <c r="E594" s="8">
        <v>339.4</v>
      </c>
      <c r="F594" s="26" t="s">
        <v>546</v>
      </c>
      <c r="G594" s="39">
        <v>339.4</v>
      </c>
      <c r="H594" s="7"/>
      <c r="I594" s="7"/>
      <c r="J594" s="7"/>
      <c r="K594" s="7"/>
      <c r="L594" s="7"/>
      <c r="M594" s="7"/>
      <c r="N594" s="7" t="s">
        <v>806</v>
      </c>
      <c r="O594" s="7"/>
    </row>
    <row r="595" spans="1:15" ht="28.8" outlineLevel="1" x14ac:dyDescent="0.3">
      <c r="A595" s="7">
        <v>279</v>
      </c>
      <c r="B595" s="7">
        <v>279</v>
      </c>
      <c r="C595" s="7" t="s">
        <v>256</v>
      </c>
      <c r="D595" s="8" t="s">
        <v>551</v>
      </c>
      <c r="E595" s="8">
        <v>3.96</v>
      </c>
      <c r="F595" s="26" t="s">
        <v>551</v>
      </c>
      <c r="G595" s="39">
        <v>3.96</v>
      </c>
      <c r="H595" s="7"/>
      <c r="I595" s="7"/>
      <c r="J595" s="7"/>
      <c r="K595" s="7"/>
      <c r="L595" s="7"/>
      <c r="M595" s="7"/>
      <c r="N595" s="7" t="s">
        <v>807</v>
      </c>
      <c r="O595" s="7"/>
    </row>
    <row r="596" spans="1:15" ht="28.8" outlineLevel="1" x14ac:dyDescent="0.3">
      <c r="A596" s="7">
        <v>280</v>
      </c>
      <c r="B596" s="7">
        <v>280</v>
      </c>
      <c r="C596" s="7" t="s">
        <v>257</v>
      </c>
      <c r="D596" s="8" t="s">
        <v>548</v>
      </c>
      <c r="E596" s="8">
        <v>276.39</v>
      </c>
      <c r="F596" s="26" t="s">
        <v>548</v>
      </c>
      <c r="G596" s="39">
        <v>276.39</v>
      </c>
      <c r="H596" s="7"/>
      <c r="I596" s="7"/>
      <c r="J596" s="7"/>
      <c r="K596" s="7"/>
      <c r="L596" s="7"/>
      <c r="M596" s="7"/>
      <c r="N596" s="7" t="s">
        <v>808</v>
      </c>
      <c r="O596" s="7"/>
    </row>
    <row r="597" spans="1:15" ht="82.8" customHeight="1" outlineLevel="1" x14ac:dyDescent="0.3">
      <c r="A597" s="7">
        <v>281</v>
      </c>
      <c r="B597" s="7">
        <v>281</v>
      </c>
      <c r="C597" s="7" t="s">
        <v>258</v>
      </c>
      <c r="D597" s="8" t="s">
        <v>546</v>
      </c>
      <c r="E597" s="8">
        <v>271.14</v>
      </c>
      <c r="F597" s="36" t="s">
        <v>1052</v>
      </c>
      <c r="G597" s="41">
        <v>1.085</v>
      </c>
      <c r="H597" s="7"/>
      <c r="I597" s="7"/>
      <c r="J597" s="7"/>
      <c r="K597" s="7"/>
      <c r="L597" s="7"/>
      <c r="M597" s="7"/>
      <c r="N597" s="7" t="s">
        <v>809</v>
      </c>
      <c r="O597" s="7" t="s">
        <v>1046</v>
      </c>
    </row>
    <row r="598" spans="1:15" ht="28.8" outlineLevel="1" x14ac:dyDescent="0.3">
      <c r="A598" s="7">
        <v>282</v>
      </c>
      <c r="B598" s="7">
        <v>282</v>
      </c>
      <c r="C598" s="7" t="s">
        <v>259</v>
      </c>
      <c r="D598" s="8" t="s">
        <v>547</v>
      </c>
      <c r="E598" s="8">
        <v>2</v>
      </c>
      <c r="F598" s="26" t="s">
        <v>547</v>
      </c>
      <c r="G598" s="39">
        <v>2</v>
      </c>
      <c r="H598" s="7"/>
      <c r="I598" s="7"/>
      <c r="J598" s="7"/>
      <c r="K598" s="7"/>
      <c r="L598" s="7"/>
      <c r="M598" s="7"/>
      <c r="N598" s="7" t="s">
        <v>810</v>
      </c>
      <c r="O598" s="7"/>
    </row>
    <row r="599" spans="1:15" ht="28.8" outlineLevel="1" x14ac:dyDescent="0.3">
      <c r="A599" s="7">
        <v>283</v>
      </c>
      <c r="B599" s="7">
        <v>283</v>
      </c>
      <c r="C599" s="7" t="s">
        <v>260</v>
      </c>
      <c r="D599" s="8" t="s">
        <v>547</v>
      </c>
      <c r="E599" s="8">
        <v>3</v>
      </c>
      <c r="F599" s="26" t="s">
        <v>547</v>
      </c>
      <c r="G599" s="39">
        <v>3</v>
      </c>
      <c r="H599" s="7"/>
      <c r="I599" s="7"/>
      <c r="J599" s="7"/>
      <c r="K599" s="7"/>
      <c r="L599" s="7"/>
      <c r="M599" s="7"/>
      <c r="N599" s="7" t="s">
        <v>811</v>
      </c>
      <c r="O599" s="7"/>
    </row>
    <row r="600" spans="1:15" s="2" customFormat="1" ht="28.8" x14ac:dyDescent="0.3">
      <c r="A600" s="4"/>
      <c r="B600" s="4"/>
      <c r="C600" s="4" t="s">
        <v>261</v>
      </c>
      <c r="D600" s="6"/>
      <c r="E600" s="6"/>
      <c r="F600" s="36"/>
      <c r="G600" s="41"/>
      <c r="H600" s="4"/>
      <c r="I600" s="4"/>
      <c r="J600" s="4"/>
      <c r="K600" s="4"/>
      <c r="L600" s="4"/>
      <c r="M600" s="4"/>
      <c r="N600" s="4"/>
      <c r="O600" s="4"/>
    </row>
    <row r="601" spans="1:15" ht="28.8" outlineLevel="1" x14ac:dyDescent="0.3">
      <c r="A601" s="7">
        <v>284</v>
      </c>
      <c r="B601" s="7">
        <v>284</v>
      </c>
      <c r="C601" s="7" t="s">
        <v>262</v>
      </c>
      <c r="D601" s="8" t="s">
        <v>546</v>
      </c>
      <c r="E601" s="8">
        <v>106.84</v>
      </c>
      <c r="F601" s="26" t="s">
        <v>546</v>
      </c>
      <c r="G601" s="39">
        <v>106.84</v>
      </c>
      <c r="H601" s="7"/>
      <c r="I601" s="7"/>
      <c r="J601" s="7"/>
      <c r="K601" s="7"/>
      <c r="L601" s="7"/>
      <c r="M601" s="7"/>
      <c r="N601" s="7" t="s">
        <v>812</v>
      </c>
      <c r="O601" s="7"/>
    </row>
    <row r="602" spans="1:15" ht="43.2" outlineLevel="1" x14ac:dyDescent="0.3">
      <c r="A602" s="7">
        <v>285</v>
      </c>
      <c r="B602" s="7">
        <v>285</v>
      </c>
      <c r="C602" s="7" t="s">
        <v>263</v>
      </c>
      <c r="D602" s="8" t="s">
        <v>546</v>
      </c>
      <c r="E602" s="8">
        <v>44.02</v>
      </c>
      <c r="F602" s="26" t="s">
        <v>546</v>
      </c>
      <c r="G602" s="39">
        <v>44.02</v>
      </c>
      <c r="H602" s="7"/>
      <c r="I602" s="7"/>
      <c r="J602" s="7"/>
      <c r="K602" s="7"/>
      <c r="L602" s="7"/>
      <c r="M602" s="7"/>
      <c r="N602" s="7" t="s">
        <v>813</v>
      </c>
      <c r="O602" s="7"/>
    </row>
    <row r="603" spans="1:15" ht="43.2" outlineLevel="1" x14ac:dyDescent="0.3">
      <c r="A603" s="7">
        <v>286</v>
      </c>
      <c r="B603" s="7">
        <v>286</v>
      </c>
      <c r="C603" s="7" t="s">
        <v>264</v>
      </c>
      <c r="D603" s="8" t="s">
        <v>546</v>
      </c>
      <c r="E603" s="8">
        <v>20.88</v>
      </c>
      <c r="F603" s="26" t="s">
        <v>546</v>
      </c>
      <c r="G603" s="39">
        <v>20.88</v>
      </c>
      <c r="H603" s="7"/>
      <c r="I603" s="7"/>
      <c r="J603" s="7"/>
      <c r="K603" s="7"/>
      <c r="L603" s="7"/>
      <c r="M603" s="7"/>
      <c r="N603" s="7" t="s">
        <v>814</v>
      </c>
      <c r="O603" s="7"/>
    </row>
    <row r="604" spans="1:15" ht="51.6" customHeight="1" outlineLevel="1" x14ac:dyDescent="0.3">
      <c r="A604" s="7">
        <v>287</v>
      </c>
      <c r="B604" s="7">
        <v>287</v>
      </c>
      <c r="C604" s="7" t="s">
        <v>265</v>
      </c>
      <c r="D604" s="8" t="s">
        <v>546</v>
      </c>
      <c r="E604" s="8">
        <v>9</v>
      </c>
      <c r="F604" s="36" t="s">
        <v>1052</v>
      </c>
      <c r="G604" s="41">
        <f>36/1000</f>
        <v>3.5999999999999997E-2</v>
      </c>
      <c r="H604" s="7"/>
      <c r="I604" s="7"/>
      <c r="J604" s="7"/>
      <c r="K604" s="7"/>
      <c r="L604" s="7"/>
      <c r="M604" s="7"/>
      <c r="N604" s="7" t="s">
        <v>815</v>
      </c>
      <c r="O604" s="7" t="s">
        <v>1046</v>
      </c>
    </row>
    <row r="605" spans="1:15" ht="28.8" outlineLevel="1" x14ac:dyDescent="0.3">
      <c r="A605" s="7">
        <v>288</v>
      </c>
      <c r="B605" s="7">
        <v>288</v>
      </c>
      <c r="C605" s="7" t="s">
        <v>266</v>
      </c>
      <c r="D605" s="8" t="s">
        <v>546</v>
      </c>
      <c r="E605" s="8">
        <v>40.68</v>
      </c>
      <c r="F605" s="26" t="s">
        <v>546</v>
      </c>
      <c r="G605" s="39">
        <v>40.68</v>
      </c>
      <c r="H605" s="7"/>
      <c r="I605" s="7"/>
      <c r="J605" s="7"/>
      <c r="K605" s="7"/>
      <c r="L605" s="7"/>
      <c r="M605" s="7"/>
      <c r="N605" s="7" t="s">
        <v>816</v>
      </c>
      <c r="O605" s="7"/>
    </row>
    <row r="606" spans="1:15" ht="57.6" outlineLevel="1" x14ac:dyDescent="0.3">
      <c r="A606" s="7">
        <v>289</v>
      </c>
      <c r="B606" s="7">
        <v>289</v>
      </c>
      <c r="C606" s="7" t="s">
        <v>267</v>
      </c>
      <c r="D606" s="8" t="s">
        <v>546</v>
      </c>
      <c r="E606" s="8">
        <v>53.6</v>
      </c>
      <c r="F606" s="26" t="s">
        <v>546</v>
      </c>
      <c r="G606" s="39">
        <v>53.6</v>
      </c>
      <c r="H606" s="7"/>
      <c r="I606" s="7"/>
      <c r="J606" s="7"/>
      <c r="K606" s="7"/>
      <c r="L606" s="7"/>
      <c r="M606" s="7"/>
      <c r="N606" s="7" t="s">
        <v>817</v>
      </c>
      <c r="O606" s="7"/>
    </row>
    <row r="607" spans="1:15" s="2" customFormat="1" x14ac:dyDescent="0.3">
      <c r="A607" s="4"/>
      <c r="B607" s="4"/>
      <c r="C607" s="4" t="s">
        <v>268</v>
      </c>
      <c r="D607" s="6"/>
      <c r="E607" s="6"/>
      <c r="F607" s="36"/>
      <c r="G607" s="41"/>
      <c r="H607" s="4"/>
      <c r="I607" s="4"/>
      <c r="J607" s="4"/>
      <c r="K607" s="4"/>
      <c r="L607" s="4"/>
      <c r="M607" s="4"/>
      <c r="N607" s="4"/>
      <c r="O607" s="4"/>
    </row>
    <row r="608" spans="1:15" ht="28.8" outlineLevel="1" x14ac:dyDescent="0.3">
      <c r="A608" s="7">
        <v>290</v>
      </c>
      <c r="B608" s="7">
        <v>290</v>
      </c>
      <c r="C608" s="7" t="s">
        <v>269</v>
      </c>
      <c r="D608" s="8" t="s">
        <v>546</v>
      </c>
      <c r="E608" s="8">
        <v>83.16</v>
      </c>
      <c r="F608" s="26" t="s">
        <v>546</v>
      </c>
      <c r="G608" s="39">
        <v>83.16</v>
      </c>
      <c r="H608" s="7"/>
      <c r="I608" s="7"/>
      <c r="J608" s="7"/>
      <c r="K608" s="7"/>
      <c r="L608" s="7"/>
      <c r="M608" s="7"/>
      <c r="N608" s="7" t="s">
        <v>818</v>
      </c>
      <c r="O608" s="7"/>
    </row>
    <row r="609" spans="1:15" ht="28.8" outlineLevel="1" x14ac:dyDescent="0.3">
      <c r="A609" s="7">
        <v>291</v>
      </c>
      <c r="B609" s="7">
        <v>291</v>
      </c>
      <c r="C609" s="7" t="s">
        <v>253</v>
      </c>
      <c r="D609" s="8" t="s">
        <v>546</v>
      </c>
      <c r="E609" s="8">
        <v>83.16</v>
      </c>
      <c r="F609" s="26" t="s">
        <v>546</v>
      </c>
      <c r="G609" s="39">
        <v>83.16</v>
      </c>
      <c r="H609" s="7"/>
      <c r="I609" s="7"/>
      <c r="J609" s="7"/>
      <c r="K609" s="7"/>
      <c r="L609" s="7"/>
      <c r="M609" s="7"/>
      <c r="N609" s="7" t="s">
        <v>819</v>
      </c>
      <c r="O609" s="7"/>
    </row>
    <row r="610" spans="1:15" ht="57.6" outlineLevel="1" x14ac:dyDescent="0.3">
      <c r="A610" s="7">
        <v>292</v>
      </c>
      <c r="B610" s="7">
        <v>292</v>
      </c>
      <c r="C610" s="7" t="s">
        <v>252</v>
      </c>
      <c r="D610" s="8" t="s">
        <v>546</v>
      </c>
      <c r="E610" s="8">
        <v>83.16</v>
      </c>
      <c r="F610" s="36" t="s">
        <v>1052</v>
      </c>
      <c r="G610" s="41">
        <v>3.944</v>
      </c>
      <c r="H610" s="7"/>
      <c r="I610" s="7"/>
      <c r="J610" s="7"/>
      <c r="K610" s="7"/>
      <c r="L610" s="7"/>
      <c r="M610" s="7"/>
      <c r="N610" s="7" t="s">
        <v>820</v>
      </c>
      <c r="O610" s="7"/>
    </row>
    <row r="611" spans="1:15" ht="28.8" outlineLevel="1" x14ac:dyDescent="0.3">
      <c r="A611" s="7">
        <v>293</v>
      </c>
      <c r="B611" s="7">
        <v>293</v>
      </c>
      <c r="C611" s="7" t="s">
        <v>251</v>
      </c>
      <c r="D611" s="8" t="s">
        <v>546</v>
      </c>
      <c r="E611" s="8">
        <v>83.16</v>
      </c>
      <c r="F611" s="36" t="s">
        <v>1052</v>
      </c>
      <c r="G611" s="41">
        <f>207.91/1000</f>
        <v>0.20790999999999998</v>
      </c>
      <c r="H611" s="7"/>
      <c r="I611" s="7"/>
      <c r="J611" s="7"/>
      <c r="K611" s="7"/>
      <c r="L611" s="7"/>
      <c r="M611" s="7"/>
      <c r="N611" s="7" t="s">
        <v>821</v>
      </c>
      <c r="O611" s="7"/>
    </row>
    <row r="612" spans="1:15" ht="43.2" outlineLevel="1" x14ac:dyDescent="0.3">
      <c r="A612" s="7">
        <v>294</v>
      </c>
      <c r="B612" s="7">
        <v>294</v>
      </c>
      <c r="C612" s="7" t="s">
        <v>250</v>
      </c>
      <c r="D612" s="8" t="s">
        <v>546</v>
      </c>
      <c r="E612" s="8">
        <v>83.16</v>
      </c>
      <c r="F612" s="36" t="s">
        <v>1052</v>
      </c>
      <c r="G612" s="41">
        <f>332.65/1000</f>
        <v>0.33265</v>
      </c>
      <c r="H612" s="7"/>
      <c r="I612" s="7"/>
      <c r="J612" s="7"/>
      <c r="K612" s="7"/>
      <c r="L612" s="7"/>
      <c r="M612" s="7"/>
      <c r="N612" s="7" t="s">
        <v>822</v>
      </c>
      <c r="O612" s="7" t="s">
        <v>1046</v>
      </c>
    </row>
    <row r="613" spans="1:15" ht="86.4" outlineLevel="1" x14ac:dyDescent="0.3">
      <c r="A613" s="7">
        <v>295</v>
      </c>
      <c r="B613" s="7">
        <v>295</v>
      </c>
      <c r="C613" s="7" t="s">
        <v>270</v>
      </c>
      <c r="D613" s="8" t="s">
        <v>546</v>
      </c>
      <c r="E613" s="8">
        <v>28.76</v>
      </c>
      <c r="F613" s="36" t="s">
        <v>1052</v>
      </c>
      <c r="G613" s="41">
        <f>2372.54/1000</f>
        <v>2.3725399999999999</v>
      </c>
      <c r="H613" s="7"/>
      <c r="I613" s="7"/>
      <c r="J613" s="7"/>
      <c r="K613" s="7"/>
      <c r="L613" s="7"/>
      <c r="M613" s="7"/>
      <c r="N613" s="7" t="s">
        <v>823</v>
      </c>
      <c r="O613" s="7"/>
    </row>
    <row r="614" spans="1:15" ht="43.2" outlineLevel="1" x14ac:dyDescent="0.3">
      <c r="A614" s="7">
        <v>296</v>
      </c>
      <c r="B614" s="7">
        <v>296</v>
      </c>
      <c r="C614" s="7" t="s">
        <v>271</v>
      </c>
      <c r="D614" s="8" t="s">
        <v>547</v>
      </c>
      <c r="E614" s="8">
        <v>30</v>
      </c>
      <c r="F614" s="36" t="s">
        <v>1052</v>
      </c>
      <c r="G614" s="76">
        <f>47.4*30/1000</f>
        <v>1.4219999999999999</v>
      </c>
      <c r="H614" s="7"/>
      <c r="I614" s="7"/>
      <c r="J614" s="7"/>
      <c r="K614" s="7"/>
      <c r="L614" s="7"/>
      <c r="M614" s="7"/>
      <c r="N614" s="7" t="s">
        <v>824</v>
      </c>
      <c r="O614" s="7" t="s">
        <v>1048</v>
      </c>
    </row>
    <row r="615" spans="1:15" ht="57.6" outlineLevel="1" x14ac:dyDescent="0.3">
      <c r="A615" s="7">
        <v>297</v>
      </c>
      <c r="B615" s="7">
        <v>297</v>
      </c>
      <c r="C615" s="7" t="s">
        <v>272</v>
      </c>
      <c r="D615" s="8" t="s">
        <v>546</v>
      </c>
      <c r="E615" s="8">
        <v>15.39</v>
      </c>
      <c r="F615" s="36" t="s">
        <v>1052</v>
      </c>
      <c r="G615" s="41">
        <f>61.57/1000</f>
        <v>6.157E-2</v>
      </c>
      <c r="H615" s="7"/>
      <c r="I615" s="7"/>
      <c r="J615" s="7"/>
      <c r="K615" s="7"/>
      <c r="L615" s="7"/>
      <c r="M615" s="7"/>
      <c r="N615" s="7" t="s">
        <v>825</v>
      </c>
      <c r="O615" s="7" t="s">
        <v>1046</v>
      </c>
    </row>
    <row r="616" spans="1:15" ht="28.8" outlineLevel="1" x14ac:dyDescent="0.3">
      <c r="A616" s="7">
        <v>298</v>
      </c>
      <c r="B616" s="7">
        <v>298</v>
      </c>
      <c r="C616" s="7" t="s">
        <v>273</v>
      </c>
      <c r="D616" s="8" t="s">
        <v>546</v>
      </c>
      <c r="E616" s="8">
        <v>10.8</v>
      </c>
      <c r="F616" s="36" t="s">
        <v>1052</v>
      </c>
      <c r="G616" s="41">
        <f>135/1000</f>
        <v>0.13500000000000001</v>
      </c>
      <c r="H616" s="7"/>
      <c r="I616" s="7"/>
      <c r="J616" s="7"/>
      <c r="K616" s="7"/>
      <c r="L616" s="7"/>
      <c r="M616" s="7"/>
      <c r="N616" s="7" t="s">
        <v>826</v>
      </c>
      <c r="O616" s="7"/>
    </row>
    <row r="617" spans="1:15" ht="28.8" outlineLevel="1" x14ac:dyDescent="0.3">
      <c r="A617" s="7">
        <v>299</v>
      </c>
      <c r="B617" s="7">
        <v>299</v>
      </c>
      <c r="C617" s="7" t="s">
        <v>274</v>
      </c>
      <c r="D617" s="8" t="s">
        <v>546</v>
      </c>
      <c r="E617" s="8">
        <v>25.03</v>
      </c>
      <c r="F617" s="26" t="s">
        <v>546</v>
      </c>
      <c r="G617" s="39">
        <v>25.03</v>
      </c>
      <c r="H617" s="7"/>
      <c r="I617" s="7"/>
      <c r="J617" s="7"/>
      <c r="K617" s="7"/>
      <c r="L617" s="7"/>
      <c r="M617" s="7"/>
      <c r="N617" s="7" t="s">
        <v>827</v>
      </c>
      <c r="O617" s="7"/>
    </row>
    <row r="618" spans="1:15" ht="43.2" outlineLevel="1" x14ac:dyDescent="0.3">
      <c r="A618" s="7">
        <v>300</v>
      </c>
      <c r="B618" s="7">
        <v>300</v>
      </c>
      <c r="C618" s="7" t="s">
        <v>275</v>
      </c>
      <c r="D618" s="8" t="s">
        <v>546</v>
      </c>
      <c r="E618" s="8">
        <v>36.24</v>
      </c>
      <c r="F618" s="26" t="s">
        <v>546</v>
      </c>
      <c r="G618" s="39">
        <v>36.24</v>
      </c>
      <c r="H618" s="7"/>
      <c r="I618" s="7"/>
      <c r="J618" s="7"/>
      <c r="K618" s="7"/>
      <c r="L618" s="7"/>
      <c r="M618" s="7"/>
      <c r="N618" s="7" t="s">
        <v>828</v>
      </c>
      <c r="O618" s="7"/>
    </row>
    <row r="619" spans="1:15" ht="86.4" outlineLevel="1" x14ac:dyDescent="0.3">
      <c r="A619" s="7">
        <v>301</v>
      </c>
      <c r="B619" s="7">
        <v>301</v>
      </c>
      <c r="C619" s="7" t="s">
        <v>276</v>
      </c>
      <c r="D619" s="8" t="s">
        <v>550</v>
      </c>
      <c r="E619" s="8">
        <v>1.3109999999999999</v>
      </c>
      <c r="F619" s="36" t="s">
        <v>1052</v>
      </c>
      <c r="G619" s="39">
        <v>1.3109999999999999</v>
      </c>
      <c r="H619" s="7"/>
      <c r="I619" s="7"/>
      <c r="J619" s="7"/>
      <c r="K619" s="7"/>
      <c r="L619" s="7"/>
      <c r="M619" s="7"/>
      <c r="N619" s="7" t="s">
        <v>829</v>
      </c>
      <c r="O619" s="7"/>
    </row>
    <row r="620" spans="1:15" s="2" customFormat="1" x14ac:dyDescent="0.3">
      <c r="A620" s="4"/>
      <c r="B620" s="4"/>
      <c r="C620" s="4" t="s">
        <v>277</v>
      </c>
      <c r="D620" s="6"/>
      <c r="E620" s="6"/>
      <c r="F620" s="36"/>
      <c r="G620" s="41"/>
      <c r="H620" s="4"/>
      <c r="I620" s="4"/>
      <c r="J620" s="4"/>
      <c r="K620" s="4"/>
      <c r="L620" s="4"/>
      <c r="M620" s="4"/>
      <c r="N620" s="4"/>
      <c r="O620" s="4"/>
    </row>
    <row r="621" spans="1:15" ht="28.8" outlineLevel="1" x14ac:dyDescent="0.3">
      <c r="A621" s="7">
        <v>302</v>
      </c>
      <c r="B621" s="7">
        <v>302</v>
      </c>
      <c r="C621" s="7" t="s">
        <v>278</v>
      </c>
      <c r="D621" s="8" t="s">
        <v>549</v>
      </c>
      <c r="E621" s="8">
        <v>678</v>
      </c>
      <c r="F621" s="36" t="s">
        <v>1052</v>
      </c>
      <c r="G621" s="41">
        <f>E621/1000</f>
        <v>0.67800000000000005</v>
      </c>
      <c r="H621" s="7"/>
      <c r="I621" s="7"/>
      <c r="J621" s="7"/>
      <c r="K621" s="7"/>
      <c r="L621" s="7"/>
      <c r="M621" s="7"/>
      <c r="N621" s="7" t="s">
        <v>830</v>
      </c>
      <c r="O621" s="7"/>
    </row>
    <row r="622" spans="1:15" ht="28.8" outlineLevel="1" x14ac:dyDescent="0.3">
      <c r="A622" s="7">
        <v>303</v>
      </c>
      <c r="B622" s="7">
        <v>303</v>
      </c>
      <c r="C622" s="7" t="s">
        <v>279</v>
      </c>
      <c r="D622" s="8" t="s">
        <v>549</v>
      </c>
      <c r="E622" s="8">
        <v>67.8</v>
      </c>
      <c r="F622" s="36" t="s">
        <v>1052</v>
      </c>
      <c r="G622" s="41">
        <f t="shared" ref="G622:G627" si="0">E622/1000</f>
        <v>6.7799999999999999E-2</v>
      </c>
      <c r="H622" s="7"/>
      <c r="I622" s="7"/>
      <c r="J622" s="7"/>
      <c r="K622" s="7"/>
      <c r="L622" s="7"/>
      <c r="M622" s="7"/>
      <c r="N622" s="7" t="s">
        <v>831</v>
      </c>
      <c r="O622" s="7"/>
    </row>
    <row r="623" spans="1:15" ht="28.8" outlineLevel="1" x14ac:dyDescent="0.3">
      <c r="A623" s="7">
        <v>304</v>
      </c>
      <c r="B623" s="7">
        <v>304</v>
      </c>
      <c r="C623" s="7" t="s">
        <v>280</v>
      </c>
      <c r="D623" s="8" t="s">
        <v>549</v>
      </c>
      <c r="E623" s="8">
        <v>90.4</v>
      </c>
      <c r="F623" s="36" t="s">
        <v>1052</v>
      </c>
      <c r="G623" s="41">
        <f t="shared" si="0"/>
        <v>9.0400000000000008E-2</v>
      </c>
      <c r="H623" s="7"/>
      <c r="I623" s="7"/>
      <c r="J623" s="7"/>
      <c r="K623" s="7"/>
      <c r="L623" s="7"/>
      <c r="M623" s="7"/>
      <c r="N623" s="7" t="s">
        <v>832</v>
      </c>
      <c r="O623" s="7"/>
    </row>
    <row r="624" spans="1:15" ht="28.8" outlineLevel="1" x14ac:dyDescent="0.3">
      <c r="A624" s="7">
        <v>305</v>
      </c>
      <c r="B624" s="7">
        <v>305</v>
      </c>
      <c r="C624" s="7" t="s">
        <v>281</v>
      </c>
      <c r="D624" s="8" t="s">
        <v>550</v>
      </c>
      <c r="E624" s="8">
        <v>4.6079999999999997</v>
      </c>
      <c r="F624" s="36" t="s">
        <v>1052</v>
      </c>
      <c r="G624" s="41">
        <v>4.6079999999999997</v>
      </c>
      <c r="H624" s="7"/>
      <c r="I624" s="7"/>
      <c r="J624" s="7"/>
      <c r="K624" s="7"/>
      <c r="L624" s="7"/>
      <c r="M624" s="7"/>
      <c r="N624" s="7" t="s">
        <v>833</v>
      </c>
      <c r="O624" s="7"/>
    </row>
    <row r="625" spans="1:15" ht="28.8" outlineLevel="1" x14ac:dyDescent="0.3">
      <c r="A625" s="7">
        <v>306</v>
      </c>
      <c r="B625" s="7">
        <v>306</v>
      </c>
      <c r="C625" s="7" t="s">
        <v>282</v>
      </c>
      <c r="D625" s="8" t="s">
        <v>549</v>
      </c>
      <c r="E625" s="8">
        <v>48</v>
      </c>
      <c r="F625" s="36" t="s">
        <v>1052</v>
      </c>
      <c r="G625" s="41">
        <f t="shared" si="0"/>
        <v>4.8000000000000001E-2</v>
      </c>
      <c r="H625" s="7"/>
      <c r="I625" s="7"/>
      <c r="J625" s="7"/>
      <c r="K625" s="7"/>
      <c r="L625" s="7"/>
      <c r="M625" s="7"/>
      <c r="N625" s="7" t="s">
        <v>834</v>
      </c>
      <c r="O625" s="7"/>
    </row>
    <row r="626" spans="1:15" ht="28.8" outlineLevel="1" x14ac:dyDescent="0.3">
      <c r="A626" s="7">
        <v>307</v>
      </c>
      <c r="B626" s="7">
        <v>307</v>
      </c>
      <c r="C626" s="7" t="s">
        <v>283</v>
      </c>
      <c r="D626" s="8" t="s">
        <v>549</v>
      </c>
      <c r="E626" s="8">
        <v>331.69</v>
      </c>
      <c r="F626" s="36" t="s">
        <v>1052</v>
      </c>
      <c r="G626" s="41">
        <f t="shared" si="0"/>
        <v>0.33168999999999998</v>
      </c>
      <c r="H626" s="7"/>
      <c r="I626" s="7"/>
      <c r="J626" s="7"/>
      <c r="K626" s="7"/>
      <c r="L626" s="7"/>
      <c r="M626" s="7"/>
      <c r="N626" s="7" t="s">
        <v>835</v>
      </c>
      <c r="O626" s="7"/>
    </row>
    <row r="627" spans="1:15" ht="28.8" outlineLevel="1" x14ac:dyDescent="0.3">
      <c r="A627" s="7">
        <v>308</v>
      </c>
      <c r="B627" s="7">
        <v>308</v>
      </c>
      <c r="C627" s="7" t="s">
        <v>284</v>
      </c>
      <c r="D627" s="8" t="s">
        <v>549</v>
      </c>
      <c r="E627" s="8">
        <v>7.23</v>
      </c>
      <c r="F627" s="36" t="s">
        <v>1052</v>
      </c>
      <c r="G627" s="41">
        <f t="shared" si="0"/>
        <v>7.2300000000000003E-3</v>
      </c>
      <c r="H627" s="7"/>
      <c r="I627" s="7"/>
      <c r="J627" s="7"/>
      <c r="K627" s="7"/>
      <c r="L627" s="7"/>
      <c r="M627" s="7"/>
      <c r="N627" s="7" t="s">
        <v>836</v>
      </c>
      <c r="O627" s="7"/>
    </row>
    <row r="628" spans="1:15" ht="43.2" outlineLevel="1" x14ac:dyDescent="0.3">
      <c r="A628" s="7">
        <v>309</v>
      </c>
      <c r="B628" s="7">
        <v>309</v>
      </c>
      <c r="C628" s="7" t="s">
        <v>285</v>
      </c>
      <c r="D628" s="8" t="s">
        <v>550</v>
      </c>
      <c r="E628" s="8">
        <v>2.81</v>
      </c>
      <c r="F628" s="36" t="s">
        <v>1052</v>
      </c>
      <c r="G628" s="41">
        <v>2.81</v>
      </c>
      <c r="H628" s="7"/>
      <c r="I628" s="7"/>
      <c r="J628" s="7"/>
      <c r="K628" s="7"/>
      <c r="L628" s="7"/>
      <c r="M628" s="7"/>
      <c r="N628" s="7" t="s">
        <v>837</v>
      </c>
      <c r="O628" s="7"/>
    </row>
    <row r="629" spans="1:15" s="2" customFormat="1" x14ac:dyDescent="0.3">
      <c r="A629" s="4"/>
      <c r="B629" s="4"/>
      <c r="C629" s="4" t="s">
        <v>286</v>
      </c>
      <c r="D629" s="6"/>
      <c r="E629" s="6"/>
      <c r="F629" s="36"/>
      <c r="G629" s="41"/>
      <c r="H629" s="4"/>
      <c r="I629" s="4"/>
      <c r="J629" s="4"/>
      <c r="K629" s="4"/>
      <c r="L629" s="4"/>
      <c r="M629" s="4"/>
      <c r="N629" s="4"/>
      <c r="O629" s="4"/>
    </row>
    <row r="630" spans="1:15" ht="28.8" outlineLevel="1" x14ac:dyDescent="0.3">
      <c r="A630" s="7">
        <v>310</v>
      </c>
      <c r="B630" s="7">
        <v>310</v>
      </c>
      <c r="C630" s="7" t="s">
        <v>287</v>
      </c>
      <c r="D630" s="8" t="s">
        <v>549</v>
      </c>
      <c r="E630" s="8">
        <v>511.2</v>
      </c>
      <c r="F630" s="36" t="s">
        <v>1052</v>
      </c>
      <c r="G630" s="41">
        <f t="shared" ref="G630:G633" si="1">E630/1000</f>
        <v>0.51119999999999999</v>
      </c>
      <c r="H630" s="7"/>
      <c r="I630" s="7"/>
      <c r="J630" s="7"/>
      <c r="K630" s="7"/>
      <c r="L630" s="7"/>
      <c r="M630" s="7"/>
      <c r="N630" s="7" t="s">
        <v>838</v>
      </c>
      <c r="O630" s="7"/>
    </row>
    <row r="631" spans="1:15" ht="43.2" outlineLevel="1" x14ac:dyDescent="0.3">
      <c r="A631" s="7">
        <v>311</v>
      </c>
      <c r="B631" s="7">
        <v>311</v>
      </c>
      <c r="C631" s="7" t="s">
        <v>288</v>
      </c>
      <c r="D631" s="8" t="s">
        <v>549</v>
      </c>
      <c r="E631" s="8">
        <v>375.15</v>
      </c>
      <c r="F631" s="36" t="s">
        <v>1052</v>
      </c>
      <c r="G631" s="41">
        <f t="shared" si="1"/>
        <v>0.37514999999999998</v>
      </c>
      <c r="H631" s="7"/>
      <c r="I631" s="7"/>
      <c r="J631" s="7"/>
      <c r="K631" s="7"/>
      <c r="L631" s="7"/>
      <c r="M631" s="7"/>
      <c r="N631" s="7" t="s">
        <v>839</v>
      </c>
      <c r="O631" s="7"/>
    </row>
    <row r="632" spans="1:15" ht="112.2" customHeight="1" outlineLevel="1" x14ac:dyDescent="0.3">
      <c r="A632" s="7">
        <v>312</v>
      </c>
      <c r="B632" s="7">
        <v>312</v>
      </c>
      <c r="C632" s="7" t="s">
        <v>289</v>
      </c>
      <c r="D632" s="8" t="s">
        <v>549</v>
      </c>
      <c r="E632" s="8">
        <v>1012.04</v>
      </c>
      <c r="F632" s="36" t="s">
        <v>1052</v>
      </c>
      <c r="G632" s="41">
        <v>1.012</v>
      </c>
      <c r="H632" s="7"/>
      <c r="I632" s="7"/>
      <c r="J632" s="7"/>
      <c r="K632" s="7"/>
      <c r="L632" s="7"/>
      <c r="M632" s="7"/>
      <c r="N632" s="7" t="s">
        <v>840</v>
      </c>
      <c r="O632" s="7"/>
    </row>
    <row r="633" spans="1:15" ht="43.2" outlineLevel="1" x14ac:dyDescent="0.3">
      <c r="A633" s="7">
        <v>313</v>
      </c>
      <c r="B633" s="7">
        <v>313</v>
      </c>
      <c r="C633" s="7" t="s">
        <v>290</v>
      </c>
      <c r="D633" s="8" t="s">
        <v>549</v>
      </c>
      <c r="E633" s="8">
        <v>389.57</v>
      </c>
      <c r="F633" s="36" t="s">
        <v>1052</v>
      </c>
      <c r="G633" s="41">
        <f t="shared" si="1"/>
        <v>0.38956999999999997</v>
      </c>
      <c r="H633" s="7"/>
      <c r="I633" s="7"/>
      <c r="J633" s="7"/>
      <c r="K633" s="7"/>
      <c r="L633" s="7"/>
      <c r="M633" s="7"/>
      <c r="N633" s="7" t="s">
        <v>841</v>
      </c>
      <c r="O633" s="7"/>
    </row>
    <row r="634" spans="1:15" s="2" customFormat="1" x14ac:dyDescent="0.3">
      <c r="A634" s="4"/>
      <c r="B634" s="4"/>
      <c r="C634" s="5" t="s">
        <v>62</v>
      </c>
      <c r="D634" s="5"/>
      <c r="E634" s="5"/>
      <c r="F634" s="37"/>
      <c r="G634" s="42"/>
      <c r="H634" s="5"/>
      <c r="I634" s="5"/>
      <c r="J634" s="5"/>
      <c r="K634" s="5"/>
      <c r="L634" s="5"/>
      <c r="M634" s="5"/>
      <c r="N634" s="5"/>
      <c r="O634" s="4"/>
    </row>
    <row r="635" spans="1:15" s="2" customFormat="1" x14ac:dyDescent="0.3">
      <c r="A635" s="4"/>
      <c r="B635" s="4"/>
      <c r="C635" s="4" t="s">
        <v>291</v>
      </c>
      <c r="D635" s="6"/>
      <c r="E635" s="6"/>
      <c r="F635" s="36"/>
      <c r="G635" s="41"/>
      <c r="H635" s="4"/>
      <c r="I635" s="4"/>
      <c r="J635" s="4"/>
      <c r="K635" s="4"/>
      <c r="L635" s="4"/>
      <c r="M635" s="4"/>
      <c r="N635" s="4"/>
      <c r="O635" s="4"/>
    </row>
    <row r="636" spans="1:15" ht="129.6" outlineLevel="1" x14ac:dyDescent="0.3">
      <c r="A636" s="7">
        <v>314</v>
      </c>
      <c r="B636" s="7">
        <v>314</v>
      </c>
      <c r="C636" s="7" t="s">
        <v>292</v>
      </c>
      <c r="D636" s="8" t="s">
        <v>549</v>
      </c>
      <c r="E636" s="8">
        <v>654.11</v>
      </c>
      <c r="F636" s="36" t="s">
        <v>1052</v>
      </c>
      <c r="G636" s="41">
        <f>E636/1000</f>
        <v>0.65410999999999997</v>
      </c>
      <c r="H636" s="7"/>
      <c r="I636" s="7"/>
      <c r="J636" s="7"/>
      <c r="K636" s="7"/>
      <c r="L636" s="7"/>
      <c r="M636" s="7"/>
      <c r="N636" s="7" t="s">
        <v>842</v>
      </c>
      <c r="O636" s="7"/>
    </row>
    <row r="637" spans="1:15" outlineLevel="1" x14ac:dyDescent="0.3">
      <c r="A637" s="7"/>
      <c r="B637" s="7"/>
      <c r="C637" s="22" t="s">
        <v>1322</v>
      </c>
      <c r="D637" s="7"/>
      <c r="E637" s="7"/>
      <c r="F637" s="26" t="s">
        <v>549</v>
      </c>
      <c r="G637" s="39">
        <v>654.11</v>
      </c>
      <c r="H637" s="7"/>
      <c r="I637" s="7"/>
      <c r="J637" s="7"/>
      <c r="K637" s="7"/>
      <c r="L637" s="7"/>
      <c r="M637" s="7"/>
      <c r="N637" s="7"/>
      <c r="O637" s="7"/>
    </row>
    <row r="638" spans="1:15" outlineLevel="1" x14ac:dyDescent="0.3">
      <c r="A638" s="7"/>
      <c r="B638" s="7"/>
      <c r="C638" s="22" t="s">
        <v>1323</v>
      </c>
      <c r="D638" s="7"/>
      <c r="E638" s="7"/>
      <c r="F638" s="26" t="s">
        <v>549</v>
      </c>
      <c r="G638" s="39">
        <v>10.050000000000001</v>
      </c>
      <c r="H638" s="7"/>
      <c r="I638" s="7"/>
      <c r="J638" s="7"/>
      <c r="K638" s="7"/>
      <c r="L638" s="7"/>
      <c r="M638" s="7"/>
      <c r="N638" s="7"/>
      <c r="O638" s="7"/>
    </row>
    <row r="639" spans="1:15" outlineLevel="1" x14ac:dyDescent="0.3">
      <c r="A639" s="7"/>
      <c r="B639" s="7"/>
      <c r="C639" s="22" t="s">
        <v>1324</v>
      </c>
      <c r="D639" s="7"/>
      <c r="E639" s="7"/>
      <c r="F639" s="26" t="s">
        <v>549</v>
      </c>
      <c r="G639" s="39">
        <v>6.29</v>
      </c>
      <c r="H639" s="7"/>
      <c r="I639" s="7"/>
      <c r="J639" s="7"/>
      <c r="K639" s="7"/>
      <c r="L639" s="7"/>
      <c r="M639" s="7"/>
      <c r="N639" s="7"/>
      <c r="O639" s="7"/>
    </row>
    <row r="640" spans="1:15" outlineLevel="1" x14ac:dyDescent="0.3">
      <c r="A640" s="7"/>
      <c r="B640" s="7"/>
      <c r="C640" s="22" t="s">
        <v>1325</v>
      </c>
      <c r="D640" s="7"/>
      <c r="E640" s="7"/>
      <c r="F640" s="26" t="s">
        <v>549</v>
      </c>
      <c r="G640" s="39">
        <v>1.51</v>
      </c>
      <c r="H640" s="7"/>
      <c r="I640" s="7"/>
      <c r="J640" s="7"/>
      <c r="K640" s="7"/>
      <c r="L640" s="7"/>
      <c r="M640" s="7"/>
      <c r="N640" s="7"/>
      <c r="O640" s="7"/>
    </row>
    <row r="641" spans="1:15" ht="115.2" outlineLevel="1" x14ac:dyDescent="0.3">
      <c r="A641" s="7">
        <v>315</v>
      </c>
      <c r="B641" s="7">
        <v>315</v>
      </c>
      <c r="C641" s="7" t="s">
        <v>293</v>
      </c>
      <c r="D641" s="8" t="s">
        <v>549</v>
      </c>
      <c r="E641" s="8">
        <v>88.67</v>
      </c>
      <c r="F641" s="36" t="s">
        <v>1052</v>
      </c>
      <c r="G641" s="41">
        <f>E641/1000</f>
        <v>8.8669999999999999E-2</v>
      </c>
      <c r="H641" s="7"/>
      <c r="I641" s="7"/>
      <c r="J641" s="7"/>
      <c r="K641" s="7"/>
      <c r="L641" s="7"/>
      <c r="M641" s="7"/>
      <c r="N641" s="7" t="s">
        <v>843</v>
      </c>
      <c r="O641" s="7"/>
    </row>
    <row r="642" spans="1:15" ht="59.4" customHeight="1" outlineLevel="1" x14ac:dyDescent="0.3">
      <c r="A642" s="7">
        <v>316</v>
      </c>
      <c r="B642" s="7">
        <v>316</v>
      </c>
      <c r="C642" s="7" t="s">
        <v>294</v>
      </c>
      <c r="D642" s="8" t="s">
        <v>549</v>
      </c>
      <c r="E642" s="8">
        <v>65.3</v>
      </c>
      <c r="F642" s="36" t="s">
        <v>1052</v>
      </c>
      <c r="G642" s="41">
        <f>E642/1000</f>
        <v>6.5299999999999997E-2</v>
      </c>
      <c r="H642" s="7"/>
      <c r="I642" s="7"/>
      <c r="J642" s="7"/>
      <c r="K642" s="7"/>
      <c r="L642" s="7"/>
      <c r="M642" s="7"/>
      <c r="N642" s="7" t="s">
        <v>844</v>
      </c>
      <c r="O642" s="7"/>
    </row>
    <row r="643" spans="1:15" outlineLevel="1" x14ac:dyDescent="0.3">
      <c r="A643" s="7">
        <v>317</v>
      </c>
      <c r="B643" s="7">
        <v>317</v>
      </c>
      <c r="C643" s="7" t="s">
        <v>295</v>
      </c>
      <c r="D643" s="8" t="s">
        <v>549</v>
      </c>
      <c r="E643" s="8">
        <v>58.95</v>
      </c>
      <c r="F643" s="36" t="s">
        <v>1052</v>
      </c>
      <c r="G643" s="41">
        <f>E643/1000</f>
        <v>5.8950000000000002E-2</v>
      </c>
      <c r="H643" s="7"/>
      <c r="I643" s="7"/>
      <c r="J643" s="7"/>
      <c r="K643" s="7"/>
      <c r="L643" s="7"/>
      <c r="M643" s="7"/>
      <c r="N643" s="7" t="s">
        <v>845</v>
      </c>
      <c r="O643" s="7"/>
    </row>
    <row r="644" spans="1:15" ht="57.6" outlineLevel="1" x14ac:dyDescent="0.3">
      <c r="A644" s="7">
        <v>318</v>
      </c>
      <c r="B644" s="7">
        <v>318</v>
      </c>
      <c r="C644" s="7" t="s">
        <v>295</v>
      </c>
      <c r="D644" s="8" t="s">
        <v>549</v>
      </c>
      <c r="E644" s="8">
        <v>4.2640000000000002</v>
      </c>
      <c r="F644" s="36" t="s">
        <v>1052</v>
      </c>
      <c r="G644" s="75">
        <f>E644/1000</f>
        <v>4.2640000000000004E-3</v>
      </c>
      <c r="H644" s="7"/>
      <c r="I644" s="7"/>
      <c r="J644" s="7"/>
      <c r="K644" s="7"/>
      <c r="L644" s="7"/>
      <c r="M644" s="7"/>
      <c r="N644" s="7" t="s">
        <v>1326</v>
      </c>
      <c r="O644" s="7"/>
    </row>
    <row r="645" spans="1:15" s="2" customFormat="1" x14ac:dyDescent="0.3">
      <c r="A645" s="4"/>
      <c r="B645" s="4"/>
      <c r="C645" s="4" t="s">
        <v>296</v>
      </c>
      <c r="D645" s="6"/>
      <c r="E645" s="6"/>
      <c r="F645" s="36"/>
      <c r="G645" s="41"/>
      <c r="H645" s="4"/>
      <c r="I645" s="4"/>
      <c r="J645" s="4"/>
      <c r="K645" s="4"/>
      <c r="L645" s="4"/>
      <c r="M645" s="4"/>
      <c r="N645" s="4"/>
      <c r="O645" s="4"/>
    </row>
    <row r="646" spans="1:15" ht="28.8" outlineLevel="1" x14ac:dyDescent="0.3">
      <c r="A646" s="7">
        <v>319</v>
      </c>
      <c r="B646" s="7">
        <v>319</v>
      </c>
      <c r="C646" s="7" t="s">
        <v>91</v>
      </c>
      <c r="D646" s="8" t="s">
        <v>547</v>
      </c>
      <c r="E646" s="8">
        <v>4</v>
      </c>
      <c r="F646" s="26" t="s">
        <v>547</v>
      </c>
      <c r="G646" s="39">
        <v>4</v>
      </c>
      <c r="H646" s="7"/>
      <c r="I646" s="7"/>
      <c r="J646" s="7"/>
      <c r="K646" s="7"/>
      <c r="L646" s="7"/>
      <c r="M646" s="7"/>
      <c r="N646" s="7" t="s">
        <v>846</v>
      </c>
      <c r="O646" s="7"/>
    </row>
    <row r="647" spans="1:15" ht="28.8" outlineLevel="1" x14ac:dyDescent="0.3">
      <c r="A647" s="7">
        <v>320</v>
      </c>
      <c r="B647" s="7">
        <v>320</v>
      </c>
      <c r="C647" s="7" t="s">
        <v>92</v>
      </c>
      <c r="D647" s="8" t="s">
        <v>551</v>
      </c>
      <c r="E647" s="8">
        <v>2.7E-2</v>
      </c>
      <c r="F647" s="26" t="s">
        <v>551</v>
      </c>
      <c r="G647" s="39">
        <v>2.7E-2</v>
      </c>
      <c r="H647" s="7"/>
      <c r="I647" s="7"/>
      <c r="J647" s="7"/>
      <c r="K647" s="7"/>
      <c r="L647" s="7"/>
      <c r="M647" s="7"/>
      <c r="N647" s="7" t="s">
        <v>847</v>
      </c>
      <c r="O647" s="7"/>
    </row>
    <row r="648" spans="1:15" ht="28.8" outlineLevel="1" x14ac:dyDescent="0.3">
      <c r="A648" s="7">
        <v>321</v>
      </c>
      <c r="B648" s="7">
        <v>321</v>
      </c>
      <c r="C648" s="7" t="s">
        <v>94</v>
      </c>
      <c r="D648" s="8" t="s">
        <v>551</v>
      </c>
      <c r="E648" s="8">
        <v>7.0000000000000001E-3</v>
      </c>
      <c r="F648" s="26" t="s">
        <v>551</v>
      </c>
      <c r="G648" s="39">
        <v>7.0000000000000001E-3</v>
      </c>
      <c r="H648" s="7"/>
      <c r="I648" s="7"/>
      <c r="J648" s="7"/>
      <c r="K648" s="7"/>
      <c r="L648" s="7"/>
      <c r="M648" s="7"/>
      <c r="N648" s="7" t="s">
        <v>848</v>
      </c>
      <c r="O648" s="7"/>
    </row>
    <row r="649" spans="1:15" ht="28.8" outlineLevel="1" x14ac:dyDescent="0.3">
      <c r="A649" s="7">
        <v>322</v>
      </c>
      <c r="B649" s="7">
        <v>322</v>
      </c>
      <c r="C649" s="7" t="s">
        <v>93</v>
      </c>
      <c r="D649" s="8" t="s">
        <v>551</v>
      </c>
      <c r="E649" s="8">
        <v>3.7999999999999999E-2</v>
      </c>
      <c r="F649" s="26" t="s">
        <v>551</v>
      </c>
      <c r="G649" s="39">
        <v>3.7999999999999999E-2</v>
      </c>
      <c r="H649" s="7"/>
      <c r="I649" s="7"/>
      <c r="J649" s="7"/>
      <c r="K649" s="7"/>
      <c r="L649" s="7"/>
      <c r="M649" s="7"/>
      <c r="N649" s="7" t="s">
        <v>849</v>
      </c>
      <c r="O649" s="7"/>
    </row>
    <row r="650" spans="1:15" s="2" customFormat="1" x14ac:dyDescent="0.3">
      <c r="A650" s="4"/>
      <c r="B650" s="4"/>
      <c r="C650" s="4" t="s">
        <v>297</v>
      </c>
      <c r="D650" s="6"/>
      <c r="E650" s="6"/>
      <c r="F650" s="36"/>
      <c r="G650" s="41"/>
      <c r="H650" s="4"/>
      <c r="I650" s="4"/>
      <c r="J650" s="4"/>
      <c r="K650" s="4"/>
      <c r="L650" s="4"/>
      <c r="M650" s="4"/>
      <c r="N650" s="4"/>
      <c r="O650" s="4"/>
    </row>
    <row r="651" spans="1:15" ht="115.2" outlineLevel="1" x14ac:dyDescent="0.3">
      <c r="A651" s="7">
        <v>323</v>
      </c>
      <c r="B651" s="7">
        <v>323</v>
      </c>
      <c r="C651" s="7" t="s">
        <v>298</v>
      </c>
      <c r="D651" s="8" t="s">
        <v>550</v>
      </c>
      <c r="E651" s="8">
        <v>4.7679999999999998</v>
      </c>
      <c r="F651" s="26" t="s">
        <v>1052</v>
      </c>
      <c r="G651" s="39">
        <v>4.7679999999999998</v>
      </c>
      <c r="H651" s="7"/>
      <c r="I651" s="7"/>
      <c r="J651" s="7"/>
      <c r="K651" s="7"/>
      <c r="L651" s="7"/>
      <c r="M651" s="7"/>
      <c r="N651" s="7" t="s">
        <v>850</v>
      </c>
      <c r="O651" s="7"/>
    </row>
    <row r="652" spans="1:15" outlineLevel="1" x14ac:dyDescent="0.3">
      <c r="A652" s="7"/>
      <c r="B652" s="7"/>
      <c r="C652" s="22" t="s">
        <v>1330</v>
      </c>
      <c r="D652" s="7"/>
      <c r="E652" s="7"/>
      <c r="F652" s="26" t="s">
        <v>549</v>
      </c>
      <c r="G652" s="45">
        <v>4768.3599999999997</v>
      </c>
      <c r="H652" s="7"/>
      <c r="I652" s="7"/>
      <c r="J652" s="7"/>
      <c r="K652" s="7"/>
      <c r="L652" s="7"/>
      <c r="M652" s="7"/>
      <c r="N652" s="7"/>
      <c r="O652" s="7"/>
    </row>
    <row r="653" spans="1:15" outlineLevel="1" x14ac:dyDescent="0.3">
      <c r="A653" s="7"/>
      <c r="B653" s="7"/>
      <c r="C653" s="22" t="s">
        <v>1327</v>
      </c>
      <c r="D653" s="7"/>
      <c r="E653" s="7"/>
      <c r="F653" s="26" t="s">
        <v>549</v>
      </c>
      <c r="G653" s="39">
        <v>31.77</v>
      </c>
      <c r="H653" s="7"/>
      <c r="I653" s="7"/>
      <c r="J653" s="7"/>
      <c r="K653" s="7"/>
      <c r="L653" s="7"/>
      <c r="M653" s="7"/>
      <c r="N653" s="7"/>
      <c r="O653" s="7"/>
    </row>
    <row r="654" spans="1:15" outlineLevel="1" x14ac:dyDescent="0.3">
      <c r="A654" s="7"/>
      <c r="B654" s="7"/>
      <c r="C654" s="22" t="s">
        <v>1328</v>
      </c>
      <c r="D654" s="7"/>
      <c r="E654" s="7"/>
      <c r="F654" s="26" t="s">
        <v>549</v>
      </c>
      <c r="G654" s="39">
        <v>18.86</v>
      </c>
      <c r="H654" s="7"/>
      <c r="I654" s="7"/>
      <c r="J654" s="7"/>
      <c r="K654" s="7"/>
      <c r="L654" s="7"/>
      <c r="M654" s="7"/>
      <c r="N654" s="7"/>
      <c r="O654" s="7"/>
    </row>
    <row r="655" spans="1:15" outlineLevel="1" x14ac:dyDescent="0.3">
      <c r="A655" s="7"/>
      <c r="B655" s="7"/>
      <c r="C655" s="22" t="s">
        <v>1329</v>
      </c>
      <c r="D655" s="7"/>
      <c r="E655" s="7"/>
      <c r="F655" s="26" t="s">
        <v>549</v>
      </c>
      <c r="G655" s="39">
        <v>4.53</v>
      </c>
      <c r="H655" s="7"/>
      <c r="I655" s="7"/>
      <c r="J655" s="7"/>
      <c r="K655" s="7"/>
      <c r="L655" s="7"/>
      <c r="M655" s="7"/>
      <c r="N655" s="7"/>
      <c r="O655" s="7"/>
    </row>
    <row r="656" spans="1:15" ht="57.6" outlineLevel="1" x14ac:dyDescent="0.3">
      <c r="A656" s="7">
        <v>324</v>
      </c>
      <c r="B656" s="7">
        <v>324</v>
      </c>
      <c r="C656" s="7" t="s">
        <v>299</v>
      </c>
      <c r="D656" s="8" t="s">
        <v>549</v>
      </c>
      <c r="E656" s="8">
        <v>50.17</v>
      </c>
      <c r="F656" s="36" t="s">
        <v>1052</v>
      </c>
      <c r="G656" s="41">
        <f>E656/1000</f>
        <v>5.0169999999999999E-2</v>
      </c>
      <c r="H656" s="7"/>
      <c r="I656" s="7"/>
      <c r="J656" s="7"/>
      <c r="K656" s="7"/>
      <c r="L656" s="7"/>
      <c r="M656" s="7"/>
      <c r="N656" s="7" t="s">
        <v>851</v>
      </c>
      <c r="O656" s="7"/>
    </row>
    <row r="657" spans="1:15" ht="72" outlineLevel="1" x14ac:dyDescent="0.3">
      <c r="A657" s="7">
        <v>325</v>
      </c>
      <c r="B657" s="7">
        <v>325</v>
      </c>
      <c r="C657" s="7" t="s">
        <v>295</v>
      </c>
      <c r="D657" s="8" t="s">
        <v>550</v>
      </c>
      <c r="E657" s="8">
        <v>1.149</v>
      </c>
      <c r="F657" s="26" t="s">
        <v>550</v>
      </c>
      <c r="G657" s="39">
        <v>1.149</v>
      </c>
      <c r="H657" s="7"/>
      <c r="I657" s="7"/>
      <c r="J657" s="7"/>
      <c r="K657" s="7"/>
      <c r="L657" s="7"/>
      <c r="M657" s="7"/>
      <c r="N657" s="7" t="s">
        <v>852</v>
      </c>
      <c r="O657" s="7"/>
    </row>
    <row r="658" spans="1:15" ht="57.6" outlineLevel="1" x14ac:dyDescent="0.3">
      <c r="A658" s="7">
        <v>326</v>
      </c>
      <c r="B658" s="7">
        <v>326</v>
      </c>
      <c r="C658" s="7" t="s">
        <v>295</v>
      </c>
      <c r="D658" s="8" t="s">
        <v>549</v>
      </c>
      <c r="E658" s="8">
        <v>3.2240000000000002</v>
      </c>
      <c r="F658" s="26" t="s">
        <v>549</v>
      </c>
      <c r="G658" s="39">
        <v>3.2240000000000002</v>
      </c>
      <c r="H658" s="7"/>
      <c r="I658" s="7"/>
      <c r="J658" s="7"/>
      <c r="K658" s="7"/>
      <c r="L658" s="7"/>
      <c r="M658" s="7"/>
      <c r="N658" s="7" t="s">
        <v>853</v>
      </c>
      <c r="O658" s="7"/>
    </row>
    <row r="659" spans="1:15" s="2" customFormat="1" x14ac:dyDescent="0.3">
      <c r="A659" s="4"/>
      <c r="B659" s="4"/>
      <c r="C659" s="4" t="s">
        <v>300</v>
      </c>
      <c r="D659" s="6"/>
      <c r="E659" s="6"/>
      <c r="F659" s="36"/>
      <c r="G659" s="41"/>
      <c r="H659" s="4"/>
      <c r="I659" s="4"/>
      <c r="J659" s="4"/>
      <c r="K659" s="4"/>
      <c r="L659" s="4"/>
      <c r="M659" s="4"/>
      <c r="N659" s="4"/>
      <c r="O659" s="4"/>
    </row>
    <row r="660" spans="1:15" ht="28.8" outlineLevel="1" x14ac:dyDescent="0.3">
      <c r="A660" s="7">
        <v>327</v>
      </c>
      <c r="B660" s="7">
        <v>327</v>
      </c>
      <c r="C660" s="7" t="s">
        <v>91</v>
      </c>
      <c r="D660" s="8" t="s">
        <v>547</v>
      </c>
      <c r="E660" s="8">
        <v>2</v>
      </c>
      <c r="F660" s="26" t="s">
        <v>547</v>
      </c>
      <c r="G660" s="39">
        <v>2</v>
      </c>
      <c r="H660" s="7"/>
      <c r="I660" s="7"/>
      <c r="J660" s="7"/>
      <c r="K660" s="7"/>
      <c r="L660" s="7"/>
      <c r="M660" s="7"/>
      <c r="N660" s="7" t="s">
        <v>854</v>
      </c>
      <c r="O660" s="7"/>
    </row>
    <row r="661" spans="1:15" ht="28.8" outlineLevel="1" x14ac:dyDescent="0.3">
      <c r="A661" s="7">
        <v>328</v>
      </c>
      <c r="B661" s="7">
        <v>328</v>
      </c>
      <c r="C661" s="7" t="s">
        <v>92</v>
      </c>
      <c r="D661" s="8" t="s">
        <v>551</v>
      </c>
      <c r="E661" s="8">
        <v>1.4E-2</v>
      </c>
      <c r="F661" s="26" t="s">
        <v>551</v>
      </c>
      <c r="G661" s="39">
        <v>1.4E-2</v>
      </c>
      <c r="H661" s="7"/>
      <c r="I661" s="7"/>
      <c r="J661" s="7"/>
      <c r="K661" s="7"/>
      <c r="L661" s="7"/>
      <c r="M661" s="7"/>
      <c r="N661" s="7" t="s">
        <v>855</v>
      </c>
      <c r="O661" s="7"/>
    </row>
    <row r="662" spans="1:15" ht="28.8" outlineLevel="1" x14ac:dyDescent="0.3">
      <c r="A662" s="7">
        <v>329</v>
      </c>
      <c r="B662" s="7">
        <v>329</v>
      </c>
      <c r="C662" s="7" t="s">
        <v>94</v>
      </c>
      <c r="D662" s="8" t="s">
        <v>551</v>
      </c>
      <c r="E662" s="8">
        <v>2.1999999999999999E-2</v>
      </c>
      <c r="F662" s="26" t="s">
        <v>551</v>
      </c>
      <c r="G662" s="39">
        <v>2.1999999999999999E-2</v>
      </c>
      <c r="H662" s="7"/>
      <c r="I662" s="7"/>
      <c r="J662" s="7"/>
      <c r="K662" s="7"/>
      <c r="L662" s="7"/>
      <c r="M662" s="7"/>
      <c r="N662" s="7" t="s">
        <v>856</v>
      </c>
      <c r="O662" s="7"/>
    </row>
    <row r="663" spans="1:15" ht="28.8" outlineLevel="1" x14ac:dyDescent="0.3">
      <c r="A663" s="7">
        <v>330</v>
      </c>
      <c r="B663" s="7">
        <v>330</v>
      </c>
      <c r="C663" s="7" t="s">
        <v>93</v>
      </c>
      <c r="D663" s="8" t="s">
        <v>551</v>
      </c>
      <c r="E663" s="8">
        <v>2.1999999999999999E-2</v>
      </c>
      <c r="F663" s="26" t="s">
        <v>551</v>
      </c>
      <c r="G663" s="39">
        <v>2.1999999999999999E-2</v>
      </c>
      <c r="H663" s="7"/>
      <c r="I663" s="7"/>
      <c r="J663" s="7"/>
      <c r="K663" s="7"/>
      <c r="L663" s="7"/>
      <c r="M663" s="7"/>
      <c r="N663" s="7" t="s">
        <v>857</v>
      </c>
      <c r="O663" s="7"/>
    </row>
    <row r="664" spans="1:15" s="2" customFormat="1" x14ac:dyDescent="0.3">
      <c r="A664" s="4"/>
      <c r="B664" s="4"/>
      <c r="C664" s="4" t="s">
        <v>301</v>
      </c>
      <c r="D664" s="6"/>
      <c r="E664" s="6"/>
      <c r="F664" s="36"/>
      <c r="G664" s="41"/>
      <c r="H664" s="4"/>
      <c r="I664" s="4"/>
      <c r="J664" s="4"/>
      <c r="K664" s="4"/>
      <c r="L664" s="4"/>
      <c r="M664" s="4"/>
      <c r="N664" s="4"/>
      <c r="O664" s="4"/>
    </row>
    <row r="665" spans="1:15" ht="57.6" outlineLevel="1" x14ac:dyDescent="0.3">
      <c r="A665" s="7">
        <v>331</v>
      </c>
      <c r="B665" s="7">
        <v>331</v>
      </c>
      <c r="C665" s="7" t="s">
        <v>302</v>
      </c>
      <c r="D665" s="8" t="s">
        <v>549</v>
      </c>
      <c r="E665" s="8">
        <v>541.75</v>
      </c>
      <c r="F665" s="36" t="s">
        <v>1052</v>
      </c>
      <c r="G665" s="41">
        <f>E665/1000</f>
        <v>0.54174999999999995</v>
      </c>
      <c r="H665" s="7"/>
      <c r="I665" s="7"/>
      <c r="J665" s="7"/>
      <c r="K665" s="7"/>
      <c r="L665" s="7"/>
      <c r="M665" s="7"/>
      <c r="N665" s="7" t="s">
        <v>858</v>
      </c>
      <c r="O665" s="7"/>
    </row>
    <row r="666" spans="1:15" s="2" customFormat="1" x14ac:dyDescent="0.3">
      <c r="A666" s="4"/>
      <c r="B666" s="4"/>
      <c r="C666" s="4" t="s">
        <v>303</v>
      </c>
      <c r="D666" s="6"/>
      <c r="E666" s="6"/>
      <c r="F666" s="36"/>
      <c r="G666" s="41"/>
      <c r="H666" s="4"/>
      <c r="I666" s="4"/>
      <c r="J666" s="4"/>
      <c r="K666" s="4"/>
      <c r="L666" s="4"/>
      <c r="M666" s="4"/>
      <c r="N666" s="4"/>
      <c r="O666" s="4"/>
    </row>
    <row r="667" spans="1:15" ht="72" outlineLevel="1" x14ac:dyDescent="0.3">
      <c r="A667" s="7">
        <v>332</v>
      </c>
      <c r="B667" s="7">
        <v>332</v>
      </c>
      <c r="C667" s="7" t="s">
        <v>304</v>
      </c>
      <c r="D667" s="8" t="s">
        <v>549</v>
      </c>
      <c r="E667" s="8">
        <v>7.59</v>
      </c>
      <c r="F667" s="26" t="s">
        <v>549</v>
      </c>
      <c r="G667" s="39">
        <v>7.59</v>
      </c>
      <c r="H667" s="7"/>
      <c r="I667" s="7"/>
      <c r="J667" s="7"/>
      <c r="K667" s="7"/>
      <c r="L667" s="7"/>
      <c r="M667" s="7"/>
      <c r="N667" s="7" t="s">
        <v>859</v>
      </c>
      <c r="O667" s="7"/>
    </row>
    <row r="668" spans="1:15" s="2" customFormat="1" x14ac:dyDescent="0.3">
      <c r="A668" s="4"/>
      <c r="B668" s="4"/>
      <c r="C668" s="4" t="s">
        <v>305</v>
      </c>
      <c r="D668" s="6"/>
      <c r="E668" s="6"/>
      <c r="F668" s="36"/>
      <c r="G668" s="41"/>
      <c r="H668" s="4"/>
      <c r="I668" s="4"/>
      <c r="J668" s="4"/>
      <c r="K668" s="4"/>
      <c r="L668" s="4"/>
      <c r="M668" s="4"/>
      <c r="N668" s="4"/>
      <c r="O668" s="4"/>
    </row>
    <row r="669" spans="1:15" outlineLevel="1" x14ac:dyDescent="0.3">
      <c r="A669" s="7">
        <v>333</v>
      </c>
      <c r="B669" s="7">
        <v>333</v>
      </c>
      <c r="C669" s="7" t="s">
        <v>306</v>
      </c>
      <c r="D669" s="8" t="s">
        <v>551</v>
      </c>
      <c r="E669" s="8">
        <v>2.91</v>
      </c>
      <c r="F669" s="26" t="s">
        <v>551</v>
      </c>
      <c r="G669" s="39">
        <v>2.91</v>
      </c>
      <c r="H669" s="7"/>
      <c r="I669" s="7"/>
      <c r="J669" s="7"/>
      <c r="K669" s="7"/>
      <c r="L669" s="7"/>
      <c r="M669" s="7"/>
      <c r="N669" s="7" t="s">
        <v>860</v>
      </c>
      <c r="O669" s="7"/>
    </row>
    <row r="670" spans="1:15" outlineLevel="1" x14ac:dyDescent="0.3">
      <c r="A670" s="7">
        <v>334</v>
      </c>
      <c r="B670" s="7">
        <v>334</v>
      </c>
      <c r="C670" s="7" t="s">
        <v>307</v>
      </c>
      <c r="D670" s="8" t="s">
        <v>551</v>
      </c>
      <c r="E670" s="8">
        <v>0.06</v>
      </c>
      <c r="F670" s="26" t="s">
        <v>551</v>
      </c>
      <c r="G670" s="39">
        <v>0.06</v>
      </c>
      <c r="H670" s="7"/>
      <c r="I670" s="7"/>
      <c r="J670" s="7"/>
      <c r="K670" s="7"/>
      <c r="L670" s="7"/>
      <c r="M670" s="7"/>
      <c r="N670" s="7"/>
      <c r="O670" s="7"/>
    </row>
    <row r="671" spans="1:15" ht="43.2" outlineLevel="1" x14ac:dyDescent="0.3">
      <c r="A671" s="7">
        <v>335</v>
      </c>
      <c r="B671" s="7">
        <v>335</v>
      </c>
      <c r="C671" s="7" t="s">
        <v>308</v>
      </c>
      <c r="D671" s="8" t="s">
        <v>547</v>
      </c>
      <c r="E671" s="8">
        <v>5</v>
      </c>
      <c r="F671" s="36" t="s">
        <v>551</v>
      </c>
      <c r="G671" s="41">
        <f>0.014*4+0.019</f>
        <v>7.4999999999999997E-2</v>
      </c>
      <c r="H671" s="7"/>
      <c r="I671" s="7"/>
      <c r="J671" s="7"/>
      <c r="K671" s="7"/>
      <c r="L671" s="7"/>
      <c r="M671" s="7"/>
      <c r="N671" s="7" t="s">
        <v>861</v>
      </c>
      <c r="O671" s="7" t="s">
        <v>1048</v>
      </c>
    </row>
    <row r="672" spans="1:15" ht="43.2" outlineLevel="1" x14ac:dyDescent="0.3">
      <c r="A672" s="7">
        <v>336</v>
      </c>
      <c r="B672" s="7">
        <v>336</v>
      </c>
      <c r="C672" s="7" t="s">
        <v>309</v>
      </c>
      <c r="D672" s="8" t="s">
        <v>546</v>
      </c>
      <c r="E672" s="8">
        <v>8.25</v>
      </c>
      <c r="F672" s="26" t="s">
        <v>546</v>
      </c>
      <c r="G672" s="39">
        <v>8.25</v>
      </c>
      <c r="H672" s="7"/>
      <c r="I672" s="7"/>
      <c r="J672" s="7"/>
      <c r="K672" s="7"/>
      <c r="L672" s="7"/>
      <c r="M672" s="7"/>
      <c r="N672" s="7" t="s">
        <v>862</v>
      </c>
      <c r="O672" s="7"/>
    </row>
    <row r="673" spans="1:15" s="2" customFormat="1" x14ac:dyDescent="0.3">
      <c r="A673" s="4"/>
      <c r="B673" s="4"/>
      <c r="C673" s="4" t="s">
        <v>310</v>
      </c>
      <c r="D673" s="6"/>
      <c r="E673" s="6"/>
      <c r="F673" s="36"/>
      <c r="G673" s="41"/>
      <c r="H673" s="4"/>
      <c r="I673" s="4"/>
      <c r="J673" s="4"/>
      <c r="K673" s="4"/>
      <c r="L673" s="4"/>
      <c r="M673" s="4"/>
      <c r="N673" s="4"/>
      <c r="O673" s="4"/>
    </row>
    <row r="674" spans="1:15" ht="28.8" outlineLevel="1" x14ac:dyDescent="0.3">
      <c r="A674" s="7">
        <v>337</v>
      </c>
      <c r="B674" s="7">
        <v>337</v>
      </c>
      <c r="C674" s="7" t="s">
        <v>310</v>
      </c>
      <c r="D674" s="8" t="s">
        <v>551</v>
      </c>
      <c r="E674" s="8">
        <v>3.07</v>
      </c>
      <c r="F674" s="26" t="s">
        <v>551</v>
      </c>
      <c r="G674" s="39">
        <v>3.07</v>
      </c>
      <c r="H674" s="7"/>
      <c r="I674" s="7"/>
      <c r="J674" s="7"/>
      <c r="K674" s="7"/>
      <c r="L674" s="7"/>
      <c r="M674" s="7"/>
      <c r="N674" s="7" t="s">
        <v>863</v>
      </c>
      <c r="O674" s="7"/>
    </row>
    <row r="675" spans="1:15" s="2" customFormat="1" x14ac:dyDescent="0.3">
      <c r="A675" s="4"/>
      <c r="B675" s="4"/>
      <c r="C675" s="4" t="s">
        <v>311</v>
      </c>
      <c r="D675" s="6"/>
      <c r="E675" s="6"/>
      <c r="F675" s="36"/>
      <c r="G675" s="41"/>
      <c r="H675" s="4"/>
      <c r="I675" s="4"/>
      <c r="J675" s="4"/>
      <c r="K675" s="4"/>
      <c r="L675" s="4"/>
      <c r="M675" s="4"/>
      <c r="N675" s="4"/>
      <c r="O675" s="4"/>
    </row>
    <row r="676" spans="1:15" outlineLevel="1" x14ac:dyDescent="0.3">
      <c r="A676" s="7">
        <v>338</v>
      </c>
      <c r="B676" s="7">
        <v>338</v>
      </c>
      <c r="C676" s="7" t="s">
        <v>312</v>
      </c>
      <c r="D676" s="8" t="s">
        <v>551</v>
      </c>
      <c r="E676" s="8">
        <v>0.14316999999999999</v>
      </c>
      <c r="F676" s="26" t="s">
        <v>551</v>
      </c>
      <c r="G676" s="74">
        <v>0.14316999999999999</v>
      </c>
      <c r="H676" s="7"/>
      <c r="I676" s="7"/>
      <c r="J676" s="7"/>
      <c r="K676" s="7"/>
      <c r="L676" s="7"/>
      <c r="M676" s="7"/>
      <c r="N676" s="7" t="s">
        <v>864</v>
      </c>
      <c r="O676" s="7"/>
    </row>
    <row r="677" spans="1:15" ht="28.8" outlineLevel="1" x14ac:dyDescent="0.3">
      <c r="A677" s="7">
        <v>339</v>
      </c>
      <c r="B677" s="7">
        <v>339</v>
      </c>
      <c r="C677" s="7" t="s">
        <v>313</v>
      </c>
      <c r="D677" s="8" t="s">
        <v>549</v>
      </c>
      <c r="E677" s="8">
        <v>16.11</v>
      </c>
      <c r="F677" s="36" t="s">
        <v>1052</v>
      </c>
      <c r="G677" s="41">
        <f>16.11/1000</f>
        <v>1.6109999999999999E-2</v>
      </c>
      <c r="H677" s="7"/>
      <c r="I677" s="7"/>
      <c r="J677" s="7"/>
      <c r="K677" s="7"/>
      <c r="L677" s="7"/>
      <c r="M677" s="7"/>
      <c r="N677" s="7" t="s">
        <v>865</v>
      </c>
      <c r="O677" s="7"/>
    </row>
    <row r="678" spans="1:15" s="2" customFormat="1" ht="28.8" x14ac:dyDescent="0.3">
      <c r="A678" s="4"/>
      <c r="B678" s="4"/>
      <c r="C678" s="4" t="s">
        <v>314</v>
      </c>
      <c r="D678" s="6"/>
      <c r="E678" s="6"/>
      <c r="F678" s="36"/>
      <c r="G678" s="41"/>
      <c r="H678" s="4"/>
      <c r="I678" s="4"/>
      <c r="J678" s="4"/>
      <c r="K678" s="4"/>
      <c r="L678" s="4"/>
      <c r="M678" s="4"/>
      <c r="N678" s="4"/>
      <c r="O678" s="4"/>
    </row>
    <row r="679" spans="1:15" ht="28.8" outlineLevel="1" x14ac:dyDescent="0.3">
      <c r="A679" s="7">
        <v>340</v>
      </c>
      <c r="B679" s="7">
        <v>340</v>
      </c>
      <c r="C679" s="7" t="s">
        <v>315</v>
      </c>
      <c r="D679" s="8" t="s">
        <v>551</v>
      </c>
      <c r="E679" s="8">
        <v>0.08</v>
      </c>
      <c r="F679" s="26" t="s">
        <v>551</v>
      </c>
      <c r="G679" s="39">
        <v>0.08</v>
      </c>
      <c r="H679" s="7"/>
      <c r="I679" s="7"/>
      <c r="J679" s="7"/>
      <c r="K679" s="7"/>
      <c r="L679" s="7"/>
      <c r="M679" s="7"/>
      <c r="N679" s="7" t="s">
        <v>866</v>
      </c>
      <c r="O679" s="7"/>
    </row>
    <row r="680" spans="1:15" s="2" customFormat="1" ht="28.8" x14ac:dyDescent="0.3">
      <c r="A680" s="4"/>
      <c r="B680" s="4"/>
      <c r="C680" s="4" t="s">
        <v>316</v>
      </c>
      <c r="D680" s="6"/>
      <c r="E680" s="6"/>
      <c r="F680" s="36"/>
      <c r="G680" s="41"/>
      <c r="H680" s="4"/>
      <c r="I680" s="4"/>
      <c r="J680" s="4"/>
      <c r="K680" s="4"/>
      <c r="L680" s="4"/>
      <c r="M680" s="4"/>
      <c r="N680" s="4"/>
      <c r="O680" s="4"/>
    </row>
    <row r="681" spans="1:15" ht="28.8" outlineLevel="1" x14ac:dyDescent="0.3">
      <c r="A681" s="7">
        <v>341</v>
      </c>
      <c r="B681" s="7">
        <v>341</v>
      </c>
      <c r="C681" s="7" t="s">
        <v>317</v>
      </c>
      <c r="D681" s="8" t="s">
        <v>551</v>
      </c>
      <c r="E681" s="8">
        <v>0.31</v>
      </c>
      <c r="F681" s="26" t="s">
        <v>551</v>
      </c>
      <c r="G681" s="39">
        <v>0.31</v>
      </c>
      <c r="H681" s="7"/>
      <c r="I681" s="7"/>
      <c r="J681" s="7"/>
      <c r="K681" s="7"/>
      <c r="L681" s="7"/>
      <c r="M681" s="7"/>
      <c r="N681" s="7" t="s">
        <v>867</v>
      </c>
      <c r="O681" s="7"/>
    </row>
    <row r="682" spans="1:15" s="2" customFormat="1" x14ac:dyDescent="0.3">
      <c r="A682" s="4"/>
      <c r="B682" s="4"/>
      <c r="C682" s="4" t="s">
        <v>318</v>
      </c>
      <c r="D682" s="6"/>
      <c r="E682" s="6"/>
      <c r="F682" s="36"/>
      <c r="G682" s="41"/>
      <c r="H682" s="4"/>
      <c r="I682" s="4"/>
      <c r="J682" s="4"/>
      <c r="K682" s="4"/>
      <c r="L682" s="4"/>
      <c r="M682" s="4"/>
      <c r="N682" s="4"/>
      <c r="O682" s="4"/>
    </row>
    <row r="683" spans="1:15" ht="28.8" outlineLevel="1" x14ac:dyDescent="0.3">
      <c r="A683" s="7">
        <v>342</v>
      </c>
      <c r="B683" s="7">
        <v>342</v>
      </c>
      <c r="C683" s="7" t="s">
        <v>319</v>
      </c>
      <c r="D683" s="8" t="s">
        <v>546</v>
      </c>
      <c r="E683" s="8">
        <v>167.5</v>
      </c>
      <c r="F683" s="26" t="s">
        <v>551</v>
      </c>
      <c r="G683" s="39">
        <v>4.1900000000000004</v>
      </c>
      <c r="H683" s="7"/>
      <c r="I683" s="7"/>
      <c r="J683" s="7"/>
      <c r="K683" s="7"/>
      <c r="L683" s="7"/>
      <c r="M683" s="7"/>
      <c r="N683" s="7" t="s">
        <v>868</v>
      </c>
      <c r="O683" s="7"/>
    </row>
    <row r="684" spans="1:15" s="2" customFormat="1" x14ac:dyDescent="0.3">
      <c r="A684" s="4"/>
      <c r="B684" s="4"/>
      <c r="C684" s="4" t="s">
        <v>320</v>
      </c>
      <c r="D684" s="6"/>
      <c r="E684" s="6"/>
      <c r="F684" s="36"/>
      <c r="G684" s="41"/>
      <c r="H684" s="4"/>
      <c r="I684" s="4"/>
      <c r="J684" s="4"/>
      <c r="K684" s="4"/>
      <c r="L684" s="4"/>
      <c r="M684" s="4"/>
      <c r="N684" s="4"/>
      <c r="O684" s="4"/>
    </row>
    <row r="685" spans="1:15" ht="113.4" customHeight="1" outlineLevel="1" x14ac:dyDescent="0.3">
      <c r="A685" s="7">
        <v>343</v>
      </c>
      <c r="B685" s="7">
        <v>343</v>
      </c>
      <c r="C685" s="7" t="s">
        <v>321</v>
      </c>
      <c r="D685" s="8" t="s">
        <v>555</v>
      </c>
      <c r="E685" s="8">
        <v>22.03</v>
      </c>
      <c r="F685" s="36" t="s">
        <v>546</v>
      </c>
      <c r="G685" s="41">
        <v>15</v>
      </c>
      <c r="H685" s="7"/>
      <c r="I685" s="7"/>
      <c r="J685" s="7"/>
      <c r="K685" s="7"/>
      <c r="L685" s="7"/>
      <c r="M685" s="7"/>
      <c r="N685" s="7" t="s">
        <v>1335</v>
      </c>
      <c r="O685" s="7"/>
    </row>
    <row r="686" spans="1:15" ht="15" customHeight="1" outlineLevel="1" x14ac:dyDescent="0.3">
      <c r="A686" s="7"/>
      <c r="B686" s="7"/>
      <c r="C686" s="22" t="s">
        <v>1334</v>
      </c>
      <c r="D686" s="7"/>
      <c r="E686" s="7"/>
      <c r="F686" s="26" t="s">
        <v>1167</v>
      </c>
      <c r="G686" s="39">
        <v>15</v>
      </c>
      <c r="H686" s="7"/>
      <c r="I686" s="7"/>
      <c r="J686" s="7"/>
      <c r="K686" s="7"/>
      <c r="L686" s="7"/>
      <c r="M686" s="7"/>
      <c r="N686" s="7"/>
      <c r="O686" s="7"/>
    </row>
    <row r="687" spans="1:15" ht="15" customHeight="1" outlineLevel="1" x14ac:dyDescent="0.3">
      <c r="A687" s="7"/>
      <c r="B687" s="7"/>
      <c r="C687" s="22" t="s">
        <v>1331</v>
      </c>
      <c r="D687" s="7"/>
      <c r="E687" s="7"/>
      <c r="F687" s="26" t="s">
        <v>547</v>
      </c>
      <c r="G687" s="39">
        <v>44</v>
      </c>
      <c r="H687" s="7"/>
      <c r="I687" s="7"/>
      <c r="J687" s="7"/>
      <c r="K687" s="7"/>
      <c r="L687" s="7"/>
      <c r="M687" s="7"/>
      <c r="N687" s="7"/>
      <c r="O687" s="7"/>
    </row>
    <row r="688" spans="1:15" ht="15" customHeight="1" outlineLevel="1" x14ac:dyDescent="0.3">
      <c r="A688" s="7"/>
      <c r="B688" s="7"/>
      <c r="C688" s="22" t="s">
        <v>1332</v>
      </c>
      <c r="D688" s="7"/>
      <c r="E688" s="7"/>
      <c r="F688" s="26" t="s">
        <v>547</v>
      </c>
      <c r="G688" s="39">
        <v>112</v>
      </c>
      <c r="H688" s="7"/>
      <c r="I688" s="7"/>
      <c r="J688" s="7"/>
      <c r="K688" s="7"/>
      <c r="L688" s="7"/>
      <c r="M688" s="7"/>
      <c r="N688" s="7"/>
      <c r="O688" s="7"/>
    </row>
    <row r="689" spans="1:15" ht="15" customHeight="1" outlineLevel="1" x14ac:dyDescent="0.3">
      <c r="A689" s="7"/>
      <c r="B689" s="7"/>
      <c r="C689" s="22" t="s">
        <v>1333</v>
      </c>
      <c r="D689" s="7"/>
      <c r="E689" s="7"/>
      <c r="F689" s="26" t="s">
        <v>547</v>
      </c>
      <c r="G689" s="39">
        <v>88</v>
      </c>
      <c r="H689" s="7"/>
      <c r="I689" s="7"/>
      <c r="J689" s="7"/>
      <c r="K689" s="7"/>
      <c r="L689" s="7"/>
      <c r="M689" s="7"/>
      <c r="N689" s="7"/>
      <c r="O689" s="7"/>
    </row>
    <row r="690" spans="1:15" ht="28.8" outlineLevel="1" x14ac:dyDescent="0.3">
      <c r="A690" s="7">
        <v>344</v>
      </c>
      <c r="B690" s="7">
        <v>344</v>
      </c>
      <c r="C690" s="7" t="s">
        <v>322</v>
      </c>
      <c r="D690" s="8" t="s">
        <v>556</v>
      </c>
      <c r="E690" s="8">
        <v>7.2</v>
      </c>
      <c r="F690" s="26" t="s">
        <v>556</v>
      </c>
      <c r="G690" s="39">
        <v>7.2</v>
      </c>
      <c r="H690" s="7"/>
      <c r="I690" s="7"/>
      <c r="J690" s="7"/>
      <c r="K690" s="7"/>
      <c r="L690" s="7"/>
      <c r="M690" s="7"/>
      <c r="N690" s="7" t="s">
        <v>869</v>
      </c>
      <c r="O690" s="7"/>
    </row>
    <row r="691" spans="1:15" ht="57.6" outlineLevel="1" x14ac:dyDescent="0.3">
      <c r="A691" s="7">
        <v>345</v>
      </c>
      <c r="B691" s="7">
        <v>345</v>
      </c>
      <c r="C691" s="7" t="s">
        <v>323</v>
      </c>
      <c r="D691" s="8" t="s">
        <v>546</v>
      </c>
      <c r="E691" s="8">
        <v>6.6</v>
      </c>
      <c r="F691" s="36" t="s">
        <v>551</v>
      </c>
      <c r="G691" s="41">
        <v>0.3</v>
      </c>
      <c r="H691" s="7"/>
      <c r="I691" s="7"/>
      <c r="J691" s="7"/>
      <c r="K691" s="7"/>
      <c r="L691" s="7"/>
      <c r="M691" s="7"/>
      <c r="N691" s="7" t="s">
        <v>870</v>
      </c>
      <c r="O691" s="7"/>
    </row>
    <row r="692" spans="1:15" s="2" customFormat="1" x14ac:dyDescent="0.3">
      <c r="A692" s="4"/>
      <c r="B692" s="4"/>
      <c r="C692" s="5" t="s">
        <v>62</v>
      </c>
      <c r="D692" s="5"/>
      <c r="E692" s="5"/>
      <c r="F692" s="37"/>
      <c r="G692" s="42"/>
      <c r="H692" s="5"/>
      <c r="I692" s="5"/>
      <c r="J692" s="5"/>
      <c r="K692" s="5"/>
      <c r="L692" s="5"/>
      <c r="M692" s="5"/>
      <c r="N692" s="5"/>
      <c r="O692" s="4"/>
    </row>
    <row r="693" spans="1:15" s="2" customFormat="1" x14ac:dyDescent="0.3">
      <c r="A693" s="4"/>
      <c r="B693" s="4"/>
      <c r="C693" s="4" t="s">
        <v>324</v>
      </c>
      <c r="D693" s="6"/>
      <c r="E693" s="6"/>
      <c r="F693" s="36"/>
      <c r="G693" s="41"/>
      <c r="H693" s="4"/>
      <c r="I693" s="4"/>
      <c r="J693" s="4"/>
      <c r="K693" s="4"/>
      <c r="L693" s="4"/>
      <c r="M693" s="4"/>
      <c r="N693" s="4"/>
      <c r="O693" s="4"/>
    </row>
    <row r="694" spans="1:15" ht="172.8" outlineLevel="1" x14ac:dyDescent="0.3">
      <c r="A694" s="7">
        <v>346</v>
      </c>
      <c r="B694" s="7">
        <v>346</v>
      </c>
      <c r="C694" s="7" t="s">
        <v>325</v>
      </c>
      <c r="D694" s="8" t="s">
        <v>549</v>
      </c>
      <c r="E694" s="8">
        <v>317.89</v>
      </c>
      <c r="F694" s="36" t="s">
        <v>1052</v>
      </c>
      <c r="G694" s="41">
        <f>E694/1000</f>
        <v>0.31789000000000001</v>
      </c>
      <c r="H694" s="7"/>
      <c r="I694" s="7"/>
      <c r="J694" s="7"/>
      <c r="K694" s="7"/>
      <c r="L694" s="7"/>
      <c r="M694" s="7"/>
      <c r="N694" s="7" t="s">
        <v>871</v>
      </c>
      <c r="O694" s="7"/>
    </row>
    <row r="695" spans="1:15" ht="72" outlineLevel="1" x14ac:dyDescent="0.3">
      <c r="A695" s="7">
        <v>347</v>
      </c>
      <c r="B695" s="7">
        <v>347</v>
      </c>
      <c r="C695" s="7" t="s">
        <v>326</v>
      </c>
      <c r="D695" s="8" t="s">
        <v>549</v>
      </c>
      <c r="E695" s="8">
        <v>67.37</v>
      </c>
      <c r="F695" s="36" t="s">
        <v>1052</v>
      </c>
      <c r="G695" s="41">
        <f>E695/1000</f>
        <v>6.7369999999999999E-2</v>
      </c>
      <c r="H695" s="7"/>
      <c r="I695" s="7"/>
      <c r="J695" s="7"/>
      <c r="K695" s="7"/>
      <c r="L695" s="7"/>
      <c r="M695" s="7"/>
      <c r="N695" s="7" t="s">
        <v>872</v>
      </c>
      <c r="O695" s="7"/>
    </row>
    <row r="696" spans="1:15" s="2" customFormat="1" x14ac:dyDescent="0.3">
      <c r="A696" s="4"/>
      <c r="B696" s="4"/>
      <c r="C696" s="4" t="s">
        <v>327</v>
      </c>
      <c r="D696" s="6"/>
      <c r="E696" s="6"/>
      <c r="F696" s="36"/>
      <c r="G696" s="41"/>
      <c r="H696" s="4"/>
      <c r="I696" s="4"/>
      <c r="J696" s="4"/>
      <c r="K696" s="4"/>
      <c r="L696" s="4"/>
      <c r="M696" s="4"/>
      <c r="N696" s="4"/>
      <c r="O696" s="4"/>
    </row>
    <row r="697" spans="1:15" ht="144" outlineLevel="1" x14ac:dyDescent="0.3">
      <c r="A697" s="7">
        <v>348</v>
      </c>
      <c r="B697" s="7">
        <v>348</v>
      </c>
      <c r="C697" s="7" t="s">
        <v>328</v>
      </c>
      <c r="D697" s="8" t="s">
        <v>550</v>
      </c>
      <c r="E697" s="8">
        <v>2.6230000000000002</v>
      </c>
      <c r="F697" s="26" t="s">
        <v>550</v>
      </c>
      <c r="G697" s="39">
        <v>2.6230000000000002</v>
      </c>
      <c r="H697" s="7"/>
      <c r="I697" s="7"/>
      <c r="J697" s="7"/>
      <c r="K697" s="7"/>
      <c r="L697" s="7"/>
      <c r="M697" s="7"/>
      <c r="N697" s="7" t="s">
        <v>873</v>
      </c>
      <c r="O697" s="7"/>
    </row>
    <row r="698" spans="1:15" ht="57.6" outlineLevel="1" x14ac:dyDescent="0.3">
      <c r="A698" s="7">
        <v>349</v>
      </c>
      <c r="B698" s="7">
        <v>349</v>
      </c>
      <c r="C698" s="7" t="s">
        <v>329</v>
      </c>
      <c r="D698" s="8" t="s">
        <v>549</v>
      </c>
      <c r="E698" s="8">
        <v>245.28</v>
      </c>
      <c r="F698" s="36" t="s">
        <v>1052</v>
      </c>
      <c r="G698" s="41">
        <f>E698/1000</f>
        <v>0.24528</v>
      </c>
      <c r="H698" s="7"/>
      <c r="I698" s="7"/>
      <c r="J698" s="7"/>
      <c r="K698" s="7"/>
      <c r="L698" s="7"/>
      <c r="M698" s="7"/>
      <c r="N698" s="7" t="s">
        <v>874</v>
      </c>
      <c r="O698" s="7"/>
    </row>
    <row r="699" spans="1:15" s="2" customFormat="1" x14ac:dyDescent="0.3">
      <c r="A699" s="4"/>
      <c r="B699" s="4"/>
      <c r="C699" s="4" t="s">
        <v>330</v>
      </c>
      <c r="D699" s="6"/>
      <c r="E699" s="6"/>
      <c r="F699" s="36"/>
      <c r="G699" s="41"/>
      <c r="H699" s="4"/>
      <c r="I699" s="4"/>
      <c r="J699" s="4"/>
      <c r="K699" s="4"/>
      <c r="L699" s="4"/>
      <c r="M699" s="4"/>
      <c r="N699" s="4"/>
      <c r="O699" s="4"/>
    </row>
    <row r="700" spans="1:15" ht="57.6" outlineLevel="1" x14ac:dyDescent="0.3">
      <c r="A700" s="7">
        <v>350</v>
      </c>
      <c r="B700" s="7">
        <v>350</v>
      </c>
      <c r="C700" s="7" t="s">
        <v>331</v>
      </c>
      <c r="D700" s="8" t="s">
        <v>549</v>
      </c>
      <c r="E700" s="8">
        <v>170.27</v>
      </c>
      <c r="F700" s="36" t="s">
        <v>1052</v>
      </c>
      <c r="G700" s="41">
        <f t="shared" ref="G700:G701" si="2">E700/1000</f>
        <v>0.17027</v>
      </c>
      <c r="H700" s="7"/>
      <c r="I700" s="7"/>
      <c r="J700" s="7"/>
      <c r="K700" s="7"/>
      <c r="L700" s="7"/>
      <c r="M700" s="7"/>
      <c r="N700" s="7" t="s">
        <v>875</v>
      </c>
      <c r="O700" s="7"/>
    </row>
    <row r="701" spans="1:15" ht="57.6" outlineLevel="1" x14ac:dyDescent="0.3">
      <c r="A701" s="7">
        <v>351</v>
      </c>
      <c r="B701" s="7">
        <v>351</v>
      </c>
      <c r="C701" s="7" t="s">
        <v>332</v>
      </c>
      <c r="D701" s="8" t="s">
        <v>549</v>
      </c>
      <c r="E701" s="8">
        <v>501.3</v>
      </c>
      <c r="F701" s="36" t="s">
        <v>1052</v>
      </c>
      <c r="G701" s="41">
        <f t="shared" si="2"/>
        <v>0.50129999999999997</v>
      </c>
      <c r="H701" s="7"/>
      <c r="I701" s="7"/>
      <c r="J701" s="7"/>
      <c r="K701" s="7"/>
      <c r="L701" s="7"/>
      <c r="M701" s="7"/>
      <c r="N701" s="7" t="s">
        <v>876</v>
      </c>
      <c r="O701" s="7"/>
    </row>
    <row r="702" spans="1:15" s="2" customFormat="1" x14ac:dyDescent="0.3">
      <c r="A702" s="4"/>
      <c r="B702" s="4"/>
      <c r="C702" s="4" t="s">
        <v>333</v>
      </c>
      <c r="D702" s="6"/>
      <c r="E702" s="6"/>
      <c r="F702" s="36"/>
      <c r="G702" s="41"/>
      <c r="H702" s="4"/>
      <c r="I702" s="4"/>
      <c r="J702" s="4"/>
      <c r="K702" s="4"/>
      <c r="L702" s="4"/>
      <c r="M702" s="4"/>
      <c r="N702" s="4"/>
      <c r="O702" s="4"/>
    </row>
    <row r="703" spans="1:15" ht="72" outlineLevel="1" x14ac:dyDescent="0.3">
      <c r="A703" s="7">
        <v>352</v>
      </c>
      <c r="B703" s="7">
        <v>352</v>
      </c>
      <c r="C703" s="7" t="s">
        <v>334</v>
      </c>
      <c r="D703" s="8" t="s">
        <v>549</v>
      </c>
      <c r="E703" s="8">
        <v>28.73</v>
      </c>
      <c r="F703" s="36" t="s">
        <v>1052</v>
      </c>
      <c r="G703" s="41">
        <f t="shared" ref="G703:G705" si="3">E703/1000</f>
        <v>2.8730000000000002E-2</v>
      </c>
      <c r="H703" s="7"/>
      <c r="I703" s="7"/>
      <c r="J703" s="7"/>
      <c r="K703" s="7"/>
      <c r="L703" s="7"/>
      <c r="M703" s="7"/>
      <c r="N703" s="7" t="s">
        <v>877</v>
      </c>
      <c r="O703" s="7"/>
    </row>
    <row r="704" spans="1:15" ht="100.8" outlineLevel="1" x14ac:dyDescent="0.3">
      <c r="A704" s="7">
        <v>353</v>
      </c>
      <c r="B704" s="7">
        <v>353</v>
      </c>
      <c r="C704" s="7" t="s">
        <v>335</v>
      </c>
      <c r="D704" s="8" t="s">
        <v>549</v>
      </c>
      <c r="E704" s="8">
        <v>33.04</v>
      </c>
      <c r="F704" s="36" t="s">
        <v>1052</v>
      </c>
      <c r="G704" s="41">
        <f t="shared" si="3"/>
        <v>3.304E-2</v>
      </c>
      <c r="H704" s="7"/>
      <c r="I704" s="7"/>
      <c r="J704" s="7"/>
      <c r="K704" s="7"/>
      <c r="L704" s="7"/>
      <c r="M704" s="7"/>
      <c r="N704" s="7" t="s">
        <v>878</v>
      </c>
      <c r="O704" s="7"/>
    </row>
    <row r="705" spans="1:15" ht="187.2" outlineLevel="1" x14ac:dyDescent="0.3">
      <c r="A705" s="7">
        <v>354</v>
      </c>
      <c r="B705" s="7">
        <v>354</v>
      </c>
      <c r="C705" s="7" t="s">
        <v>336</v>
      </c>
      <c r="D705" s="8" t="s">
        <v>549</v>
      </c>
      <c r="E705" s="8">
        <v>214.14</v>
      </c>
      <c r="F705" s="36" t="s">
        <v>1052</v>
      </c>
      <c r="G705" s="41">
        <f t="shared" si="3"/>
        <v>0.21414</v>
      </c>
      <c r="H705" s="7"/>
      <c r="I705" s="7"/>
      <c r="J705" s="7"/>
      <c r="K705" s="7"/>
      <c r="L705" s="7"/>
      <c r="M705" s="7"/>
      <c r="N705" s="7" t="s">
        <v>879</v>
      </c>
      <c r="O705" s="7"/>
    </row>
    <row r="706" spans="1:15" s="2" customFormat="1" x14ac:dyDescent="0.3">
      <c r="A706" s="4"/>
      <c r="B706" s="4"/>
      <c r="C706" s="4" t="s">
        <v>337</v>
      </c>
      <c r="D706" s="6"/>
      <c r="E706" s="6"/>
      <c r="F706" s="36"/>
      <c r="G706" s="41"/>
      <c r="H706" s="4"/>
      <c r="I706" s="4"/>
      <c r="J706" s="4"/>
      <c r="K706" s="4"/>
      <c r="L706" s="4"/>
      <c r="M706" s="4"/>
      <c r="N706" s="4"/>
      <c r="O706" s="4"/>
    </row>
    <row r="707" spans="1:15" ht="43.2" outlineLevel="1" x14ac:dyDescent="0.3">
      <c r="A707" s="7">
        <v>355</v>
      </c>
      <c r="B707" s="7">
        <v>355</v>
      </c>
      <c r="C707" s="7" t="s">
        <v>338</v>
      </c>
      <c r="D707" s="8" t="s">
        <v>549</v>
      </c>
      <c r="E707" s="8">
        <v>158.12</v>
      </c>
      <c r="F707" s="36" t="s">
        <v>1052</v>
      </c>
      <c r="G707" s="41">
        <f t="shared" ref="G707:G708" si="4">E707/1000</f>
        <v>0.15812000000000001</v>
      </c>
      <c r="H707" s="7"/>
      <c r="I707" s="7"/>
      <c r="J707" s="7"/>
      <c r="K707" s="7"/>
      <c r="L707" s="7"/>
      <c r="M707" s="7"/>
      <c r="N707" s="7" t="s">
        <v>880</v>
      </c>
      <c r="O707" s="7"/>
    </row>
    <row r="708" spans="1:15" ht="28.8" outlineLevel="1" x14ac:dyDescent="0.3">
      <c r="A708" s="7">
        <v>356</v>
      </c>
      <c r="B708" s="7">
        <v>356</v>
      </c>
      <c r="C708" s="7" t="s">
        <v>339</v>
      </c>
      <c r="D708" s="8" t="s">
        <v>549</v>
      </c>
      <c r="E708" s="8">
        <v>271.2</v>
      </c>
      <c r="F708" s="36" t="s">
        <v>1052</v>
      </c>
      <c r="G708" s="41">
        <f t="shared" si="4"/>
        <v>0.2712</v>
      </c>
      <c r="H708" s="7"/>
      <c r="I708" s="7"/>
      <c r="J708" s="7"/>
      <c r="K708" s="7"/>
      <c r="L708" s="7"/>
      <c r="M708" s="7"/>
      <c r="N708" s="7" t="s">
        <v>881</v>
      </c>
      <c r="O708" s="7"/>
    </row>
    <row r="709" spans="1:15" ht="43.2" outlineLevel="1" x14ac:dyDescent="0.3">
      <c r="A709" s="7">
        <v>357</v>
      </c>
      <c r="B709" s="7">
        <v>357</v>
      </c>
      <c r="C709" s="7" t="s">
        <v>340</v>
      </c>
      <c r="D709" s="8" t="s">
        <v>550</v>
      </c>
      <c r="E709" s="8">
        <v>1.103</v>
      </c>
      <c r="F709" s="26" t="s">
        <v>550</v>
      </c>
      <c r="G709" s="39">
        <v>1.103</v>
      </c>
      <c r="H709" s="7"/>
      <c r="I709" s="7"/>
      <c r="J709" s="7"/>
      <c r="K709" s="7"/>
      <c r="L709" s="7"/>
      <c r="M709" s="7"/>
      <c r="N709" s="7" t="s">
        <v>882</v>
      </c>
      <c r="O709" s="7"/>
    </row>
    <row r="710" spans="1:15" ht="43.2" outlineLevel="1" x14ac:dyDescent="0.3">
      <c r="A710" s="7">
        <v>358</v>
      </c>
      <c r="B710" s="7">
        <v>358</v>
      </c>
      <c r="C710" s="7" t="s">
        <v>341</v>
      </c>
      <c r="D710" s="8" t="s">
        <v>550</v>
      </c>
      <c r="E710" s="8">
        <v>1.0349999999999999</v>
      </c>
      <c r="F710" s="26" t="s">
        <v>550</v>
      </c>
      <c r="G710" s="39">
        <v>1.0349999999999999</v>
      </c>
      <c r="H710" s="7"/>
      <c r="I710" s="7"/>
      <c r="J710" s="7"/>
      <c r="K710" s="7"/>
      <c r="L710" s="7"/>
      <c r="M710" s="7"/>
      <c r="N710" s="7" t="s">
        <v>883</v>
      </c>
      <c r="O710" s="7"/>
    </row>
    <row r="711" spans="1:15" ht="172.8" outlineLevel="1" x14ac:dyDescent="0.3">
      <c r="A711" s="7">
        <v>359</v>
      </c>
      <c r="B711" s="7">
        <v>359</v>
      </c>
      <c r="C711" s="7" t="s">
        <v>342</v>
      </c>
      <c r="D711" s="8" t="s">
        <v>549</v>
      </c>
      <c r="E711" s="8">
        <v>267.86</v>
      </c>
      <c r="F711" s="36" t="s">
        <v>1052</v>
      </c>
      <c r="G711" s="41">
        <f t="shared" ref="G711:G720" si="5">E711/1000</f>
        <v>0.26785999999999999</v>
      </c>
      <c r="H711" s="7"/>
      <c r="I711" s="7"/>
      <c r="J711" s="7"/>
      <c r="K711" s="7"/>
      <c r="L711" s="7"/>
      <c r="M711" s="7"/>
      <c r="N711" s="7" t="s">
        <v>884</v>
      </c>
      <c r="O711" s="7"/>
    </row>
    <row r="712" spans="1:15" outlineLevel="1" x14ac:dyDescent="0.3">
      <c r="A712" s="7"/>
      <c r="B712" s="7"/>
      <c r="C712" s="22" t="s">
        <v>1336</v>
      </c>
      <c r="D712" s="7"/>
      <c r="E712" s="7"/>
      <c r="F712" s="26" t="s">
        <v>549</v>
      </c>
      <c r="G712" s="39">
        <v>211.32</v>
      </c>
      <c r="H712" s="7"/>
      <c r="I712" s="7"/>
      <c r="J712" s="7"/>
      <c r="K712" s="7"/>
      <c r="L712" s="7"/>
      <c r="M712" s="7"/>
      <c r="N712" s="7"/>
      <c r="O712" s="7"/>
    </row>
    <row r="713" spans="1:15" outlineLevel="1" x14ac:dyDescent="0.3">
      <c r="A713" s="7"/>
      <c r="B713" s="7"/>
      <c r="C713" s="22" t="s">
        <v>1093</v>
      </c>
      <c r="D713" s="7"/>
      <c r="E713" s="7"/>
      <c r="F713" s="26" t="s">
        <v>549</v>
      </c>
      <c r="G713" s="39">
        <v>2.84</v>
      </c>
      <c r="H713" s="7"/>
      <c r="I713" s="7"/>
      <c r="J713" s="7"/>
      <c r="K713" s="7"/>
      <c r="L713" s="7"/>
      <c r="M713" s="7"/>
      <c r="N713" s="7"/>
      <c r="O713" s="7"/>
    </row>
    <row r="714" spans="1:15" outlineLevel="1" x14ac:dyDescent="0.3">
      <c r="A714" s="7"/>
      <c r="B714" s="7"/>
      <c r="C714" s="22" t="s">
        <v>1099</v>
      </c>
      <c r="D714" s="7"/>
      <c r="E714" s="7"/>
      <c r="F714" s="26" t="s">
        <v>549</v>
      </c>
      <c r="G714" s="39">
        <v>27.12</v>
      </c>
      <c r="H714" s="7"/>
      <c r="I714" s="7"/>
      <c r="J714" s="7"/>
      <c r="K714" s="7"/>
      <c r="L714" s="7"/>
      <c r="M714" s="7"/>
      <c r="N714" s="7"/>
      <c r="O714" s="7"/>
    </row>
    <row r="715" spans="1:15" outlineLevel="1" x14ac:dyDescent="0.3">
      <c r="A715" s="7"/>
      <c r="B715" s="7"/>
      <c r="C715" s="22" t="s">
        <v>1337</v>
      </c>
      <c r="D715" s="7"/>
      <c r="E715" s="7"/>
      <c r="F715" s="26" t="s">
        <v>549</v>
      </c>
      <c r="G715" s="39">
        <v>16.28</v>
      </c>
      <c r="H715" s="7"/>
      <c r="I715" s="7"/>
      <c r="J715" s="7"/>
      <c r="K715" s="7"/>
      <c r="L715" s="7"/>
      <c r="M715" s="7"/>
      <c r="N715" s="7"/>
      <c r="O715" s="7"/>
    </row>
    <row r="716" spans="1:15" outlineLevel="1" x14ac:dyDescent="0.3">
      <c r="A716" s="7"/>
      <c r="B716" s="7"/>
      <c r="C716" s="39" t="s">
        <v>1338</v>
      </c>
      <c r="D716" s="7"/>
      <c r="E716" s="7"/>
      <c r="F716" s="26" t="s">
        <v>549</v>
      </c>
      <c r="G716" s="39">
        <v>267.86</v>
      </c>
      <c r="H716" s="7"/>
      <c r="I716" s="7"/>
      <c r="J716" s="7"/>
      <c r="K716" s="7"/>
      <c r="L716" s="7"/>
      <c r="M716" s="7"/>
      <c r="N716" s="7"/>
      <c r="O716" s="7"/>
    </row>
    <row r="717" spans="1:15" outlineLevel="1" x14ac:dyDescent="0.3">
      <c r="A717" s="7"/>
      <c r="B717" s="7"/>
      <c r="C717" s="22" t="s">
        <v>1339</v>
      </c>
      <c r="D717" s="7"/>
      <c r="E717" s="7"/>
      <c r="F717" s="26" t="s">
        <v>549</v>
      </c>
      <c r="G717" s="39">
        <v>3.84</v>
      </c>
      <c r="H717" s="7"/>
      <c r="I717" s="7"/>
      <c r="J717" s="7"/>
      <c r="K717" s="7"/>
      <c r="L717" s="7"/>
      <c r="M717" s="7"/>
      <c r="N717" s="7"/>
      <c r="O717" s="7"/>
    </row>
    <row r="718" spans="1:15" outlineLevel="1" x14ac:dyDescent="0.3">
      <c r="A718" s="7"/>
      <c r="B718" s="7"/>
      <c r="C718" s="22" t="s">
        <v>1340</v>
      </c>
      <c r="D718" s="7"/>
      <c r="E718" s="7"/>
      <c r="F718" s="26" t="s">
        <v>549</v>
      </c>
      <c r="G718" s="39">
        <v>2.2799999999999998</v>
      </c>
      <c r="H718" s="7"/>
      <c r="I718" s="7"/>
      <c r="J718" s="7"/>
      <c r="K718" s="7"/>
      <c r="L718" s="7"/>
      <c r="M718" s="7"/>
      <c r="N718" s="7"/>
      <c r="O718" s="7"/>
    </row>
    <row r="719" spans="1:15" outlineLevel="1" x14ac:dyDescent="0.3">
      <c r="A719" s="7"/>
      <c r="B719" s="7"/>
      <c r="C719" s="22" t="s">
        <v>1341</v>
      </c>
      <c r="D719" s="7"/>
      <c r="E719" s="7"/>
      <c r="F719" s="26" t="s">
        <v>549</v>
      </c>
      <c r="G719" s="39">
        <v>0.56000000000000005</v>
      </c>
      <c r="H719" s="7"/>
      <c r="I719" s="7"/>
      <c r="J719" s="7"/>
      <c r="K719" s="7"/>
      <c r="L719" s="7"/>
      <c r="M719" s="7"/>
      <c r="N719" s="7"/>
      <c r="O719" s="7"/>
    </row>
    <row r="720" spans="1:15" ht="158.4" outlineLevel="1" x14ac:dyDescent="0.3">
      <c r="A720" s="7">
        <v>360</v>
      </c>
      <c r="B720" s="7">
        <v>360</v>
      </c>
      <c r="C720" s="7" t="s">
        <v>343</v>
      </c>
      <c r="D720" s="8" t="s">
        <v>549</v>
      </c>
      <c r="E720" s="8">
        <v>706.53</v>
      </c>
      <c r="F720" s="36" t="s">
        <v>1052</v>
      </c>
      <c r="G720" s="59">
        <f t="shared" si="5"/>
        <v>0.70652999999999999</v>
      </c>
      <c r="H720" s="7"/>
      <c r="I720" s="7"/>
      <c r="J720" s="7"/>
      <c r="K720" s="7"/>
      <c r="L720" s="7"/>
      <c r="M720" s="7"/>
      <c r="N720" s="7" t="s">
        <v>885</v>
      </c>
      <c r="O720" s="7"/>
    </row>
    <row r="721" spans="1:15" outlineLevel="1" x14ac:dyDescent="0.3">
      <c r="A721" s="7"/>
      <c r="B721" s="7"/>
      <c r="C721" s="22" t="s">
        <v>1092</v>
      </c>
      <c r="D721" s="24"/>
      <c r="E721" s="24"/>
      <c r="F721" s="26" t="s">
        <v>549</v>
      </c>
      <c r="G721" s="39">
        <v>591.79999999999995</v>
      </c>
      <c r="H721" s="7"/>
      <c r="I721" s="7"/>
      <c r="J721" s="7"/>
      <c r="K721" s="7"/>
      <c r="L721" s="7"/>
      <c r="M721" s="7"/>
      <c r="N721" s="7"/>
      <c r="O721" s="7"/>
    </row>
    <row r="722" spans="1:15" outlineLevel="1" x14ac:dyDescent="0.3">
      <c r="A722" s="7"/>
      <c r="B722" s="7"/>
      <c r="C722" s="22" t="s">
        <v>1093</v>
      </c>
      <c r="D722" s="24"/>
      <c r="E722" s="24"/>
      <c r="F722" s="26" t="s">
        <v>549</v>
      </c>
      <c r="G722" s="39">
        <v>7.81</v>
      </c>
      <c r="H722" s="7"/>
      <c r="I722" s="7"/>
      <c r="J722" s="7"/>
      <c r="K722" s="7"/>
      <c r="L722" s="7"/>
      <c r="M722" s="7"/>
      <c r="N722" s="7"/>
      <c r="O722" s="7"/>
    </row>
    <row r="723" spans="1:15" outlineLevel="1" x14ac:dyDescent="0.3">
      <c r="A723" s="7"/>
      <c r="B723" s="7"/>
      <c r="C723" s="22" t="s">
        <v>1342</v>
      </c>
      <c r="D723" s="24"/>
      <c r="E723" s="24"/>
      <c r="F723" s="26" t="s">
        <v>549</v>
      </c>
      <c r="G723" s="39">
        <v>79.75</v>
      </c>
      <c r="H723" s="7"/>
      <c r="I723" s="7"/>
      <c r="J723" s="7"/>
      <c r="K723" s="7"/>
      <c r="L723" s="7"/>
      <c r="M723" s="7"/>
      <c r="N723" s="7"/>
      <c r="O723" s="7"/>
    </row>
    <row r="724" spans="1:15" outlineLevel="1" x14ac:dyDescent="0.3">
      <c r="A724" s="7"/>
      <c r="B724" s="7"/>
      <c r="C724" s="40" t="s">
        <v>1343</v>
      </c>
      <c r="D724" s="1"/>
      <c r="E724" s="21"/>
      <c r="F724" s="26" t="s">
        <v>549</v>
      </c>
      <c r="G724" s="39">
        <v>706.53</v>
      </c>
      <c r="H724" s="7"/>
      <c r="I724" s="7"/>
      <c r="J724" s="7"/>
      <c r="K724" s="7"/>
      <c r="L724" s="7"/>
      <c r="M724" s="7"/>
      <c r="N724" s="7"/>
      <c r="O724" s="7"/>
    </row>
    <row r="725" spans="1:15" outlineLevel="1" x14ac:dyDescent="0.3">
      <c r="A725" s="7"/>
      <c r="B725" s="7"/>
      <c r="C725" s="22" t="s">
        <v>1344</v>
      </c>
      <c r="D725" s="24"/>
      <c r="E725" s="24"/>
      <c r="F725" s="26" t="s">
        <v>547</v>
      </c>
      <c r="G725" s="39">
        <v>44</v>
      </c>
      <c r="H725" s="7"/>
      <c r="I725" s="7"/>
      <c r="J725" s="7"/>
      <c r="K725" s="7"/>
      <c r="L725" s="7"/>
      <c r="M725" s="7"/>
      <c r="N725" s="7"/>
      <c r="O725" s="7"/>
    </row>
    <row r="726" spans="1:15" outlineLevel="1" x14ac:dyDescent="0.3">
      <c r="A726" s="7"/>
      <c r="B726" s="7"/>
      <c r="C726" s="22" t="s">
        <v>1345</v>
      </c>
      <c r="D726" s="24"/>
      <c r="E726" s="24"/>
      <c r="F726" s="26" t="s">
        <v>547</v>
      </c>
      <c r="G726" s="39">
        <v>88</v>
      </c>
      <c r="H726" s="7"/>
      <c r="I726" s="7"/>
      <c r="J726" s="7"/>
      <c r="K726" s="7"/>
      <c r="L726" s="7"/>
      <c r="M726" s="7"/>
      <c r="N726" s="7"/>
      <c r="O726" s="7"/>
    </row>
    <row r="727" spans="1:15" outlineLevel="1" x14ac:dyDescent="0.3">
      <c r="A727" s="7"/>
      <c r="B727" s="7"/>
      <c r="C727" s="22" t="s">
        <v>1346</v>
      </c>
      <c r="D727" s="24"/>
      <c r="E727" s="24"/>
      <c r="F727" s="26" t="s">
        <v>547</v>
      </c>
      <c r="G727" s="39">
        <v>88</v>
      </c>
      <c r="H727" s="7"/>
      <c r="I727" s="7"/>
      <c r="J727" s="7"/>
      <c r="K727" s="7"/>
      <c r="L727" s="7"/>
      <c r="M727" s="7"/>
      <c r="N727" s="7"/>
      <c r="O727" s="7"/>
    </row>
    <row r="728" spans="1:15" ht="172.8" outlineLevel="1" x14ac:dyDescent="0.3">
      <c r="A728" s="7">
        <v>361</v>
      </c>
      <c r="B728" s="7">
        <v>361</v>
      </c>
      <c r="C728" s="7" t="s">
        <v>344</v>
      </c>
      <c r="D728" s="8" t="s">
        <v>550</v>
      </c>
      <c r="E728" s="8">
        <v>1.3089999999999999</v>
      </c>
      <c r="F728" s="26" t="s">
        <v>550</v>
      </c>
      <c r="G728" s="39">
        <v>1.3089999999999999</v>
      </c>
      <c r="H728" s="7"/>
      <c r="I728" s="7"/>
      <c r="J728" s="7"/>
      <c r="K728" s="7"/>
      <c r="L728" s="7"/>
      <c r="M728" s="7"/>
      <c r="N728" s="7" t="s">
        <v>886</v>
      </c>
      <c r="O728" s="7"/>
    </row>
    <row r="729" spans="1:15" outlineLevel="1" x14ac:dyDescent="0.3">
      <c r="A729" s="7"/>
      <c r="B729" s="7"/>
      <c r="C729" s="22" t="s">
        <v>1347</v>
      </c>
      <c r="D729" s="7"/>
      <c r="E729" s="7"/>
      <c r="F729" s="26" t="s">
        <v>549</v>
      </c>
      <c r="G729" s="45">
        <v>1004.74</v>
      </c>
      <c r="H729" s="7"/>
      <c r="I729" s="7"/>
      <c r="J729" s="7"/>
      <c r="K729" s="7"/>
      <c r="L729" s="7"/>
      <c r="M729" s="7"/>
      <c r="N729" s="7"/>
      <c r="O729" s="7"/>
    </row>
    <row r="730" spans="1:15" outlineLevel="1" x14ac:dyDescent="0.3">
      <c r="A730" s="7"/>
      <c r="B730" s="7"/>
      <c r="C730" s="22" t="s">
        <v>1093</v>
      </c>
      <c r="D730" s="7"/>
      <c r="E730" s="7"/>
      <c r="F730" s="26" t="s">
        <v>549</v>
      </c>
      <c r="G730" s="39">
        <v>15.62</v>
      </c>
      <c r="H730" s="7"/>
      <c r="I730" s="7"/>
      <c r="J730" s="7"/>
      <c r="K730" s="7"/>
      <c r="L730" s="7"/>
      <c r="M730" s="7"/>
      <c r="N730" s="7"/>
      <c r="O730" s="7"/>
    </row>
    <row r="731" spans="1:15" outlineLevel="1" x14ac:dyDescent="0.3">
      <c r="A731" s="7"/>
      <c r="B731" s="7"/>
      <c r="C731" s="22" t="s">
        <v>1099</v>
      </c>
      <c r="D731" s="7"/>
      <c r="E731" s="7"/>
      <c r="F731" s="26" t="s">
        <v>549</v>
      </c>
      <c r="G731" s="39">
        <v>149.16</v>
      </c>
      <c r="H731" s="7"/>
      <c r="I731" s="7"/>
      <c r="J731" s="7"/>
      <c r="K731" s="7"/>
      <c r="L731" s="7"/>
      <c r="M731" s="7"/>
      <c r="N731" s="7"/>
      <c r="O731" s="7"/>
    </row>
    <row r="732" spans="1:15" outlineLevel="1" x14ac:dyDescent="0.3">
      <c r="A732" s="7"/>
      <c r="B732" s="7"/>
      <c r="C732" s="22" t="s">
        <v>1337</v>
      </c>
      <c r="D732" s="7"/>
      <c r="E732" s="7"/>
      <c r="F732" s="26" t="s">
        <v>549</v>
      </c>
      <c r="G732" s="39">
        <v>89.54</v>
      </c>
      <c r="H732" s="7"/>
      <c r="I732" s="7"/>
      <c r="J732" s="7"/>
      <c r="K732" s="7"/>
      <c r="L732" s="7"/>
      <c r="M732" s="7"/>
      <c r="N732" s="7"/>
      <c r="O732" s="7"/>
    </row>
    <row r="733" spans="1:15" outlineLevel="1" x14ac:dyDescent="0.3">
      <c r="A733" s="7"/>
      <c r="B733" s="7"/>
      <c r="C733" s="39" t="s">
        <v>1338</v>
      </c>
      <c r="D733" s="7"/>
      <c r="E733" s="7"/>
      <c r="F733" s="26" t="s">
        <v>549</v>
      </c>
      <c r="G733" s="45">
        <v>1309.46</v>
      </c>
      <c r="H733" s="7"/>
      <c r="I733" s="7"/>
      <c r="J733" s="7"/>
      <c r="K733" s="7"/>
      <c r="L733" s="7"/>
      <c r="M733" s="7"/>
      <c r="N733" s="7"/>
      <c r="O733" s="7"/>
    </row>
    <row r="734" spans="1:15" outlineLevel="1" x14ac:dyDescent="0.3">
      <c r="A734" s="7"/>
      <c r="B734" s="7"/>
      <c r="C734" s="22" t="s">
        <v>1348</v>
      </c>
      <c r="D734" s="7"/>
      <c r="E734" s="7"/>
      <c r="F734" s="26" t="s">
        <v>547</v>
      </c>
      <c r="G734" s="39">
        <v>88</v>
      </c>
      <c r="H734" s="7"/>
      <c r="I734" s="7"/>
      <c r="J734" s="7"/>
      <c r="K734" s="7"/>
      <c r="L734" s="7"/>
      <c r="M734" s="7"/>
      <c r="N734" s="7"/>
      <c r="O734" s="7"/>
    </row>
    <row r="735" spans="1:15" outlineLevel="1" x14ac:dyDescent="0.3">
      <c r="A735" s="7"/>
      <c r="B735" s="7"/>
      <c r="C735" s="22" t="s">
        <v>1345</v>
      </c>
      <c r="D735" s="7"/>
      <c r="E735" s="7"/>
      <c r="F735" s="26" t="s">
        <v>547</v>
      </c>
      <c r="G735" s="39">
        <v>176</v>
      </c>
      <c r="H735" s="7"/>
      <c r="I735" s="7"/>
      <c r="J735" s="7"/>
      <c r="K735" s="7"/>
      <c r="L735" s="7"/>
      <c r="M735" s="7"/>
      <c r="N735" s="7"/>
      <c r="O735" s="7"/>
    </row>
    <row r="736" spans="1:15" outlineLevel="1" x14ac:dyDescent="0.3">
      <c r="A736" s="7"/>
      <c r="B736" s="7"/>
      <c r="C736" s="22" t="s">
        <v>1346</v>
      </c>
      <c r="D736" s="7"/>
      <c r="E736" s="7"/>
      <c r="F736" s="26" t="s">
        <v>547</v>
      </c>
      <c r="G736" s="39">
        <v>176</v>
      </c>
      <c r="H736" s="7"/>
      <c r="I736" s="7"/>
      <c r="J736" s="7"/>
      <c r="K736" s="7"/>
      <c r="L736" s="7"/>
      <c r="M736" s="7"/>
      <c r="N736" s="7"/>
      <c r="O736" s="7"/>
    </row>
    <row r="737" spans="1:15" ht="86.4" outlineLevel="1" x14ac:dyDescent="0.3">
      <c r="A737" s="7">
        <v>362</v>
      </c>
      <c r="B737" s="7">
        <v>362</v>
      </c>
      <c r="C737" s="7" t="s">
        <v>345</v>
      </c>
      <c r="D737" s="8" t="s">
        <v>557</v>
      </c>
      <c r="E737" s="8">
        <v>1.054</v>
      </c>
      <c r="F737" s="36" t="s">
        <v>1052</v>
      </c>
      <c r="G737" s="41">
        <f>G740/1000</f>
        <v>1.0543900000000002</v>
      </c>
      <c r="H737" s="7"/>
      <c r="I737" s="7"/>
      <c r="J737" s="7"/>
      <c r="K737" s="7"/>
      <c r="L737" s="7"/>
      <c r="M737" s="7"/>
      <c r="N737" s="7" t="s">
        <v>887</v>
      </c>
      <c r="O737" s="7"/>
    </row>
    <row r="738" spans="1:15" outlineLevel="1" x14ac:dyDescent="0.3">
      <c r="A738" s="7"/>
      <c r="B738" s="7"/>
      <c r="C738" s="22" t="s">
        <v>1349</v>
      </c>
      <c r="D738" s="7"/>
      <c r="E738" s="7"/>
      <c r="F738" s="26" t="s">
        <v>549</v>
      </c>
      <c r="G738" s="45">
        <v>1000.35</v>
      </c>
      <c r="H738" s="7"/>
      <c r="I738" s="7"/>
      <c r="J738" s="7"/>
      <c r="K738" s="7"/>
      <c r="L738" s="7"/>
      <c r="M738" s="7"/>
      <c r="N738" s="7"/>
      <c r="O738" s="7"/>
    </row>
    <row r="739" spans="1:15" outlineLevel="1" x14ac:dyDescent="0.3">
      <c r="A739" s="7"/>
      <c r="B739" s="7"/>
      <c r="C739" s="22" t="s">
        <v>1350</v>
      </c>
      <c r="D739" s="7"/>
      <c r="E739" s="7"/>
      <c r="F739" s="26" t="s">
        <v>549</v>
      </c>
      <c r="G739" s="39">
        <v>13.49</v>
      </c>
      <c r="H739" s="7"/>
      <c r="I739" s="7"/>
      <c r="J739" s="7"/>
      <c r="K739" s="7"/>
      <c r="L739" s="7"/>
      <c r="M739" s="7"/>
      <c r="N739" s="7"/>
      <c r="O739" s="7"/>
    </row>
    <row r="740" spans="1:15" outlineLevel="1" x14ac:dyDescent="0.3">
      <c r="A740" s="7"/>
      <c r="B740" s="7"/>
      <c r="C740" s="39" t="s">
        <v>1338</v>
      </c>
      <c r="D740" s="7"/>
      <c r="E740" s="7"/>
      <c r="F740" s="26" t="s">
        <v>549</v>
      </c>
      <c r="G740" s="45">
        <v>1054.3900000000001</v>
      </c>
      <c r="H740" s="7"/>
      <c r="I740" s="7"/>
      <c r="J740" s="7"/>
      <c r="K740" s="7"/>
      <c r="L740" s="7"/>
      <c r="M740" s="7"/>
      <c r="N740" s="7"/>
      <c r="O740" s="7"/>
    </row>
    <row r="741" spans="1:15" outlineLevel="1" x14ac:dyDescent="0.3">
      <c r="A741" s="7"/>
      <c r="B741" s="7"/>
      <c r="C741" s="7" t="s">
        <v>346</v>
      </c>
      <c r="D741" s="8"/>
      <c r="E741" s="8"/>
      <c r="F741" s="36"/>
      <c r="G741" s="41"/>
      <c r="H741" s="7"/>
      <c r="I741" s="7"/>
      <c r="J741" s="7"/>
      <c r="K741" s="7"/>
      <c r="L741" s="7"/>
      <c r="M741" s="7"/>
      <c r="N741" s="7"/>
      <c r="O741" s="7"/>
    </row>
    <row r="742" spans="1:15" ht="43.2" outlineLevel="1" x14ac:dyDescent="0.3">
      <c r="A742" s="7">
        <v>363</v>
      </c>
      <c r="B742" s="7">
        <v>363</v>
      </c>
      <c r="C742" s="7" t="s">
        <v>347</v>
      </c>
      <c r="D742" s="8" t="s">
        <v>549</v>
      </c>
      <c r="E742" s="8">
        <v>151.72999999999999</v>
      </c>
      <c r="F742" s="36" t="s">
        <v>1052</v>
      </c>
      <c r="G742" s="41">
        <f>E742/1000</f>
        <v>0.15172999999999998</v>
      </c>
      <c r="H742" s="7"/>
      <c r="I742" s="7"/>
      <c r="J742" s="7"/>
      <c r="K742" s="7"/>
      <c r="L742" s="7"/>
      <c r="M742" s="7"/>
      <c r="N742" s="7" t="s">
        <v>888</v>
      </c>
      <c r="O742" s="7"/>
    </row>
    <row r="743" spans="1:15" ht="43.2" outlineLevel="1" x14ac:dyDescent="0.3">
      <c r="A743" s="7">
        <v>364</v>
      </c>
      <c r="B743" s="7">
        <v>364</v>
      </c>
      <c r="C743" s="7" t="s">
        <v>348</v>
      </c>
      <c r="D743" s="8" t="s">
        <v>549</v>
      </c>
      <c r="E743" s="8">
        <v>101.15</v>
      </c>
      <c r="F743" s="36" t="s">
        <v>1052</v>
      </c>
      <c r="G743" s="41">
        <f t="shared" ref="G743:G745" si="6">E743/1000</f>
        <v>0.10115</v>
      </c>
      <c r="H743" s="7"/>
      <c r="I743" s="7"/>
      <c r="J743" s="7"/>
      <c r="K743" s="7"/>
      <c r="L743" s="7"/>
      <c r="M743" s="7"/>
      <c r="N743" s="7" t="s">
        <v>889</v>
      </c>
      <c r="O743" s="7"/>
    </row>
    <row r="744" spans="1:15" ht="28.8" outlineLevel="1" x14ac:dyDescent="0.3">
      <c r="A744" s="7">
        <v>365</v>
      </c>
      <c r="B744" s="7">
        <v>365</v>
      </c>
      <c r="C744" s="7" t="s">
        <v>349</v>
      </c>
      <c r="D744" s="8" t="s">
        <v>549</v>
      </c>
      <c r="E744" s="8">
        <v>50.58</v>
      </c>
      <c r="F744" s="36" t="s">
        <v>1052</v>
      </c>
      <c r="G744" s="41">
        <f t="shared" si="6"/>
        <v>5.058E-2</v>
      </c>
      <c r="H744" s="7"/>
      <c r="I744" s="7"/>
      <c r="J744" s="7"/>
      <c r="K744" s="7"/>
      <c r="L744" s="7"/>
      <c r="M744" s="7"/>
      <c r="N744" s="7" t="s">
        <v>890</v>
      </c>
      <c r="O744" s="7"/>
    </row>
    <row r="745" spans="1:15" ht="100.8" outlineLevel="1" x14ac:dyDescent="0.3">
      <c r="A745" s="7">
        <v>366</v>
      </c>
      <c r="B745" s="7">
        <v>366</v>
      </c>
      <c r="C745" s="7" t="s">
        <v>350</v>
      </c>
      <c r="D745" s="8" t="s">
        <v>549</v>
      </c>
      <c r="E745" s="8">
        <v>205.79</v>
      </c>
      <c r="F745" s="36" t="s">
        <v>1052</v>
      </c>
      <c r="G745" s="41">
        <f t="shared" si="6"/>
        <v>0.20579</v>
      </c>
      <c r="H745" s="7"/>
      <c r="I745" s="7"/>
      <c r="J745" s="7"/>
      <c r="K745" s="7"/>
      <c r="L745" s="7"/>
      <c r="M745" s="7"/>
      <c r="N745" s="7" t="s">
        <v>891</v>
      </c>
      <c r="O745" s="7"/>
    </row>
    <row r="746" spans="1:15" ht="72" outlineLevel="1" x14ac:dyDescent="0.3">
      <c r="A746" s="7">
        <v>367</v>
      </c>
      <c r="B746" s="7">
        <v>367</v>
      </c>
      <c r="C746" s="7" t="s">
        <v>351</v>
      </c>
      <c r="D746" s="8" t="s">
        <v>549</v>
      </c>
      <c r="E746" s="8">
        <v>428.31</v>
      </c>
      <c r="F746" s="36" t="s">
        <v>1052</v>
      </c>
      <c r="G746" s="41">
        <f t="shared" ref="G746" si="7">E746/1000</f>
        <v>0.42831000000000002</v>
      </c>
      <c r="H746" s="7"/>
      <c r="I746" s="7"/>
      <c r="J746" s="7"/>
      <c r="K746" s="7"/>
      <c r="L746" s="7"/>
      <c r="M746" s="7"/>
      <c r="N746" s="7" t="s">
        <v>892</v>
      </c>
      <c r="O746" s="7"/>
    </row>
    <row r="747" spans="1:15" ht="144" outlineLevel="1" x14ac:dyDescent="0.3">
      <c r="A747" s="7">
        <v>368</v>
      </c>
      <c r="B747" s="7">
        <v>368</v>
      </c>
      <c r="C747" s="7" t="s">
        <v>352</v>
      </c>
      <c r="D747" s="8" t="s">
        <v>549</v>
      </c>
      <c r="E747" s="8">
        <v>293.41000000000003</v>
      </c>
      <c r="F747" s="36" t="s">
        <v>1052</v>
      </c>
      <c r="G747" s="41">
        <f>E747/1000</f>
        <v>0.29341</v>
      </c>
      <c r="H747" s="7"/>
      <c r="I747" s="7"/>
      <c r="J747" s="7"/>
      <c r="K747" s="7"/>
      <c r="L747" s="7"/>
      <c r="M747" s="7"/>
      <c r="N747" s="7" t="s">
        <v>893</v>
      </c>
      <c r="O747" s="7"/>
    </row>
    <row r="748" spans="1:15" outlineLevel="1" x14ac:dyDescent="0.3">
      <c r="A748" s="7"/>
      <c r="B748" s="7"/>
      <c r="C748" s="22" t="s">
        <v>1351</v>
      </c>
      <c r="D748" s="7"/>
      <c r="E748" s="7"/>
      <c r="F748" s="26" t="s">
        <v>549</v>
      </c>
      <c r="G748" s="39">
        <v>162.363</v>
      </c>
      <c r="H748" s="7"/>
      <c r="I748" s="7"/>
      <c r="J748" s="7"/>
      <c r="K748" s="7"/>
      <c r="L748" s="7"/>
      <c r="M748" s="7"/>
      <c r="N748" s="7"/>
      <c r="O748" s="7"/>
    </row>
    <row r="749" spans="1:15" outlineLevel="1" x14ac:dyDescent="0.3">
      <c r="A749" s="7"/>
      <c r="B749" s="7"/>
      <c r="C749" s="22" t="s">
        <v>1352</v>
      </c>
      <c r="D749" s="7"/>
      <c r="E749" s="7"/>
      <c r="F749" s="26" t="s">
        <v>549</v>
      </c>
      <c r="G749" s="39">
        <v>99.753</v>
      </c>
      <c r="H749" s="7"/>
      <c r="I749" s="7"/>
      <c r="J749" s="7"/>
      <c r="K749" s="7"/>
      <c r="L749" s="7"/>
      <c r="M749" s="7"/>
      <c r="N749" s="7"/>
      <c r="O749" s="7"/>
    </row>
    <row r="750" spans="1:15" outlineLevel="1" x14ac:dyDescent="0.3">
      <c r="A750" s="7"/>
      <c r="B750" s="7"/>
      <c r="C750" s="22" t="s">
        <v>1353</v>
      </c>
      <c r="D750" s="7"/>
      <c r="E750" s="7"/>
      <c r="F750" s="26" t="s">
        <v>549</v>
      </c>
      <c r="G750" s="39">
        <v>6.6630000000000003</v>
      </c>
      <c r="H750" s="7"/>
      <c r="I750" s="7"/>
      <c r="J750" s="7"/>
      <c r="K750" s="7"/>
      <c r="L750" s="7"/>
      <c r="M750" s="7"/>
      <c r="N750" s="7"/>
      <c r="O750" s="7"/>
    </row>
    <row r="751" spans="1:15" outlineLevel="1" x14ac:dyDescent="0.3">
      <c r="A751" s="7"/>
      <c r="B751" s="7"/>
      <c r="C751" s="22" t="s">
        <v>1354</v>
      </c>
      <c r="D751" s="7"/>
      <c r="E751" s="7"/>
      <c r="F751" s="26" t="s">
        <v>549</v>
      </c>
      <c r="G751" s="39">
        <v>7.266</v>
      </c>
      <c r="H751" s="7"/>
      <c r="I751" s="7"/>
      <c r="J751" s="7"/>
      <c r="K751" s="7"/>
      <c r="L751" s="7"/>
      <c r="M751" s="7"/>
      <c r="N751" s="7"/>
      <c r="O751" s="7"/>
    </row>
    <row r="752" spans="1:15" outlineLevel="1" x14ac:dyDescent="0.3">
      <c r="A752" s="7"/>
      <c r="B752" s="7"/>
      <c r="C752" s="22" t="s">
        <v>1355</v>
      </c>
      <c r="D752" s="7"/>
      <c r="E752" s="7"/>
      <c r="F752" s="26" t="s">
        <v>549</v>
      </c>
      <c r="G752" s="39">
        <v>3.9569999999999999</v>
      </c>
      <c r="H752" s="7"/>
      <c r="I752" s="7"/>
      <c r="J752" s="7"/>
      <c r="K752" s="7"/>
      <c r="L752" s="7"/>
      <c r="M752" s="7"/>
      <c r="N752" s="7"/>
      <c r="O752" s="7"/>
    </row>
    <row r="753" spans="1:15" outlineLevel="1" x14ac:dyDescent="0.3">
      <c r="A753" s="7"/>
      <c r="B753" s="7"/>
      <c r="C753" s="22" t="s">
        <v>1356</v>
      </c>
      <c r="D753" s="7"/>
      <c r="E753" s="7"/>
      <c r="F753" s="26" t="s">
        <v>549</v>
      </c>
      <c r="G753" s="39">
        <v>2.121</v>
      </c>
      <c r="H753" s="7"/>
      <c r="I753" s="7"/>
      <c r="J753" s="7"/>
      <c r="K753" s="7"/>
      <c r="L753" s="7"/>
      <c r="M753" s="7"/>
      <c r="N753" s="7"/>
      <c r="O753" s="7"/>
    </row>
    <row r="754" spans="1:15" outlineLevel="1" x14ac:dyDescent="0.3">
      <c r="A754" s="7"/>
      <c r="B754" s="7"/>
      <c r="C754" s="39" t="s">
        <v>1338</v>
      </c>
      <c r="D754" s="7"/>
      <c r="E754" s="7"/>
      <c r="F754" s="26" t="s">
        <v>549</v>
      </c>
      <c r="G754" s="39">
        <v>293.41000000000003</v>
      </c>
      <c r="H754" s="7"/>
      <c r="I754" s="7"/>
      <c r="J754" s="7"/>
      <c r="K754" s="7"/>
      <c r="L754" s="7"/>
      <c r="M754" s="7"/>
      <c r="N754" s="7"/>
      <c r="O754" s="7"/>
    </row>
    <row r="755" spans="1:15" ht="86.4" outlineLevel="1" x14ac:dyDescent="0.3">
      <c r="A755" s="7">
        <v>369</v>
      </c>
      <c r="B755" s="7">
        <v>369</v>
      </c>
      <c r="C755" s="7" t="s">
        <v>353</v>
      </c>
      <c r="D755" s="8" t="s">
        <v>549</v>
      </c>
      <c r="E755" s="8">
        <v>108.33</v>
      </c>
      <c r="F755" s="36" t="s">
        <v>1052</v>
      </c>
      <c r="G755" s="41">
        <f>E755/1000</f>
        <v>0.10833</v>
      </c>
      <c r="H755" s="7"/>
      <c r="I755" s="7"/>
      <c r="J755" s="7"/>
      <c r="K755" s="7"/>
      <c r="L755" s="7"/>
      <c r="M755" s="7"/>
      <c r="N755" s="7" t="s">
        <v>894</v>
      </c>
      <c r="O755" s="7"/>
    </row>
    <row r="756" spans="1:15" outlineLevel="1" x14ac:dyDescent="0.3">
      <c r="A756" s="7"/>
      <c r="B756" s="7"/>
      <c r="C756" s="22" t="s">
        <v>1357</v>
      </c>
      <c r="D756" s="7"/>
      <c r="E756" s="7"/>
      <c r="F756" s="26" t="s">
        <v>549</v>
      </c>
      <c r="G756" s="39">
        <v>101.15</v>
      </c>
      <c r="H756" s="7"/>
      <c r="I756" s="7"/>
      <c r="J756" s="7"/>
      <c r="K756" s="7"/>
      <c r="L756" s="7"/>
      <c r="M756" s="7"/>
      <c r="N756" s="7"/>
      <c r="O756" s="7"/>
    </row>
    <row r="757" spans="1:15" outlineLevel="1" x14ac:dyDescent="0.3">
      <c r="A757" s="7"/>
      <c r="B757" s="7"/>
      <c r="C757" s="22" t="s">
        <v>1358</v>
      </c>
      <c r="D757" s="7"/>
      <c r="E757" s="7"/>
      <c r="F757" s="26" t="s">
        <v>549</v>
      </c>
      <c r="G757" s="39">
        <v>3.0139999999999998</v>
      </c>
      <c r="H757" s="7"/>
      <c r="I757" s="7"/>
      <c r="J757" s="7"/>
      <c r="K757" s="7"/>
      <c r="L757" s="7"/>
      <c r="M757" s="7"/>
      <c r="N757" s="7"/>
      <c r="O757" s="7"/>
    </row>
    <row r="758" spans="1:15" outlineLevel="1" x14ac:dyDescent="0.3">
      <c r="A758" s="7"/>
      <c r="B758" s="7"/>
      <c r="C758" s="39" t="s">
        <v>1338</v>
      </c>
      <c r="D758" s="7"/>
      <c r="E758" s="7"/>
      <c r="F758" s="26" t="s">
        <v>549</v>
      </c>
      <c r="G758" s="39">
        <v>108.33</v>
      </c>
      <c r="H758" s="7"/>
      <c r="I758" s="7"/>
      <c r="J758" s="7"/>
      <c r="K758" s="7"/>
      <c r="L758" s="7"/>
      <c r="M758" s="7"/>
      <c r="N758" s="7"/>
      <c r="O758" s="7"/>
    </row>
    <row r="759" spans="1:15" ht="72" outlineLevel="1" x14ac:dyDescent="0.3">
      <c r="A759" s="7">
        <v>370</v>
      </c>
      <c r="B759" s="7">
        <v>370</v>
      </c>
      <c r="C759" s="7" t="s">
        <v>354</v>
      </c>
      <c r="D759" s="8" t="s">
        <v>549</v>
      </c>
      <c r="E759" s="8">
        <v>57.02</v>
      </c>
      <c r="F759" s="36" t="s">
        <v>1052</v>
      </c>
      <c r="G759" s="41">
        <f>E759/1000</f>
        <v>5.7020000000000001E-2</v>
      </c>
      <c r="H759" s="7"/>
      <c r="I759" s="7"/>
      <c r="J759" s="7"/>
      <c r="K759" s="7"/>
      <c r="L759" s="7"/>
      <c r="M759" s="7"/>
      <c r="N759" s="7" t="s">
        <v>895</v>
      </c>
      <c r="O759" s="7"/>
    </row>
    <row r="760" spans="1:15" outlineLevel="1" x14ac:dyDescent="0.3">
      <c r="A760" s="7"/>
      <c r="B760" s="7"/>
      <c r="C760" s="22" t="s">
        <v>1359</v>
      </c>
      <c r="D760" s="7"/>
      <c r="E760" s="7"/>
      <c r="F760" s="26" t="s">
        <v>549</v>
      </c>
      <c r="G760" s="39">
        <v>54.121000000000002</v>
      </c>
      <c r="H760" s="7"/>
      <c r="I760" s="7"/>
      <c r="J760" s="7"/>
      <c r="K760" s="7"/>
      <c r="L760" s="7"/>
      <c r="M760" s="7"/>
      <c r="N760" s="7"/>
      <c r="O760" s="7"/>
    </row>
    <row r="761" spans="1:15" outlineLevel="1" x14ac:dyDescent="0.3">
      <c r="A761" s="7"/>
      <c r="B761" s="7"/>
      <c r="C761" s="22" t="s">
        <v>1360</v>
      </c>
      <c r="D761" s="7"/>
      <c r="E761" s="7"/>
      <c r="F761" s="26" t="s">
        <v>549</v>
      </c>
      <c r="G761" s="39">
        <v>0.70699999999999996</v>
      </c>
      <c r="H761" s="7"/>
      <c r="I761" s="7"/>
      <c r="J761" s="7"/>
      <c r="K761" s="7"/>
      <c r="L761" s="7"/>
      <c r="M761" s="7"/>
      <c r="N761" s="7"/>
      <c r="O761" s="7"/>
    </row>
    <row r="762" spans="1:15" outlineLevel="1" x14ac:dyDescent="0.3">
      <c r="A762" s="7"/>
      <c r="B762" s="7"/>
      <c r="C762" s="39" t="s">
        <v>1343</v>
      </c>
      <c r="D762" s="7"/>
      <c r="E762" s="7"/>
      <c r="F762" s="26" t="s">
        <v>549</v>
      </c>
      <c r="G762" s="39">
        <v>57.02</v>
      </c>
      <c r="H762" s="7"/>
      <c r="I762" s="7"/>
      <c r="J762" s="7"/>
      <c r="K762" s="7"/>
      <c r="L762" s="7"/>
      <c r="M762" s="7"/>
      <c r="N762" s="7"/>
      <c r="O762" s="7"/>
    </row>
    <row r="763" spans="1:15" ht="158.4" outlineLevel="1" x14ac:dyDescent="0.3">
      <c r="A763" s="7">
        <v>371</v>
      </c>
      <c r="B763" s="7">
        <v>371</v>
      </c>
      <c r="C763" s="7" t="s">
        <v>355</v>
      </c>
      <c r="D763" s="8" t="s">
        <v>549</v>
      </c>
      <c r="E763" s="8">
        <v>213.84</v>
      </c>
      <c r="F763" s="36" t="s">
        <v>1052</v>
      </c>
      <c r="G763" s="41">
        <f>E763/1000</f>
        <v>0.21384</v>
      </c>
      <c r="H763" s="7"/>
      <c r="I763" s="7"/>
      <c r="J763" s="7"/>
      <c r="K763" s="7"/>
      <c r="L763" s="7"/>
      <c r="M763" s="7"/>
      <c r="N763" s="7" t="s">
        <v>896</v>
      </c>
      <c r="O763" s="7"/>
    </row>
    <row r="764" spans="1:15" outlineLevel="1" x14ac:dyDescent="0.3">
      <c r="A764" s="7"/>
      <c r="B764" s="7"/>
      <c r="C764" s="22" t="s">
        <v>1359</v>
      </c>
      <c r="D764" s="24"/>
      <c r="E764" s="24"/>
      <c r="F764" s="26" t="s">
        <v>549</v>
      </c>
      <c r="G764" s="39">
        <v>54.121000000000002</v>
      </c>
      <c r="H764" s="7"/>
      <c r="I764" s="7"/>
      <c r="J764" s="7"/>
      <c r="K764" s="7"/>
      <c r="L764" s="7"/>
      <c r="M764" s="7"/>
      <c r="N764" s="7"/>
      <c r="O764" s="7"/>
    </row>
    <row r="765" spans="1:15" outlineLevel="1" x14ac:dyDescent="0.3">
      <c r="A765" s="7"/>
      <c r="B765" s="7"/>
      <c r="C765" s="22" t="s">
        <v>1360</v>
      </c>
      <c r="D765" s="24"/>
      <c r="E765" s="24"/>
      <c r="F765" s="26" t="s">
        <v>549</v>
      </c>
      <c r="G765" s="39">
        <v>0.70699999999999996</v>
      </c>
      <c r="H765" s="7"/>
      <c r="I765" s="7"/>
      <c r="J765" s="7"/>
      <c r="K765" s="7"/>
      <c r="L765" s="7"/>
      <c r="M765" s="7"/>
      <c r="N765" s="7"/>
      <c r="O765" s="7"/>
    </row>
    <row r="766" spans="1:15" outlineLevel="1" x14ac:dyDescent="0.3">
      <c r="A766" s="7"/>
      <c r="B766" s="7"/>
      <c r="C766" s="22" t="s">
        <v>1361</v>
      </c>
      <c r="D766" s="24"/>
      <c r="E766" s="24"/>
      <c r="F766" s="26" t="s">
        <v>549</v>
      </c>
      <c r="G766" s="39">
        <v>7.2220000000000004</v>
      </c>
      <c r="H766" s="7"/>
      <c r="I766" s="7"/>
      <c r="J766" s="7"/>
      <c r="K766" s="7"/>
      <c r="L766" s="7"/>
      <c r="M766" s="7"/>
      <c r="N766" s="7"/>
      <c r="O766" s="7"/>
    </row>
    <row r="767" spans="1:15" outlineLevel="1" x14ac:dyDescent="0.3">
      <c r="A767" s="7"/>
      <c r="B767" s="7"/>
      <c r="C767" s="22" t="s">
        <v>1362</v>
      </c>
      <c r="D767" s="24"/>
      <c r="E767" s="24"/>
      <c r="F767" s="26" t="s">
        <v>549</v>
      </c>
      <c r="G767" s="39">
        <v>5.181</v>
      </c>
      <c r="H767" s="7"/>
      <c r="I767" s="7"/>
      <c r="J767" s="7"/>
      <c r="K767" s="7"/>
      <c r="L767" s="7"/>
      <c r="M767" s="7"/>
      <c r="N767" s="7"/>
      <c r="O767" s="7"/>
    </row>
    <row r="768" spans="1:15" outlineLevel="1" x14ac:dyDescent="0.3">
      <c r="A768" s="7"/>
      <c r="B768" s="7"/>
      <c r="C768" s="22" t="s">
        <v>1363</v>
      </c>
      <c r="D768" s="24"/>
      <c r="E768" s="24"/>
      <c r="F768" s="26" t="s">
        <v>549</v>
      </c>
      <c r="G768" s="39">
        <v>68.266999999999996</v>
      </c>
      <c r="H768" s="7"/>
      <c r="I768" s="7"/>
      <c r="J768" s="7"/>
      <c r="K768" s="7"/>
      <c r="L768" s="7"/>
      <c r="M768" s="7"/>
      <c r="N768" s="7"/>
      <c r="O768" s="7"/>
    </row>
    <row r="769" spans="1:15" outlineLevel="1" x14ac:dyDescent="0.3">
      <c r="A769" s="7"/>
      <c r="B769" s="7"/>
      <c r="C769" s="22" t="s">
        <v>1364</v>
      </c>
      <c r="D769" s="24"/>
      <c r="E769" s="24"/>
      <c r="F769" s="26" t="s">
        <v>549</v>
      </c>
      <c r="G769" s="39">
        <v>5.6520000000000001</v>
      </c>
      <c r="H769" s="7"/>
      <c r="I769" s="7"/>
      <c r="J769" s="7"/>
      <c r="K769" s="7"/>
      <c r="L769" s="7"/>
      <c r="M769" s="7"/>
      <c r="N769" s="7"/>
      <c r="O769" s="7"/>
    </row>
    <row r="770" spans="1:15" outlineLevel="1" x14ac:dyDescent="0.3">
      <c r="A770" s="7"/>
      <c r="B770" s="7"/>
      <c r="C770" s="22" t="s">
        <v>1365</v>
      </c>
      <c r="D770" s="24"/>
      <c r="E770" s="24"/>
      <c r="F770" s="26" t="s">
        <v>549</v>
      </c>
      <c r="G770" s="39">
        <v>50.575000000000003</v>
      </c>
      <c r="H770" s="7"/>
      <c r="I770" s="7"/>
      <c r="J770" s="7"/>
      <c r="K770" s="7"/>
      <c r="L770" s="7"/>
      <c r="M770" s="7"/>
      <c r="N770" s="7"/>
      <c r="O770" s="7"/>
    </row>
    <row r="771" spans="1:15" outlineLevel="1" x14ac:dyDescent="0.3">
      <c r="A771" s="7"/>
      <c r="B771" s="7"/>
      <c r="C771" s="22" t="s">
        <v>1366</v>
      </c>
      <c r="D771" s="24"/>
      <c r="E771" s="24"/>
      <c r="F771" s="26" t="s">
        <v>549</v>
      </c>
      <c r="G771" s="39">
        <v>5.6520000000000001</v>
      </c>
      <c r="H771" s="7"/>
      <c r="I771" s="7"/>
      <c r="J771" s="7"/>
      <c r="K771" s="7"/>
      <c r="L771" s="7"/>
      <c r="M771" s="7"/>
      <c r="N771" s="7"/>
      <c r="O771" s="7"/>
    </row>
    <row r="772" spans="1:15" outlineLevel="1" x14ac:dyDescent="0.3">
      <c r="A772" s="7"/>
      <c r="B772" s="7"/>
      <c r="C772" s="22" t="s">
        <v>1367</v>
      </c>
      <c r="D772" s="24"/>
      <c r="E772" s="24"/>
      <c r="F772" s="26" t="s">
        <v>549</v>
      </c>
      <c r="G772" s="39">
        <v>8.2430000000000003</v>
      </c>
      <c r="H772" s="7"/>
      <c r="I772" s="7"/>
      <c r="J772" s="7"/>
      <c r="K772" s="7"/>
      <c r="L772" s="7"/>
      <c r="M772" s="7"/>
      <c r="N772" s="7"/>
      <c r="O772" s="7"/>
    </row>
    <row r="773" spans="1:15" outlineLevel="1" x14ac:dyDescent="0.3">
      <c r="A773" s="7"/>
      <c r="B773" s="7"/>
      <c r="C773" s="39" t="s">
        <v>1368</v>
      </c>
      <c r="D773" s="24"/>
      <c r="E773" s="24"/>
      <c r="F773" s="26" t="s">
        <v>549</v>
      </c>
      <c r="G773" s="39">
        <v>213.84</v>
      </c>
      <c r="H773" s="7"/>
      <c r="I773" s="7"/>
      <c r="J773" s="7"/>
      <c r="K773" s="7"/>
      <c r="L773" s="7"/>
      <c r="M773" s="7"/>
      <c r="N773" s="7"/>
      <c r="O773" s="7"/>
    </row>
    <row r="774" spans="1:15" ht="100.8" outlineLevel="1" x14ac:dyDescent="0.3">
      <c r="A774" s="7">
        <v>372</v>
      </c>
      <c r="B774" s="7">
        <v>372</v>
      </c>
      <c r="C774" s="7" t="s">
        <v>356</v>
      </c>
      <c r="D774" s="8" t="s">
        <v>549</v>
      </c>
      <c r="E774" s="8">
        <v>108.46</v>
      </c>
      <c r="F774" s="36" t="s">
        <v>1052</v>
      </c>
      <c r="G774" s="41">
        <f>E774/1000</f>
        <v>0.10845999999999999</v>
      </c>
      <c r="H774" s="7"/>
      <c r="I774" s="7"/>
      <c r="J774" s="7"/>
      <c r="K774" s="7"/>
      <c r="L774" s="7"/>
      <c r="M774" s="7"/>
      <c r="N774" s="7" t="s">
        <v>897</v>
      </c>
      <c r="O774" s="7"/>
    </row>
    <row r="775" spans="1:15" outlineLevel="1" x14ac:dyDescent="0.3">
      <c r="A775" s="7"/>
      <c r="B775" s="7"/>
      <c r="C775" s="22" t="s">
        <v>1369</v>
      </c>
      <c r="D775" s="24"/>
      <c r="E775" s="24"/>
      <c r="F775" s="26" t="s">
        <v>549</v>
      </c>
      <c r="G775" s="39">
        <v>68.64</v>
      </c>
      <c r="H775" s="7"/>
      <c r="I775" s="7"/>
      <c r="J775" s="7"/>
      <c r="K775" s="7"/>
      <c r="L775" s="7"/>
      <c r="M775" s="7"/>
      <c r="N775" s="7"/>
      <c r="O775" s="7"/>
    </row>
    <row r="776" spans="1:15" outlineLevel="1" x14ac:dyDescent="0.3">
      <c r="A776" s="7"/>
      <c r="B776" s="7"/>
      <c r="C776" s="22" t="s">
        <v>1370</v>
      </c>
      <c r="D776" s="24"/>
      <c r="E776" s="24"/>
      <c r="F776" s="26" t="s">
        <v>549</v>
      </c>
      <c r="G776" s="39">
        <v>30.16</v>
      </c>
      <c r="H776" s="7"/>
      <c r="I776" s="7"/>
      <c r="J776" s="7"/>
      <c r="K776" s="7"/>
      <c r="L776" s="7"/>
      <c r="M776" s="7"/>
      <c r="N776" s="7"/>
      <c r="O776" s="7"/>
    </row>
    <row r="777" spans="1:15" outlineLevel="1" x14ac:dyDescent="0.3">
      <c r="A777" s="7"/>
      <c r="B777" s="7"/>
      <c r="C777" s="22" t="s">
        <v>1371</v>
      </c>
      <c r="D777" s="24"/>
      <c r="E777" s="24"/>
      <c r="F777" s="26" t="s">
        <v>549</v>
      </c>
      <c r="G777" s="39">
        <v>0.879</v>
      </c>
      <c r="H777" s="7"/>
      <c r="I777" s="7"/>
      <c r="J777" s="7"/>
      <c r="K777" s="7"/>
      <c r="L777" s="7"/>
      <c r="M777" s="7"/>
      <c r="N777" s="7"/>
      <c r="O777" s="7"/>
    </row>
    <row r="778" spans="1:15" outlineLevel="1" x14ac:dyDescent="0.3">
      <c r="A778" s="7"/>
      <c r="B778" s="7"/>
      <c r="C778" s="22" t="s">
        <v>1372</v>
      </c>
      <c r="D778" s="24"/>
      <c r="E778" s="24"/>
      <c r="F778" s="26" t="s">
        <v>549</v>
      </c>
      <c r="G778" s="39">
        <v>2.2909999999999999</v>
      </c>
      <c r="H778" s="7"/>
      <c r="I778" s="7"/>
      <c r="J778" s="7"/>
      <c r="K778" s="7"/>
      <c r="L778" s="7"/>
      <c r="M778" s="7"/>
      <c r="N778" s="7"/>
      <c r="O778" s="7"/>
    </row>
    <row r="779" spans="1:15" outlineLevel="1" x14ac:dyDescent="0.3">
      <c r="A779" s="7"/>
      <c r="B779" s="7"/>
      <c r="C779" s="22" t="s">
        <v>1373</v>
      </c>
      <c r="D779" s="24"/>
      <c r="E779" s="24"/>
      <c r="F779" s="26" t="s">
        <v>549</v>
      </c>
      <c r="G779" s="39">
        <v>2.3210000000000002</v>
      </c>
      <c r="H779" s="7"/>
      <c r="I779" s="7"/>
      <c r="J779" s="7"/>
      <c r="K779" s="7"/>
      <c r="L779" s="7"/>
      <c r="M779" s="7"/>
      <c r="N779" s="7"/>
      <c r="O779" s="7"/>
    </row>
    <row r="780" spans="1:15" outlineLevel="1" x14ac:dyDescent="0.3">
      <c r="A780" s="7"/>
      <c r="B780" s="7"/>
      <c r="C780" s="39" t="s">
        <v>1338</v>
      </c>
      <c r="D780" s="24"/>
      <c r="E780" s="24"/>
      <c r="F780" s="26" t="s">
        <v>549</v>
      </c>
      <c r="G780" s="39">
        <v>108.46</v>
      </c>
      <c r="H780" s="7"/>
      <c r="I780" s="7"/>
      <c r="J780" s="7"/>
      <c r="K780" s="7"/>
      <c r="L780" s="7"/>
      <c r="M780" s="7"/>
      <c r="N780" s="7"/>
      <c r="O780" s="7"/>
    </row>
    <row r="781" spans="1:15" s="2" customFormat="1" ht="28.8" x14ac:dyDescent="0.3">
      <c r="A781" s="4"/>
      <c r="B781" s="4"/>
      <c r="C781" s="4" t="s">
        <v>146</v>
      </c>
      <c r="D781" s="6"/>
      <c r="E781" s="6"/>
      <c r="F781" s="36"/>
      <c r="G781" s="41"/>
      <c r="H781" s="4"/>
      <c r="I781" s="4"/>
      <c r="J781" s="4"/>
      <c r="K781" s="4"/>
      <c r="L781" s="4"/>
      <c r="M781" s="4"/>
      <c r="N781" s="4"/>
      <c r="O781" s="4"/>
    </row>
    <row r="782" spans="1:15" ht="28.8" outlineLevel="1" x14ac:dyDescent="0.3">
      <c r="A782" s="7">
        <v>373</v>
      </c>
      <c r="B782" s="7">
        <v>373</v>
      </c>
      <c r="C782" s="7" t="s">
        <v>357</v>
      </c>
      <c r="D782" s="8" t="s">
        <v>546</v>
      </c>
      <c r="E782" s="8">
        <v>2597</v>
      </c>
      <c r="F782" s="26" t="s">
        <v>546</v>
      </c>
      <c r="G782" s="39">
        <v>2597</v>
      </c>
      <c r="H782" s="7"/>
      <c r="I782" s="7"/>
      <c r="J782" s="7"/>
      <c r="K782" s="7"/>
      <c r="L782" s="7"/>
      <c r="M782" s="7"/>
      <c r="N782" s="7"/>
      <c r="O782" s="7"/>
    </row>
    <row r="783" spans="1:15" ht="28.8" outlineLevel="1" x14ac:dyDescent="0.3">
      <c r="A783" s="7">
        <v>374</v>
      </c>
      <c r="B783" s="7">
        <v>374</v>
      </c>
      <c r="C783" s="7" t="s">
        <v>358</v>
      </c>
      <c r="D783" s="8" t="s">
        <v>546</v>
      </c>
      <c r="E783" s="8">
        <v>2597</v>
      </c>
      <c r="F783" s="26" t="s">
        <v>546</v>
      </c>
      <c r="G783" s="39">
        <v>2597</v>
      </c>
      <c r="H783" s="7"/>
      <c r="I783" s="7"/>
      <c r="J783" s="7"/>
      <c r="K783" s="7"/>
      <c r="L783" s="7"/>
      <c r="M783" s="7"/>
      <c r="N783" s="7" t="s">
        <v>898</v>
      </c>
      <c r="O783" s="7"/>
    </row>
    <row r="784" spans="1:15" ht="28.8" outlineLevel="1" x14ac:dyDescent="0.3">
      <c r="A784" s="7">
        <v>375</v>
      </c>
      <c r="B784" s="7">
        <v>375</v>
      </c>
      <c r="C784" s="7" t="s">
        <v>149</v>
      </c>
      <c r="D784" s="8" t="s">
        <v>546</v>
      </c>
      <c r="E784" s="8">
        <v>2597</v>
      </c>
      <c r="F784" s="36" t="s">
        <v>549</v>
      </c>
      <c r="G784" s="41">
        <f>2597*0.1</f>
        <v>259.7</v>
      </c>
      <c r="H784" s="7"/>
      <c r="I784" s="7"/>
      <c r="J784" s="7"/>
      <c r="K784" s="7"/>
      <c r="L784" s="7"/>
      <c r="M784" s="7"/>
      <c r="N784" s="7" t="s">
        <v>735</v>
      </c>
      <c r="O784" s="7"/>
    </row>
    <row r="785" spans="1:15" ht="28.8" outlineLevel="1" x14ac:dyDescent="0.3">
      <c r="A785" s="7">
        <v>376</v>
      </c>
      <c r="B785" s="7">
        <v>376</v>
      </c>
      <c r="C785" s="7" t="s">
        <v>150</v>
      </c>
      <c r="D785" s="8" t="s">
        <v>546</v>
      </c>
      <c r="E785" s="8">
        <v>2597</v>
      </c>
      <c r="F785" s="36" t="s">
        <v>549</v>
      </c>
      <c r="G785" s="41">
        <v>2691</v>
      </c>
      <c r="H785" s="7"/>
      <c r="I785" s="7"/>
      <c r="J785" s="7"/>
      <c r="K785" s="7"/>
      <c r="L785" s="7"/>
      <c r="M785" s="7"/>
      <c r="N785" s="7" t="s">
        <v>899</v>
      </c>
      <c r="O785" s="7"/>
    </row>
    <row r="786" spans="1:15" ht="28.8" outlineLevel="1" x14ac:dyDescent="0.3">
      <c r="A786" s="7">
        <v>377</v>
      </c>
      <c r="B786" s="7">
        <v>377</v>
      </c>
      <c r="C786" s="7" t="s">
        <v>151</v>
      </c>
      <c r="D786" s="8" t="s">
        <v>546</v>
      </c>
      <c r="E786" s="8">
        <v>2597</v>
      </c>
      <c r="F786" s="36" t="s">
        <v>549</v>
      </c>
      <c r="G786" s="41">
        <f>2597*2*0.18</f>
        <v>934.92</v>
      </c>
      <c r="H786" s="7"/>
      <c r="I786" s="7"/>
      <c r="J786" s="7"/>
      <c r="K786" s="7"/>
      <c r="L786" s="7"/>
      <c r="M786" s="7"/>
      <c r="N786" s="7" t="s">
        <v>737</v>
      </c>
      <c r="O786" s="7"/>
    </row>
    <row r="787" spans="1:15" ht="28.8" outlineLevel="1" x14ac:dyDescent="0.3">
      <c r="A787" s="7">
        <v>378</v>
      </c>
      <c r="B787" s="7">
        <v>378</v>
      </c>
      <c r="C787" s="7" t="s">
        <v>152</v>
      </c>
      <c r="D787" s="8" t="s">
        <v>546</v>
      </c>
      <c r="E787" s="8">
        <v>579</v>
      </c>
      <c r="F787" s="36" t="s">
        <v>549</v>
      </c>
      <c r="G787" s="41">
        <f>579*0.1</f>
        <v>57.900000000000006</v>
      </c>
      <c r="H787" s="7"/>
      <c r="I787" s="7"/>
      <c r="J787" s="7"/>
      <c r="K787" s="7"/>
      <c r="L787" s="7"/>
      <c r="M787" s="7"/>
      <c r="N787" s="7" t="s">
        <v>735</v>
      </c>
      <c r="O787" s="7"/>
    </row>
    <row r="788" spans="1:15" ht="28.8" outlineLevel="1" x14ac:dyDescent="0.3">
      <c r="A788" s="7">
        <v>379</v>
      </c>
      <c r="B788" s="7">
        <v>379</v>
      </c>
      <c r="C788" s="7" t="s">
        <v>153</v>
      </c>
      <c r="D788" s="8" t="s">
        <v>546</v>
      </c>
      <c r="E788" s="8">
        <v>579</v>
      </c>
      <c r="F788" s="36" t="s">
        <v>549</v>
      </c>
      <c r="G788" s="41">
        <v>177</v>
      </c>
      <c r="H788" s="7"/>
      <c r="I788" s="7"/>
      <c r="J788" s="7"/>
      <c r="K788" s="7"/>
      <c r="L788" s="7"/>
      <c r="M788" s="7"/>
      <c r="N788" s="7" t="s">
        <v>900</v>
      </c>
      <c r="O788" s="7"/>
    </row>
    <row r="789" spans="1:15" ht="43.2" outlineLevel="1" x14ac:dyDescent="0.3">
      <c r="A789" s="7">
        <v>380</v>
      </c>
      <c r="B789" s="7">
        <v>380</v>
      </c>
      <c r="C789" s="7" t="s">
        <v>154</v>
      </c>
      <c r="D789" s="8" t="s">
        <v>546</v>
      </c>
      <c r="E789" s="8">
        <v>579</v>
      </c>
      <c r="F789" s="36" t="s">
        <v>549</v>
      </c>
      <c r="G789" s="41">
        <f>579*2*0.18</f>
        <v>208.44</v>
      </c>
      <c r="H789" s="7"/>
      <c r="I789" s="7"/>
      <c r="J789" s="7"/>
      <c r="K789" s="7"/>
      <c r="L789" s="7"/>
      <c r="M789" s="7"/>
      <c r="N789" s="7" t="s">
        <v>737</v>
      </c>
      <c r="O789" s="7"/>
    </row>
    <row r="790" spans="1:15" outlineLevel="1" x14ac:dyDescent="0.3">
      <c r="A790" s="7">
        <v>381</v>
      </c>
      <c r="B790" s="7">
        <v>381</v>
      </c>
      <c r="C790" s="7" t="s">
        <v>158</v>
      </c>
      <c r="D790" s="8" t="s">
        <v>547</v>
      </c>
      <c r="E790" s="8">
        <v>200</v>
      </c>
      <c r="F790" s="26" t="s">
        <v>547</v>
      </c>
      <c r="G790" s="39">
        <v>200</v>
      </c>
      <c r="H790" s="7"/>
      <c r="I790" s="7"/>
      <c r="J790" s="7"/>
      <c r="K790" s="7"/>
      <c r="L790" s="7"/>
      <c r="M790" s="7"/>
      <c r="N790" s="7"/>
      <c r="O790" s="7"/>
    </row>
    <row r="791" spans="1:15" ht="57.6" outlineLevel="1" x14ac:dyDescent="0.3">
      <c r="A791" s="7">
        <v>382</v>
      </c>
      <c r="B791" s="7">
        <v>382</v>
      </c>
      <c r="C791" s="7" t="s">
        <v>159</v>
      </c>
      <c r="D791" s="8" t="s">
        <v>547</v>
      </c>
      <c r="E791" s="8">
        <v>3</v>
      </c>
      <c r="F791" s="26" t="s">
        <v>547</v>
      </c>
      <c r="G791" s="39">
        <v>3</v>
      </c>
      <c r="H791" s="7"/>
      <c r="I791" s="7"/>
      <c r="J791" s="7"/>
      <c r="K791" s="7"/>
      <c r="L791" s="7"/>
      <c r="M791" s="7"/>
      <c r="N791" s="7" t="s">
        <v>901</v>
      </c>
      <c r="O791" s="7"/>
    </row>
    <row r="792" spans="1:15" s="2" customFormat="1" x14ac:dyDescent="0.3">
      <c r="A792" s="4"/>
      <c r="B792" s="4"/>
      <c r="C792" s="4" t="s">
        <v>169</v>
      </c>
      <c r="D792" s="6"/>
      <c r="E792" s="6"/>
      <c r="F792" s="36"/>
      <c r="G792" s="41"/>
      <c r="H792" s="4"/>
      <c r="I792" s="4"/>
      <c r="J792" s="4"/>
      <c r="K792" s="4"/>
      <c r="L792" s="4"/>
      <c r="M792" s="4"/>
      <c r="N792" s="4"/>
      <c r="O792" s="4"/>
    </row>
    <row r="793" spans="1:15" ht="100.8" outlineLevel="1" x14ac:dyDescent="0.3">
      <c r="A793" s="7">
        <v>383</v>
      </c>
      <c r="B793" s="7">
        <v>383</v>
      </c>
      <c r="C793" s="7" t="s">
        <v>359</v>
      </c>
      <c r="D793" s="8" t="s">
        <v>550</v>
      </c>
      <c r="E793" s="8">
        <v>1.589</v>
      </c>
      <c r="F793" s="26" t="s">
        <v>550</v>
      </c>
      <c r="G793" s="39">
        <v>1.589</v>
      </c>
      <c r="H793" s="7"/>
      <c r="I793" s="7"/>
      <c r="J793" s="7"/>
      <c r="K793" s="7"/>
      <c r="L793" s="7"/>
      <c r="M793" s="7"/>
      <c r="N793" s="7" t="s">
        <v>902</v>
      </c>
      <c r="O793" s="7"/>
    </row>
    <row r="794" spans="1:15" ht="28.8" outlineLevel="1" x14ac:dyDescent="0.3">
      <c r="A794" s="7">
        <v>384</v>
      </c>
      <c r="B794" s="7">
        <v>384</v>
      </c>
      <c r="C794" s="7" t="s">
        <v>360</v>
      </c>
      <c r="D794" s="8" t="s">
        <v>546</v>
      </c>
      <c r="E794" s="8">
        <v>217.36</v>
      </c>
      <c r="F794" s="26" t="s">
        <v>546</v>
      </c>
      <c r="G794" s="39">
        <v>217.36</v>
      </c>
      <c r="H794" s="7"/>
      <c r="I794" s="7"/>
      <c r="J794" s="7"/>
      <c r="K794" s="7"/>
      <c r="L794" s="7"/>
      <c r="M794" s="7"/>
      <c r="N794" s="7" t="s">
        <v>750</v>
      </c>
      <c r="O794" s="7"/>
    </row>
    <row r="795" spans="1:15" ht="57.6" outlineLevel="1" x14ac:dyDescent="0.3">
      <c r="A795" s="7">
        <v>385</v>
      </c>
      <c r="B795" s="7">
        <v>385</v>
      </c>
      <c r="C795" s="7" t="s">
        <v>172</v>
      </c>
      <c r="D795" s="8" t="s">
        <v>546</v>
      </c>
      <c r="E795" s="8">
        <v>60.365000000000002</v>
      </c>
      <c r="F795" s="26" t="s">
        <v>546</v>
      </c>
      <c r="G795" s="39">
        <v>60.365000000000002</v>
      </c>
      <c r="H795" s="7"/>
      <c r="I795" s="7"/>
      <c r="J795" s="7"/>
      <c r="K795" s="7"/>
      <c r="L795" s="7"/>
      <c r="M795" s="7"/>
      <c r="N795" s="7" t="s">
        <v>903</v>
      </c>
      <c r="O795" s="7"/>
    </row>
    <row r="796" spans="1:15" ht="72" outlineLevel="1" x14ac:dyDescent="0.3">
      <c r="A796" s="7">
        <v>386</v>
      </c>
      <c r="B796" s="7">
        <v>386</v>
      </c>
      <c r="C796" s="7" t="s">
        <v>173</v>
      </c>
      <c r="D796" s="8" t="s">
        <v>546</v>
      </c>
      <c r="E796" s="8">
        <v>4.8</v>
      </c>
      <c r="F796" s="26" t="s">
        <v>546</v>
      </c>
      <c r="G796" s="39">
        <v>4.8</v>
      </c>
      <c r="H796" s="7"/>
      <c r="I796" s="7"/>
      <c r="J796" s="7"/>
      <c r="K796" s="7"/>
      <c r="L796" s="7"/>
      <c r="M796" s="7"/>
      <c r="N796" s="7" t="s">
        <v>904</v>
      </c>
      <c r="O796" s="7"/>
    </row>
    <row r="797" spans="1:15" ht="72" outlineLevel="1" x14ac:dyDescent="0.3">
      <c r="A797" s="7">
        <v>387</v>
      </c>
      <c r="B797" s="7">
        <v>387</v>
      </c>
      <c r="C797" s="7" t="s">
        <v>361</v>
      </c>
      <c r="D797" s="8" t="s">
        <v>548</v>
      </c>
      <c r="E797" s="8">
        <v>53.19</v>
      </c>
      <c r="F797" s="26" t="s">
        <v>548</v>
      </c>
      <c r="G797" s="39">
        <v>53.19</v>
      </c>
      <c r="H797" s="7"/>
      <c r="I797" s="7"/>
      <c r="J797" s="7"/>
      <c r="K797" s="7"/>
      <c r="L797" s="7"/>
      <c r="M797" s="7"/>
      <c r="N797" s="7" t="s">
        <v>905</v>
      </c>
      <c r="O797" s="7"/>
    </row>
    <row r="798" spans="1:15" ht="43.2" outlineLevel="1" x14ac:dyDescent="0.3">
      <c r="A798" s="7">
        <v>388</v>
      </c>
      <c r="B798" s="7">
        <v>388</v>
      </c>
      <c r="C798" s="7" t="s">
        <v>362</v>
      </c>
      <c r="D798" s="8" t="s">
        <v>548</v>
      </c>
      <c r="E798" s="8">
        <v>18.87</v>
      </c>
      <c r="F798" s="26" t="s">
        <v>548</v>
      </c>
      <c r="G798" s="39">
        <v>18.87</v>
      </c>
      <c r="H798" s="7"/>
      <c r="I798" s="7"/>
      <c r="J798" s="7"/>
      <c r="K798" s="7"/>
      <c r="L798" s="7"/>
      <c r="M798" s="7"/>
      <c r="N798" s="7" t="s">
        <v>906</v>
      </c>
      <c r="O798" s="7"/>
    </row>
    <row r="799" spans="1:15" s="2" customFormat="1" ht="28.8" x14ac:dyDescent="0.3">
      <c r="A799" s="4"/>
      <c r="B799" s="4"/>
      <c r="C799" s="5" t="s">
        <v>176</v>
      </c>
      <c r="D799" s="5"/>
      <c r="E799" s="5"/>
      <c r="F799" s="37"/>
      <c r="G799" s="42"/>
      <c r="H799" s="4"/>
      <c r="I799" s="4"/>
      <c r="J799" s="4"/>
      <c r="K799" s="4"/>
      <c r="L799" s="4"/>
      <c r="M799" s="4"/>
      <c r="N799" s="4" t="s">
        <v>907</v>
      </c>
      <c r="O799" s="4"/>
    </row>
    <row r="800" spans="1:15" s="2" customFormat="1" x14ac:dyDescent="0.3">
      <c r="A800" s="4"/>
      <c r="B800" s="4"/>
      <c r="C800" s="9" t="s">
        <v>363</v>
      </c>
      <c r="D800" s="6"/>
      <c r="E800" s="6"/>
      <c r="F800" s="36"/>
      <c r="G800" s="41"/>
      <c r="H800" s="4"/>
      <c r="I800" s="4"/>
      <c r="J800" s="4"/>
      <c r="K800" s="4"/>
      <c r="L800" s="4"/>
      <c r="M800" s="4"/>
      <c r="N800" s="4"/>
      <c r="O800" s="4"/>
    </row>
    <row r="801" spans="1:15" ht="203.4" customHeight="1" outlineLevel="1" x14ac:dyDescent="0.3">
      <c r="A801" s="7">
        <v>389</v>
      </c>
      <c r="B801" s="7">
        <v>389</v>
      </c>
      <c r="C801" s="7" t="s">
        <v>177</v>
      </c>
      <c r="D801" s="8" t="s">
        <v>546</v>
      </c>
      <c r="E801" s="8">
        <v>2575.6</v>
      </c>
      <c r="F801" s="36" t="s">
        <v>546</v>
      </c>
      <c r="G801" s="41">
        <v>2829.61</v>
      </c>
      <c r="H801" s="7"/>
      <c r="I801" s="7"/>
      <c r="J801" s="7"/>
      <c r="K801" s="7"/>
      <c r="L801" s="7"/>
      <c r="M801" s="7"/>
      <c r="N801" s="7" t="s">
        <v>1374</v>
      </c>
      <c r="O801" s="7"/>
    </row>
    <row r="802" spans="1:15" ht="21" customHeight="1" outlineLevel="1" x14ac:dyDescent="0.3">
      <c r="A802" s="7"/>
      <c r="B802" s="7"/>
      <c r="C802" s="22" t="s">
        <v>1375</v>
      </c>
      <c r="D802" s="7"/>
      <c r="E802" s="7"/>
      <c r="F802" s="26" t="s">
        <v>1167</v>
      </c>
      <c r="G802" s="45">
        <v>2829.61</v>
      </c>
      <c r="H802" s="7"/>
      <c r="I802" s="7"/>
      <c r="J802" s="7"/>
      <c r="K802" s="7"/>
      <c r="L802" s="7"/>
      <c r="M802" s="7"/>
      <c r="N802" s="7"/>
      <c r="O802" s="7"/>
    </row>
    <row r="803" spans="1:15" ht="21" customHeight="1" outlineLevel="1" x14ac:dyDescent="0.3">
      <c r="A803" s="7"/>
      <c r="B803" s="7"/>
      <c r="C803" s="22" t="s">
        <v>1376</v>
      </c>
      <c r="D803" s="7"/>
      <c r="E803" s="7"/>
      <c r="F803" s="26" t="s">
        <v>549</v>
      </c>
      <c r="G803" s="45">
        <v>28126.32</v>
      </c>
      <c r="H803" s="7"/>
      <c r="I803" s="7"/>
      <c r="J803" s="7"/>
      <c r="K803" s="7"/>
      <c r="L803" s="7"/>
      <c r="M803" s="7"/>
      <c r="N803" s="7"/>
      <c r="O803" s="7"/>
    </row>
    <row r="804" spans="1:15" ht="21" customHeight="1" outlineLevel="1" x14ac:dyDescent="0.3">
      <c r="A804" s="7"/>
      <c r="B804" s="7"/>
      <c r="C804" s="22" t="s">
        <v>1377</v>
      </c>
      <c r="D804" s="7"/>
      <c r="E804" s="7"/>
      <c r="F804" s="26" t="s">
        <v>547</v>
      </c>
      <c r="G804" s="72">
        <v>5000</v>
      </c>
      <c r="H804" s="7"/>
      <c r="I804" s="7"/>
      <c r="J804" s="7"/>
      <c r="K804" s="7"/>
      <c r="L804" s="7"/>
      <c r="M804" s="7"/>
      <c r="N804" s="7"/>
      <c r="O804" s="7"/>
    </row>
    <row r="805" spans="1:15" ht="21" customHeight="1" outlineLevel="1" x14ac:dyDescent="0.3">
      <c r="A805" s="7"/>
      <c r="B805" s="7"/>
      <c r="C805" s="22" t="s">
        <v>1378</v>
      </c>
      <c r="D805" s="7"/>
      <c r="E805" s="7"/>
      <c r="F805" s="26" t="s">
        <v>547</v>
      </c>
      <c r="G805" s="72">
        <v>6500</v>
      </c>
      <c r="H805" s="7"/>
      <c r="I805" s="7"/>
      <c r="J805" s="7"/>
      <c r="K805" s="7"/>
      <c r="L805" s="7"/>
      <c r="M805" s="7"/>
      <c r="N805" s="7"/>
      <c r="O805" s="7"/>
    </row>
    <row r="806" spans="1:15" ht="28.8" outlineLevel="1" x14ac:dyDescent="0.3">
      <c r="A806" s="7">
        <v>390</v>
      </c>
      <c r="B806" s="7">
        <v>390</v>
      </c>
      <c r="C806" s="7" t="s">
        <v>364</v>
      </c>
      <c r="D806" s="8" t="s">
        <v>546</v>
      </c>
      <c r="E806" s="8">
        <v>2571.6999999999998</v>
      </c>
      <c r="F806" s="36" t="s">
        <v>546</v>
      </c>
      <c r="G806" s="41">
        <f>2571.7*1.18</f>
        <v>3034.6059999999998</v>
      </c>
      <c r="H806" s="7"/>
      <c r="I806" s="7"/>
      <c r="J806" s="7"/>
      <c r="K806" s="7"/>
      <c r="L806" s="7"/>
      <c r="M806" s="7"/>
      <c r="N806" s="7" t="s">
        <v>908</v>
      </c>
      <c r="O806" s="7"/>
    </row>
    <row r="807" spans="1:15" ht="100.8" outlineLevel="1" x14ac:dyDescent="0.3">
      <c r="A807" s="7">
        <v>391</v>
      </c>
      <c r="B807" s="7">
        <v>391</v>
      </c>
      <c r="C807" s="7" t="s">
        <v>365</v>
      </c>
      <c r="D807" s="8" t="s">
        <v>546</v>
      </c>
      <c r="E807" s="8">
        <v>2571.6999999999998</v>
      </c>
      <c r="F807" s="26" t="s">
        <v>546</v>
      </c>
      <c r="G807" s="39">
        <v>2571.6999999999998</v>
      </c>
      <c r="H807" s="7"/>
      <c r="I807" s="7"/>
      <c r="J807" s="7"/>
      <c r="K807" s="7"/>
      <c r="L807" s="7"/>
      <c r="M807" s="7"/>
      <c r="N807" s="7" t="s">
        <v>909</v>
      </c>
      <c r="O807" s="7"/>
    </row>
    <row r="808" spans="1:15" ht="14.4" customHeight="1" outlineLevel="1" x14ac:dyDescent="0.3">
      <c r="A808" s="7"/>
      <c r="B808" s="7"/>
      <c r="C808" s="22" t="s">
        <v>1379</v>
      </c>
      <c r="D808" s="8"/>
      <c r="E808" s="8"/>
      <c r="F808" s="26" t="s">
        <v>551</v>
      </c>
      <c r="G808" s="41">
        <v>158.93</v>
      </c>
      <c r="H808" s="7"/>
      <c r="I808" s="7"/>
      <c r="J808" s="7"/>
      <c r="K808" s="7"/>
      <c r="L808" s="7"/>
      <c r="M808" s="7"/>
      <c r="N808" s="7"/>
      <c r="O808" s="7"/>
    </row>
    <row r="809" spans="1:15" ht="14.4" customHeight="1" outlineLevel="1" x14ac:dyDescent="0.3">
      <c r="A809" s="7"/>
      <c r="B809" s="7"/>
      <c r="C809" s="22" t="s">
        <v>1380</v>
      </c>
      <c r="D809" s="8"/>
      <c r="E809" s="8"/>
      <c r="F809" s="26" t="s">
        <v>546</v>
      </c>
      <c r="G809" s="41">
        <v>1672.56</v>
      </c>
      <c r="H809" s="7"/>
      <c r="I809" s="7"/>
      <c r="J809" s="7"/>
      <c r="K809" s="7"/>
      <c r="L809" s="7"/>
      <c r="M809" s="7"/>
      <c r="N809" s="7"/>
      <c r="O809" s="7"/>
    </row>
    <row r="810" spans="1:15" outlineLevel="1" x14ac:dyDescent="0.3">
      <c r="A810" s="7"/>
      <c r="B810" s="7"/>
      <c r="C810" s="22" t="s">
        <v>1381</v>
      </c>
      <c r="D810" s="8"/>
      <c r="E810" s="8"/>
      <c r="F810" s="26" t="s">
        <v>546</v>
      </c>
      <c r="G810" s="41">
        <v>138.94999999999999</v>
      </c>
      <c r="H810" s="7"/>
      <c r="I810" s="7"/>
      <c r="J810" s="7"/>
      <c r="K810" s="7"/>
      <c r="L810" s="7"/>
      <c r="M810" s="7"/>
      <c r="N810" s="7"/>
      <c r="O810" s="7"/>
    </row>
    <row r="811" spans="1:15" outlineLevel="1" x14ac:dyDescent="0.3">
      <c r="A811" s="7"/>
      <c r="B811" s="7"/>
      <c r="C811" s="22" t="s">
        <v>1382</v>
      </c>
      <c r="D811" s="8"/>
      <c r="E811" s="8"/>
      <c r="F811" s="26" t="s">
        <v>546</v>
      </c>
      <c r="G811" s="41">
        <f>2571.7*1.03</f>
        <v>2648.8509999999997</v>
      </c>
      <c r="H811" s="7"/>
      <c r="I811" s="7"/>
      <c r="J811" s="7"/>
      <c r="K811" s="7"/>
      <c r="L811" s="7"/>
      <c r="M811" s="7"/>
      <c r="N811" s="7"/>
      <c r="O811" s="7"/>
    </row>
    <row r="812" spans="1:15" outlineLevel="1" x14ac:dyDescent="0.3">
      <c r="A812" s="7"/>
      <c r="B812" s="7"/>
      <c r="C812" s="22" t="s">
        <v>1383</v>
      </c>
      <c r="D812" s="8"/>
      <c r="E812" s="8"/>
      <c r="F812" s="26" t="s">
        <v>547</v>
      </c>
      <c r="G812" s="41">
        <v>12859</v>
      </c>
      <c r="H812" s="7"/>
      <c r="I812" s="7"/>
      <c r="J812" s="7"/>
      <c r="K812" s="7"/>
      <c r="L812" s="7"/>
      <c r="M812" s="7"/>
      <c r="N812" s="7"/>
      <c r="O812" s="7"/>
    </row>
    <row r="813" spans="1:15" outlineLevel="1" x14ac:dyDescent="0.3">
      <c r="A813" s="7"/>
      <c r="B813" s="7"/>
      <c r="C813" s="22" t="s">
        <v>1384</v>
      </c>
      <c r="D813" s="8"/>
      <c r="E813" s="8"/>
      <c r="F813" s="26" t="s">
        <v>547</v>
      </c>
      <c r="G813" s="41">
        <v>12859</v>
      </c>
      <c r="H813" s="7"/>
      <c r="I813" s="7"/>
      <c r="J813" s="7"/>
      <c r="K813" s="7"/>
      <c r="L813" s="7"/>
      <c r="M813" s="7"/>
      <c r="N813" s="7"/>
      <c r="O813" s="7"/>
    </row>
    <row r="814" spans="1:15" ht="43.2" outlineLevel="1" x14ac:dyDescent="0.3">
      <c r="A814" s="7">
        <v>392</v>
      </c>
      <c r="B814" s="7">
        <v>392</v>
      </c>
      <c r="C814" s="7" t="s">
        <v>181</v>
      </c>
      <c r="D814" s="8" t="s">
        <v>546</v>
      </c>
      <c r="E814" s="8">
        <v>2571.6999999999998</v>
      </c>
      <c r="F814" s="36" t="s">
        <v>546</v>
      </c>
      <c r="G814" s="41">
        <f>2571.7*1.11</f>
        <v>2854.587</v>
      </c>
      <c r="H814" s="7"/>
      <c r="I814" s="7"/>
      <c r="J814" s="7"/>
      <c r="K814" s="7"/>
      <c r="L814" s="7"/>
      <c r="M814" s="7"/>
      <c r="N814" s="7" t="s">
        <v>910</v>
      </c>
      <c r="O814" s="7"/>
    </row>
    <row r="815" spans="1:15" ht="28.8" outlineLevel="1" x14ac:dyDescent="0.3">
      <c r="A815" s="7">
        <v>393</v>
      </c>
      <c r="B815" s="7">
        <v>393</v>
      </c>
      <c r="C815" s="7" t="s">
        <v>182</v>
      </c>
      <c r="D815" s="8" t="s">
        <v>547</v>
      </c>
      <c r="E815" s="8">
        <v>1</v>
      </c>
      <c r="F815" s="26" t="s">
        <v>547</v>
      </c>
      <c r="G815" s="39">
        <v>1</v>
      </c>
      <c r="H815" s="7"/>
      <c r="I815" s="7"/>
      <c r="J815" s="7"/>
      <c r="K815" s="7"/>
      <c r="L815" s="7"/>
      <c r="M815" s="7"/>
      <c r="N815" s="7" t="s">
        <v>911</v>
      </c>
      <c r="O815" s="7" t="s">
        <v>1049</v>
      </c>
    </row>
    <row r="816" spans="1:15" ht="28.8" outlineLevel="1" x14ac:dyDescent="0.3">
      <c r="A816" s="7">
        <v>394</v>
      </c>
      <c r="B816" s="7">
        <v>394</v>
      </c>
      <c r="C816" s="7" t="s">
        <v>183</v>
      </c>
      <c r="D816" s="8" t="s">
        <v>547</v>
      </c>
      <c r="E816" s="8">
        <v>1</v>
      </c>
      <c r="F816" s="26" t="s">
        <v>547</v>
      </c>
      <c r="G816" s="39">
        <v>1</v>
      </c>
      <c r="H816" s="7"/>
      <c r="I816" s="7"/>
      <c r="J816" s="7"/>
      <c r="K816" s="7"/>
      <c r="L816" s="7"/>
      <c r="M816" s="7"/>
      <c r="N816" s="7" t="s">
        <v>912</v>
      </c>
      <c r="O816" s="7"/>
    </row>
    <row r="817" spans="1:15" ht="28.8" outlineLevel="1" x14ac:dyDescent="0.3">
      <c r="A817" s="7">
        <v>395</v>
      </c>
      <c r="B817" s="7">
        <v>395</v>
      </c>
      <c r="C817" s="7" t="s">
        <v>184</v>
      </c>
      <c r="D817" s="8" t="s">
        <v>547</v>
      </c>
      <c r="E817" s="8">
        <v>1</v>
      </c>
      <c r="F817" s="26" t="s">
        <v>547</v>
      </c>
      <c r="G817" s="39">
        <v>1</v>
      </c>
      <c r="H817" s="7"/>
      <c r="I817" s="7"/>
      <c r="J817" s="7"/>
      <c r="K817" s="7"/>
      <c r="L817" s="7"/>
      <c r="M817" s="7"/>
      <c r="N817" s="7" t="s">
        <v>913</v>
      </c>
      <c r="O817" s="7" t="s">
        <v>1049</v>
      </c>
    </row>
    <row r="818" spans="1:15" s="2" customFormat="1" x14ac:dyDescent="0.3">
      <c r="A818" s="4"/>
      <c r="B818" s="4"/>
      <c r="C818" s="4" t="s">
        <v>232</v>
      </c>
      <c r="D818" s="6"/>
      <c r="E818" s="6"/>
      <c r="F818" s="36"/>
      <c r="G818" s="41"/>
      <c r="H818" s="4"/>
      <c r="I818" s="4"/>
      <c r="J818" s="4"/>
      <c r="K818" s="4"/>
      <c r="L818" s="4"/>
      <c r="M818" s="4"/>
      <c r="N818" s="4"/>
      <c r="O818" s="4"/>
    </row>
    <row r="819" spans="1:15" ht="72" outlineLevel="1" x14ac:dyDescent="0.3">
      <c r="A819" s="7">
        <v>396</v>
      </c>
      <c r="B819" s="7">
        <v>396</v>
      </c>
      <c r="C819" s="7" t="s">
        <v>361</v>
      </c>
      <c r="D819" s="8" t="s">
        <v>548</v>
      </c>
      <c r="E819" s="8">
        <v>62.43</v>
      </c>
      <c r="F819" s="26" t="s">
        <v>1202</v>
      </c>
      <c r="G819" s="39" t="s">
        <v>1385</v>
      </c>
      <c r="H819" s="7"/>
      <c r="I819" s="7"/>
      <c r="J819" s="7"/>
      <c r="K819" s="7"/>
      <c r="L819" s="7"/>
      <c r="M819" s="7"/>
      <c r="N819" s="7" t="s">
        <v>914</v>
      </c>
      <c r="O819" s="7"/>
    </row>
    <row r="820" spans="1:15" ht="128.4" customHeight="1" outlineLevel="1" x14ac:dyDescent="0.3">
      <c r="A820" s="7">
        <v>397</v>
      </c>
      <c r="B820" s="7">
        <v>397</v>
      </c>
      <c r="C820" s="7" t="s">
        <v>366</v>
      </c>
      <c r="D820" s="8" t="s">
        <v>548</v>
      </c>
      <c r="E820" s="8">
        <v>296.64999999999998</v>
      </c>
      <c r="F820" s="26" t="s">
        <v>1202</v>
      </c>
      <c r="G820" s="39" t="s">
        <v>1386</v>
      </c>
      <c r="H820" s="7"/>
      <c r="I820" s="7"/>
      <c r="J820" s="7"/>
      <c r="K820" s="7"/>
      <c r="L820" s="7"/>
      <c r="M820" s="7"/>
      <c r="N820" s="7" t="s">
        <v>915</v>
      </c>
      <c r="O820" s="7"/>
    </row>
    <row r="821" spans="1:15" s="2" customFormat="1" ht="28.8" x14ac:dyDescent="0.3">
      <c r="A821" s="4"/>
      <c r="B821" s="4"/>
      <c r="C821" s="4" t="s">
        <v>190</v>
      </c>
      <c r="D821" s="6"/>
      <c r="E821" s="6"/>
      <c r="F821" s="36"/>
      <c r="G821" s="41"/>
      <c r="H821" s="4"/>
      <c r="I821" s="4"/>
      <c r="J821" s="4"/>
      <c r="K821" s="4"/>
      <c r="L821" s="4"/>
      <c r="M821" s="4"/>
      <c r="N821" s="4"/>
      <c r="O821" s="4"/>
    </row>
    <row r="822" spans="1:15" s="2" customFormat="1" x14ac:dyDescent="0.3">
      <c r="A822" s="4"/>
      <c r="B822" s="4"/>
      <c r="C822" s="4" t="s">
        <v>367</v>
      </c>
      <c r="D822" s="6"/>
      <c r="E822" s="6"/>
      <c r="F822" s="36"/>
      <c r="G822" s="41"/>
      <c r="H822" s="4"/>
      <c r="I822" s="4"/>
      <c r="J822" s="4"/>
      <c r="K822" s="4"/>
      <c r="L822" s="4"/>
      <c r="M822" s="4"/>
      <c r="N822" s="4"/>
      <c r="O822" s="4"/>
    </row>
    <row r="823" spans="1:15" ht="86.4" outlineLevel="1" x14ac:dyDescent="0.3">
      <c r="A823" s="7">
        <v>398</v>
      </c>
      <c r="B823" s="7">
        <v>398</v>
      </c>
      <c r="C823" s="7" t="s">
        <v>368</v>
      </c>
      <c r="D823" s="8" t="s">
        <v>546</v>
      </c>
      <c r="E823" s="8">
        <v>30.3</v>
      </c>
      <c r="F823" s="36" t="s">
        <v>551</v>
      </c>
      <c r="G823" s="41">
        <f>0.015*101.108*1.03</f>
        <v>1.5621186</v>
      </c>
      <c r="H823" s="7"/>
      <c r="I823" s="7"/>
      <c r="J823" s="7"/>
      <c r="K823" s="7"/>
      <c r="L823" s="7"/>
      <c r="M823" s="7"/>
      <c r="N823" s="7" t="s">
        <v>916</v>
      </c>
      <c r="O823" s="7"/>
    </row>
    <row r="824" spans="1:15" outlineLevel="1" x14ac:dyDescent="0.3">
      <c r="A824" s="7"/>
      <c r="B824" s="7"/>
      <c r="C824" s="22" t="s">
        <v>1387</v>
      </c>
      <c r="D824" s="8"/>
      <c r="E824" s="8"/>
      <c r="F824" s="36" t="s">
        <v>551</v>
      </c>
      <c r="G824" s="41">
        <f>0.015*101.108*1.03</f>
        <v>1.5621186</v>
      </c>
      <c r="H824" s="7"/>
      <c r="I824" s="7"/>
      <c r="J824" s="7"/>
      <c r="K824" s="7"/>
      <c r="L824" s="7"/>
      <c r="M824" s="7"/>
      <c r="N824" s="7"/>
      <c r="O824" s="7"/>
    </row>
    <row r="825" spans="1:15" outlineLevel="1" x14ac:dyDescent="0.3">
      <c r="A825" s="7"/>
      <c r="B825" s="7"/>
      <c r="C825" s="22" t="s">
        <v>1196</v>
      </c>
      <c r="D825" s="8"/>
      <c r="E825" s="8"/>
      <c r="F825" s="36" t="s">
        <v>547</v>
      </c>
      <c r="G825" s="41">
        <v>152</v>
      </c>
      <c r="H825" s="7"/>
      <c r="I825" s="7"/>
      <c r="J825" s="7"/>
      <c r="K825" s="7"/>
      <c r="L825" s="7"/>
      <c r="M825" s="7"/>
      <c r="N825" s="7"/>
      <c r="O825" s="7"/>
    </row>
    <row r="826" spans="1:15" ht="100.8" outlineLevel="1" x14ac:dyDescent="0.3">
      <c r="A826" s="7">
        <v>399</v>
      </c>
      <c r="B826" s="7">
        <v>399</v>
      </c>
      <c r="C826" s="7" t="s">
        <v>369</v>
      </c>
      <c r="D826" s="8" t="s">
        <v>558</v>
      </c>
      <c r="E826" s="8">
        <v>101.1</v>
      </c>
      <c r="F826" s="26" t="s">
        <v>558</v>
      </c>
      <c r="G826" s="39">
        <v>101.1</v>
      </c>
      <c r="H826" s="7"/>
      <c r="I826" s="7"/>
      <c r="J826" s="7"/>
      <c r="K826" s="7"/>
      <c r="L826" s="7"/>
      <c r="M826" s="7"/>
      <c r="N826" s="7" t="s">
        <v>1388</v>
      </c>
      <c r="O826" s="7"/>
    </row>
    <row r="827" spans="1:15" outlineLevel="1" x14ac:dyDescent="0.3">
      <c r="A827" s="7"/>
      <c r="B827" s="7"/>
      <c r="C827" s="22" t="s">
        <v>1389</v>
      </c>
      <c r="D827" s="23"/>
      <c r="E827" s="23"/>
      <c r="F827" s="26" t="s">
        <v>1167</v>
      </c>
      <c r="G827" s="39">
        <v>72.989999999999995</v>
      </c>
      <c r="H827" s="7"/>
      <c r="I827" s="7"/>
      <c r="J827" s="7"/>
      <c r="K827" s="7"/>
      <c r="L827" s="7"/>
      <c r="M827" s="7"/>
      <c r="N827" s="7"/>
      <c r="O827" s="7"/>
    </row>
    <row r="828" spans="1:15" outlineLevel="1" x14ac:dyDescent="0.3">
      <c r="A828" s="7"/>
      <c r="B828" s="7"/>
      <c r="C828" s="22" t="s">
        <v>1390</v>
      </c>
      <c r="D828" s="23"/>
      <c r="E828" s="23"/>
      <c r="F828" s="26" t="s">
        <v>1167</v>
      </c>
      <c r="G828" s="39">
        <v>29.82</v>
      </c>
      <c r="H828" s="7"/>
      <c r="I828" s="7"/>
      <c r="J828" s="7"/>
      <c r="K828" s="7"/>
      <c r="L828" s="7"/>
      <c r="M828" s="7"/>
      <c r="N828" s="7"/>
      <c r="O828" s="7"/>
    </row>
    <row r="829" spans="1:15" outlineLevel="1" x14ac:dyDescent="0.3">
      <c r="A829" s="7"/>
      <c r="B829" s="7"/>
      <c r="C829" s="22" t="s">
        <v>1391</v>
      </c>
      <c r="D829" s="23"/>
      <c r="E829" s="23"/>
      <c r="F829" s="26" t="s">
        <v>1167</v>
      </c>
      <c r="G829" s="39">
        <v>208.27</v>
      </c>
      <c r="H829" s="7"/>
      <c r="I829" s="7"/>
      <c r="J829" s="7"/>
      <c r="K829" s="7"/>
      <c r="L829" s="7"/>
      <c r="M829" s="7"/>
      <c r="N829" s="7"/>
      <c r="O829" s="7"/>
    </row>
    <row r="830" spans="1:15" outlineLevel="1" x14ac:dyDescent="0.3">
      <c r="A830" s="7"/>
      <c r="B830" s="7"/>
      <c r="C830" s="22" t="s">
        <v>1392</v>
      </c>
      <c r="D830" s="23"/>
      <c r="E830" s="23"/>
      <c r="F830" s="26" t="s">
        <v>1393</v>
      </c>
      <c r="G830" s="39">
        <v>101.6</v>
      </c>
      <c r="H830" s="7"/>
      <c r="I830" s="7"/>
      <c r="J830" s="7"/>
      <c r="K830" s="7"/>
      <c r="L830" s="7"/>
      <c r="M830" s="7"/>
      <c r="N830" s="7"/>
      <c r="O830" s="7"/>
    </row>
    <row r="831" spans="1:15" outlineLevel="1" x14ac:dyDescent="0.3">
      <c r="A831" s="7"/>
      <c r="B831" s="7"/>
      <c r="C831" s="22" t="s">
        <v>1394</v>
      </c>
      <c r="D831" s="23"/>
      <c r="E831" s="23"/>
      <c r="F831" s="26" t="s">
        <v>1393</v>
      </c>
      <c r="G831" s="39">
        <v>101.1</v>
      </c>
      <c r="H831" s="7"/>
      <c r="I831" s="7"/>
      <c r="J831" s="7"/>
      <c r="K831" s="7"/>
      <c r="L831" s="7"/>
      <c r="M831" s="7"/>
      <c r="N831" s="7"/>
      <c r="O831" s="7"/>
    </row>
    <row r="832" spans="1:15" ht="43.2" outlineLevel="1" x14ac:dyDescent="0.3">
      <c r="A832" s="7">
        <v>400</v>
      </c>
      <c r="B832" s="7">
        <v>400</v>
      </c>
      <c r="C832" s="7" t="s">
        <v>370</v>
      </c>
      <c r="D832" s="8" t="s">
        <v>558</v>
      </c>
      <c r="E832" s="8">
        <v>101.1</v>
      </c>
      <c r="F832" s="26" t="s">
        <v>558</v>
      </c>
      <c r="G832" s="39">
        <v>101.1</v>
      </c>
      <c r="H832" s="7"/>
      <c r="I832" s="7"/>
      <c r="J832" s="7"/>
      <c r="K832" s="7"/>
      <c r="L832" s="7"/>
      <c r="M832" s="7"/>
      <c r="N832" s="7" t="s">
        <v>917</v>
      </c>
      <c r="O832" s="7"/>
    </row>
    <row r="833" spans="1:15" ht="28.8" outlineLevel="1" x14ac:dyDescent="0.3">
      <c r="A833" s="7"/>
      <c r="B833" s="7"/>
      <c r="C833" s="22" t="s">
        <v>1397</v>
      </c>
      <c r="D833" s="8"/>
      <c r="E833" s="8"/>
      <c r="F833" s="26" t="s">
        <v>558</v>
      </c>
      <c r="G833" s="39">
        <v>101.1</v>
      </c>
      <c r="H833" s="7"/>
      <c r="I833" s="7"/>
      <c r="J833" s="7"/>
      <c r="K833" s="7"/>
      <c r="L833" s="7"/>
      <c r="M833" s="7"/>
      <c r="N833" s="7"/>
      <c r="O833" s="7"/>
    </row>
    <row r="834" spans="1:15" outlineLevel="1" x14ac:dyDescent="0.3">
      <c r="A834" s="7"/>
      <c r="B834" s="7"/>
      <c r="C834" s="22" t="s">
        <v>1193</v>
      </c>
      <c r="D834" s="8"/>
      <c r="E834" s="8"/>
      <c r="F834" s="36" t="s">
        <v>1396</v>
      </c>
      <c r="G834" s="41" t="s">
        <v>1395</v>
      </c>
      <c r="H834" s="7"/>
      <c r="I834" s="7"/>
      <c r="J834" s="7"/>
      <c r="K834" s="7"/>
      <c r="L834" s="7"/>
      <c r="M834" s="7"/>
      <c r="N834" s="7"/>
      <c r="O834" s="7"/>
    </row>
    <row r="835" spans="1:15" s="2" customFormat="1" x14ac:dyDescent="0.3">
      <c r="A835" s="4"/>
      <c r="B835" s="4"/>
      <c r="C835" s="4" t="s">
        <v>371</v>
      </c>
      <c r="D835" s="6"/>
      <c r="E835" s="6"/>
      <c r="F835" s="36"/>
      <c r="G835" s="41"/>
      <c r="H835" s="4"/>
      <c r="I835" s="4"/>
      <c r="J835" s="4"/>
      <c r="K835" s="4"/>
      <c r="L835" s="4"/>
      <c r="M835" s="4"/>
      <c r="N835" s="4"/>
      <c r="O835" s="4"/>
    </row>
    <row r="836" spans="1:15" ht="86.4" outlineLevel="1" x14ac:dyDescent="0.3">
      <c r="A836" s="7">
        <v>401</v>
      </c>
      <c r="B836" s="7">
        <v>401</v>
      </c>
      <c r="C836" s="7" t="s">
        <v>372</v>
      </c>
      <c r="D836" s="8" t="s">
        <v>548</v>
      </c>
      <c r="E836" s="8">
        <v>118.9</v>
      </c>
      <c r="F836" s="26" t="s">
        <v>548</v>
      </c>
      <c r="G836" s="39">
        <v>118.9</v>
      </c>
      <c r="H836" s="7"/>
      <c r="I836" s="7"/>
      <c r="J836" s="7"/>
      <c r="K836" s="7"/>
      <c r="L836" s="7"/>
      <c r="M836" s="7"/>
      <c r="N836" s="7" t="s">
        <v>918</v>
      </c>
      <c r="O836" s="7"/>
    </row>
    <row r="837" spans="1:15" s="2" customFormat="1" x14ac:dyDescent="0.3">
      <c r="A837" s="4"/>
      <c r="B837" s="4"/>
      <c r="C837" s="4" t="s">
        <v>373</v>
      </c>
      <c r="D837" s="6"/>
      <c r="E837" s="6"/>
      <c r="F837" s="36"/>
      <c r="G837" s="41"/>
      <c r="H837" s="4"/>
      <c r="I837" s="4"/>
      <c r="J837" s="4"/>
      <c r="K837" s="4"/>
      <c r="L837" s="4"/>
      <c r="M837" s="4"/>
      <c r="N837" s="4"/>
      <c r="O837" s="4"/>
    </row>
    <row r="838" spans="1:15" ht="72" outlineLevel="1" x14ac:dyDescent="0.3">
      <c r="A838" s="7">
        <v>402</v>
      </c>
      <c r="B838" s="7">
        <v>402</v>
      </c>
      <c r="C838" s="7" t="s">
        <v>368</v>
      </c>
      <c r="D838" s="8" t="s">
        <v>546</v>
      </c>
      <c r="E838" s="8">
        <v>156</v>
      </c>
      <c r="F838" s="36" t="s">
        <v>551</v>
      </c>
      <c r="G838" s="41">
        <f>0.029*278.548*1.03</f>
        <v>8.3202287600000009</v>
      </c>
      <c r="H838" s="7"/>
      <c r="I838" s="7"/>
      <c r="J838" s="7"/>
      <c r="K838" s="7"/>
      <c r="L838" s="7"/>
      <c r="M838" s="7"/>
      <c r="N838" s="7" t="s">
        <v>919</v>
      </c>
      <c r="O838" s="7"/>
    </row>
    <row r="839" spans="1:15" outlineLevel="1" x14ac:dyDescent="0.3">
      <c r="A839" s="7"/>
      <c r="B839" s="7"/>
      <c r="C839" s="22" t="s">
        <v>1398</v>
      </c>
      <c r="D839" s="8"/>
      <c r="E839" s="8"/>
      <c r="F839" s="36" t="s">
        <v>551</v>
      </c>
      <c r="G839" s="41">
        <f>0.029*278.548*1.03</f>
        <v>8.3202287600000009</v>
      </c>
      <c r="H839" s="7"/>
      <c r="I839" s="7"/>
      <c r="J839" s="7"/>
      <c r="K839" s="7"/>
      <c r="L839" s="7"/>
      <c r="M839" s="7"/>
      <c r="N839" s="7"/>
      <c r="O839" s="7"/>
    </row>
    <row r="840" spans="1:15" outlineLevel="1" x14ac:dyDescent="0.3">
      <c r="A840" s="7"/>
      <c r="B840" s="7"/>
      <c r="C840" s="22" t="s">
        <v>1196</v>
      </c>
      <c r="D840" s="8"/>
      <c r="E840" s="8"/>
      <c r="F840" s="36" t="s">
        <v>547</v>
      </c>
      <c r="G840" s="41">
        <f>5*156</f>
        <v>780</v>
      </c>
      <c r="H840" s="7"/>
      <c r="I840" s="7"/>
      <c r="J840" s="7"/>
      <c r="K840" s="7"/>
      <c r="L840" s="7"/>
      <c r="M840" s="7"/>
      <c r="N840" s="7"/>
      <c r="O840" s="7"/>
    </row>
    <row r="841" spans="1:15" ht="129.6" outlineLevel="1" x14ac:dyDescent="0.3">
      <c r="A841" s="7">
        <v>403</v>
      </c>
      <c r="B841" s="7">
        <v>403</v>
      </c>
      <c r="C841" s="7" t="s">
        <v>374</v>
      </c>
      <c r="D841" s="8" t="s">
        <v>558</v>
      </c>
      <c r="E841" s="8">
        <v>278.5</v>
      </c>
      <c r="F841" s="26" t="s">
        <v>558</v>
      </c>
      <c r="G841" s="39">
        <v>278.5</v>
      </c>
      <c r="H841" s="7"/>
      <c r="I841" s="7"/>
      <c r="J841" s="7"/>
      <c r="K841" s="7"/>
      <c r="L841" s="7"/>
      <c r="M841" s="7"/>
      <c r="N841" s="7" t="s">
        <v>920</v>
      </c>
      <c r="O841" s="7"/>
    </row>
    <row r="842" spans="1:15" outlineLevel="1" x14ac:dyDescent="0.3">
      <c r="A842" s="7"/>
      <c r="B842" s="7"/>
      <c r="C842" s="22" t="s">
        <v>1235</v>
      </c>
      <c r="D842" s="24"/>
      <c r="E842" s="24"/>
      <c r="F842" s="26" t="s">
        <v>1167</v>
      </c>
      <c r="G842" s="39">
        <v>408.06</v>
      </c>
      <c r="H842" s="7"/>
      <c r="I842" s="7"/>
      <c r="J842" s="7"/>
      <c r="K842" s="7"/>
      <c r="L842" s="7"/>
      <c r="M842" s="7"/>
      <c r="N842" s="7"/>
      <c r="O842" s="7"/>
    </row>
    <row r="843" spans="1:15" outlineLevel="1" x14ac:dyDescent="0.3">
      <c r="A843" s="7"/>
      <c r="B843" s="7"/>
      <c r="C843" s="22" t="s">
        <v>1213</v>
      </c>
      <c r="D843" s="24"/>
      <c r="E843" s="24"/>
      <c r="F843" s="26" t="s">
        <v>1167</v>
      </c>
      <c r="G843" s="39">
        <v>82.16</v>
      </c>
      <c r="H843" s="7"/>
      <c r="I843" s="7"/>
      <c r="J843" s="7"/>
      <c r="K843" s="7"/>
      <c r="L843" s="7"/>
      <c r="M843" s="7"/>
      <c r="N843" s="7"/>
      <c r="O843" s="7"/>
    </row>
    <row r="844" spans="1:15" outlineLevel="1" x14ac:dyDescent="0.3">
      <c r="A844" s="7"/>
      <c r="B844" s="7"/>
      <c r="C844" s="22" t="s">
        <v>1402</v>
      </c>
      <c r="D844" s="24"/>
      <c r="E844" s="24"/>
      <c r="F844" s="26" t="s">
        <v>1393</v>
      </c>
      <c r="G844" s="39">
        <v>278.5</v>
      </c>
      <c r="H844" s="7"/>
      <c r="I844" s="7"/>
      <c r="J844" s="7"/>
      <c r="K844" s="7"/>
      <c r="L844" s="7"/>
      <c r="M844" s="7"/>
      <c r="N844" s="7"/>
      <c r="O844" s="7"/>
    </row>
    <row r="845" spans="1:15" outlineLevel="1" x14ac:dyDescent="0.3">
      <c r="A845" s="7"/>
      <c r="B845" s="7"/>
      <c r="C845" s="22" t="s">
        <v>1392</v>
      </c>
      <c r="D845" s="24"/>
      <c r="E845" s="24"/>
      <c r="F845" s="26" t="s">
        <v>1393</v>
      </c>
      <c r="G845" s="39">
        <v>278.5</v>
      </c>
      <c r="H845" s="7"/>
      <c r="I845" s="7"/>
      <c r="J845" s="7"/>
      <c r="K845" s="7"/>
      <c r="L845" s="7"/>
      <c r="M845" s="7"/>
      <c r="N845" s="7"/>
      <c r="O845" s="7"/>
    </row>
    <row r="846" spans="1:15" outlineLevel="1" x14ac:dyDescent="0.3">
      <c r="A846" s="7"/>
      <c r="B846" s="7"/>
      <c r="C846" s="22" t="s">
        <v>1403</v>
      </c>
      <c r="D846" s="24"/>
      <c r="E846" s="24"/>
      <c r="F846" s="26" t="s">
        <v>1393</v>
      </c>
      <c r="G846" s="39">
        <v>278.5</v>
      </c>
      <c r="H846" s="7"/>
      <c r="I846" s="7"/>
      <c r="J846" s="7"/>
      <c r="K846" s="7"/>
      <c r="L846" s="7"/>
      <c r="M846" s="7"/>
      <c r="N846" s="7"/>
      <c r="O846" s="7"/>
    </row>
    <row r="847" spans="1:15" outlineLevel="1" x14ac:dyDescent="0.3">
      <c r="A847" s="7"/>
      <c r="B847" s="7"/>
      <c r="C847" s="22" t="s">
        <v>1404</v>
      </c>
      <c r="D847" s="24"/>
      <c r="E847" s="24"/>
      <c r="F847" s="26" t="s">
        <v>549</v>
      </c>
      <c r="G847" s="39">
        <v>9.75</v>
      </c>
      <c r="H847" s="7"/>
      <c r="I847" s="7"/>
      <c r="J847" s="7"/>
      <c r="K847" s="7"/>
      <c r="L847" s="7"/>
      <c r="M847" s="7"/>
      <c r="N847" s="7"/>
      <c r="O847" s="7"/>
    </row>
    <row r="848" spans="1:15" ht="90.6" customHeight="1" outlineLevel="1" x14ac:dyDescent="0.3">
      <c r="A848" s="7">
        <v>404</v>
      </c>
      <c r="B848" s="7">
        <v>404</v>
      </c>
      <c r="C848" s="7" t="s">
        <v>375</v>
      </c>
      <c r="D848" s="8" t="s">
        <v>558</v>
      </c>
      <c r="E848" s="8">
        <v>278.5</v>
      </c>
      <c r="F848" s="36"/>
      <c r="G848" s="41"/>
      <c r="H848" s="7"/>
      <c r="I848" s="7"/>
      <c r="J848" s="7"/>
      <c r="K848" s="7"/>
      <c r="L848" s="7"/>
      <c r="M848" s="7"/>
      <c r="N848" s="7" t="s">
        <v>921</v>
      </c>
      <c r="O848" s="7"/>
    </row>
    <row r="849" spans="1:15" outlineLevel="1" x14ac:dyDescent="0.3">
      <c r="A849" s="7"/>
      <c r="B849" s="7"/>
      <c r="C849" s="22" t="s">
        <v>1399</v>
      </c>
      <c r="D849" s="8"/>
      <c r="E849" s="8"/>
      <c r="F849" s="36" t="s">
        <v>547</v>
      </c>
      <c r="G849" s="41">
        <f>2*278.5</f>
        <v>557</v>
      </c>
      <c r="H849" s="7"/>
      <c r="I849" s="7"/>
      <c r="J849" s="7"/>
      <c r="K849" s="7"/>
      <c r="L849" s="7"/>
      <c r="M849" s="7"/>
      <c r="N849" s="7"/>
      <c r="O849" s="7"/>
    </row>
    <row r="850" spans="1:15" outlineLevel="1" x14ac:dyDescent="0.3">
      <c r="A850" s="7"/>
      <c r="B850" s="7"/>
      <c r="C850" s="22" t="s">
        <v>1400</v>
      </c>
      <c r="D850" s="8"/>
      <c r="E850" s="8"/>
      <c r="F850" s="26" t="s">
        <v>558</v>
      </c>
      <c r="G850" s="39">
        <v>278.5</v>
      </c>
      <c r="H850" s="7"/>
      <c r="I850" s="7"/>
      <c r="J850" s="7"/>
      <c r="K850" s="7"/>
      <c r="L850" s="7"/>
      <c r="M850" s="7"/>
      <c r="N850" s="7"/>
      <c r="O850" s="7"/>
    </row>
    <row r="851" spans="1:15" ht="28.8" outlineLevel="1" x14ac:dyDescent="0.3">
      <c r="A851" s="7"/>
      <c r="B851" s="7"/>
      <c r="C851" s="22" t="s">
        <v>1401</v>
      </c>
      <c r="D851" s="8"/>
      <c r="E851" s="8"/>
      <c r="F851" s="36" t="s">
        <v>546</v>
      </c>
      <c r="G851" s="41">
        <v>0.53500000000000003</v>
      </c>
      <c r="H851" s="7"/>
      <c r="I851" s="7"/>
      <c r="J851" s="7"/>
      <c r="K851" s="7"/>
      <c r="L851" s="7"/>
      <c r="M851" s="7"/>
      <c r="N851" s="7"/>
      <c r="O851" s="7"/>
    </row>
    <row r="852" spans="1:15" s="2" customFormat="1" x14ac:dyDescent="0.3">
      <c r="A852" s="4"/>
      <c r="B852" s="4"/>
      <c r="C852" s="4" t="s">
        <v>376</v>
      </c>
      <c r="D852" s="6"/>
      <c r="E852" s="6"/>
      <c r="F852" s="36"/>
      <c r="G852" s="41"/>
      <c r="H852" s="4"/>
      <c r="I852" s="4"/>
      <c r="J852" s="4"/>
      <c r="K852" s="4"/>
      <c r="L852" s="4"/>
      <c r="M852" s="4"/>
      <c r="N852" s="4"/>
      <c r="O852" s="4"/>
    </row>
    <row r="853" spans="1:15" ht="28.8" outlineLevel="1" x14ac:dyDescent="0.3">
      <c r="A853" s="7">
        <v>405</v>
      </c>
      <c r="B853" s="7">
        <v>405</v>
      </c>
      <c r="C853" s="7" t="s">
        <v>377</v>
      </c>
      <c r="D853" s="8" t="s">
        <v>549</v>
      </c>
      <c r="E853" s="8">
        <v>385.31</v>
      </c>
      <c r="F853" s="36" t="s">
        <v>1052</v>
      </c>
      <c r="G853" s="41">
        <f>E853/1000</f>
        <v>0.38530999999999999</v>
      </c>
      <c r="H853" s="7"/>
      <c r="I853" s="7"/>
      <c r="J853" s="7"/>
      <c r="K853" s="7"/>
      <c r="L853" s="7"/>
      <c r="M853" s="7"/>
      <c r="N853" s="7" t="s">
        <v>922</v>
      </c>
      <c r="O853" s="7"/>
    </row>
    <row r="854" spans="1:15" ht="129.6" outlineLevel="1" x14ac:dyDescent="0.3">
      <c r="A854" s="7">
        <v>406</v>
      </c>
      <c r="B854" s="7">
        <v>406</v>
      </c>
      <c r="C854" s="7" t="s">
        <v>368</v>
      </c>
      <c r="D854" s="8" t="s">
        <v>546</v>
      </c>
      <c r="E854" s="8">
        <v>38.527999999999999</v>
      </c>
      <c r="F854" s="26" t="s">
        <v>551</v>
      </c>
      <c r="G854" s="41">
        <f>G855+G856</f>
        <v>4.1280000000000001</v>
      </c>
      <c r="H854" s="7"/>
      <c r="I854" s="7"/>
      <c r="J854" s="7"/>
      <c r="K854" s="7"/>
      <c r="L854" s="7"/>
      <c r="M854" s="7"/>
      <c r="N854" s="7" t="s">
        <v>923</v>
      </c>
      <c r="O854" s="7"/>
    </row>
    <row r="855" spans="1:15" outlineLevel="1" x14ac:dyDescent="0.3">
      <c r="A855" s="7"/>
      <c r="B855" s="7"/>
      <c r="C855" s="22" t="s">
        <v>1405</v>
      </c>
      <c r="D855" s="24"/>
      <c r="E855" s="24"/>
      <c r="F855" s="26" t="s">
        <v>551</v>
      </c>
      <c r="G855" s="41">
        <v>0.89439999999999997</v>
      </c>
      <c r="H855" s="7"/>
      <c r="I855" s="7"/>
      <c r="J855" s="7"/>
      <c r="K855" s="7"/>
      <c r="L855" s="7"/>
      <c r="M855" s="7"/>
      <c r="N855" s="7"/>
      <c r="O855" s="7"/>
    </row>
    <row r="856" spans="1:15" outlineLevel="1" x14ac:dyDescent="0.3">
      <c r="A856" s="7"/>
      <c r="B856" s="7"/>
      <c r="C856" s="22" t="s">
        <v>1263</v>
      </c>
      <c r="D856" s="24"/>
      <c r="E856" s="24"/>
      <c r="F856" s="26" t="s">
        <v>551</v>
      </c>
      <c r="G856" s="41">
        <v>3.2336</v>
      </c>
      <c r="H856" s="7"/>
      <c r="I856" s="7"/>
      <c r="J856" s="7"/>
      <c r="K856" s="7"/>
      <c r="L856" s="7"/>
      <c r="M856" s="7"/>
      <c r="N856" s="7"/>
      <c r="O856" s="7"/>
    </row>
    <row r="857" spans="1:15" outlineLevel="1" x14ac:dyDescent="0.3">
      <c r="A857" s="7"/>
      <c r="B857" s="7"/>
      <c r="C857" s="22" t="s">
        <v>1406</v>
      </c>
      <c r="D857" s="24"/>
      <c r="E857" s="24"/>
      <c r="F857" s="26" t="s">
        <v>546</v>
      </c>
      <c r="G857" s="41">
        <v>38.527999999999999</v>
      </c>
      <c r="H857" s="7"/>
      <c r="I857" s="7"/>
      <c r="J857" s="7"/>
      <c r="K857" s="7"/>
      <c r="L857" s="7"/>
      <c r="M857" s="7"/>
      <c r="N857" s="7"/>
      <c r="O857" s="7"/>
    </row>
    <row r="858" spans="1:15" ht="126.6" customHeight="1" outlineLevel="1" x14ac:dyDescent="0.3">
      <c r="A858" s="7">
        <v>407</v>
      </c>
      <c r="B858" s="7">
        <v>407</v>
      </c>
      <c r="C858" s="7" t="s">
        <v>378</v>
      </c>
      <c r="D858" s="8" t="s">
        <v>546</v>
      </c>
      <c r="E858" s="8">
        <v>44.03</v>
      </c>
      <c r="F858" s="26" t="s">
        <v>1167</v>
      </c>
      <c r="G858" s="39">
        <v>43.83</v>
      </c>
      <c r="H858" s="7"/>
      <c r="I858" s="7"/>
      <c r="J858" s="7"/>
      <c r="K858" s="7"/>
      <c r="L858" s="7"/>
      <c r="M858" s="7"/>
      <c r="N858" s="7" t="s">
        <v>924</v>
      </c>
      <c r="O858" s="7"/>
    </row>
    <row r="859" spans="1:15" ht="24" customHeight="1" outlineLevel="1" x14ac:dyDescent="0.3">
      <c r="A859" s="7"/>
      <c r="B859" s="7"/>
      <c r="C859" s="22" t="s">
        <v>1409</v>
      </c>
      <c r="D859" s="7"/>
      <c r="E859" s="7"/>
      <c r="F859" s="26" t="s">
        <v>1167</v>
      </c>
      <c r="G859" s="39">
        <v>43.83</v>
      </c>
      <c r="H859" s="7"/>
      <c r="I859" s="7"/>
      <c r="J859" s="7"/>
      <c r="K859" s="7"/>
      <c r="L859" s="7"/>
      <c r="M859" s="7"/>
      <c r="N859" s="7"/>
      <c r="O859" s="7"/>
    </row>
    <row r="860" spans="1:15" ht="24" customHeight="1" outlineLevel="1" x14ac:dyDescent="0.3">
      <c r="A860" s="7"/>
      <c r="B860" s="7"/>
      <c r="C860" s="22" t="s">
        <v>1408</v>
      </c>
      <c r="D860" s="7"/>
      <c r="E860" s="7"/>
      <c r="F860" s="26" t="s">
        <v>556</v>
      </c>
      <c r="G860" s="39">
        <v>17.2</v>
      </c>
      <c r="H860" s="7"/>
      <c r="I860" s="7"/>
      <c r="J860" s="7"/>
      <c r="K860" s="7"/>
      <c r="L860" s="7"/>
      <c r="M860" s="7"/>
      <c r="N860" s="7"/>
      <c r="O860" s="7"/>
    </row>
    <row r="861" spans="1:15" ht="86.4" outlineLevel="1" x14ac:dyDescent="0.3">
      <c r="A861" s="7">
        <v>408</v>
      </c>
      <c r="B861" s="7">
        <v>408</v>
      </c>
      <c r="C861" s="7" t="s">
        <v>379</v>
      </c>
      <c r="D861" s="8" t="s">
        <v>548</v>
      </c>
      <c r="E861" s="8">
        <v>68.8</v>
      </c>
      <c r="F861" s="36" t="s">
        <v>546</v>
      </c>
      <c r="G861" s="41">
        <f>0.7*68.8</f>
        <v>48.16</v>
      </c>
      <c r="H861" s="7"/>
      <c r="I861" s="7"/>
      <c r="J861" s="7"/>
      <c r="K861" s="7"/>
      <c r="L861" s="7"/>
      <c r="M861" s="7"/>
      <c r="N861" s="7" t="s">
        <v>925</v>
      </c>
      <c r="O861" s="7"/>
    </row>
    <row r="862" spans="1:15" ht="187.2" outlineLevel="1" x14ac:dyDescent="0.3">
      <c r="A862" s="7">
        <v>409</v>
      </c>
      <c r="B862" s="7">
        <v>409</v>
      </c>
      <c r="C862" s="7" t="s">
        <v>200</v>
      </c>
      <c r="D862" s="8" t="s">
        <v>548</v>
      </c>
      <c r="E862" s="8">
        <v>270.89999999999998</v>
      </c>
      <c r="F862" s="26" t="s">
        <v>1423</v>
      </c>
      <c r="G862" s="39" t="s">
        <v>1422</v>
      </c>
      <c r="H862" s="7"/>
      <c r="I862" s="7"/>
      <c r="J862" s="7"/>
      <c r="K862" s="7"/>
      <c r="L862" s="7"/>
      <c r="M862" s="7"/>
      <c r="N862" s="7" t="s">
        <v>926</v>
      </c>
      <c r="O862" s="7"/>
    </row>
    <row r="863" spans="1:15" outlineLevel="1" x14ac:dyDescent="0.3">
      <c r="A863" s="7"/>
      <c r="B863" s="7"/>
      <c r="C863" s="22" t="s">
        <v>1418</v>
      </c>
      <c r="D863" s="24"/>
      <c r="E863" s="24"/>
      <c r="F863" s="26" t="s">
        <v>547</v>
      </c>
      <c r="G863" s="39">
        <v>271</v>
      </c>
      <c r="H863" s="7"/>
      <c r="I863" s="7"/>
      <c r="J863" s="7"/>
      <c r="K863" s="7"/>
      <c r="L863" s="7"/>
      <c r="M863" s="7"/>
      <c r="N863" s="7"/>
      <c r="O863" s="7"/>
    </row>
    <row r="864" spans="1:15" outlineLevel="1" x14ac:dyDescent="0.3">
      <c r="A864" s="7"/>
      <c r="B864" s="7"/>
      <c r="C864" s="22" t="s">
        <v>1412</v>
      </c>
      <c r="D864" s="24"/>
      <c r="E864" s="24"/>
      <c r="F864" s="26" t="s">
        <v>1419</v>
      </c>
      <c r="G864" s="39" t="s">
        <v>1420</v>
      </c>
      <c r="H864" s="7"/>
      <c r="I864" s="7"/>
      <c r="J864" s="7"/>
      <c r="K864" s="7"/>
      <c r="L864" s="7"/>
      <c r="M864" s="7"/>
      <c r="N864" s="7"/>
      <c r="O864" s="7"/>
    </row>
    <row r="865" spans="1:15" outlineLevel="1" x14ac:dyDescent="0.3">
      <c r="A865" s="7"/>
      <c r="B865" s="7"/>
      <c r="C865" s="22" t="s">
        <v>1413</v>
      </c>
      <c r="D865" s="24"/>
      <c r="E865" s="24"/>
      <c r="F865" s="26" t="s">
        <v>547</v>
      </c>
      <c r="G865" s="39">
        <v>137</v>
      </c>
      <c r="H865" s="7"/>
      <c r="I865" s="7"/>
      <c r="J865" s="7"/>
      <c r="K865" s="7"/>
      <c r="L865" s="7"/>
      <c r="M865" s="7"/>
      <c r="N865" s="7"/>
      <c r="O865" s="7"/>
    </row>
    <row r="866" spans="1:15" outlineLevel="1" x14ac:dyDescent="0.3">
      <c r="A866" s="7"/>
      <c r="B866" s="7"/>
      <c r="C866" s="22" t="s">
        <v>1414</v>
      </c>
      <c r="D866" s="24"/>
      <c r="E866" s="24"/>
      <c r="F866" s="26" t="s">
        <v>1415</v>
      </c>
      <c r="G866" s="39" t="s">
        <v>1421</v>
      </c>
      <c r="H866" s="7"/>
      <c r="I866" s="7"/>
      <c r="J866" s="7"/>
      <c r="K866" s="7"/>
      <c r="L866" s="7"/>
      <c r="M866" s="7"/>
      <c r="N866" s="7"/>
      <c r="O866" s="7"/>
    </row>
    <row r="867" spans="1:15" ht="28.8" outlineLevel="1" x14ac:dyDescent="0.3">
      <c r="A867" s="7"/>
      <c r="B867" s="7"/>
      <c r="C867" s="22" t="s">
        <v>1416</v>
      </c>
      <c r="D867" s="24"/>
      <c r="E867" s="24"/>
      <c r="F867" s="26" t="s">
        <v>1423</v>
      </c>
      <c r="G867" s="39" t="s">
        <v>1422</v>
      </c>
      <c r="H867" s="7"/>
      <c r="I867" s="7"/>
      <c r="J867" s="7"/>
      <c r="K867" s="7"/>
      <c r="L867" s="7"/>
      <c r="M867" s="7"/>
      <c r="N867" s="7"/>
      <c r="O867" s="7"/>
    </row>
    <row r="868" spans="1:15" outlineLevel="1" x14ac:dyDescent="0.3">
      <c r="A868" s="7"/>
      <c r="B868" s="7"/>
      <c r="C868" s="22" t="s">
        <v>1417</v>
      </c>
      <c r="D868" s="24"/>
      <c r="E868" s="24"/>
      <c r="F868" s="26" t="s">
        <v>547</v>
      </c>
      <c r="G868" s="39">
        <v>271</v>
      </c>
      <c r="H868" s="7"/>
      <c r="I868" s="7"/>
      <c r="J868" s="7"/>
      <c r="K868" s="7"/>
      <c r="L868" s="7"/>
      <c r="M868" s="7"/>
      <c r="N868" s="7"/>
      <c r="O868" s="7"/>
    </row>
    <row r="869" spans="1:15" ht="100.8" outlineLevel="1" x14ac:dyDescent="0.3">
      <c r="A869" s="7">
        <v>410</v>
      </c>
      <c r="B869" s="7">
        <v>410</v>
      </c>
      <c r="C869" s="7" t="s">
        <v>210</v>
      </c>
      <c r="D869" s="8" t="s">
        <v>559</v>
      </c>
      <c r="E869" s="8" t="s">
        <v>572</v>
      </c>
      <c r="F869" s="6" t="s">
        <v>559</v>
      </c>
      <c r="G869" s="46" t="s">
        <v>1410</v>
      </c>
      <c r="H869" s="7"/>
      <c r="I869" s="7"/>
      <c r="J869" s="7"/>
      <c r="K869" s="7"/>
      <c r="L869" s="7"/>
      <c r="M869" s="7"/>
      <c r="N869" s="7" t="s">
        <v>927</v>
      </c>
      <c r="O869" s="7"/>
    </row>
    <row r="870" spans="1:15" ht="72" outlineLevel="1" x14ac:dyDescent="0.3">
      <c r="A870" s="7">
        <v>411</v>
      </c>
      <c r="B870" s="7">
        <v>411</v>
      </c>
      <c r="C870" s="7" t="s">
        <v>380</v>
      </c>
      <c r="D870" s="8" t="s">
        <v>547</v>
      </c>
      <c r="E870" s="8">
        <v>8</v>
      </c>
      <c r="F870" s="6" t="s">
        <v>547</v>
      </c>
      <c r="G870" s="46">
        <v>8</v>
      </c>
      <c r="H870" s="7"/>
      <c r="I870" s="7"/>
      <c r="J870" s="7"/>
      <c r="K870" s="7"/>
      <c r="L870" s="7"/>
      <c r="M870" s="7"/>
      <c r="N870" s="7" t="s">
        <v>1411</v>
      </c>
      <c r="O870" s="7"/>
    </row>
    <row r="871" spans="1:15" outlineLevel="1" x14ac:dyDescent="0.3">
      <c r="A871" s="7">
        <v>412</v>
      </c>
      <c r="B871" s="7">
        <v>412</v>
      </c>
      <c r="C871" s="7" t="s">
        <v>381</v>
      </c>
      <c r="D871" s="8" t="s">
        <v>547</v>
      </c>
      <c r="E871" s="8">
        <v>16</v>
      </c>
      <c r="F871" s="6" t="s">
        <v>547</v>
      </c>
      <c r="G871" s="46">
        <v>16</v>
      </c>
      <c r="H871" s="7"/>
      <c r="I871" s="7"/>
      <c r="J871" s="7"/>
      <c r="K871" s="7"/>
      <c r="L871" s="7"/>
      <c r="M871" s="7"/>
      <c r="N871" s="7" t="s">
        <v>928</v>
      </c>
      <c r="O871" s="7"/>
    </row>
    <row r="872" spans="1:15" s="2" customFormat="1" x14ac:dyDescent="0.3">
      <c r="A872" s="4"/>
      <c r="B872" s="4"/>
      <c r="C872" s="4" t="s">
        <v>226</v>
      </c>
      <c r="D872" s="6"/>
      <c r="E872" s="6"/>
      <c r="F872" s="36"/>
      <c r="G872" s="41"/>
      <c r="H872" s="4"/>
      <c r="I872" s="4"/>
      <c r="J872" s="4"/>
      <c r="K872" s="4"/>
      <c r="L872" s="4"/>
      <c r="M872" s="4"/>
      <c r="N872" s="4"/>
      <c r="O872" s="4"/>
    </row>
    <row r="873" spans="1:15" ht="144" outlineLevel="1" x14ac:dyDescent="0.3">
      <c r="A873" s="7">
        <v>413</v>
      </c>
      <c r="B873" s="7">
        <v>413</v>
      </c>
      <c r="C873" s="7" t="s">
        <v>226</v>
      </c>
      <c r="D873" s="8" t="s">
        <v>560</v>
      </c>
      <c r="E873" s="8" t="s">
        <v>573</v>
      </c>
      <c r="F873" s="6" t="s">
        <v>1436</v>
      </c>
      <c r="G873" s="46" t="s">
        <v>1437</v>
      </c>
      <c r="H873" s="7"/>
      <c r="I873" s="7"/>
      <c r="J873" s="7"/>
      <c r="K873" s="7"/>
      <c r="L873" s="7"/>
      <c r="M873" s="7"/>
      <c r="N873" s="7" t="s">
        <v>929</v>
      </c>
      <c r="O873" s="7"/>
    </row>
    <row r="874" spans="1:15" outlineLevel="1" x14ac:dyDescent="0.3">
      <c r="A874" s="7"/>
      <c r="B874" s="7"/>
      <c r="C874" s="22" t="s">
        <v>1424</v>
      </c>
      <c r="D874" s="7"/>
      <c r="E874" s="7"/>
      <c r="F874" s="26" t="s">
        <v>549</v>
      </c>
      <c r="G874" s="39">
        <v>49.06</v>
      </c>
      <c r="H874" s="7"/>
      <c r="I874" s="7"/>
      <c r="J874" s="7"/>
      <c r="K874" s="7"/>
      <c r="L874" s="7"/>
      <c r="M874" s="7"/>
      <c r="N874" s="7"/>
      <c r="O874" s="7"/>
    </row>
    <row r="875" spans="1:15" outlineLevel="1" x14ac:dyDescent="0.3">
      <c r="A875" s="7"/>
      <c r="B875" s="7"/>
      <c r="C875" s="22" t="s">
        <v>1425</v>
      </c>
      <c r="D875" s="7"/>
      <c r="E875" s="7"/>
      <c r="F875" s="26" t="s">
        <v>549</v>
      </c>
      <c r="G875" s="39">
        <v>12.43</v>
      </c>
      <c r="H875" s="7"/>
      <c r="I875" s="7"/>
      <c r="J875" s="7"/>
      <c r="K875" s="7"/>
      <c r="L875" s="7"/>
      <c r="M875" s="7"/>
      <c r="N875" s="7"/>
      <c r="O875" s="7"/>
    </row>
    <row r="876" spans="1:15" outlineLevel="1" x14ac:dyDescent="0.3">
      <c r="A876" s="7"/>
      <c r="B876" s="7"/>
      <c r="C876" s="22" t="s">
        <v>1426</v>
      </c>
      <c r="D876" s="7"/>
      <c r="E876" s="7"/>
      <c r="F876" s="26" t="s">
        <v>549</v>
      </c>
      <c r="G876" s="39">
        <v>14.06</v>
      </c>
      <c r="H876" s="7"/>
      <c r="I876" s="7"/>
      <c r="J876" s="7"/>
      <c r="K876" s="7"/>
      <c r="L876" s="7"/>
      <c r="M876" s="7"/>
      <c r="N876" s="7"/>
      <c r="O876" s="7"/>
    </row>
    <row r="877" spans="1:15" outlineLevel="1" x14ac:dyDescent="0.3">
      <c r="A877" s="7"/>
      <c r="B877" s="7"/>
      <c r="C877" s="22" t="s">
        <v>1427</v>
      </c>
      <c r="D877" s="7"/>
      <c r="E877" s="7"/>
      <c r="F877" s="26" t="s">
        <v>549</v>
      </c>
      <c r="G877" s="39">
        <v>25.12</v>
      </c>
      <c r="H877" s="7"/>
      <c r="I877" s="7"/>
      <c r="J877" s="7"/>
      <c r="K877" s="7"/>
      <c r="L877" s="7"/>
      <c r="M877" s="7"/>
      <c r="N877" s="7"/>
      <c r="O877" s="7"/>
    </row>
    <row r="878" spans="1:15" outlineLevel="1" x14ac:dyDescent="0.3">
      <c r="A878" s="7"/>
      <c r="B878" s="7"/>
      <c r="C878" s="22" t="s">
        <v>1428</v>
      </c>
      <c r="D878" s="7"/>
      <c r="E878" s="7"/>
      <c r="F878" s="26" t="s">
        <v>549</v>
      </c>
      <c r="G878" s="39">
        <v>8.67</v>
      </c>
      <c r="H878" s="7"/>
      <c r="I878" s="7"/>
      <c r="J878" s="7"/>
      <c r="K878" s="7"/>
      <c r="L878" s="7"/>
      <c r="M878" s="7"/>
      <c r="N878" s="7"/>
      <c r="O878" s="7"/>
    </row>
    <row r="879" spans="1:15" outlineLevel="1" x14ac:dyDescent="0.3">
      <c r="A879" s="7"/>
      <c r="B879" s="7"/>
      <c r="C879" s="22" t="s">
        <v>1429</v>
      </c>
      <c r="D879" s="7"/>
      <c r="E879" s="7"/>
      <c r="F879" s="26" t="s">
        <v>549</v>
      </c>
      <c r="G879" s="39">
        <v>6.97</v>
      </c>
      <c r="H879" s="7"/>
      <c r="I879" s="7"/>
      <c r="J879" s="7"/>
      <c r="K879" s="7"/>
      <c r="L879" s="7"/>
      <c r="M879" s="7"/>
      <c r="N879" s="7"/>
      <c r="O879" s="7"/>
    </row>
    <row r="880" spans="1:15" outlineLevel="1" x14ac:dyDescent="0.3">
      <c r="A880" s="7"/>
      <c r="B880" s="7"/>
      <c r="C880" s="22" t="s">
        <v>1430</v>
      </c>
      <c r="D880" s="7"/>
      <c r="E880" s="7"/>
      <c r="F880" s="26" t="s">
        <v>549</v>
      </c>
      <c r="G880" s="39">
        <v>1.81</v>
      </c>
      <c r="H880" s="7"/>
      <c r="I880" s="7"/>
      <c r="J880" s="7"/>
      <c r="K880" s="7"/>
      <c r="L880" s="7"/>
      <c r="M880" s="7"/>
      <c r="N880" s="7"/>
      <c r="O880" s="7"/>
    </row>
    <row r="881" spans="1:15" outlineLevel="1" x14ac:dyDescent="0.3">
      <c r="A881" s="7"/>
      <c r="B881" s="7"/>
      <c r="C881" s="22" t="s">
        <v>1431</v>
      </c>
      <c r="D881" s="7"/>
      <c r="E881" s="7"/>
      <c r="F881" s="26" t="s">
        <v>549</v>
      </c>
      <c r="G881" s="39">
        <v>7.69</v>
      </c>
      <c r="H881" s="7"/>
      <c r="I881" s="7"/>
      <c r="J881" s="7"/>
      <c r="K881" s="7"/>
      <c r="L881" s="7"/>
      <c r="M881" s="7"/>
      <c r="N881" s="7"/>
      <c r="O881" s="7"/>
    </row>
    <row r="882" spans="1:15" outlineLevel="1" x14ac:dyDescent="0.3">
      <c r="A882" s="7"/>
      <c r="B882" s="7"/>
      <c r="C882" s="22" t="s">
        <v>1432</v>
      </c>
      <c r="D882" s="7"/>
      <c r="E882" s="7"/>
      <c r="F882" s="26" t="s">
        <v>549</v>
      </c>
      <c r="G882" s="39">
        <v>6.86</v>
      </c>
      <c r="H882" s="7"/>
      <c r="I882" s="7"/>
      <c r="J882" s="7"/>
      <c r="K882" s="7"/>
      <c r="L882" s="7"/>
      <c r="M882" s="7"/>
      <c r="N882" s="7"/>
      <c r="O882" s="7"/>
    </row>
    <row r="883" spans="1:15" outlineLevel="1" x14ac:dyDescent="0.3">
      <c r="A883" s="7"/>
      <c r="B883" s="7"/>
      <c r="C883" s="22" t="s">
        <v>1433</v>
      </c>
      <c r="D883" s="7"/>
      <c r="E883" s="7"/>
      <c r="F883" s="26" t="s">
        <v>549</v>
      </c>
      <c r="G883" s="39">
        <v>22.42</v>
      </c>
      <c r="H883" s="7"/>
      <c r="I883" s="7"/>
      <c r="J883" s="7"/>
      <c r="K883" s="7"/>
      <c r="L883" s="7"/>
      <c r="M883" s="7"/>
      <c r="N883" s="7"/>
      <c r="O883" s="7"/>
    </row>
    <row r="884" spans="1:15" outlineLevel="1" x14ac:dyDescent="0.3">
      <c r="A884" s="7"/>
      <c r="B884" s="7"/>
      <c r="C884" s="22" t="s">
        <v>1434</v>
      </c>
      <c r="D884" s="7"/>
      <c r="E884" s="7"/>
      <c r="F884" s="26" t="s">
        <v>549</v>
      </c>
      <c r="G884" s="39">
        <v>4.96</v>
      </c>
      <c r="H884" s="7"/>
      <c r="I884" s="7"/>
      <c r="J884" s="7"/>
      <c r="K884" s="7"/>
      <c r="L884" s="7"/>
      <c r="M884" s="7"/>
      <c r="N884" s="7"/>
      <c r="O884" s="7"/>
    </row>
    <row r="885" spans="1:15" outlineLevel="1" x14ac:dyDescent="0.3">
      <c r="A885" s="7"/>
      <c r="B885" s="7"/>
      <c r="C885" s="22" t="s">
        <v>1435</v>
      </c>
      <c r="D885" s="7"/>
      <c r="E885" s="7"/>
      <c r="F885" s="26" t="s">
        <v>549</v>
      </c>
      <c r="G885" s="39">
        <v>19.13</v>
      </c>
      <c r="H885" s="7"/>
      <c r="I885" s="7"/>
      <c r="J885" s="7"/>
      <c r="K885" s="7"/>
      <c r="L885" s="7"/>
      <c r="M885" s="7"/>
      <c r="N885" s="7"/>
      <c r="O885" s="7"/>
    </row>
    <row r="886" spans="1:15" ht="28.8" outlineLevel="1" x14ac:dyDescent="0.3">
      <c r="A886" s="7">
        <v>414</v>
      </c>
      <c r="B886" s="7">
        <v>414</v>
      </c>
      <c r="C886" s="7" t="s">
        <v>227</v>
      </c>
      <c r="D886" s="8" t="s">
        <v>549</v>
      </c>
      <c r="E886" s="8">
        <v>17.440000000000001</v>
      </c>
      <c r="F886" s="36" t="s">
        <v>1052</v>
      </c>
      <c r="G886" s="41">
        <f>17.44/1000</f>
        <v>1.7440000000000001E-2</v>
      </c>
      <c r="H886" s="7"/>
      <c r="I886" s="7"/>
      <c r="J886" s="7"/>
      <c r="K886" s="7"/>
      <c r="L886" s="7"/>
      <c r="M886" s="7"/>
      <c r="N886" s="7" t="s">
        <v>930</v>
      </c>
      <c r="O886" s="7"/>
    </row>
    <row r="887" spans="1:15" ht="28.8" outlineLevel="1" x14ac:dyDescent="0.3">
      <c r="A887" s="7">
        <v>415</v>
      </c>
      <c r="B887" s="7">
        <v>415</v>
      </c>
      <c r="C887" s="7" t="s">
        <v>382</v>
      </c>
      <c r="D887" s="8" t="s">
        <v>546</v>
      </c>
      <c r="E887" s="8">
        <v>8</v>
      </c>
      <c r="F887" s="36" t="s">
        <v>549</v>
      </c>
      <c r="G887" s="41">
        <f>8*0.1</f>
        <v>0.8</v>
      </c>
      <c r="H887" s="7"/>
      <c r="I887" s="7"/>
      <c r="J887" s="7"/>
      <c r="K887" s="7"/>
      <c r="L887" s="7"/>
      <c r="M887" s="7"/>
      <c r="N887" s="7" t="s">
        <v>931</v>
      </c>
      <c r="O887" s="7"/>
    </row>
    <row r="888" spans="1:15" ht="43.2" outlineLevel="1" x14ac:dyDescent="0.3">
      <c r="A888" s="7">
        <v>416</v>
      </c>
      <c r="B888" s="7">
        <v>416</v>
      </c>
      <c r="C888" s="7" t="s">
        <v>383</v>
      </c>
      <c r="D888" s="8" t="s">
        <v>546</v>
      </c>
      <c r="E888" s="8">
        <v>8</v>
      </c>
      <c r="F888" s="36" t="s">
        <v>549</v>
      </c>
      <c r="G888" s="41">
        <f>8*0.18*2</f>
        <v>2.88</v>
      </c>
      <c r="H888" s="7"/>
      <c r="I888" s="7"/>
      <c r="J888" s="7"/>
      <c r="K888" s="7"/>
      <c r="L888" s="7"/>
      <c r="M888" s="7"/>
      <c r="N888" s="7" t="s">
        <v>932</v>
      </c>
      <c r="O888" s="7"/>
    </row>
    <row r="889" spans="1:15" ht="100.8" outlineLevel="1" x14ac:dyDescent="0.3">
      <c r="A889" s="7">
        <v>417</v>
      </c>
      <c r="B889" s="7">
        <v>417</v>
      </c>
      <c r="C889" s="7" t="s">
        <v>384</v>
      </c>
      <c r="D889" s="8" t="s">
        <v>546</v>
      </c>
      <c r="E889" s="8">
        <v>8.56</v>
      </c>
      <c r="F889" s="26" t="s">
        <v>546</v>
      </c>
      <c r="G889" s="39">
        <v>8.56</v>
      </c>
      <c r="H889" s="7"/>
      <c r="I889" s="7"/>
      <c r="J889" s="7"/>
      <c r="K889" s="7"/>
      <c r="L889" s="7"/>
      <c r="M889" s="7"/>
      <c r="N889" s="7" t="s">
        <v>933</v>
      </c>
      <c r="O889" s="7"/>
    </row>
    <row r="890" spans="1:15" outlineLevel="1" x14ac:dyDescent="0.3">
      <c r="A890" s="7"/>
      <c r="B890" s="7"/>
      <c r="C890" s="22" t="s">
        <v>1438</v>
      </c>
      <c r="D890" s="55"/>
      <c r="E890" s="55"/>
      <c r="F890" s="26" t="s">
        <v>1167</v>
      </c>
      <c r="G890" s="39">
        <v>1.28</v>
      </c>
      <c r="H890" s="7"/>
      <c r="I890" s="7"/>
      <c r="J890" s="7"/>
      <c r="K890" s="7"/>
      <c r="L890" s="7"/>
      <c r="M890" s="7"/>
      <c r="N890" s="7"/>
      <c r="O890" s="7"/>
    </row>
    <row r="891" spans="1:15" outlineLevel="1" x14ac:dyDescent="0.3">
      <c r="A891" s="7"/>
      <c r="B891" s="7"/>
      <c r="C891" s="22" t="s">
        <v>1439</v>
      </c>
      <c r="D891" s="55"/>
      <c r="E891" s="55"/>
      <c r="F891" s="26" t="s">
        <v>1167</v>
      </c>
      <c r="G891" s="39">
        <v>7.28</v>
      </c>
      <c r="H891" s="7"/>
      <c r="I891" s="7"/>
      <c r="J891" s="7"/>
      <c r="K891" s="7"/>
      <c r="L891" s="7"/>
      <c r="M891" s="7"/>
      <c r="N891" s="7"/>
      <c r="O891" s="7"/>
    </row>
    <row r="892" spans="1:15" outlineLevel="1" x14ac:dyDescent="0.3">
      <c r="A892" s="7"/>
      <c r="B892" s="7"/>
      <c r="C892" s="22" t="s">
        <v>1213</v>
      </c>
      <c r="D892" s="55"/>
      <c r="E892" s="55"/>
      <c r="F892" s="26" t="s">
        <v>1167</v>
      </c>
      <c r="G892" s="39">
        <v>0.17</v>
      </c>
      <c r="H892" s="7"/>
      <c r="I892" s="7"/>
      <c r="J892" s="7"/>
      <c r="K892" s="7"/>
      <c r="L892" s="7"/>
      <c r="M892" s="7"/>
      <c r="N892" s="7"/>
      <c r="O892" s="7"/>
    </row>
    <row r="893" spans="1:15" outlineLevel="1" x14ac:dyDescent="0.3">
      <c r="A893" s="7"/>
      <c r="B893" s="7"/>
      <c r="C893" s="22" t="s">
        <v>1292</v>
      </c>
      <c r="D893" s="55"/>
      <c r="E893" s="55"/>
      <c r="F893" s="26" t="s">
        <v>1440</v>
      </c>
      <c r="G893" s="39" t="s">
        <v>1442</v>
      </c>
      <c r="H893" s="7"/>
      <c r="I893" s="7"/>
      <c r="J893" s="7"/>
      <c r="K893" s="7"/>
      <c r="L893" s="7"/>
      <c r="M893" s="7"/>
      <c r="N893" s="7"/>
      <c r="O893" s="7"/>
    </row>
    <row r="894" spans="1:15" outlineLevel="1" x14ac:dyDescent="0.3">
      <c r="A894" s="7"/>
      <c r="B894" s="7"/>
      <c r="C894" s="22" t="s">
        <v>1193</v>
      </c>
      <c r="D894" s="55"/>
      <c r="E894" s="55"/>
      <c r="F894" s="26" t="s">
        <v>547</v>
      </c>
      <c r="G894" s="39">
        <v>1</v>
      </c>
      <c r="H894" s="7"/>
      <c r="I894" s="7"/>
      <c r="J894" s="7"/>
      <c r="K894" s="7"/>
      <c r="L894" s="7"/>
      <c r="M894" s="7"/>
      <c r="N894" s="7"/>
      <c r="O894" s="7"/>
    </row>
    <row r="895" spans="1:15" outlineLevel="1" x14ac:dyDescent="0.3">
      <c r="A895" s="7"/>
      <c r="B895" s="7"/>
      <c r="C895" s="22" t="s">
        <v>1441</v>
      </c>
      <c r="D895" s="55"/>
      <c r="E895" s="55"/>
      <c r="F895" s="26" t="s">
        <v>547</v>
      </c>
      <c r="G895" s="39">
        <v>2</v>
      </c>
      <c r="H895" s="7"/>
      <c r="I895" s="7"/>
      <c r="J895" s="7"/>
      <c r="K895" s="7"/>
      <c r="L895" s="7"/>
      <c r="M895" s="7"/>
      <c r="N895" s="7"/>
      <c r="O895" s="7"/>
    </row>
    <row r="896" spans="1:15" outlineLevel="1" x14ac:dyDescent="0.3">
      <c r="A896" s="7"/>
      <c r="B896" s="7"/>
      <c r="C896" s="22" t="s">
        <v>1296</v>
      </c>
      <c r="D896" s="55"/>
      <c r="E896" s="55"/>
      <c r="F896" s="26" t="s">
        <v>547</v>
      </c>
      <c r="G896" s="39">
        <v>2</v>
      </c>
      <c r="H896" s="7"/>
      <c r="I896" s="7"/>
      <c r="J896" s="7"/>
      <c r="K896" s="7"/>
      <c r="L896" s="7"/>
      <c r="M896" s="7"/>
      <c r="N896" s="7"/>
      <c r="O896" s="7"/>
    </row>
    <row r="897" spans="1:15" s="2" customFormat="1" x14ac:dyDescent="0.3">
      <c r="A897" s="4"/>
      <c r="B897" s="4"/>
      <c r="C897" s="4" t="s">
        <v>236</v>
      </c>
      <c r="D897" s="6"/>
      <c r="E897" s="6"/>
      <c r="F897" s="36"/>
      <c r="G897" s="41"/>
      <c r="H897" s="4"/>
      <c r="I897" s="4"/>
      <c r="J897" s="4"/>
      <c r="K897" s="4"/>
      <c r="L897" s="4"/>
      <c r="M897" s="4"/>
      <c r="N897" s="4"/>
      <c r="O897" s="4"/>
    </row>
    <row r="898" spans="1:15" ht="172.8" outlineLevel="1" x14ac:dyDescent="0.3">
      <c r="A898" s="7">
        <v>418</v>
      </c>
      <c r="B898" s="7">
        <v>418</v>
      </c>
      <c r="C898" s="7" t="s">
        <v>236</v>
      </c>
      <c r="D898" s="8" t="s">
        <v>549</v>
      </c>
      <c r="E898" s="8">
        <v>482.45</v>
      </c>
      <c r="F898" s="36" t="s">
        <v>1052</v>
      </c>
      <c r="G898" s="41">
        <f>SUM(G899:G911)/1000</f>
        <v>0.48242999999999997</v>
      </c>
      <c r="H898" s="7"/>
      <c r="I898" s="7"/>
      <c r="J898" s="7"/>
      <c r="K898" s="7"/>
      <c r="L898" s="7"/>
      <c r="M898" s="7"/>
      <c r="N898" s="7" t="s">
        <v>934</v>
      </c>
      <c r="O898" s="7"/>
    </row>
    <row r="899" spans="1:15" outlineLevel="1" x14ac:dyDescent="0.3">
      <c r="A899" s="7"/>
      <c r="B899" s="7"/>
      <c r="C899" s="22" t="s">
        <v>1443</v>
      </c>
      <c r="D899" s="24"/>
      <c r="E899" s="23"/>
      <c r="F899" s="36" t="s">
        <v>549</v>
      </c>
      <c r="G899" s="39">
        <f>43.86*3</f>
        <v>131.57999999999998</v>
      </c>
      <c r="H899" s="7"/>
      <c r="I899" s="7"/>
      <c r="J899" s="7"/>
      <c r="K899" s="7"/>
      <c r="L899" s="7"/>
      <c r="M899" s="7"/>
      <c r="N899" s="7"/>
      <c r="O899" s="7"/>
    </row>
    <row r="900" spans="1:15" outlineLevel="1" x14ac:dyDescent="0.3">
      <c r="A900" s="7"/>
      <c r="B900" s="7"/>
      <c r="C900" s="22" t="s">
        <v>1444</v>
      </c>
      <c r="D900" s="24"/>
      <c r="E900" s="23"/>
      <c r="F900" s="36" t="s">
        <v>549</v>
      </c>
      <c r="G900" s="39">
        <f>10.65*3</f>
        <v>31.950000000000003</v>
      </c>
      <c r="H900" s="7"/>
      <c r="I900" s="7"/>
      <c r="J900" s="7"/>
      <c r="K900" s="7"/>
      <c r="L900" s="7"/>
      <c r="M900" s="7"/>
      <c r="N900" s="7"/>
      <c r="O900" s="7"/>
    </row>
    <row r="901" spans="1:15" outlineLevel="1" x14ac:dyDescent="0.3">
      <c r="A901" s="7"/>
      <c r="B901" s="7"/>
      <c r="C901" s="22" t="s">
        <v>1445</v>
      </c>
      <c r="D901" s="24"/>
      <c r="E901" s="23"/>
      <c r="F901" s="36" t="s">
        <v>549</v>
      </c>
      <c r="G901" s="39">
        <f>7.03*3</f>
        <v>21.09</v>
      </c>
      <c r="H901" s="7"/>
      <c r="I901" s="7"/>
      <c r="J901" s="7"/>
      <c r="K901" s="7"/>
      <c r="L901" s="7"/>
      <c r="M901" s="7"/>
      <c r="N901" s="7"/>
      <c r="O901" s="7"/>
    </row>
    <row r="902" spans="1:15" outlineLevel="1" x14ac:dyDescent="0.3">
      <c r="A902" s="7"/>
      <c r="B902" s="7"/>
      <c r="C902" s="22" t="s">
        <v>1446</v>
      </c>
      <c r="D902" s="24"/>
      <c r="E902" s="23"/>
      <c r="F902" s="36" t="s">
        <v>549</v>
      </c>
      <c r="G902" s="39">
        <f>12.56*3</f>
        <v>37.68</v>
      </c>
      <c r="H902" s="7"/>
      <c r="I902" s="7"/>
      <c r="J902" s="7"/>
      <c r="K902" s="7"/>
      <c r="L902" s="7"/>
      <c r="M902" s="7"/>
      <c r="N902" s="7"/>
      <c r="O902" s="7"/>
    </row>
    <row r="903" spans="1:15" outlineLevel="1" x14ac:dyDescent="0.3">
      <c r="A903" s="7"/>
      <c r="B903" s="7"/>
      <c r="C903" s="22" t="s">
        <v>1447</v>
      </c>
      <c r="D903" s="24"/>
      <c r="E903" s="23"/>
      <c r="F903" s="36" t="s">
        <v>549</v>
      </c>
      <c r="G903" s="39">
        <f>8.67*3</f>
        <v>26.009999999999998</v>
      </c>
      <c r="H903" s="7"/>
      <c r="I903" s="7"/>
      <c r="J903" s="7"/>
      <c r="K903" s="7"/>
      <c r="L903" s="7"/>
      <c r="M903" s="7"/>
      <c r="N903" s="7"/>
      <c r="O903" s="7"/>
    </row>
    <row r="904" spans="1:15" outlineLevel="1" x14ac:dyDescent="0.3">
      <c r="A904" s="7"/>
      <c r="B904" s="7"/>
      <c r="C904" s="22" t="s">
        <v>1448</v>
      </c>
      <c r="D904" s="24"/>
      <c r="E904" s="23"/>
      <c r="F904" s="36" t="s">
        <v>549</v>
      </c>
      <c r="G904" s="39">
        <f>6.97*3</f>
        <v>20.91</v>
      </c>
      <c r="H904" s="7"/>
      <c r="I904" s="7"/>
      <c r="J904" s="7"/>
      <c r="K904" s="7"/>
      <c r="L904" s="7"/>
      <c r="M904" s="7"/>
      <c r="N904" s="7"/>
      <c r="O904" s="7"/>
    </row>
    <row r="905" spans="1:15" outlineLevel="1" x14ac:dyDescent="0.3">
      <c r="A905" s="7"/>
      <c r="B905" s="7"/>
      <c r="C905" s="22" t="s">
        <v>1449</v>
      </c>
      <c r="D905" s="24"/>
      <c r="E905" s="23"/>
      <c r="F905" s="36" t="s">
        <v>549</v>
      </c>
      <c r="G905" s="39">
        <f>1.81*3</f>
        <v>5.43</v>
      </c>
      <c r="H905" s="7"/>
      <c r="I905" s="7"/>
      <c r="J905" s="7"/>
      <c r="K905" s="7"/>
      <c r="L905" s="7"/>
      <c r="M905" s="7"/>
      <c r="N905" s="7"/>
      <c r="O905" s="7"/>
    </row>
    <row r="906" spans="1:15" outlineLevel="1" x14ac:dyDescent="0.3">
      <c r="A906" s="7"/>
      <c r="B906" s="7"/>
      <c r="C906" s="22" t="s">
        <v>1450</v>
      </c>
      <c r="D906" s="24"/>
      <c r="E906" s="23"/>
      <c r="F906" s="36" t="s">
        <v>549</v>
      </c>
      <c r="G906" s="39">
        <f>7.69*3</f>
        <v>23.07</v>
      </c>
      <c r="H906" s="7"/>
      <c r="I906" s="7"/>
      <c r="J906" s="7"/>
      <c r="K906" s="7"/>
      <c r="L906" s="7"/>
      <c r="M906" s="7"/>
      <c r="N906" s="7"/>
      <c r="O906" s="7"/>
    </row>
    <row r="907" spans="1:15" outlineLevel="1" x14ac:dyDescent="0.3">
      <c r="A907" s="7"/>
      <c r="B907" s="7"/>
      <c r="C907" s="22" t="s">
        <v>1451</v>
      </c>
      <c r="D907" s="24"/>
      <c r="E907" s="23"/>
      <c r="F907" s="36" t="s">
        <v>549</v>
      </c>
      <c r="G907" s="39">
        <f>6.86*3</f>
        <v>20.580000000000002</v>
      </c>
      <c r="H907" s="7"/>
      <c r="I907" s="7"/>
      <c r="J907" s="7"/>
      <c r="K907" s="7"/>
      <c r="L907" s="7"/>
      <c r="M907" s="7"/>
      <c r="N907" s="7"/>
      <c r="O907" s="7"/>
    </row>
    <row r="908" spans="1:15" outlineLevel="1" x14ac:dyDescent="0.3">
      <c r="A908" s="7"/>
      <c r="B908" s="7"/>
      <c r="C908" s="22" t="s">
        <v>1452</v>
      </c>
      <c r="D908" s="24"/>
      <c r="E908" s="23"/>
      <c r="F908" s="36" t="s">
        <v>549</v>
      </c>
      <c r="G908" s="39">
        <f>22.42*3</f>
        <v>67.260000000000005</v>
      </c>
      <c r="H908" s="7"/>
      <c r="I908" s="7"/>
      <c r="J908" s="7"/>
      <c r="K908" s="7"/>
      <c r="L908" s="7"/>
      <c r="M908" s="7"/>
      <c r="N908" s="7"/>
      <c r="O908" s="7"/>
    </row>
    <row r="909" spans="1:15" outlineLevel="1" x14ac:dyDescent="0.3">
      <c r="A909" s="7"/>
      <c r="B909" s="7"/>
      <c r="C909" s="22" t="s">
        <v>1453</v>
      </c>
      <c r="D909" s="24"/>
      <c r="E909" s="23"/>
      <c r="F909" s="36" t="s">
        <v>549</v>
      </c>
      <c r="G909" s="39">
        <f>4.96*3</f>
        <v>14.879999999999999</v>
      </c>
      <c r="H909" s="7"/>
      <c r="I909" s="7"/>
      <c r="J909" s="7"/>
      <c r="K909" s="7"/>
      <c r="L909" s="7"/>
      <c r="M909" s="7"/>
      <c r="N909" s="7"/>
      <c r="O909" s="7"/>
    </row>
    <row r="910" spans="1:15" outlineLevel="1" x14ac:dyDescent="0.3">
      <c r="A910" s="7"/>
      <c r="B910" s="7"/>
      <c r="C910" s="22" t="s">
        <v>1454</v>
      </c>
      <c r="D910" s="24"/>
      <c r="E910" s="23"/>
      <c r="F910" s="36" t="s">
        <v>549</v>
      </c>
      <c r="G910" s="39">
        <f>19.13*3</f>
        <v>57.39</v>
      </c>
      <c r="H910" s="7"/>
      <c r="I910" s="7"/>
      <c r="J910" s="7"/>
      <c r="K910" s="7"/>
      <c r="L910" s="7"/>
      <c r="M910" s="7"/>
      <c r="N910" s="7"/>
      <c r="O910" s="7"/>
    </row>
    <row r="911" spans="1:15" outlineLevel="1" x14ac:dyDescent="0.3">
      <c r="A911" s="7"/>
      <c r="B911" s="7"/>
      <c r="C911" s="22" t="s">
        <v>1455</v>
      </c>
      <c r="D911" s="24"/>
      <c r="E911" s="23"/>
      <c r="F911" s="36" t="s">
        <v>549</v>
      </c>
      <c r="G911" s="39">
        <f>8.2*3</f>
        <v>24.599999999999998</v>
      </c>
      <c r="H911" s="7"/>
      <c r="I911" s="7"/>
      <c r="J911" s="7"/>
      <c r="K911" s="7"/>
      <c r="L911" s="7"/>
      <c r="M911" s="7"/>
      <c r="N911" s="7"/>
      <c r="O911" s="7"/>
    </row>
    <row r="912" spans="1:15" ht="28.8" outlineLevel="1" x14ac:dyDescent="0.3">
      <c r="A912" s="7">
        <v>419</v>
      </c>
      <c r="B912" s="7">
        <v>419</v>
      </c>
      <c r="C912" s="7" t="s">
        <v>227</v>
      </c>
      <c r="D912" s="8" t="s">
        <v>549</v>
      </c>
      <c r="E912" s="8">
        <v>10.9</v>
      </c>
      <c r="F912" s="36" t="s">
        <v>1052</v>
      </c>
      <c r="G912" s="41">
        <f>E912/1000</f>
        <v>1.09E-2</v>
      </c>
      <c r="H912" s="7"/>
      <c r="I912" s="7"/>
      <c r="J912" s="7"/>
      <c r="K912" s="7"/>
      <c r="L912" s="7"/>
      <c r="M912" s="7"/>
      <c r="N912" s="7" t="s">
        <v>935</v>
      </c>
      <c r="O912" s="7"/>
    </row>
    <row r="913" spans="1:15" ht="28.8" outlineLevel="1" x14ac:dyDescent="0.3">
      <c r="A913" s="7">
        <v>420</v>
      </c>
      <c r="B913" s="7">
        <v>420</v>
      </c>
      <c r="C913" s="7" t="s">
        <v>385</v>
      </c>
      <c r="D913" s="8" t="s">
        <v>546</v>
      </c>
      <c r="E913" s="8">
        <v>21.47</v>
      </c>
      <c r="F913" s="36" t="s">
        <v>549</v>
      </c>
      <c r="G913" s="41">
        <f>21.47*0.1</f>
        <v>2.1469999999999998</v>
      </c>
      <c r="H913" s="7"/>
      <c r="I913" s="7"/>
      <c r="J913" s="7"/>
      <c r="K913" s="7"/>
      <c r="L913" s="7"/>
      <c r="M913" s="7"/>
      <c r="N913" s="7" t="s">
        <v>936</v>
      </c>
      <c r="O913" s="7"/>
    </row>
    <row r="914" spans="1:15" ht="43.2" outlineLevel="1" x14ac:dyDescent="0.3">
      <c r="A914" s="7">
        <v>421</v>
      </c>
      <c r="B914" s="7">
        <v>421</v>
      </c>
      <c r="C914" s="7" t="s">
        <v>386</v>
      </c>
      <c r="D914" s="8" t="s">
        <v>546</v>
      </c>
      <c r="E914" s="8">
        <v>21.47</v>
      </c>
      <c r="F914" s="36" t="s">
        <v>549</v>
      </c>
      <c r="G914" s="41">
        <f>21.47*2*0.18</f>
        <v>7.7291999999999996</v>
      </c>
      <c r="H914" s="7"/>
      <c r="I914" s="7"/>
      <c r="J914" s="7"/>
      <c r="K914" s="7"/>
      <c r="L914" s="7"/>
      <c r="M914" s="7"/>
      <c r="N914" s="7" t="s">
        <v>937</v>
      </c>
      <c r="O914" s="7"/>
    </row>
    <row r="915" spans="1:15" ht="100.8" outlineLevel="1" x14ac:dyDescent="0.3">
      <c r="A915" s="7">
        <v>422</v>
      </c>
      <c r="B915" s="7">
        <v>422</v>
      </c>
      <c r="C915" s="7" t="s">
        <v>387</v>
      </c>
      <c r="D915" s="8" t="s">
        <v>546</v>
      </c>
      <c r="E915" s="8">
        <v>20.05</v>
      </c>
      <c r="F915" s="26" t="s">
        <v>546</v>
      </c>
      <c r="G915" s="39">
        <v>20.05</v>
      </c>
      <c r="H915" s="7"/>
      <c r="I915" s="7"/>
      <c r="J915" s="7"/>
      <c r="K915" s="7"/>
      <c r="L915" s="7"/>
      <c r="M915" s="7"/>
      <c r="N915" s="7" t="s">
        <v>938</v>
      </c>
      <c r="O915" s="7"/>
    </row>
    <row r="916" spans="1:15" outlineLevel="1" x14ac:dyDescent="0.3">
      <c r="A916" s="7"/>
      <c r="B916" s="7"/>
      <c r="C916" s="22" t="s">
        <v>1438</v>
      </c>
      <c r="D916" s="55"/>
      <c r="E916" s="55"/>
      <c r="F916" s="26" t="s">
        <v>1167</v>
      </c>
      <c r="G916" s="39">
        <v>3.83</v>
      </c>
      <c r="H916" s="7"/>
      <c r="I916" s="7"/>
      <c r="J916" s="7"/>
      <c r="K916" s="7"/>
      <c r="L916" s="7"/>
      <c r="M916" s="7"/>
      <c r="N916" s="7"/>
      <c r="O916" s="7"/>
    </row>
    <row r="917" spans="1:15" outlineLevel="1" x14ac:dyDescent="0.3">
      <c r="A917" s="7"/>
      <c r="B917" s="7"/>
      <c r="C917" s="22" t="s">
        <v>1439</v>
      </c>
      <c r="D917" s="55"/>
      <c r="E917" s="55"/>
      <c r="F917" s="26" t="s">
        <v>1167</v>
      </c>
      <c r="G917" s="39">
        <v>16.22</v>
      </c>
      <c r="H917" s="7"/>
      <c r="I917" s="7"/>
      <c r="J917" s="7"/>
      <c r="K917" s="7"/>
      <c r="L917" s="7"/>
      <c r="M917" s="7"/>
      <c r="N917" s="7"/>
      <c r="O917" s="7"/>
    </row>
    <row r="918" spans="1:15" outlineLevel="1" x14ac:dyDescent="0.3">
      <c r="A918" s="7"/>
      <c r="B918" s="7"/>
      <c r="C918" s="22" t="s">
        <v>1213</v>
      </c>
      <c r="D918" s="55"/>
      <c r="E918" s="55"/>
      <c r="F918" s="26" t="s">
        <v>1167</v>
      </c>
      <c r="G918" s="39">
        <v>0.52</v>
      </c>
      <c r="H918" s="7"/>
      <c r="I918" s="7"/>
      <c r="J918" s="7"/>
      <c r="K918" s="7"/>
      <c r="L918" s="7"/>
      <c r="M918" s="7"/>
      <c r="N918" s="7"/>
      <c r="O918" s="7"/>
    </row>
    <row r="919" spans="1:15" outlineLevel="1" x14ac:dyDescent="0.3">
      <c r="A919" s="7"/>
      <c r="B919" s="7"/>
      <c r="C919" s="22" t="s">
        <v>1292</v>
      </c>
      <c r="D919" s="55"/>
      <c r="E919" s="55"/>
      <c r="F919" s="26" t="s">
        <v>1440</v>
      </c>
      <c r="G919" s="39" t="s">
        <v>1456</v>
      </c>
      <c r="H919" s="7"/>
      <c r="I919" s="7"/>
      <c r="J919" s="7"/>
      <c r="K919" s="7"/>
      <c r="L919" s="7"/>
      <c r="M919" s="7"/>
      <c r="N919" s="7"/>
      <c r="O919" s="7"/>
    </row>
    <row r="920" spans="1:15" outlineLevel="1" x14ac:dyDescent="0.3">
      <c r="A920" s="7"/>
      <c r="B920" s="7"/>
      <c r="C920" s="22" t="s">
        <v>1193</v>
      </c>
      <c r="D920" s="55"/>
      <c r="E920" s="55"/>
      <c r="F920" s="26" t="s">
        <v>547</v>
      </c>
      <c r="G920" s="39">
        <v>1.5</v>
      </c>
      <c r="H920" s="7"/>
      <c r="I920" s="7"/>
      <c r="J920" s="7"/>
      <c r="K920" s="7"/>
      <c r="L920" s="7"/>
      <c r="M920" s="7"/>
      <c r="N920" s="7"/>
      <c r="O920" s="7"/>
    </row>
    <row r="921" spans="1:15" outlineLevel="1" x14ac:dyDescent="0.3">
      <c r="A921" s="7"/>
      <c r="B921" s="7"/>
      <c r="C921" s="22" t="s">
        <v>1441</v>
      </c>
      <c r="D921" s="55"/>
      <c r="E921" s="55"/>
      <c r="F921" s="26" t="s">
        <v>547</v>
      </c>
      <c r="G921" s="39">
        <v>6</v>
      </c>
      <c r="H921" s="7"/>
      <c r="I921" s="7"/>
      <c r="J921" s="7"/>
      <c r="K921" s="7"/>
      <c r="L921" s="7"/>
      <c r="M921" s="7"/>
      <c r="N921" s="7"/>
      <c r="O921" s="7"/>
    </row>
    <row r="922" spans="1:15" outlineLevel="1" x14ac:dyDescent="0.3">
      <c r="A922" s="7"/>
      <c r="B922" s="7"/>
      <c r="C922" s="22" t="s">
        <v>1296</v>
      </c>
      <c r="D922" s="55"/>
      <c r="E922" s="55"/>
      <c r="F922" s="26" t="s">
        <v>547</v>
      </c>
      <c r="G922" s="39">
        <v>6</v>
      </c>
      <c r="H922" s="7"/>
      <c r="I922" s="7"/>
      <c r="J922" s="7"/>
      <c r="K922" s="7"/>
      <c r="L922" s="7"/>
      <c r="M922" s="7"/>
      <c r="N922" s="7"/>
      <c r="O922" s="7"/>
    </row>
    <row r="923" spans="1:15" s="2" customFormat="1" x14ac:dyDescent="0.3">
      <c r="A923" s="4"/>
      <c r="B923" s="4"/>
      <c r="C923" s="4" t="s">
        <v>232</v>
      </c>
      <c r="D923" s="6"/>
      <c r="E923" s="6"/>
      <c r="F923" s="36"/>
      <c r="G923" s="41"/>
      <c r="H923" s="4"/>
      <c r="I923" s="4"/>
      <c r="J923" s="4"/>
      <c r="K923" s="4"/>
      <c r="L923" s="4"/>
      <c r="M923" s="4"/>
      <c r="N923" s="4"/>
      <c r="O923" s="4"/>
    </row>
    <row r="924" spans="1:15" ht="43.2" outlineLevel="1" x14ac:dyDescent="0.3">
      <c r="A924" s="7">
        <v>423</v>
      </c>
      <c r="B924" s="7">
        <v>423</v>
      </c>
      <c r="C924" s="7" t="s">
        <v>361</v>
      </c>
      <c r="D924" s="8" t="s">
        <v>548</v>
      </c>
      <c r="E924" s="8">
        <v>52.73</v>
      </c>
      <c r="F924" s="26" t="s">
        <v>548</v>
      </c>
      <c r="G924" s="39">
        <v>52.73</v>
      </c>
      <c r="H924" s="7"/>
      <c r="I924" s="7"/>
      <c r="J924" s="7"/>
      <c r="K924" s="7"/>
      <c r="L924" s="7"/>
      <c r="M924" s="7"/>
      <c r="N924" s="7" t="s">
        <v>939</v>
      </c>
      <c r="O924" s="7"/>
    </row>
    <row r="925" spans="1:15" ht="28.8" outlineLevel="1" x14ac:dyDescent="0.3">
      <c r="A925" s="7">
        <v>424</v>
      </c>
      <c r="B925" s="7">
        <v>424</v>
      </c>
      <c r="C925" s="7" t="s">
        <v>388</v>
      </c>
      <c r="D925" s="8" t="s">
        <v>548</v>
      </c>
      <c r="E925" s="8">
        <v>53.73</v>
      </c>
      <c r="F925" s="26" t="s">
        <v>548</v>
      </c>
      <c r="G925" s="39">
        <v>53.73</v>
      </c>
      <c r="H925" s="7"/>
      <c r="I925" s="7"/>
      <c r="J925" s="7"/>
      <c r="K925" s="7"/>
      <c r="L925" s="7"/>
      <c r="M925" s="7"/>
      <c r="N925" s="7" t="s">
        <v>940</v>
      </c>
      <c r="O925" s="7"/>
    </row>
    <row r="926" spans="1:15" s="2" customFormat="1" x14ac:dyDescent="0.3">
      <c r="A926" s="4"/>
      <c r="B926" s="4"/>
      <c r="C926" s="4" t="s">
        <v>239</v>
      </c>
      <c r="D926" s="6"/>
      <c r="E926" s="6"/>
      <c r="F926" s="36"/>
      <c r="G926" s="41"/>
      <c r="H926" s="4"/>
      <c r="I926" s="4"/>
      <c r="J926" s="4"/>
      <c r="K926" s="4"/>
      <c r="L926" s="4"/>
      <c r="M926" s="4"/>
      <c r="N926" s="4"/>
      <c r="O926" s="4"/>
    </row>
    <row r="927" spans="1:15" ht="201.6" outlineLevel="1" x14ac:dyDescent="0.3">
      <c r="A927" s="7">
        <v>425</v>
      </c>
      <c r="B927" s="7">
        <v>425</v>
      </c>
      <c r="C927" s="7" t="s">
        <v>389</v>
      </c>
      <c r="D927" s="8" t="s">
        <v>549</v>
      </c>
      <c r="E927" s="8">
        <v>632.65</v>
      </c>
      <c r="F927" s="36" t="s">
        <v>1052</v>
      </c>
      <c r="G927" s="41">
        <f>(9.12+328.4+9.2+17.2+116+20.52+21.9+110.33)/1000</f>
        <v>0.63266999999999995</v>
      </c>
      <c r="H927" s="7"/>
      <c r="I927" s="7"/>
      <c r="J927" s="7"/>
      <c r="K927" s="7"/>
      <c r="L927" s="7"/>
      <c r="M927" s="7"/>
      <c r="N927" s="7" t="s">
        <v>941</v>
      </c>
      <c r="O927" s="7"/>
    </row>
    <row r="928" spans="1:15" outlineLevel="1" x14ac:dyDescent="0.3">
      <c r="A928" s="7"/>
      <c r="B928" s="7"/>
      <c r="C928" s="22" t="s">
        <v>1457</v>
      </c>
      <c r="D928" s="23"/>
      <c r="E928" s="23"/>
      <c r="F928" s="26" t="s">
        <v>1396</v>
      </c>
      <c r="G928" s="39" t="s">
        <v>1465</v>
      </c>
      <c r="H928" s="7"/>
      <c r="I928" s="7"/>
      <c r="J928" s="7"/>
      <c r="K928" s="7"/>
      <c r="L928" s="7"/>
      <c r="M928" s="7"/>
      <c r="N928" s="7"/>
      <c r="O928" s="7"/>
    </row>
    <row r="929" spans="1:15" outlineLevel="1" x14ac:dyDescent="0.3">
      <c r="A929" s="7"/>
      <c r="B929" s="7"/>
      <c r="C929" s="22" t="s">
        <v>1458</v>
      </c>
      <c r="D929" s="23"/>
      <c r="E929" s="23"/>
      <c r="F929" s="26" t="s">
        <v>1467</v>
      </c>
      <c r="G929" s="39" t="s">
        <v>1466</v>
      </c>
      <c r="H929" s="7"/>
      <c r="I929" s="7"/>
      <c r="J929" s="7"/>
      <c r="K929" s="7"/>
      <c r="L929" s="7"/>
      <c r="M929" s="7"/>
      <c r="N929" s="7"/>
      <c r="O929" s="7"/>
    </row>
    <row r="930" spans="1:15" outlineLevel="1" x14ac:dyDescent="0.3">
      <c r="A930" s="7"/>
      <c r="B930" s="7"/>
      <c r="C930" s="22" t="s">
        <v>1459</v>
      </c>
      <c r="D930" s="23"/>
      <c r="E930" s="23"/>
      <c r="F930" s="26" t="s">
        <v>1396</v>
      </c>
      <c r="G930" s="39" t="s">
        <v>1468</v>
      </c>
      <c r="H930" s="7"/>
      <c r="I930" s="7"/>
      <c r="J930" s="7"/>
      <c r="K930" s="7"/>
      <c r="L930" s="7"/>
      <c r="M930" s="7"/>
      <c r="N930" s="7"/>
      <c r="O930" s="7"/>
    </row>
    <row r="931" spans="1:15" outlineLevel="1" x14ac:dyDescent="0.3">
      <c r="A931" s="7"/>
      <c r="B931" s="7"/>
      <c r="C931" s="22" t="s">
        <v>1460</v>
      </c>
      <c r="D931" s="23"/>
      <c r="E931" s="23"/>
      <c r="F931" s="26" t="s">
        <v>1396</v>
      </c>
      <c r="G931" s="39" t="s">
        <v>1469</v>
      </c>
      <c r="H931" s="7"/>
      <c r="I931" s="7"/>
      <c r="J931" s="7"/>
      <c r="K931" s="7"/>
      <c r="L931" s="7"/>
      <c r="M931" s="7"/>
      <c r="N931" s="7"/>
      <c r="O931" s="7"/>
    </row>
    <row r="932" spans="1:15" outlineLevel="1" x14ac:dyDescent="0.3">
      <c r="A932" s="7"/>
      <c r="B932" s="7"/>
      <c r="C932" s="22" t="s">
        <v>1461</v>
      </c>
      <c r="D932" s="23"/>
      <c r="E932" s="23"/>
      <c r="F932" s="26" t="s">
        <v>1396</v>
      </c>
      <c r="G932" s="39" t="s">
        <v>1470</v>
      </c>
      <c r="H932" s="7"/>
      <c r="I932" s="7"/>
      <c r="J932" s="7"/>
      <c r="K932" s="7"/>
      <c r="L932" s="7"/>
      <c r="M932" s="7"/>
      <c r="N932" s="7"/>
      <c r="O932" s="7"/>
    </row>
    <row r="933" spans="1:15" outlineLevel="1" x14ac:dyDescent="0.3">
      <c r="A933" s="7"/>
      <c r="B933" s="7"/>
      <c r="C933" s="22" t="s">
        <v>1462</v>
      </c>
      <c r="D933" s="23"/>
      <c r="E933" s="23"/>
      <c r="F933" s="26" t="s">
        <v>1396</v>
      </c>
      <c r="G933" s="39" t="s">
        <v>1471</v>
      </c>
      <c r="H933" s="7"/>
      <c r="I933" s="7"/>
      <c r="J933" s="7"/>
      <c r="K933" s="7"/>
      <c r="L933" s="7"/>
      <c r="M933" s="7"/>
      <c r="N933" s="7"/>
      <c r="O933" s="7"/>
    </row>
    <row r="934" spans="1:15" outlineLevel="1" x14ac:dyDescent="0.3">
      <c r="A934" s="7"/>
      <c r="B934" s="7"/>
      <c r="C934" s="22" t="s">
        <v>1463</v>
      </c>
      <c r="D934" s="23"/>
      <c r="E934" s="23"/>
      <c r="F934" s="26" t="s">
        <v>1396</v>
      </c>
      <c r="G934" s="77" t="s">
        <v>1472</v>
      </c>
      <c r="H934" s="7"/>
      <c r="I934" s="7"/>
      <c r="J934" s="7"/>
      <c r="K934" s="7"/>
      <c r="L934" s="7"/>
      <c r="M934" s="7"/>
      <c r="N934" s="7"/>
      <c r="O934" s="7"/>
    </row>
    <row r="935" spans="1:15" outlineLevel="1" x14ac:dyDescent="0.3">
      <c r="A935" s="7"/>
      <c r="B935" s="7"/>
      <c r="C935" s="22" t="s">
        <v>1464</v>
      </c>
      <c r="D935" s="23"/>
      <c r="E935" s="23"/>
      <c r="F935" s="26" t="s">
        <v>1396</v>
      </c>
      <c r="G935" s="77" t="s">
        <v>1473</v>
      </c>
      <c r="H935" s="7"/>
      <c r="I935" s="7"/>
      <c r="J935" s="7"/>
      <c r="K935" s="7"/>
      <c r="L935" s="7"/>
      <c r="M935" s="7"/>
      <c r="N935" s="7"/>
      <c r="O935" s="7"/>
    </row>
    <row r="936" spans="1:15" ht="28.8" outlineLevel="1" x14ac:dyDescent="0.3">
      <c r="A936" s="7">
        <v>426</v>
      </c>
      <c r="B936" s="7">
        <v>426</v>
      </c>
      <c r="C936" s="7" t="s">
        <v>390</v>
      </c>
      <c r="D936" s="8" t="s">
        <v>546</v>
      </c>
      <c r="E936" s="8">
        <v>55.5</v>
      </c>
      <c r="F936" s="36" t="s">
        <v>549</v>
      </c>
      <c r="G936" s="41">
        <f>55.5*0.1</f>
        <v>5.5500000000000007</v>
      </c>
      <c r="H936" s="7"/>
      <c r="I936" s="7"/>
      <c r="J936" s="7"/>
      <c r="K936" s="7"/>
      <c r="L936" s="7"/>
      <c r="M936" s="7"/>
      <c r="N936" s="7" t="s">
        <v>931</v>
      </c>
      <c r="O936" s="7"/>
    </row>
    <row r="937" spans="1:15" ht="28.8" outlineLevel="1" x14ac:dyDescent="0.3">
      <c r="A937" s="7">
        <v>427</v>
      </c>
      <c r="B937" s="7">
        <v>427</v>
      </c>
      <c r="C937" s="7" t="s">
        <v>391</v>
      </c>
      <c r="D937" s="8" t="s">
        <v>546</v>
      </c>
      <c r="E937" s="8">
        <v>55.5</v>
      </c>
      <c r="F937" s="36" t="s">
        <v>549</v>
      </c>
      <c r="G937" s="61">
        <f>55.5*2*0.18</f>
        <v>19.98</v>
      </c>
      <c r="H937" s="7"/>
      <c r="I937" s="7"/>
      <c r="J937" s="7"/>
      <c r="K937" s="7"/>
      <c r="L937" s="7"/>
      <c r="M937" s="7"/>
      <c r="N937" s="7" t="s">
        <v>942</v>
      </c>
      <c r="O937" s="7"/>
    </row>
    <row r="938" spans="1:15" ht="28.8" outlineLevel="1" x14ac:dyDescent="0.3">
      <c r="A938" s="7">
        <v>428</v>
      </c>
      <c r="B938" s="7">
        <v>428</v>
      </c>
      <c r="C938" s="7" t="s">
        <v>392</v>
      </c>
      <c r="D938" s="8" t="s">
        <v>546</v>
      </c>
      <c r="E938" s="8">
        <v>5.8</v>
      </c>
      <c r="F938" s="36" t="s">
        <v>549</v>
      </c>
      <c r="G938" s="41">
        <f>5.8*0.1</f>
        <v>0.57999999999999996</v>
      </c>
      <c r="H938" s="7"/>
      <c r="I938" s="7"/>
      <c r="J938" s="7"/>
      <c r="K938" s="7"/>
      <c r="L938" s="7"/>
      <c r="M938" s="7"/>
      <c r="N938" s="7" t="s">
        <v>931</v>
      </c>
      <c r="O938" s="7"/>
    </row>
    <row r="939" spans="1:15" ht="28.8" outlineLevel="1" x14ac:dyDescent="0.3">
      <c r="A939" s="7">
        <v>429</v>
      </c>
      <c r="B939" s="7">
        <v>429</v>
      </c>
      <c r="C939" s="7" t="s">
        <v>393</v>
      </c>
      <c r="D939" s="8" t="s">
        <v>546</v>
      </c>
      <c r="E939" s="8">
        <v>5.8</v>
      </c>
      <c r="F939" s="36" t="s">
        <v>549</v>
      </c>
      <c r="G939" s="41">
        <f>5.8*2*0.18</f>
        <v>2.0880000000000001</v>
      </c>
      <c r="H939" s="7"/>
      <c r="I939" s="7"/>
      <c r="J939" s="7"/>
      <c r="K939" s="7"/>
      <c r="L939" s="7"/>
      <c r="M939" s="7"/>
      <c r="N939" s="7" t="s">
        <v>942</v>
      </c>
      <c r="O939" s="7"/>
    </row>
    <row r="940" spans="1:15" s="2" customFormat="1" x14ac:dyDescent="0.3">
      <c r="A940" s="4"/>
      <c r="B940" s="4"/>
      <c r="C940" s="4" t="s">
        <v>394</v>
      </c>
      <c r="D940" s="6"/>
      <c r="E940" s="6"/>
      <c r="F940" s="36"/>
      <c r="G940" s="41"/>
      <c r="H940" s="4"/>
      <c r="I940" s="4"/>
      <c r="J940" s="4"/>
      <c r="K940" s="4"/>
      <c r="L940" s="4"/>
      <c r="M940" s="4"/>
      <c r="N940" s="4"/>
      <c r="O940" s="4"/>
    </row>
    <row r="941" spans="1:15" outlineLevel="1" x14ac:dyDescent="0.3">
      <c r="A941" s="7">
        <v>430</v>
      </c>
      <c r="B941" s="7">
        <v>430</v>
      </c>
      <c r="C941" s="7" t="s">
        <v>243</v>
      </c>
      <c r="D941" s="8" t="s">
        <v>550</v>
      </c>
      <c r="E941" s="8">
        <v>12.023999999999999</v>
      </c>
      <c r="F941" s="36" t="s">
        <v>1052</v>
      </c>
      <c r="G941" s="41">
        <v>14.01</v>
      </c>
      <c r="H941" s="7"/>
      <c r="I941" s="7"/>
      <c r="J941" s="7"/>
      <c r="K941" s="7"/>
      <c r="L941" s="7"/>
      <c r="M941" s="7"/>
      <c r="N941" s="7"/>
      <c r="O941" s="7"/>
    </row>
    <row r="942" spans="1:15" outlineLevel="1" x14ac:dyDescent="0.3">
      <c r="A942" s="7">
        <v>431</v>
      </c>
      <c r="B942" s="7">
        <v>431</v>
      </c>
      <c r="C942" s="7" t="s">
        <v>244</v>
      </c>
      <c r="D942" s="8" t="s">
        <v>550</v>
      </c>
      <c r="E942" s="8">
        <v>12.023999999999999</v>
      </c>
      <c r="F942" s="36" t="s">
        <v>1052</v>
      </c>
      <c r="G942" s="41">
        <v>15.01</v>
      </c>
      <c r="H942" s="7"/>
      <c r="I942" s="7"/>
      <c r="J942" s="7"/>
      <c r="K942" s="7"/>
      <c r="L942" s="7"/>
      <c r="M942" s="7"/>
      <c r="N942" s="7"/>
      <c r="O942" s="7"/>
    </row>
    <row r="943" spans="1:15" outlineLevel="1" x14ac:dyDescent="0.3">
      <c r="A943" s="7">
        <v>432</v>
      </c>
      <c r="B943" s="7">
        <v>432</v>
      </c>
      <c r="C943" s="7" t="s">
        <v>245</v>
      </c>
      <c r="D943" s="8" t="s">
        <v>550</v>
      </c>
      <c r="E943" s="8">
        <v>12.023999999999999</v>
      </c>
      <c r="F943" s="36" t="s">
        <v>1052</v>
      </c>
      <c r="G943" s="41">
        <v>16.010000000000002</v>
      </c>
      <c r="H943" s="7"/>
      <c r="I943" s="7"/>
      <c r="J943" s="7"/>
      <c r="K943" s="7"/>
      <c r="L943" s="7"/>
      <c r="M943" s="7"/>
      <c r="N943" s="7"/>
      <c r="O943" s="7"/>
    </row>
    <row r="944" spans="1:15" ht="28.8" outlineLevel="1" x14ac:dyDescent="0.3">
      <c r="A944" s="7">
        <v>433</v>
      </c>
      <c r="B944" s="7">
        <v>433</v>
      </c>
      <c r="C944" s="7" t="s">
        <v>246</v>
      </c>
      <c r="D944" s="8" t="s">
        <v>550</v>
      </c>
      <c r="E944" s="8">
        <v>140.27000000000001</v>
      </c>
      <c r="F944" s="36" t="s">
        <v>1052</v>
      </c>
      <c r="G944" s="44">
        <v>137.07</v>
      </c>
      <c r="H944" s="7"/>
      <c r="I944" s="7"/>
      <c r="J944" s="7"/>
      <c r="K944" s="7"/>
      <c r="L944" s="7"/>
      <c r="M944" s="7"/>
      <c r="N944" s="7"/>
      <c r="O944" s="7"/>
    </row>
    <row r="945" spans="1:15" ht="28.8" outlineLevel="1" x14ac:dyDescent="0.3">
      <c r="A945" s="7">
        <v>434</v>
      </c>
      <c r="B945" s="7">
        <v>434</v>
      </c>
      <c r="C945" s="7" t="s">
        <v>247</v>
      </c>
      <c r="D945" s="8" t="s">
        <v>550</v>
      </c>
      <c r="E945" s="8">
        <v>140.27000000000001</v>
      </c>
      <c r="F945" s="36" t="s">
        <v>1052</v>
      </c>
      <c r="G945" s="44">
        <v>138.07</v>
      </c>
      <c r="H945" s="7"/>
      <c r="I945" s="7"/>
      <c r="J945" s="7"/>
      <c r="K945" s="7"/>
      <c r="L945" s="7"/>
      <c r="M945" s="7"/>
      <c r="N945" s="7"/>
      <c r="O945" s="7"/>
    </row>
    <row r="946" spans="1:15" s="2" customFormat="1" x14ac:dyDescent="0.3">
      <c r="A946" s="4"/>
      <c r="B946" s="4"/>
      <c r="C946" s="4" t="s">
        <v>395</v>
      </c>
      <c r="D946" s="6"/>
      <c r="E946" s="6"/>
      <c r="F946" s="36"/>
      <c r="G946" s="41"/>
      <c r="H946" s="4"/>
      <c r="I946" s="4"/>
      <c r="J946" s="4"/>
      <c r="K946" s="4"/>
      <c r="L946" s="4"/>
      <c r="M946" s="4"/>
      <c r="N946" s="4"/>
      <c r="O946" s="4"/>
    </row>
    <row r="947" spans="1:15" s="2" customFormat="1" x14ac:dyDescent="0.3">
      <c r="A947" s="4"/>
      <c r="B947" s="4"/>
      <c r="C947" s="4" t="s">
        <v>396</v>
      </c>
      <c r="D947" s="6"/>
      <c r="E947" s="6"/>
      <c r="F947" s="36"/>
      <c r="G947" s="41"/>
      <c r="H947" s="4"/>
      <c r="I947" s="4"/>
      <c r="J947" s="4"/>
      <c r="K947" s="4"/>
      <c r="L947" s="4"/>
      <c r="M947" s="4"/>
      <c r="N947" s="4"/>
      <c r="O947" s="4"/>
    </row>
    <row r="948" spans="1:15" outlineLevel="1" x14ac:dyDescent="0.3">
      <c r="A948" s="7">
        <v>435</v>
      </c>
      <c r="B948" s="7">
        <v>435</v>
      </c>
      <c r="C948" s="7" t="s">
        <v>397</v>
      </c>
      <c r="D948" s="8" t="s">
        <v>547</v>
      </c>
      <c r="E948" s="8">
        <v>51</v>
      </c>
      <c r="F948" s="26" t="s">
        <v>547</v>
      </c>
      <c r="G948" s="39">
        <v>51</v>
      </c>
      <c r="H948" s="7"/>
      <c r="I948" s="7"/>
      <c r="J948" s="7"/>
      <c r="K948" s="7"/>
      <c r="L948" s="7"/>
      <c r="M948" s="7"/>
      <c r="N948" s="7"/>
      <c r="O948" s="7"/>
    </row>
    <row r="949" spans="1:15" s="2" customFormat="1" x14ac:dyDescent="0.3">
      <c r="A949" s="4"/>
      <c r="B949" s="4"/>
      <c r="C949" s="4" t="s">
        <v>398</v>
      </c>
      <c r="D949" s="6"/>
      <c r="E949" s="6"/>
      <c r="F949" s="26"/>
      <c r="G949" s="39"/>
      <c r="H949" s="4"/>
      <c r="I949" s="4"/>
      <c r="J949" s="4"/>
      <c r="K949" s="4"/>
      <c r="L949" s="4"/>
      <c r="M949" s="4"/>
      <c r="N949" s="4"/>
      <c r="O949" s="4"/>
    </row>
    <row r="950" spans="1:15" ht="43.2" outlineLevel="1" x14ac:dyDescent="0.3">
      <c r="A950" s="7">
        <v>436</v>
      </c>
      <c r="B950" s="7">
        <v>436</v>
      </c>
      <c r="C950" s="7" t="s">
        <v>399</v>
      </c>
      <c r="D950" s="8" t="s">
        <v>547</v>
      </c>
      <c r="E950" s="8">
        <v>51</v>
      </c>
      <c r="F950" s="26" t="s">
        <v>547</v>
      </c>
      <c r="G950" s="39">
        <v>51</v>
      </c>
      <c r="H950" s="7"/>
      <c r="I950" s="7"/>
      <c r="J950" s="7"/>
      <c r="K950" s="7"/>
      <c r="L950" s="7"/>
      <c r="M950" s="7"/>
      <c r="N950" s="7" t="s">
        <v>943</v>
      </c>
      <c r="O950" s="7"/>
    </row>
    <row r="951" spans="1:15" s="20" customFormat="1" x14ac:dyDescent="0.3">
      <c r="A951" s="18"/>
      <c r="B951" s="18"/>
      <c r="C951" s="19" t="s">
        <v>400</v>
      </c>
      <c r="D951" s="19"/>
      <c r="E951" s="19"/>
      <c r="F951" s="47"/>
      <c r="G951" s="53"/>
      <c r="H951" s="19"/>
      <c r="I951" s="19"/>
      <c r="J951" s="19"/>
      <c r="K951" s="19"/>
      <c r="L951" s="19"/>
      <c r="M951" s="19"/>
      <c r="N951" s="19"/>
      <c r="O951" s="18"/>
    </row>
    <row r="952" spans="1:15" ht="316.8" outlineLevel="1" x14ac:dyDescent="0.3">
      <c r="A952" s="7">
        <v>437</v>
      </c>
      <c r="B952" s="7">
        <v>437</v>
      </c>
      <c r="C952" s="7" t="s">
        <v>401</v>
      </c>
      <c r="D952" s="8" t="s">
        <v>547</v>
      </c>
      <c r="E952" s="8">
        <v>2</v>
      </c>
      <c r="F952" s="36"/>
      <c r="G952" s="41"/>
      <c r="H952" s="7"/>
      <c r="I952" s="7"/>
      <c r="J952" s="7"/>
      <c r="K952" s="7"/>
      <c r="L952" s="7"/>
      <c r="M952" s="7"/>
      <c r="N952" s="7" t="s">
        <v>944</v>
      </c>
      <c r="O952" s="7"/>
    </row>
    <row r="953" spans="1:15" s="2" customFormat="1" x14ac:dyDescent="0.3">
      <c r="A953" s="4"/>
      <c r="B953" s="4"/>
      <c r="C953" s="4" t="s">
        <v>402</v>
      </c>
      <c r="D953" s="6"/>
      <c r="E953" s="6"/>
      <c r="F953" s="36"/>
      <c r="G953" s="41"/>
      <c r="H953" s="4"/>
      <c r="I953" s="4"/>
      <c r="J953" s="4"/>
      <c r="K953" s="4"/>
      <c r="L953" s="4"/>
      <c r="M953" s="4"/>
      <c r="N953" s="4"/>
      <c r="O953" s="4"/>
    </row>
    <row r="954" spans="1:15" ht="86.4" outlineLevel="1" x14ac:dyDescent="0.3">
      <c r="A954" s="7">
        <v>438</v>
      </c>
      <c r="B954" s="7">
        <v>438</v>
      </c>
      <c r="C954" s="7" t="s">
        <v>403</v>
      </c>
      <c r="D954" s="8" t="s">
        <v>555</v>
      </c>
      <c r="E954" s="8">
        <v>24</v>
      </c>
      <c r="F954" s="36"/>
      <c r="G954" s="41"/>
      <c r="H954" s="7"/>
      <c r="I954" s="7"/>
      <c r="J954" s="7"/>
      <c r="K954" s="7"/>
      <c r="L954" s="7"/>
      <c r="M954" s="7"/>
      <c r="N954" s="7" t="s">
        <v>945</v>
      </c>
      <c r="O954" s="7"/>
    </row>
    <row r="955" spans="1:15" ht="86.4" outlineLevel="1" x14ac:dyDescent="0.3">
      <c r="A955" s="7">
        <v>439</v>
      </c>
      <c r="B955" s="7">
        <v>439</v>
      </c>
      <c r="C955" s="7" t="s">
        <v>403</v>
      </c>
      <c r="D955" s="8" t="s">
        <v>555</v>
      </c>
      <c r="E955" s="8">
        <v>18</v>
      </c>
      <c r="F955" s="36"/>
      <c r="G955" s="41"/>
      <c r="H955" s="7"/>
      <c r="I955" s="7"/>
      <c r="J955" s="7"/>
      <c r="K955" s="7"/>
      <c r="L955" s="7"/>
      <c r="M955" s="7"/>
      <c r="N955" s="7" t="s">
        <v>946</v>
      </c>
      <c r="O955" s="7"/>
    </row>
    <row r="956" spans="1:15" ht="115.2" outlineLevel="1" x14ac:dyDescent="0.3">
      <c r="A956" s="7">
        <v>440</v>
      </c>
      <c r="B956" s="7">
        <v>440</v>
      </c>
      <c r="C956" s="7" t="s">
        <v>404</v>
      </c>
      <c r="D956" s="8" t="s">
        <v>555</v>
      </c>
      <c r="E956" s="8">
        <v>100</v>
      </c>
      <c r="F956" s="36"/>
      <c r="G956" s="41"/>
      <c r="H956" s="7"/>
      <c r="I956" s="7"/>
      <c r="J956" s="7"/>
      <c r="K956" s="7"/>
      <c r="L956" s="7"/>
      <c r="M956" s="7"/>
      <c r="N956" s="7" t="s">
        <v>947</v>
      </c>
      <c r="O956" s="7"/>
    </row>
    <row r="957" spans="1:15" ht="172.8" outlineLevel="1" x14ac:dyDescent="0.3">
      <c r="A957" s="7">
        <v>441</v>
      </c>
      <c r="B957" s="7">
        <v>441</v>
      </c>
      <c r="C957" s="7" t="s">
        <v>405</v>
      </c>
      <c r="D957" s="8" t="s">
        <v>555</v>
      </c>
      <c r="E957" s="8">
        <v>1197</v>
      </c>
      <c r="F957" s="36"/>
      <c r="G957" s="41"/>
      <c r="H957" s="7"/>
      <c r="I957" s="7"/>
      <c r="J957" s="7"/>
      <c r="K957" s="7"/>
      <c r="L957" s="7"/>
      <c r="M957" s="7"/>
      <c r="N957" s="7" t="s">
        <v>948</v>
      </c>
      <c r="O957" s="7"/>
    </row>
    <row r="958" spans="1:15" ht="43.2" outlineLevel="1" x14ac:dyDescent="0.3">
      <c r="A958" s="7">
        <v>442</v>
      </c>
      <c r="B958" s="7">
        <v>442</v>
      </c>
      <c r="C958" s="7" t="s">
        <v>406</v>
      </c>
      <c r="D958" s="8" t="s">
        <v>555</v>
      </c>
      <c r="E958" s="8">
        <v>146</v>
      </c>
      <c r="F958" s="36"/>
      <c r="G958" s="41"/>
      <c r="H958" s="7"/>
      <c r="I958" s="7"/>
      <c r="J958" s="7"/>
      <c r="K958" s="7"/>
      <c r="L958" s="7"/>
      <c r="M958" s="7"/>
      <c r="N958" s="7" t="s">
        <v>949</v>
      </c>
      <c r="O958" s="7"/>
    </row>
    <row r="959" spans="1:15" ht="72" outlineLevel="1" x14ac:dyDescent="0.3">
      <c r="A959" s="7">
        <v>443</v>
      </c>
      <c r="B959" s="7">
        <v>443</v>
      </c>
      <c r="C959" s="7" t="s">
        <v>407</v>
      </c>
      <c r="D959" s="8" t="s">
        <v>555</v>
      </c>
      <c r="E959" s="8">
        <v>146</v>
      </c>
      <c r="F959" s="36"/>
      <c r="G959" s="41"/>
      <c r="H959" s="7"/>
      <c r="I959" s="7"/>
      <c r="J959" s="7"/>
      <c r="K959" s="7"/>
      <c r="L959" s="7"/>
      <c r="M959" s="7"/>
      <c r="N959" s="7" t="s">
        <v>950</v>
      </c>
      <c r="O959" s="7"/>
    </row>
    <row r="960" spans="1:15" ht="259.2" outlineLevel="1" x14ac:dyDescent="0.3">
      <c r="A960" s="7">
        <v>444</v>
      </c>
      <c r="B960" s="7">
        <v>444</v>
      </c>
      <c r="C960" s="7" t="s">
        <v>408</v>
      </c>
      <c r="D960" s="8" t="s">
        <v>555</v>
      </c>
      <c r="E960" s="8">
        <v>1631</v>
      </c>
      <c r="F960" s="36"/>
      <c r="G960" s="41"/>
      <c r="H960" s="7"/>
      <c r="I960" s="7"/>
      <c r="J960" s="7"/>
      <c r="K960" s="7"/>
      <c r="L960" s="7"/>
      <c r="M960" s="7"/>
      <c r="N960" s="7" t="s">
        <v>951</v>
      </c>
      <c r="O960" s="7"/>
    </row>
    <row r="961" spans="1:15" outlineLevel="1" x14ac:dyDescent="0.3">
      <c r="A961" s="7">
        <v>445</v>
      </c>
      <c r="B961" s="7">
        <v>445</v>
      </c>
      <c r="C961" s="7" t="s">
        <v>409</v>
      </c>
      <c r="D961" s="8" t="s">
        <v>555</v>
      </c>
      <c r="E961" s="8">
        <v>6</v>
      </c>
      <c r="F961" s="36"/>
      <c r="G961" s="41"/>
      <c r="H961" s="7"/>
      <c r="I961" s="7"/>
      <c r="J961" s="7"/>
      <c r="K961" s="7"/>
      <c r="L961" s="7"/>
      <c r="M961" s="7"/>
      <c r="N961" s="7" t="s">
        <v>952</v>
      </c>
      <c r="O961" s="7"/>
    </row>
    <row r="962" spans="1:15" s="2" customFormat="1" x14ac:dyDescent="0.3">
      <c r="A962" s="4"/>
      <c r="B962" s="4"/>
      <c r="C962" s="4" t="s">
        <v>410</v>
      </c>
      <c r="D962" s="6"/>
      <c r="E962" s="6"/>
      <c r="F962" s="36"/>
      <c r="G962" s="41"/>
      <c r="H962" s="4"/>
      <c r="I962" s="4"/>
      <c r="J962" s="4"/>
      <c r="K962" s="4"/>
      <c r="L962" s="4"/>
      <c r="M962" s="4"/>
      <c r="N962" s="4"/>
      <c r="O962" s="4"/>
    </row>
    <row r="963" spans="1:15" ht="158.4" outlineLevel="1" x14ac:dyDescent="0.3">
      <c r="A963" s="7">
        <v>446</v>
      </c>
      <c r="B963" s="7">
        <v>446</v>
      </c>
      <c r="C963" s="7" t="s">
        <v>411</v>
      </c>
      <c r="D963" s="8" t="s">
        <v>555</v>
      </c>
      <c r="E963" s="8">
        <v>875</v>
      </c>
      <c r="F963" s="36"/>
      <c r="G963" s="41"/>
      <c r="H963" s="7"/>
      <c r="I963" s="7"/>
      <c r="J963" s="7"/>
      <c r="K963" s="7"/>
      <c r="L963" s="7"/>
      <c r="M963" s="7"/>
      <c r="N963" s="7" t="s">
        <v>953</v>
      </c>
      <c r="O963" s="7"/>
    </row>
    <row r="964" spans="1:15" ht="57.6" outlineLevel="1" x14ac:dyDescent="0.3">
      <c r="A964" s="7">
        <v>447</v>
      </c>
      <c r="B964" s="7">
        <v>447</v>
      </c>
      <c r="C964" s="7" t="s">
        <v>412</v>
      </c>
      <c r="D964" s="8" t="s">
        <v>555</v>
      </c>
      <c r="E964" s="8">
        <v>330</v>
      </c>
      <c r="F964" s="36"/>
      <c r="G964" s="41"/>
      <c r="H964" s="7"/>
      <c r="I964" s="7"/>
      <c r="J964" s="7"/>
      <c r="K964" s="7"/>
      <c r="L964" s="7"/>
      <c r="M964" s="7"/>
      <c r="N964" s="7" t="s">
        <v>954</v>
      </c>
      <c r="O964" s="7"/>
    </row>
    <row r="965" spans="1:15" ht="28.8" outlineLevel="1" x14ac:dyDescent="0.3">
      <c r="A965" s="7">
        <v>448</v>
      </c>
      <c r="B965" s="7">
        <v>448</v>
      </c>
      <c r="C965" s="7" t="s">
        <v>413</v>
      </c>
      <c r="D965" s="8" t="s">
        <v>555</v>
      </c>
      <c r="E965" s="8">
        <v>429</v>
      </c>
      <c r="F965" s="36"/>
      <c r="G965" s="41"/>
      <c r="H965" s="7"/>
      <c r="I965" s="7"/>
      <c r="J965" s="7"/>
      <c r="K965" s="7"/>
      <c r="L965" s="7"/>
      <c r="M965" s="7"/>
      <c r="N965" s="7" t="s">
        <v>955</v>
      </c>
      <c r="O965" s="7"/>
    </row>
    <row r="966" spans="1:15" ht="86.4" outlineLevel="1" x14ac:dyDescent="0.3">
      <c r="A966" s="7">
        <v>449</v>
      </c>
      <c r="B966" s="7">
        <v>449</v>
      </c>
      <c r="C966" s="7" t="s">
        <v>414</v>
      </c>
      <c r="D966" s="8" t="s">
        <v>547</v>
      </c>
      <c r="E966" s="8">
        <v>48</v>
      </c>
      <c r="F966" s="36"/>
      <c r="G966" s="41"/>
      <c r="H966" s="7"/>
      <c r="I966" s="7"/>
      <c r="J966" s="7"/>
      <c r="K966" s="7"/>
      <c r="L966" s="7"/>
      <c r="M966" s="7"/>
      <c r="N966" s="7" t="s">
        <v>956</v>
      </c>
      <c r="O966" s="7"/>
    </row>
    <row r="967" spans="1:15" s="2" customFormat="1" x14ac:dyDescent="0.3">
      <c r="A967" s="4"/>
      <c r="B967" s="4"/>
      <c r="C967" s="4" t="s">
        <v>415</v>
      </c>
      <c r="D967" s="6"/>
      <c r="E967" s="6"/>
      <c r="F967" s="36"/>
      <c r="G967" s="41"/>
      <c r="H967" s="4"/>
      <c r="I967" s="4"/>
      <c r="J967" s="4"/>
      <c r="K967" s="4"/>
      <c r="L967" s="4"/>
      <c r="M967" s="4"/>
      <c r="N967" s="4"/>
      <c r="O967" s="4"/>
    </row>
    <row r="968" spans="1:15" outlineLevel="1" x14ac:dyDescent="0.3">
      <c r="A968" s="7">
        <v>450</v>
      </c>
      <c r="B968" s="7">
        <v>450</v>
      </c>
      <c r="C968" s="7" t="s">
        <v>416</v>
      </c>
      <c r="D968" s="8" t="s">
        <v>561</v>
      </c>
      <c r="E968" s="8" t="s">
        <v>574</v>
      </c>
      <c r="F968" s="36"/>
      <c r="G968" s="41"/>
      <c r="H968" s="7"/>
      <c r="I968" s="7"/>
      <c r="J968" s="7"/>
      <c r="K968" s="7"/>
      <c r="L968" s="7"/>
      <c r="M968" s="7"/>
      <c r="N968" s="7"/>
      <c r="O968" s="7"/>
    </row>
    <row r="969" spans="1:15" outlineLevel="1" x14ac:dyDescent="0.3">
      <c r="A969" s="7">
        <v>451</v>
      </c>
      <c r="B969" s="7">
        <v>451</v>
      </c>
      <c r="C969" s="7" t="s">
        <v>417</v>
      </c>
      <c r="D969" s="8" t="s">
        <v>561</v>
      </c>
      <c r="E969" s="8" t="s">
        <v>574</v>
      </c>
      <c r="F969" s="36"/>
      <c r="G969" s="41"/>
      <c r="H969" s="7"/>
      <c r="I969" s="7"/>
      <c r="J969" s="7"/>
      <c r="K969" s="7"/>
      <c r="L969" s="7"/>
      <c r="M969" s="7"/>
      <c r="N969" s="7"/>
      <c r="O969" s="7"/>
    </row>
    <row r="970" spans="1:15" s="2" customFormat="1" x14ac:dyDescent="0.3">
      <c r="A970" s="4"/>
      <c r="B970" s="4"/>
      <c r="C970" s="4" t="s">
        <v>418</v>
      </c>
      <c r="D970" s="6"/>
      <c r="E970" s="6"/>
      <c r="F970" s="36"/>
      <c r="G970" s="41"/>
      <c r="H970" s="4"/>
      <c r="I970" s="4"/>
      <c r="J970" s="4"/>
      <c r="K970" s="4"/>
      <c r="L970" s="4"/>
      <c r="M970" s="4"/>
      <c r="N970" s="4"/>
      <c r="O970" s="4"/>
    </row>
    <row r="971" spans="1:15" ht="28.8" outlineLevel="1" x14ac:dyDescent="0.3">
      <c r="A971" s="7">
        <v>452</v>
      </c>
      <c r="B971" s="7">
        <v>452</v>
      </c>
      <c r="C971" s="7" t="s">
        <v>419</v>
      </c>
      <c r="D971" s="8" t="s">
        <v>562</v>
      </c>
      <c r="E971" s="8">
        <v>1</v>
      </c>
      <c r="F971" s="36"/>
      <c r="G971" s="41"/>
      <c r="H971" s="7"/>
      <c r="I971" s="7"/>
      <c r="J971" s="7"/>
      <c r="K971" s="7"/>
      <c r="L971" s="7"/>
      <c r="M971" s="7"/>
      <c r="N971" s="7"/>
      <c r="O971" s="7"/>
    </row>
    <row r="972" spans="1:15" ht="28.8" outlineLevel="1" x14ac:dyDescent="0.3">
      <c r="A972" s="7">
        <v>453</v>
      </c>
      <c r="B972" s="7">
        <v>453</v>
      </c>
      <c r="C972" s="7" t="s">
        <v>420</v>
      </c>
      <c r="D972" s="8" t="s">
        <v>562</v>
      </c>
      <c r="E972" s="8">
        <v>48</v>
      </c>
      <c r="F972" s="36"/>
      <c r="G972" s="41"/>
      <c r="H972" s="7"/>
      <c r="I972" s="7"/>
      <c r="J972" s="7"/>
      <c r="K972" s="7"/>
      <c r="L972" s="7"/>
      <c r="M972" s="7"/>
      <c r="N972" s="7"/>
      <c r="O972" s="7"/>
    </row>
    <row r="973" spans="1:15" s="2" customFormat="1" x14ac:dyDescent="0.3">
      <c r="A973" s="4"/>
      <c r="B973" s="4"/>
      <c r="C973" s="5" t="s">
        <v>421</v>
      </c>
      <c r="D973" s="5"/>
      <c r="E973" s="5"/>
      <c r="F973" s="37"/>
      <c r="G973" s="42"/>
      <c r="H973" s="5"/>
      <c r="I973" s="5"/>
      <c r="J973" s="5"/>
      <c r="K973" s="5"/>
      <c r="L973" s="5"/>
      <c r="M973" s="5"/>
      <c r="N973" s="5"/>
      <c r="O973" s="4"/>
    </row>
    <row r="974" spans="1:15" s="2" customFormat="1" x14ac:dyDescent="0.3">
      <c r="A974" s="4"/>
      <c r="B974" s="4"/>
      <c r="C974" s="4" t="s">
        <v>396</v>
      </c>
      <c r="D974" s="6"/>
      <c r="E974" s="6"/>
      <c r="F974" s="36"/>
      <c r="G974" s="41"/>
      <c r="H974" s="4"/>
      <c r="I974" s="4"/>
      <c r="J974" s="4"/>
      <c r="K974" s="4"/>
      <c r="L974" s="4"/>
      <c r="M974" s="4"/>
      <c r="N974" s="4"/>
      <c r="O974" s="4"/>
    </row>
    <row r="975" spans="1:15" outlineLevel="1" x14ac:dyDescent="0.3">
      <c r="A975" s="7">
        <v>454</v>
      </c>
      <c r="B975" s="7">
        <v>1</v>
      </c>
      <c r="C975" s="7" t="s">
        <v>422</v>
      </c>
      <c r="D975" s="8" t="s">
        <v>555</v>
      </c>
      <c r="E975" s="8">
        <v>519</v>
      </c>
      <c r="F975" s="36"/>
      <c r="G975" s="41"/>
      <c r="H975" s="7"/>
      <c r="I975" s="7"/>
      <c r="J975" s="7"/>
      <c r="K975" s="7"/>
      <c r="L975" s="7"/>
      <c r="M975" s="7"/>
      <c r="N975" s="7"/>
      <c r="O975" s="7"/>
    </row>
    <row r="976" spans="1:15" outlineLevel="1" x14ac:dyDescent="0.3">
      <c r="A976" s="7">
        <v>455</v>
      </c>
      <c r="B976" s="7">
        <v>2</v>
      </c>
      <c r="C976" s="7" t="s">
        <v>423</v>
      </c>
      <c r="D976" s="8" t="s">
        <v>555</v>
      </c>
      <c r="E976" s="8">
        <v>445</v>
      </c>
      <c r="F976" s="36"/>
      <c r="G976" s="41"/>
      <c r="H976" s="7"/>
      <c r="I976" s="7"/>
      <c r="J976" s="7"/>
      <c r="K976" s="7"/>
      <c r="L976" s="7"/>
      <c r="M976" s="7"/>
      <c r="N976" s="7"/>
      <c r="O976" s="7"/>
    </row>
    <row r="977" spans="1:15" s="2" customFormat="1" x14ac:dyDescent="0.3">
      <c r="A977" s="4">
        <v>456</v>
      </c>
      <c r="B977" s="4"/>
      <c r="C977" s="4" t="s">
        <v>424</v>
      </c>
      <c r="D977" s="6"/>
      <c r="E977" s="6"/>
      <c r="F977" s="36"/>
      <c r="G977" s="41"/>
      <c r="H977" s="4"/>
      <c r="I977" s="4"/>
      <c r="J977" s="4"/>
      <c r="K977" s="4"/>
      <c r="L977" s="4"/>
      <c r="M977" s="4"/>
      <c r="N977" s="4"/>
      <c r="O977" s="4"/>
    </row>
    <row r="978" spans="1:15" ht="72" outlineLevel="1" x14ac:dyDescent="0.3">
      <c r="A978" s="7">
        <v>457</v>
      </c>
      <c r="B978" s="7">
        <v>3</v>
      </c>
      <c r="C978" s="7" t="s">
        <v>425</v>
      </c>
      <c r="D978" s="8" t="s">
        <v>555</v>
      </c>
      <c r="E978" s="8">
        <v>245</v>
      </c>
      <c r="F978" s="36"/>
      <c r="G978" s="41"/>
      <c r="H978" s="7"/>
      <c r="I978" s="7"/>
      <c r="J978" s="7"/>
      <c r="K978" s="7"/>
      <c r="L978" s="7"/>
      <c r="M978" s="7"/>
      <c r="N978" s="7" t="s">
        <v>957</v>
      </c>
      <c r="O978" s="7"/>
    </row>
    <row r="979" spans="1:15" ht="100.8" outlineLevel="1" x14ac:dyDescent="0.3">
      <c r="A979" s="7">
        <v>458</v>
      </c>
      <c r="B979" s="7">
        <v>4</v>
      </c>
      <c r="C979" s="7" t="s">
        <v>426</v>
      </c>
      <c r="D979" s="8" t="s">
        <v>555</v>
      </c>
      <c r="E979" s="8">
        <v>373</v>
      </c>
      <c r="F979" s="36"/>
      <c r="G979" s="41"/>
      <c r="H979" s="7"/>
      <c r="I979" s="7"/>
      <c r="J979" s="7"/>
      <c r="K979" s="7"/>
      <c r="L979" s="7"/>
      <c r="M979" s="7"/>
      <c r="N979" s="7" t="s">
        <v>958</v>
      </c>
      <c r="O979" s="7"/>
    </row>
    <row r="980" spans="1:15" ht="115.2" outlineLevel="1" x14ac:dyDescent="0.3">
      <c r="A980" s="7">
        <v>459</v>
      </c>
      <c r="B980" s="7">
        <v>5</v>
      </c>
      <c r="C980" s="7" t="s">
        <v>427</v>
      </c>
      <c r="D980" s="8" t="s">
        <v>555</v>
      </c>
      <c r="E980" s="8">
        <v>200</v>
      </c>
      <c r="F980" s="36"/>
      <c r="G980" s="41"/>
      <c r="H980" s="7"/>
      <c r="I980" s="7"/>
      <c r="J980" s="7"/>
      <c r="K980" s="7"/>
      <c r="L980" s="7"/>
      <c r="M980" s="7"/>
      <c r="N980" s="7" t="s">
        <v>959</v>
      </c>
      <c r="O980" s="7"/>
    </row>
    <row r="981" spans="1:15" ht="158.4" outlineLevel="1" x14ac:dyDescent="0.3">
      <c r="A981" s="7">
        <v>460</v>
      </c>
      <c r="B981" s="7">
        <v>6</v>
      </c>
      <c r="C981" s="7" t="s">
        <v>428</v>
      </c>
      <c r="D981" s="8" t="s">
        <v>555</v>
      </c>
      <c r="E981" s="8">
        <v>130</v>
      </c>
      <c r="F981" s="36"/>
      <c r="G981" s="41"/>
      <c r="H981" s="7"/>
      <c r="I981" s="7"/>
      <c r="J981" s="7"/>
      <c r="K981" s="7"/>
      <c r="L981" s="7"/>
      <c r="M981" s="7"/>
      <c r="N981" s="7" t="s">
        <v>960</v>
      </c>
      <c r="O981" s="7"/>
    </row>
    <row r="982" spans="1:15" ht="129.6" outlineLevel="1" x14ac:dyDescent="0.3">
      <c r="A982" s="7">
        <v>461</v>
      </c>
      <c r="B982" s="7">
        <v>7</v>
      </c>
      <c r="C982" s="7" t="s">
        <v>429</v>
      </c>
      <c r="D982" s="8" t="s">
        <v>555</v>
      </c>
      <c r="E982" s="8">
        <v>28</v>
      </c>
      <c r="F982" s="36"/>
      <c r="G982" s="41"/>
      <c r="H982" s="7"/>
      <c r="I982" s="7"/>
      <c r="J982" s="7"/>
      <c r="K982" s="7"/>
      <c r="L982" s="7"/>
      <c r="M982" s="7"/>
      <c r="N982" s="7" t="s">
        <v>961</v>
      </c>
      <c r="O982" s="7"/>
    </row>
    <row r="983" spans="1:15" s="2" customFormat="1" ht="28.8" x14ac:dyDescent="0.3">
      <c r="A983" s="4"/>
      <c r="B983" s="4"/>
      <c r="C983" s="5" t="s">
        <v>430</v>
      </c>
      <c r="D983" s="5"/>
      <c r="E983" s="5"/>
      <c r="F983" s="37"/>
      <c r="G983" s="42"/>
      <c r="H983" s="5"/>
      <c r="I983" s="5"/>
      <c r="J983" s="5"/>
      <c r="K983" s="5"/>
      <c r="L983" s="5"/>
      <c r="M983" s="5"/>
      <c r="N983" s="5"/>
      <c r="O983" s="4"/>
    </row>
    <row r="984" spans="1:15" s="2" customFormat="1" x14ac:dyDescent="0.3">
      <c r="A984" s="4"/>
      <c r="B984" s="4"/>
      <c r="C984" s="4" t="s">
        <v>431</v>
      </c>
      <c r="D984" s="6"/>
      <c r="E984" s="6"/>
      <c r="F984" s="36"/>
      <c r="G984" s="41"/>
      <c r="H984" s="4"/>
      <c r="I984" s="4"/>
      <c r="J984" s="4"/>
      <c r="K984" s="4"/>
      <c r="L984" s="4"/>
      <c r="M984" s="4"/>
      <c r="N984" s="4"/>
      <c r="O984" s="4"/>
    </row>
    <row r="985" spans="1:15" ht="28.8" outlineLevel="1" x14ac:dyDescent="0.3">
      <c r="A985" s="7">
        <v>462</v>
      </c>
      <c r="B985" s="7">
        <v>8</v>
      </c>
      <c r="C985" s="7" t="s">
        <v>432</v>
      </c>
      <c r="D985" s="8" t="s">
        <v>547</v>
      </c>
      <c r="E985" s="8">
        <v>1</v>
      </c>
      <c r="F985" s="36"/>
      <c r="G985" s="41"/>
      <c r="H985" s="7"/>
      <c r="I985" s="7"/>
      <c r="J985" s="7"/>
      <c r="K985" s="7"/>
      <c r="L985" s="7"/>
      <c r="M985" s="7"/>
      <c r="N985" s="7" t="s">
        <v>962</v>
      </c>
      <c r="O985" s="7"/>
    </row>
    <row r="986" spans="1:15" outlineLevel="1" x14ac:dyDescent="0.3">
      <c r="A986" s="7">
        <v>463</v>
      </c>
      <c r="B986" s="7">
        <v>9</v>
      </c>
      <c r="C986" s="7" t="s">
        <v>433</v>
      </c>
      <c r="D986" s="8" t="s">
        <v>547</v>
      </c>
      <c r="E986" s="8">
        <v>2</v>
      </c>
      <c r="F986" s="36"/>
      <c r="G986" s="41"/>
      <c r="H986" s="7"/>
      <c r="I986" s="7"/>
      <c r="J986" s="7"/>
      <c r="K986" s="7"/>
      <c r="L986" s="7"/>
      <c r="M986" s="7"/>
      <c r="N986" s="7" t="s">
        <v>963</v>
      </c>
      <c r="O986" s="7"/>
    </row>
    <row r="987" spans="1:15" outlineLevel="1" x14ac:dyDescent="0.3">
      <c r="A987" s="7">
        <v>464</v>
      </c>
      <c r="B987" s="7">
        <v>10</v>
      </c>
      <c r="C987" s="7" t="s">
        <v>434</v>
      </c>
      <c r="D987" s="8" t="s">
        <v>547</v>
      </c>
      <c r="E987" s="8">
        <v>1</v>
      </c>
      <c r="F987" s="36"/>
      <c r="G987" s="41"/>
      <c r="H987" s="7"/>
      <c r="I987" s="7"/>
      <c r="J987" s="7"/>
      <c r="K987" s="7"/>
      <c r="L987" s="7"/>
      <c r="M987" s="7"/>
      <c r="N987" s="7" t="s">
        <v>964</v>
      </c>
      <c r="O987" s="7"/>
    </row>
    <row r="988" spans="1:15" outlineLevel="1" x14ac:dyDescent="0.3">
      <c r="A988" s="7">
        <v>465</v>
      </c>
      <c r="B988" s="7">
        <v>11</v>
      </c>
      <c r="C988" s="7" t="s">
        <v>435</v>
      </c>
      <c r="D988" s="8" t="s">
        <v>547</v>
      </c>
      <c r="E988" s="8">
        <v>2</v>
      </c>
      <c r="F988" s="36"/>
      <c r="G988" s="41"/>
      <c r="H988" s="7"/>
      <c r="I988" s="7"/>
      <c r="J988" s="7"/>
      <c r="K988" s="7"/>
      <c r="L988" s="7"/>
      <c r="M988" s="7"/>
      <c r="N988" s="7" t="s">
        <v>963</v>
      </c>
      <c r="O988" s="7"/>
    </row>
    <row r="989" spans="1:15" ht="28.8" outlineLevel="1" x14ac:dyDescent="0.3">
      <c r="A989" s="7">
        <v>466</v>
      </c>
      <c r="B989" s="7">
        <v>12</v>
      </c>
      <c r="C989" s="7" t="s">
        <v>436</v>
      </c>
      <c r="D989" s="8" t="s">
        <v>547</v>
      </c>
      <c r="E989" s="8">
        <v>1</v>
      </c>
      <c r="F989" s="36"/>
      <c r="G989" s="41"/>
      <c r="H989" s="7"/>
      <c r="I989" s="7"/>
      <c r="J989" s="7"/>
      <c r="K989" s="7"/>
      <c r="L989" s="7"/>
      <c r="M989" s="7"/>
      <c r="N989" s="7" t="s">
        <v>965</v>
      </c>
      <c r="O989" s="7"/>
    </row>
    <row r="990" spans="1:15" ht="28.8" outlineLevel="1" x14ac:dyDescent="0.3">
      <c r="A990" s="7">
        <v>467</v>
      </c>
      <c r="B990" s="7">
        <v>13</v>
      </c>
      <c r="C990" s="7" t="s">
        <v>437</v>
      </c>
      <c r="D990" s="8" t="s">
        <v>547</v>
      </c>
      <c r="E990" s="8">
        <v>17</v>
      </c>
      <c r="F990" s="36"/>
      <c r="G990" s="41"/>
      <c r="H990" s="7"/>
      <c r="I990" s="7"/>
      <c r="J990" s="7"/>
      <c r="K990" s="7"/>
      <c r="L990" s="7"/>
      <c r="M990" s="7"/>
      <c r="N990" s="7" t="s">
        <v>966</v>
      </c>
      <c r="O990" s="7"/>
    </row>
    <row r="991" spans="1:15" ht="43.2" outlineLevel="1" x14ac:dyDescent="0.3">
      <c r="A991" s="7">
        <v>468</v>
      </c>
      <c r="B991" s="7">
        <v>14</v>
      </c>
      <c r="C991" s="7" t="s">
        <v>438</v>
      </c>
      <c r="D991" s="8" t="s">
        <v>547</v>
      </c>
      <c r="E991" s="8">
        <v>42</v>
      </c>
      <c r="F991" s="36"/>
      <c r="G991" s="41"/>
      <c r="H991" s="7"/>
      <c r="I991" s="7"/>
      <c r="J991" s="7"/>
      <c r="K991" s="7"/>
      <c r="L991" s="7"/>
      <c r="M991" s="7"/>
      <c r="N991" s="7" t="s">
        <v>967</v>
      </c>
      <c r="O991" s="7"/>
    </row>
    <row r="992" spans="1:15" ht="28.8" outlineLevel="1" x14ac:dyDescent="0.3">
      <c r="A992" s="7">
        <v>469</v>
      </c>
      <c r="B992" s="7">
        <v>15</v>
      </c>
      <c r="C992" s="7" t="s">
        <v>439</v>
      </c>
      <c r="D992" s="8" t="s">
        <v>547</v>
      </c>
      <c r="E992" s="8">
        <v>6</v>
      </c>
      <c r="F992" s="36"/>
      <c r="G992" s="41"/>
      <c r="H992" s="7"/>
      <c r="I992" s="7"/>
      <c r="J992" s="7"/>
      <c r="K992" s="7"/>
      <c r="L992" s="7"/>
      <c r="M992" s="7"/>
      <c r="N992" s="7" t="s">
        <v>968</v>
      </c>
      <c r="O992" s="7"/>
    </row>
    <row r="993" spans="1:15" ht="28.8" outlineLevel="1" x14ac:dyDescent="0.3">
      <c r="A993" s="7">
        <v>470</v>
      </c>
      <c r="B993" s="7">
        <v>16</v>
      </c>
      <c r="C993" s="7" t="s">
        <v>440</v>
      </c>
      <c r="D993" s="8" t="s">
        <v>547</v>
      </c>
      <c r="E993" s="8">
        <v>54</v>
      </c>
      <c r="F993" s="36"/>
      <c r="G993" s="41"/>
      <c r="H993" s="7"/>
      <c r="I993" s="7"/>
      <c r="J993" s="7"/>
      <c r="K993" s="7"/>
      <c r="L993" s="7"/>
      <c r="M993" s="7"/>
      <c r="N993" s="7" t="s">
        <v>969</v>
      </c>
      <c r="O993" s="7"/>
    </row>
    <row r="994" spans="1:15" outlineLevel="1" x14ac:dyDescent="0.3">
      <c r="A994" s="7">
        <v>471</v>
      </c>
      <c r="B994" s="7">
        <v>17</v>
      </c>
      <c r="C994" s="7" t="s">
        <v>441</v>
      </c>
      <c r="D994" s="8" t="s">
        <v>547</v>
      </c>
      <c r="E994" s="8">
        <v>1</v>
      </c>
      <c r="F994" s="36"/>
      <c r="G994" s="41"/>
      <c r="H994" s="7"/>
      <c r="I994" s="7"/>
      <c r="J994" s="7"/>
      <c r="K994" s="7"/>
      <c r="L994" s="7"/>
      <c r="M994" s="7"/>
      <c r="N994" s="7" t="s">
        <v>970</v>
      </c>
      <c r="O994" s="7"/>
    </row>
    <row r="995" spans="1:15" ht="28.8" outlineLevel="1" x14ac:dyDescent="0.3">
      <c r="A995" s="7">
        <v>472</v>
      </c>
      <c r="B995" s="7">
        <v>18</v>
      </c>
      <c r="C995" s="7" t="s">
        <v>442</v>
      </c>
      <c r="D995" s="8" t="s">
        <v>547</v>
      </c>
      <c r="E995" s="8">
        <v>4</v>
      </c>
      <c r="F995" s="36"/>
      <c r="G995" s="41"/>
      <c r="H995" s="7"/>
      <c r="I995" s="7"/>
      <c r="J995" s="7"/>
      <c r="K995" s="7"/>
      <c r="L995" s="7"/>
      <c r="M995" s="7"/>
      <c r="N995" s="7" t="s">
        <v>971</v>
      </c>
      <c r="O995" s="7"/>
    </row>
    <row r="996" spans="1:15" s="2" customFormat="1" ht="28.8" x14ac:dyDescent="0.3">
      <c r="A996" s="4"/>
      <c r="B996" s="4"/>
      <c r="C996" s="4" t="s">
        <v>443</v>
      </c>
      <c r="D996" s="6"/>
      <c r="E996" s="6"/>
      <c r="F996" s="36"/>
      <c r="G996" s="41"/>
      <c r="H996" s="4"/>
      <c r="I996" s="4"/>
      <c r="J996" s="4"/>
      <c r="K996" s="4"/>
      <c r="L996" s="4"/>
      <c r="M996" s="4"/>
      <c r="N996" s="4"/>
      <c r="O996" s="4"/>
    </row>
    <row r="997" spans="1:15" outlineLevel="1" x14ac:dyDescent="0.3">
      <c r="A997" s="7">
        <v>473</v>
      </c>
      <c r="B997" s="7">
        <v>19</v>
      </c>
      <c r="C997" s="7" t="s">
        <v>444</v>
      </c>
      <c r="D997" s="8" t="s">
        <v>547</v>
      </c>
      <c r="E997" s="8">
        <v>8</v>
      </c>
      <c r="F997" s="36"/>
      <c r="G997" s="41"/>
      <c r="H997" s="7"/>
      <c r="I997" s="7"/>
      <c r="J997" s="7"/>
      <c r="K997" s="7"/>
      <c r="L997" s="7"/>
      <c r="M997" s="7"/>
      <c r="N997" s="7" t="s">
        <v>972</v>
      </c>
      <c r="O997" s="7"/>
    </row>
    <row r="998" spans="1:15" outlineLevel="1" x14ac:dyDescent="0.3">
      <c r="A998" s="7">
        <v>474</v>
      </c>
      <c r="B998" s="7">
        <v>20</v>
      </c>
      <c r="C998" s="7" t="s">
        <v>445</v>
      </c>
      <c r="D998" s="8" t="s">
        <v>547</v>
      </c>
      <c r="E998" s="8">
        <v>16</v>
      </c>
      <c r="F998" s="36"/>
      <c r="G998" s="41"/>
      <c r="H998" s="7"/>
      <c r="I998" s="7"/>
      <c r="J998" s="7"/>
      <c r="K998" s="7"/>
      <c r="L998" s="7"/>
      <c r="M998" s="7"/>
      <c r="N998" s="7" t="s">
        <v>963</v>
      </c>
      <c r="O998" s="7"/>
    </row>
    <row r="999" spans="1:15" ht="28.8" outlineLevel="1" x14ac:dyDescent="0.3">
      <c r="A999" s="7">
        <v>475</v>
      </c>
      <c r="B999" s="7">
        <v>21</v>
      </c>
      <c r="C999" s="7" t="s">
        <v>446</v>
      </c>
      <c r="D999" s="8" t="s">
        <v>547</v>
      </c>
      <c r="E999" s="8">
        <v>12</v>
      </c>
      <c r="F999" s="36"/>
      <c r="G999" s="41"/>
      <c r="H999" s="7"/>
      <c r="I999" s="7"/>
      <c r="J999" s="7"/>
      <c r="K999" s="7"/>
      <c r="L999" s="7"/>
      <c r="M999" s="7"/>
      <c r="N999" s="7" t="s">
        <v>973</v>
      </c>
      <c r="O999" s="7"/>
    </row>
    <row r="1000" spans="1:15" ht="28.8" outlineLevel="1" x14ac:dyDescent="0.3">
      <c r="A1000" s="7">
        <v>476</v>
      </c>
      <c r="B1000" s="7">
        <v>22</v>
      </c>
      <c r="C1000" s="7" t="s">
        <v>447</v>
      </c>
      <c r="D1000" s="8" t="s">
        <v>547</v>
      </c>
      <c r="E1000" s="8">
        <v>44</v>
      </c>
      <c r="F1000" s="36"/>
      <c r="G1000" s="41"/>
      <c r="H1000" s="7"/>
      <c r="I1000" s="7"/>
      <c r="J1000" s="7"/>
      <c r="K1000" s="7"/>
      <c r="L1000" s="7"/>
      <c r="M1000" s="7"/>
      <c r="N1000" s="7" t="s">
        <v>974</v>
      </c>
      <c r="O1000" s="7"/>
    </row>
    <row r="1001" spans="1:15" ht="43.2" outlineLevel="1" x14ac:dyDescent="0.3">
      <c r="A1001" s="7">
        <v>477</v>
      </c>
      <c r="B1001" s="7">
        <v>23</v>
      </c>
      <c r="C1001" s="7" t="s">
        <v>448</v>
      </c>
      <c r="D1001" s="8" t="s">
        <v>547</v>
      </c>
      <c r="E1001" s="8">
        <v>9</v>
      </c>
      <c r="F1001" s="36"/>
      <c r="G1001" s="41"/>
      <c r="H1001" s="7"/>
      <c r="I1001" s="7"/>
      <c r="J1001" s="7"/>
      <c r="K1001" s="7"/>
      <c r="L1001" s="7"/>
      <c r="M1001" s="7"/>
      <c r="N1001" s="7" t="s">
        <v>975</v>
      </c>
      <c r="O1001" s="7"/>
    </row>
    <row r="1002" spans="1:15" s="2" customFormat="1" ht="28.8" x14ac:dyDescent="0.3">
      <c r="A1002" s="4"/>
      <c r="B1002" s="4"/>
      <c r="C1002" s="4" t="s">
        <v>449</v>
      </c>
      <c r="D1002" s="6"/>
      <c r="E1002" s="6"/>
      <c r="F1002" s="36"/>
      <c r="G1002" s="41"/>
      <c r="H1002" s="4"/>
      <c r="I1002" s="4"/>
      <c r="J1002" s="4"/>
      <c r="K1002" s="4"/>
      <c r="L1002" s="4"/>
      <c r="M1002" s="4"/>
      <c r="N1002" s="4"/>
      <c r="O1002" s="4"/>
    </row>
    <row r="1003" spans="1:15" ht="86.4" outlineLevel="1" x14ac:dyDescent="0.3">
      <c r="A1003" s="7">
        <v>478</v>
      </c>
      <c r="B1003" s="7">
        <v>24</v>
      </c>
      <c r="C1003" s="7" t="s">
        <v>450</v>
      </c>
      <c r="D1003" s="8" t="s">
        <v>555</v>
      </c>
      <c r="E1003" s="8">
        <v>1722</v>
      </c>
      <c r="F1003" s="36"/>
      <c r="G1003" s="41"/>
      <c r="H1003" s="7"/>
      <c r="I1003" s="7"/>
      <c r="J1003" s="7"/>
      <c r="K1003" s="7"/>
      <c r="L1003" s="7"/>
      <c r="M1003" s="7"/>
      <c r="N1003" s="7" t="s">
        <v>976</v>
      </c>
      <c r="O1003" s="7"/>
    </row>
    <row r="1004" spans="1:15" outlineLevel="1" x14ac:dyDescent="0.3">
      <c r="A1004" s="7">
        <v>479</v>
      </c>
      <c r="B1004" s="7">
        <v>25</v>
      </c>
      <c r="C1004" s="7" t="s">
        <v>451</v>
      </c>
      <c r="D1004" s="8" t="s">
        <v>555</v>
      </c>
      <c r="E1004" s="8">
        <v>1722</v>
      </c>
      <c r="F1004" s="36"/>
      <c r="G1004" s="41"/>
      <c r="H1004" s="7"/>
      <c r="I1004" s="7"/>
      <c r="J1004" s="7"/>
      <c r="K1004" s="7"/>
      <c r="L1004" s="7"/>
      <c r="M1004" s="7"/>
      <c r="N1004" s="7" t="s">
        <v>977</v>
      </c>
      <c r="O1004" s="7"/>
    </row>
    <row r="1005" spans="1:15" ht="86.4" outlineLevel="1" x14ac:dyDescent="0.3">
      <c r="A1005" s="7">
        <v>480</v>
      </c>
      <c r="B1005" s="7">
        <v>26</v>
      </c>
      <c r="C1005" s="7" t="s">
        <v>450</v>
      </c>
      <c r="D1005" s="8" t="s">
        <v>555</v>
      </c>
      <c r="E1005" s="8">
        <v>1746</v>
      </c>
      <c r="F1005" s="36"/>
      <c r="G1005" s="41"/>
      <c r="H1005" s="7"/>
      <c r="I1005" s="7"/>
      <c r="J1005" s="7"/>
      <c r="K1005" s="7"/>
      <c r="L1005" s="7"/>
      <c r="M1005" s="7"/>
      <c r="N1005" s="7" t="s">
        <v>978</v>
      </c>
      <c r="O1005" s="7"/>
    </row>
    <row r="1006" spans="1:15" outlineLevel="1" x14ac:dyDescent="0.3">
      <c r="A1006" s="7">
        <v>481</v>
      </c>
      <c r="B1006" s="7">
        <v>27</v>
      </c>
      <c r="C1006" s="7" t="s">
        <v>452</v>
      </c>
      <c r="D1006" s="8" t="s">
        <v>555</v>
      </c>
      <c r="E1006" s="8">
        <v>1746</v>
      </c>
      <c r="F1006" s="36"/>
      <c r="G1006" s="41"/>
      <c r="H1006" s="7"/>
      <c r="I1006" s="7"/>
      <c r="J1006" s="7"/>
      <c r="K1006" s="7"/>
      <c r="L1006" s="7"/>
      <c r="M1006" s="7"/>
      <c r="N1006" s="7" t="s">
        <v>979</v>
      </c>
      <c r="O1006" s="7"/>
    </row>
    <row r="1007" spans="1:15" ht="86.4" outlineLevel="1" x14ac:dyDescent="0.3">
      <c r="A1007" s="7">
        <v>482</v>
      </c>
      <c r="B1007" s="7">
        <v>28</v>
      </c>
      <c r="C1007" s="7" t="s">
        <v>450</v>
      </c>
      <c r="D1007" s="8" t="s">
        <v>555</v>
      </c>
      <c r="E1007" s="8">
        <v>1200</v>
      </c>
      <c r="F1007" s="36"/>
      <c r="G1007" s="41"/>
      <c r="H1007" s="7"/>
      <c r="I1007" s="7"/>
      <c r="J1007" s="7"/>
      <c r="K1007" s="7"/>
      <c r="L1007" s="7"/>
      <c r="M1007" s="7"/>
      <c r="N1007" s="7" t="s">
        <v>980</v>
      </c>
      <c r="O1007" s="7"/>
    </row>
    <row r="1008" spans="1:15" outlineLevel="1" x14ac:dyDescent="0.3">
      <c r="A1008" s="7">
        <v>483</v>
      </c>
      <c r="B1008" s="7">
        <v>29</v>
      </c>
      <c r="C1008" s="7" t="s">
        <v>453</v>
      </c>
      <c r="D1008" s="8" t="s">
        <v>555</v>
      </c>
      <c r="E1008" s="8">
        <v>1200</v>
      </c>
      <c r="F1008" s="36"/>
      <c r="G1008" s="41"/>
      <c r="H1008" s="7"/>
      <c r="I1008" s="7"/>
      <c r="J1008" s="7"/>
      <c r="K1008" s="7"/>
      <c r="L1008" s="7"/>
      <c r="M1008" s="7"/>
      <c r="N1008" s="7" t="s">
        <v>981</v>
      </c>
      <c r="O1008" s="7"/>
    </row>
    <row r="1009" spans="1:15" ht="28.8" outlineLevel="1" x14ac:dyDescent="0.3">
      <c r="A1009" s="7">
        <v>484</v>
      </c>
      <c r="B1009" s="7">
        <v>30</v>
      </c>
      <c r="C1009" s="7" t="s">
        <v>454</v>
      </c>
      <c r="D1009" s="8" t="s">
        <v>555</v>
      </c>
      <c r="E1009" s="8">
        <v>30</v>
      </c>
      <c r="F1009" s="36"/>
      <c r="G1009" s="41"/>
      <c r="H1009" s="7"/>
      <c r="I1009" s="7"/>
      <c r="J1009" s="7"/>
      <c r="K1009" s="7"/>
      <c r="L1009" s="7"/>
      <c r="M1009" s="7"/>
      <c r="N1009" s="7" t="s">
        <v>982</v>
      </c>
      <c r="O1009" s="7"/>
    </row>
    <row r="1010" spans="1:15" outlineLevel="1" x14ac:dyDescent="0.3">
      <c r="A1010" s="7">
        <v>485</v>
      </c>
      <c r="B1010" s="7">
        <v>31</v>
      </c>
      <c r="C1010" s="7" t="s">
        <v>455</v>
      </c>
      <c r="D1010" s="8" t="s">
        <v>555</v>
      </c>
      <c r="E1010" s="8">
        <v>30</v>
      </c>
      <c r="F1010" s="36"/>
      <c r="G1010" s="41"/>
      <c r="H1010" s="7"/>
      <c r="I1010" s="7"/>
      <c r="J1010" s="7"/>
      <c r="K1010" s="7"/>
      <c r="L1010" s="7"/>
      <c r="M1010" s="7"/>
      <c r="N1010" s="7" t="s">
        <v>983</v>
      </c>
      <c r="O1010" s="7"/>
    </row>
    <row r="1011" spans="1:15" ht="86.4" outlineLevel="1" x14ac:dyDescent="0.3">
      <c r="A1011" s="7">
        <v>486</v>
      </c>
      <c r="B1011" s="7">
        <v>32</v>
      </c>
      <c r="C1011" s="7" t="s">
        <v>450</v>
      </c>
      <c r="D1011" s="8" t="s">
        <v>555</v>
      </c>
      <c r="E1011" s="8">
        <v>100</v>
      </c>
      <c r="F1011" s="36"/>
      <c r="G1011" s="41"/>
      <c r="H1011" s="7"/>
      <c r="I1011" s="7"/>
      <c r="J1011" s="7"/>
      <c r="K1011" s="7"/>
      <c r="L1011" s="7"/>
      <c r="M1011" s="7"/>
      <c r="N1011" s="7" t="s">
        <v>984</v>
      </c>
      <c r="O1011" s="7"/>
    </row>
    <row r="1012" spans="1:15" ht="28.8" outlineLevel="1" x14ac:dyDescent="0.3">
      <c r="A1012" s="7">
        <v>487</v>
      </c>
      <c r="B1012" s="7">
        <v>33</v>
      </c>
      <c r="C1012" s="7" t="s">
        <v>456</v>
      </c>
      <c r="D1012" s="8" t="s">
        <v>555</v>
      </c>
      <c r="E1012" s="8">
        <v>100</v>
      </c>
      <c r="F1012" s="36"/>
      <c r="G1012" s="41"/>
      <c r="H1012" s="7"/>
      <c r="I1012" s="7"/>
      <c r="J1012" s="7"/>
      <c r="K1012" s="7"/>
      <c r="L1012" s="7"/>
      <c r="M1012" s="7"/>
      <c r="N1012" s="7" t="s">
        <v>985</v>
      </c>
      <c r="O1012" s="7"/>
    </row>
    <row r="1013" spans="1:15" outlineLevel="1" x14ac:dyDescent="0.3">
      <c r="A1013" s="7">
        <v>488</v>
      </c>
      <c r="B1013" s="7">
        <v>34</v>
      </c>
      <c r="C1013" s="7" t="s">
        <v>457</v>
      </c>
      <c r="D1013" s="8" t="s">
        <v>547</v>
      </c>
      <c r="E1013" s="8">
        <v>2</v>
      </c>
      <c r="F1013" s="36"/>
      <c r="G1013" s="41"/>
      <c r="H1013" s="7"/>
      <c r="I1013" s="7"/>
      <c r="J1013" s="7"/>
      <c r="K1013" s="7"/>
      <c r="L1013" s="7"/>
      <c r="M1013" s="7"/>
      <c r="N1013" s="7" t="s">
        <v>986</v>
      </c>
      <c r="O1013" s="7"/>
    </row>
    <row r="1014" spans="1:15" ht="28.8" outlineLevel="1" x14ac:dyDescent="0.3">
      <c r="A1014" s="7">
        <v>489</v>
      </c>
      <c r="B1014" s="7">
        <v>35</v>
      </c>
      <c r="C1014" s="7" t="s">
        <v>458</v>
      </c>
      <c r="D1014" s="8" t="s">
        <v>547</v>
      </c>
      <c r="E1014" s="8">
        <v>4</v>
      </c>
      <c r="F1014" s="36"/>
      <c r="G1014" s="41"/>
      <c r="H1014" s="7"/>
      <c r="I1014" s="7"/>
      <c r="J1014" s="7"/>
      <c r="K1014" s="7"/>
      <c r="L1014" s="7"/>
      <c r="M1014" s="7"/>
      <c r="N1014" s="7" t="s">
        <v>987</v>
      </c>
      <c r="O1014" s="7"/>
    </row>
    <row r="1015" spans="1:15" ht="28.8" outlineLevel="1" x14ac:dyDescent="0.3">
      <c r="A1015" s="7">
        <v>490</v>
      </c>
      <c r="B1015" s="7">
        <v>36</v>
      </c>
      <c r="C1015" s="7" t="s">
        <v>459</v>
      </c>
      <c r="D1015" s="8" t="s">
        <v>563</v>
      </c>
      <c r="E1015" s="8" t="s">
        <v>575</v>
      </c>
      <c r="F1015" s="36"/>
      <c r="G1015" s="41"/>
      <c r="H1015" s="7"/>
      <c r="I1015" s="7"/>
      <c r="J1015" s="7"/>
      <c r="K1015" s="7"/>
      <c r="L1015" s="7"/>
      <c r="M1015" s="7"/>
      <c r="N1015" s="7"/>
      <c r="O1015" s="7"/>
    </row>
    <row r="1016" spans="1:15" ht="28.8" outlineLevel="1" x14ac:dyDescent="0.3">
      <c r="A1016" s="7">
        <v>491</v>
      </c>
      <c r="B1016" s="7">
        <v>37</v>
      </c>
      <c r="C1016" s="7" t="s">
        <v>460</v>
      </c>
      <c r="D1016" s="8" t="s">
        <v>563</v>
      </c>
      <c r="E1016" s="8" t="s">
        <v>576</v>
      </c>
      <c r="F1016" s="36"/>
      <c r="G1016" s="41"/>
      <c r="H1016" s="7"/>
      <c r="I1016" s="7"/>
      <c r="J1016" s="7"/>
      <c r="K1016" s="7"/>
      <c r="L1016" s="7"/>
      <c r="M1016" s="7"/>
      <c r="N1016" s="7" t="s">
        <v>988</v>
      </c>
      <c r="O1016" s="7"/>
    </row>
    <row r="1017" spans="1:15" ht="28.8" outlineLevel="1" x14ac:dyDescent="0.3">
      <c r="A1017" s="7">
        <v>492</v>
      </c>
      <c r="B1017" s="7">
        <v>38</v>
      </c>
      <c r="C1017" s="7" t="s">
        <v>461</v>
      </c>
      <c r="D1017" s="8" t="s">
        <v>547</v>
      </c>
      <c r="E1017" s="8">
        <v>20</v>
      </c>
      <c r="F1017" s="36"/>
      <c r="G1017" s="41"/>
      <c r="H1017" s="7"/>
      <c r="I1017" s="7"/>
      <c r="J1017" s="7"/>
      <c r="K1017" s="7"/>
      <c r="L1017" s="7"/>
      <c r="M1017" s="7"/>
      <c r="N1017" s="7" t="s">
        <v>989</v>
      </c>
      <c r="O1017" s="7" t="s">
        <v>1049</v>
      </c>
    </row>
    <row r="1018" spans="1:15" s="2" customFormat="1" x14ac:dyDescent="0.3">
      <c r="A1018" s="4"/>
      <c r="B1018" s="4"/>
      <c r="C1018" s="4" t="s">
        <v>462</v>
      </c>
      <c r="D1018" s="6"/>
      <c r="E1018" s="6"/>
      <c r="F1018" s="36"/>
      <c r="G1018" s="41"/>
      <c r="H1018" s="4"/>
      <c r="I1018" s="4"/>
      <c r="J1018" s="4"/>
      <c r="K1018" s="4"/>
      <c r="L1018" s="4"/>
      <c r="M1018" s="4"/>
      <c r="N1018" s="4"/>
      <c r="O1018" s="4"/>
    </row>
    <row r="1019" spans="1:15" ht="28.8" outlineLevel="1" x14ac:dyDescent="0.3">
      <c r="A1019" s="7">
        <v>493</v>
      </c>
      <c r="B1019" s="7">
        <v>39</v>
      </c>
      <c r="C1019" s="7" t="s">
        <v>463</v>
      </c>
      <c r="D1019" s="8" t="s">
        <v>564</v>
      </c>
      <c r="E1019" s="8">
        <v>1</v>
      </c>
      <c r="F1019" s="36"/>
      <c r="G1019" s="41"/>
      <c r="H1019" s="7"/>
      <c r="I1019" s="7"/>
      <c r="J1019" s="7"/>
      <c r="K1019" s="7"/>
      <c r="L1019" s="7"/>
      <c r="M1019" s="7"/>
      <c r="N1019" s="7"/>
      <c r="O1019" s="7"/>
    </row>
    <row r="1020" spans="1:15" s="2" customFormat="1" x14ac:dyDescent="0.3">
      <c r="A1020" s="4"/>
      <c r="B1020" s="4"/>
      <c r="C1020" s="5" t="s">
        <v>464</v>
      </c>
      <c r="D1020" s="6"/>
      <c r="E1020" s="6"/>
      <c r="F1020" s="36"/>
      <c r="G1020" s="41"/>
      <c r="H1020" s="4"/>
      <c r="I1020" s="4"/>
      <c r="J1020" s="4"/>
      <c r="K1020" s="4"/>
      <c r="L1020" s="4"/>
      <c r="M1020" s="4"/>
      <c r="N1020" s="4"/>
      <c r="O1020" s="4"/>
    </row>
    <row r="1021" spans="1:15" outlineLevel="1" x14ac:dyDescent="0.3">
      <c r="A1021" s="7">
        <v>494</v>
      </c>
      <c r="B1021" s="7">
        <v>40</v>
      </c>
      <c r="C1021" s="7" t="s">
        <v>465</v>
      </c>
      <c r="D1021" s="8" t="s">
        <v>565</v>
      </c>
      <c r="E1021" s="8">
        <v>2</v>
      </c>
      <c r="F1021" s="36"/>
      <c r="G1021" s="41"/>
      <c r="H1021" s="7"/>
      <c r="I1021" s="7"/>
      <c r="J1021" s="7"/>
      <c r="K1021" s="7"/>
      <c r="L1021" s="7"/>
      <c r="M1021" s="7"/>
      <c r="N1021" s="7" t="s">
        <v>990</v>
      </c>
      <c r="O1021" s="7"/>
    </row>
    <row r="1022" spans="1:15" outlineLevel="1" x14ac:dyDescent="0.3">
      <c r="A1022" s="7">
        <v>495</v>
      </c>
      <c r="B1022" s="7">
        <v>41</v>
      </c>
      <c r="C1022" s="7" t="s">
        <v>466</v>
      </c>
      <c r="D1022" s="8" t="s">
        <v>565</v>
      </c>
      <c r="E1022" s="8">
        <v>4</v>
      </c>
      <c r="F1022" s="36"/>
      <c r="G1022" s="41"/>
      <c r="H1022" s="7"/>
      <c r="I1022" s="7"/>
      <c r="J1022" s="7"/>
      <c r="K1022" s="7"/>
      <c r="L1022" s="7"/>
      <c r="M1022" s="7"/>
      <c r="N1022" s="7" t="s">
        <v>991</v>
      </c>
      <c r="O1022" s="7"/>
    </row>
    <row r="1023" spans="1:15" outlineLevel="1" x14ac:dyDescent="0.3">
      <c r="A1023" s="7">
        <v>496</v>
      </c>
      <c r="B1023" s="7">
        <v>42</v>
      </c>
      <c r="C1023" s="7" t="s">
        <v>467</v>
      </c>
      <c r="D1023" s="8" t="s">
        <v>565</v>
      </c>
      <c r="E1023" s="8">
        <v>2</v>
      </c>
      <c r="F1023" s="36"/>
      <c r="G1023" s="41"/>
      <c r="H1023" s="7"/>
      <c r="I1023" s="7"/>
      <c r="J1023" s="7"/>
      <c r="K1023" s="7"/>
      <c r="L1023" s="7"/>
      <c r="M1023" s="7"/>
      <c r="N1023" s="7" t="s">
        <v>992</v>
      </c>
      <c r="O1023" s="7"/>
    </row>
    <row r="1024" spans="1:15" ht="28.8" outlineLevel="1" x14ac:dyDescent="0.3">
      <c r="A1024" s="7">
        <v>497</v>
      </c>
      <c r="B1024" s="7">
        <v>43</v>
      </c>
      <c r="C1024" s="7" t="s">
        <v>468</v>
      </c>
      <c r="D1024" s="8" t="s">
        <v>565</v>
      </c>
      <c r="E1024" s="8">
        <v>6</v>
      </c>
      <c r="F1024" s="36"/>
      <c r="G1024" s="41"/>
      <c r="H1024" s="7"/>
      <c r="I1024" s="7"/>
      <c r="J1024" s="7"/>
      <c r="K1024" s="7"/>
      <c r="L1024" s="7"/>
      <c r="M1024" s="7"/>
      <c r="N1024" s="7"/>
      <c r="O1024" s="7"/>
    </row>
    <row r="1025" spans="1:15" ht="28.8" outlineLevel="1" x14ac:dyDescent="0.3">
      <c r="A1025" s="7">
        <v>498</v>
      </c>
      <c r="B1025" s="7">
        <v>44</v>
      </c>
      <c r="C1025" s="7" t="s">
        <v>469</v>
      </c>
      <c r="D1025" s="8" t="s">
        <v>565</v>
      </c>
      <c r="E1025" s="8">
        <v>2</v>
      </c>
      <c r="F1025" s="36"/>
      <c r="G1025" s="41"/>
      <c r="H1025" s="7"/>
      <c r="I1025" s="7"/>
      <c r="J1025" s="7"/>
      <c r="K1025" s="7"/>
      <c r="L1025" s="7"/>
      <c r="M1025" s="7"/>
      <c r="N1025" s="7"/>
      <c r="O1025" s="7"/>
    </row>
    <row r="1026" spans="1:15" ht="57.6" outlineLevel="1" x14ac:dyDescent="0.3">
      <c r="A1026" s="7">
        <v>499</v>
      </c>
      <c r="B1026" s="7">
        <v>45</v>
      </c>
      <c r="C1026" s="7" t="s">
        <v>470</v>
      </c>
      <c r="D1026" s="8" t="s">
        <v>546</v>
      </c>
      <c r="E1026" s="8">
        <v>29.87</v>
      </c>
      <c r="F1026" s="36"/>
      <c r="G1026" s="41"/>
      <c r="H1026" s="7"/>
      <c r="I1026" s="7"/>
      <c r="J1026" s="7"/>
      <c r="K1026" s="7"/>
      <c r="L1026" s="7"/>
      <c r="M1026" s="7"/>
      <c r="N1026" s="7" t="s">
        <v>993</v>
      </c>
      <c r="O1026" s="7" t="s">
        <v>1050</v>
      </c>
    </row>
    <row r="1027" spans="1:15" s="2" customFormat="1" x14ac:dyDescent="0.3">
      <c r="A1027" s="4"/>
      <c r="B1027" s="4"/>
      <c r="C1027" s="5" t="s">
        <v>471</v>
      </c>
      <c r="D1027" s="6"/>
      <c r="E1027" s="6"/>
      <c r="F1027" s="36"/>
      <c r="G1027" s="41"/>
      <c r="H1027" s="4"/>
      <c r="I1027" s="4"/>
      <c r="J1027" s="4"/>
      <c r="K1027" s="4"/>
      <c r="L1027" s="4"/>
      <c r="M1027" s="4"/>
      <c r="N1027" s="4"/>
      <c r="O1027" s="4"/>
    </row>
    <row r="1028" spans="1:15" ht="28.8" outlineLevel="1" x14ac:dyDescent="0.3">
      <c r="A1028" s="7">
        <v>500</v>
      </c>
      <c r="B1028" s="7">
        <v>46</v>
      </c>
      <c r="C1028" s="7" t="s">
        <v>472</v>
      </c>
      <c r="D1028" s="8" t="s">
        <v>565</v>
      </c>
      <c r="E1028" s="8">
        <v>32</v>
      </c>
      <c r="F1028" s="36"/>
      <c r="G1028" s="41"/>
      <c r="H1028" s="7"/>
      <c r="I1028" s="7"/>
      <c r="J1028" s="7"/>
      <c r="K1028" s="7"/>
      <c r="L1028" s="7"/>
      <c r="M1028" s="7"/>
      <c r="N1028" s="7"/>
      <c r="O1028" s="7"/>
    </row>
    <row r="1029" spans="1:15" ht="28.8" outlineLevel="1" x14ac:dyDescent="0.3">
      <c r="A1029" s="7">
        <v>501</v>
      </c>
      <c r="B1029" s="7">
        <v>47</v>
      </c>
      <c r="C1029" s="7" t="s">
        <v>473</v>
      </c>
      <c r="D1029" s="8" t="s">
        <v>565</v>
      </c>
      <c r="E1029" s="8">
        <v>2</v>
      </c>
      <c r="F1029" s="36"/>
      <c r="G1029" s="41"/>
      <c r="H1029" s="7"/>
      <c r="I1029" s="7"/>
      <c r="J1029" s="7"/>
      <c r="K1029" s="7"/>
      <c r="L1029" s="7"/>
      <c r="M1029" s="7"/>
      <c r="N1029" s="7"/>
      <c r="O1029" s="7"/>
    </row>
    <row r="1030" spans="1:15" ht="28.8" outlineLevel="1" x14ac:dyDescent="0.3">
      <c r="A1030" s="7">
        <v>502</v>
      </c>
      <c r="B1030" s="7">
        <v>48</v>
      </c>
      <c r="C1030" s="7" t="s">
        <v>474</v>
      </c>
      <c r="D1030" s="8" t="s">
        <v>565</v>
      </c>
      <c r="E1030" s="8">
        <v>6</v>
      </c>
      <c r="F1030" s="36"/>
      <c r="G1030" s="41"/>
      <c r="H1030" s="7"/>
      <c r="I1030" s="7"/>
      <c r="J1030" s="7"/>
      <c r="K1030" s="7"/>
      <c r="L1030" s="7"/>
      <c r="M1030" s="7"/>
      <c r="N1030" s="7"/>
      <c r="O1030" s="7"/>
    </row>
    <row r="1031" spans="1:15" ht="28.8" outlineLevel="1" x14ac:dyDescent="0.3">
      <c r="A1031" s="7">
        <v>503</v>
      </c>
      <c r="B1031" s="7">
        <v>49</v>
      </c>
      <c r="C1031" s="7" t="s">
        <v>475</v>
      </c>
      <c r="D1031" s="8" t="s">
        <v>565</v>
      </c>
      <c r="E1031" s="8">
        <v>12</v>
      </c>
      <c r="F1031" s="36"/>
      <c r="G1031" s="41"/>
      <c r="H1031" s="7"/>
      <c r="I1031" s="7"/>
      <c r="J1031" s="7"/>
      <c r="K1031" s="7"/>
      <c r="L1031" s="7"/>
      <c r="M1031" s="7"/>
      <c r="N1031" s="7"/>
      <c r="O1031" s="7"/>
    </row>
    <row r="1032" spans="1:15" ht="28.8" outlineLevel="1" x14ac:dyDescent="0.3">
      <c r="A1032" s="7">
        <v>504</v>
      </c>
      <c r="B1032" s="7">
        <v>50</v>
      </c>
      <c r="C1032" s="7" t="s">
        <v>476</v>
      </c>
      <c r="D1032" s="8" t="s">
        <v>565</v>
      </c>
      <c r="E1032" s="8">
        <v>12</v>
      </c>
      <c r="F1032" s="36"/>
      <c r="G1032" s="41"/>
      <c r="H1032" s="7"/>
      <c r="I1032" s="7"/>
      <c r="J1032" s="7"/>
      <c r="K1032" s="7"/>
      <c r="L1032" s="7"/>
      <c r="M1032" s="7"/>
      <c r="N1032" s="7"/>
      <c r="O1032" s="7"/>
    </row>
    <row r="1033" spans="1:15" s="2" customFormat="1" x14ac:dyDescent="0.3">
      <c r="A1033" s="4"/>
      <c r="B1033" s="4"/>
      <c r="C1033" s="5" t="s">
        <v>477</v>
      </c>
      <c r="D1033" s="5"/>
      <c r="E1033" s="5"/>
      <c r="F1033" s="37"/>
      <c r="G1033" s="42"/>
      <c r="H1033" s="5"/>
      <c r="I1033" s="5"/>
      <c r="J1033" s="5"/>
      <c r="K1033" s="5"/>
      <c r="L1033" s="5"/>
      <c r="M1033" s="5"/>
      <c r="N1033" s="5"/>
      <c r="O1033" s="4"/>
    </row>
    <row r="1034" spans="1:15" s="2" customFormat="1" x14ac:dyDescent="0.3">
      <c r="A1034" s="4"/>
      <c r="B1034" s="4"/>
      <c r="C1034" s="4" t="s">
        <v>478</v>
      </c>
      <c r="D1034" s="6"/>
      <c r="E1034" s="6"/>
      <c r="F1034" s="36"/>
      <c r="G1034" s="41"/>
      <c r="H1034" s="4"/>
      <c r="I1034" s="4"/>
      <c r="J1034" s="4"/>
      <c r="K1034" s="4"/>
      <c r="L1034" s="4"/>
      <c r="M1034" s="4"/>
      <c r="N1034" s="4"/>
      <c r="O1034" s="4"/>
    </row>
    <row r="1035" spans="1:15" ht="43.2" outlineLevel="1" x14ac:dyDescent="0.3">
      <c r="A1035" s="7">
        <v>505</v>
      </c>
      <c r="B1035" s="7">
        <v>51</v>
      </c>
      <c r="C1035" s="7" t="s">
        <v>479</v>
      </c>
      <c r="D1035" s="8" t="s">
        <v>547</v>
      </c>
      <c r="E1035" s="8">
        <v>27</v>
      </c>
      <c r="F1035" s="36"/>
      <c r="G1035" s="41"/>
      <c r="H1035" s="7"/>
      <c r="I1035" s="7"/>
      <c r="J1035" s="7"/>
      <c r="K1035" s="7"/>
      <c r="L1035" s="7"/>
      <c r="M1035" s="7"/>
      <c r="N1035" s="7" t="s">
        <v>994</v>
      </c>
      <c r="O1035" s="7"/>
    </row>
    <row r="1036" spans="1:15" ht="28.8" outlineLevel="1" x14ac:dyDescent="0.3">
      <c r="A1036" s="7">
        <v>506</v>
      </c>
      <c r="B1036" s="7">
        <v>52</v>
      </c>
      <c r="C1036" s="7" t="s">
        <v>480</v>
      </c>
      <c r="D1036" s="8" t="s">
        <v>547</v>
      </c>
      <c r="E1036" s="8">
        <v>135</v>
      </c>
      <c r="F1036" s="36"/>
      <c r="G1036" s="41"/>
      <c r="H1036" s="7"/>
      <c r="I1036" s="7"/>
      <c r="J1036" s="7"/>
      <c r="K1036" s="7"/>
      <c r="L1036" s="7"/>
      <c r="M1036" s="7"/>
      <c r="N1036" s="7" t="s">
        <v>995</v>
      </c>
      <c r="O1036" s="7"/>
    </row>
    <row r="1037" spans="1:15" ht="28.8" outlineLevel="1" x14ac:dyDescent="0.3">
      <c r="A1037" s="7">
        <v>507</v>
      </c>
      <c r="B1037" s="7">
        <v>53</v>
      </c>
      <c r="C1037" s="7" t="s">
        <v>481</v>
      </c>
      <c r="D1037" s="8" t="s">
        <v>547</v>
      </c>
      <c r="E1037" s="8">
        <v>14</v>
      </c>
      <c r="F1037" s="36"/>
      <c r="G1037" s="41"/>
      <c r="H1037" s="7"/>
      <c r="I1037" s="7"/>
      <c r="J1037" s="7"/>
      <c r="K1037" s="7"/>
      <c r="L1037" s="7"/>
      <c r="M1037" s="7"/>
      <c r="N1037" s="7" t="s">
        <v>996</v>
      </c>
      <c r="O1037" s="7"/>
    </row>
    <row r="1038" spans="1:15" ht="57.6" outlineLevel="1" x14ac:dyDescent="0.3">
      <c r="A1038" s="7">
        <v>508</v>
      </c>
      <c r="B1038" s="7">
        <v>54</v>
      </c>
      <c r="C1038" s="7" t="s">
        <v>482</v>
      </c>
      <c r="D1038" s="8" t="s">
        <v>555</v>
      </c>
      <c r="E1038" s="8">
        <v>216</v>
      </c>
      <c r="F1038" s="36"/>
      <c r="G1038" s="41"/>
      <c r="H1038" s="7"/>
      <c r="I1038" s="7"/>
      <c r="J1038" s="7"/>
      <c r="K1038" s="7"/>
      <c r="L1038" s="7"/>
      <c r="M1038" s="7"/>
      <c r="N1038" s="7" t="s">
        <v>997</v>
      </c>
      <c r="O1038" s="7"/>
    </row>
    <row r="1039" spans="1:15" s="2" customFormat="1" x14ac:dyDescent="0.3">
      <c r="A1039" s="4"/>
      <c r="B1039" s="4"/>
      <c r="C1039" s="4" t="s">
        <v>483</v>
      </c>
      <c r="D1039" s="6"/>
      <c r="E1039" s="6"/>
      <c r="F1039" s="36"/>
      <c r="G1039" s="41"/>
      <c r="H1039" s="4"/>
      <c r="I1039" s="4"/>
      <c r="J1039" s="4"/>
      <c r="K1039" s="4"/>
      <c r="L1039" s="4"/>
      <c r="M1039" s="4"/>
      <c r="N1039" s="4"/>
      <c r="O1039" s="4"/>
    </row>
    <row r="1040" spans="1:15" ht="43.2" outlineLevel="1" x14ac:dyDescent="0.3">
      <c r="A1040" s="7">
        <v>509</v>
      </c>
      <c r="B1040" s="7">
        <v>55</v>
      </c>
      <c r="C1040" s="7" t="s">
        <v>479</v>
      </c>
      <c r="D1040" s="8" t="s">
        <v>547</v>
      </c>
      <c r="E1040" s="8">
        <v>36</v>
      </c>
      <c r="F1040" s="36"/>
      <c r="G1040" s="41"/>
      <c r="H1040" s="7"/>
      <c r="I1040" s="7"/>
      <c r="J1040" s="7"/>
      <c r="K1040" s="7"/>
      <c r="L1040" s="7"/>
      <c r="M1040" s="7"/>
      <c r="N1040" s="7" t="s">
        <v>998</v>
      </c>
      <c r="O1040" s="7"/>
    </row>
    <row r="1041" spans="1:15" ht="28.8" outlineLevel="1" x14ac:dyDescent="0.3">
      <c r="A1041" s="7">
        <v>510</v>
      </c>
      <c r="B1041" s="7">
        <v>56</v>
      </c>
      <c r="C1041" s="7" t="s">
        <v>480</v>
      </c>
      <c r="D1041" s="8" t="s">
        <v>547</v>
      </c>
      <c r="E1041" s="8">
        <v>180</v>
      </c>
      <c r="F1041" s="36"/>
      <c r="G1041" s="41"/>
      <c r="H1041" s="7"/>
      <c r="I1041" s="7"/>
      <c r="J1041" s="7"/>
      <c r="K1041" s="7"/>
      <c r="L1041" s="7"/>
      <c r="M1041" s="7"/>
      <c r="N1041" s="7" t="s">
        <v>999</v>
      </c>
      <c r="O1041" s="7"/>
    </row>
    <row r="1042" spans="1:15" ht="28.8" outlineLevel="1" x14ac:dyDescent="0.3">
      <c r="A1042" s="7">
        <v>511</v>
      </c>
      <c r="B1042" s="7">
        <v>57</v>
      </c>
      <c r="C1042" s="7" t="s">
        <v>481</v>
      </c>
      <c r="D1042" s="8" t="s">
        <v>547</v>
      </c>
      <c r="E1042" s="8">
        <v>18</v>
      </c>
      <c r="F1042" s="36"/>
      <c r="G1042" s="41"/>
      <c r="H1042" s="7"/>
      <c r="I1042" s="7"/>
      <c r="J1042" s="7"/>
      <c r="K1042" s="7"/>
      <c r="L1042" s="7"/>
      <c r="M1042" s="7"/>
      <c r="N1042" s="7" t="s">
        <v>1000</v>
      </c>
      <c r="O1042" s="7"/>
    </row>
    <row r="1043" spans="1:15" ht="57.6" outlineLevel="1" x14ac:dyDescent="0.3">
      <c r="A1043" s="7">
        <v>512</v>
      </c>
      <c r="B1043" s="7">
        <v>58</v>
      </c>
      <c r="C1043" s="7" t="s">
        <v>482</v>
      </c>
      <c r="D1043" s="8" t="s">
        <v>555</v>
      </c>
      <c r="E1043" s="8">
        <v>288</v>
      </c>
      <c r="F1043" s="36"/>
      <c r="G1043" s="41"/>
      <c r="H1043" s="7"/>
      <c r="I1043" s="7"/>
      <c r="J1043" s="7"/>
      <c r="K1043" s="7"/>
      <c r="L1043" s="7"/>
      <c r="M1043" s="7"/>
      <c r="N1043" s="7" t="s">
        <v>1001</v>
      </c>
      <c r="O1043" s="7"/>
    </row>
    <row r="1044" spans="1:15" s="2" customFormat="1" x14ac:dyDescent="0.3">
      <c r="A1044" s="4"/>
      <c r="B1044" s="4"/>
      <c r="C1044" s="9" t="s">
        <v>484</v>
      </c>
      <c r="D1044" s="6"/>
      <c r="E1044" s="6"/>
      <c r="F1044" s="36"/>
      <c r="G1044" s="41"/>
      <c r="H1044" s="4"/>
      <c r="I1044" s="4"/>
      <c r="J1044" s="4"/>
      <c r="K1044" s="4"/>
      <c r="L1044" s="4"/>
      <c r="M1044" s="4"/>
      <c r="N1044" s="4"/>
      <c r="O1044" s="4"/>
    </row>
    <row r="1045" spans="1:15" outlineLevel="1" x14ac:dyDescent="0.3">
      <c r="A1045" s="7">
        <v>513</v>
      </c>
      <c r="B1045" s="7">
        <v>59</v>
      </c>
      <c r="C1045" s="7" t="s">
        <v>485</v>
      </c>
      <c r="D1045" s="8" t="s">
        <v>547</v>
      </c>
      <c r="E1045" s="8">
        <v>2</v>
      </c>
      <c r="F1045" s="36"/>
      <c r="G1045" s="41"/>
      <c r="H1045" s="7"/>
      <c r="I1045" s="7"/>
      <c r="J1045" s="7"/>
      <c r="K1045" s="7"/>
      <c r="L1045" s="7"/>
      <c r="M1045" s="7"/>
      <c r="N1045" s="7" t="s">
        <v>1002</v>
      </c>
      <c r="O1045" s="7"/>
    </row>
    <row r="1046" spans="1:15" outlineLevel="1" x14ac:dyDescent="0.3">
      <c r="A1046" s="7">
        <v>514</v>
      </c>
      <c r="B1046" s="7">
        <v>60</v>
      </c>
      <c r="C1046" s="7" t="s">
        <v>486</v>
      </c>
      <c r="D1046" s="8" t="s">
        <v>547</v>
      </c>
      <c r="E1046" s="8">
        <v>4</v>
      </c>
      <c r="F1046" s="36"/>
      <c r="G1046" s="41"/>
      <c r="H1046" s="7"/>
      <c r="I1046" s="7"/>
      <c r="J1046" s="7"/>
      <c r="K1046" s="7"/>
      <c r="L1046" s="7"/>
      <c r="M1046" s="7"/>
      <c r="N1046" s="7" t="s">
        <v>1003</v>
      </c>
      <c r="O1046" s="7"/>
    </row>
    <row r="1047" spans="1:15" ht="28.8" outlineLevel="1" x14ac:dyDescent="0.3">
      <c r="A1047" s="7">
        <v>515</v>
      </c>
      <c r="B1047" s="7">
        <v>61</v>
      </c>
      <c r="C1047" s="7" t="s">
        <v>487</v>
      </c>
      <c r="D1047" s="8" t="s">
        <v>547</v>
      </c>
      <c r="E1047" s="8">
        <v>4</v>
      </c>
      <c r="F1047" s="36"/>
      <c r="G1047" s="41"/>
      <c r="H1047" s="7"/>
      <c r="I1047" s="7"/>
      <c r="J1047" s="7"/>
      <c r="K1047" s="7"/>
      <c r="L1047" s="7"/>
      <c r="M1047" s="7"/>
      <c r="N1047" s="7" t="s">
        <v>1004</v>
      </c>
      <c r="O1047" s="7"/>
    </row>
    <row r="1048" spans="1:15" ht="43.2" outlineLevel="1" x14ac:dyDescent="0.3">
      <c r="A1048" s="7">
        <v>516</v>
      </c>
      <c r="B1048" s="7">
        <v>62</v>
      </c>
      <c r="C1048" s="7" t="s">
        <v>488</v>
      </c>
      <c r="D1048" s="8"/>
      <c r="E1048" s="8"/>
      <c r="F1048" s="36"/>
      <c r="G1048" s="41"/>
      <c r="H1048" s="7"/>
      <c r="I1048" s="7"/>
      <c r="J1048" s="7"/>
      <c r="K1048" s="7"/>
      <c r="L1048" s="7"/>
      <c r="M1048" s="7"/>
      <c r="N1048" s="7" t="s">
        <v>1005</v>
      </c>
      <c r="O1048" s="7"/>
    </row>
    <row r="1049" spans="1:15" ht="57.6" outlineLevel="1" x14ac:dyDescent="0.3">
      <c r="A1049" s="7">
        <v>517</v>
      </c>
      <c r="B1049" s="7">
        <v>63</v>
      </c>
      <c r="C1049" s="7" t="s">
        <v>489</v>
      </c>
      <c r="D1049" s="8" t="s">
        <v>555</v>
      </c>
      <c r="E1049" s="8">
        <v>2</v>
      </c>
      <c r="F1049" s="36"/>
      <c r="G1049" s="41"/>
      <c r="H1049" s="7"/>
      <c r="I1049" s="7"/>
      <c r="J1049" s="7"/>
      <c r="K1049" s="7"/>
      <c r="L1049" s="7"/>
      <c r="M1049" s="7"/>
      <c r="N1049" s="7" t="s">
        <v>1006</v>
      </c>
      <c r="O1049" s="7"/>
    </row>
    <row r="1050" spans="1:15" ht="43.2" outlineLevel="1" x14ac:dyDescent="0.3">
      <c r="A1050" s="7">
        <v>518</v>
      </c>
      <c r="B1050" s="7">
        <v>64</v>
      </c>
      <c r="C1050" s="7" t="s">
        <v>490</v>
      </c>
      <c r="D1050" s="8" t="s">
        <v>566</v>
      </c>
      <c r="E1050" s="8">
        <v>64</v>
      </c>
      <c r="F1050" s="36"/>
      <c r="G1050" s="41"/>
      <c r="H1050" s="7"/>
      <c r="I1050" s="7"/>
      <c r="J1050" s="7"/>
      <c r="K1050" s="7"/>
      <c r="L1050" s="7"/>
      <c r="M1050" s="7"/>
      <c r="N1050" s="7" t="s">
        <v>1007</v>
      </c>
      <c r="O1050" s="7"/>
    </row>
    <row r="1051" spans="1:15" s="2" customFormat="1" x14ac:dyDescent="0.3">
      <c r="A1051" s="4"/>
      <c r="B1051" s="4"/>
      <c r="C1051" s="4" t="s">
        <v>491</v>
      </c>
      <c r="D1051" s="6"/>
      <c r="E1051" s="6"/>
      <c r="F1051" s="36"/>
      <c r="G1051" s="41"/>
      <c r="H1051" s="4"/>
      <c r="I1051" s="4"/>
      <c r="J1051" s="4"/>
      <c r="K1051" s="4"/>
      <c r="L1051" s="4"/>
      <c r="M1051" s="4"/>
      <c r="N1051" s="4"/>
      <c r="O1051" s="4"/>
    </row>
    <row r="1052" spans="1:15" ht="360" outlineLevel="1" x14ac:dyDescent="0.3">
      <c r="A1052" s="7">
        <v>519</v>
      </c>
      <c r="B1052" s="7">
        <v>65</v>
      </c>
      <c r="C1052" s="7" t="s">
        <v>492</v>
      </c>
      <c r="D1052" s="8" t="s">
        <v>555</v>
      </c>
      <c r="E1052" s="8">
        <v>189</v>
      </c>
      <c r="F1052" s="36"/>
      <c r="G1052" s="41"/>
      <c r="H1052" s="7"/>
      <c r="I1052" s="7"/>
      <c r="J1052" s="7"/>
      <c r="K1052" s="7"/>
      <c r="L1052" s="7"/>
      <c r="M1052" s="7"/>
      <c r="N1052" s="7" t="s">
        <v>1008</v>
      </c>
      <c r="O1052" s="7"/>
    </row>
    <row r="1053" spans="1:15" s="2" customFormat="1" x14ac:dyDescent="0.3">
      <c r="A1053" s="4"/>
      <c r="B1053" s="4"/>
      <c r="C1053" s="5" t="s">
        <v>493</v>
      </c>
      <c r="D1053" s="6"/>
      <c r="E1053" s="6"/>
      <c r="F1053" s="36"/>
      <c r="G1053" s="41"/>
      <c r="H1053" s="4"/>
      <c r="I1053" s="4"/>
      <c r="J1053" s="4"/>
      <c r="K1053" s="4"/>
      <c r="L1053" s="4"/>
      <c r="M1053" s="4"/>
      <c r="N1053" s="4"/>
      <c r="O1053" s="4"/>
    </row>
    <row r="1054" spans="1:15" s="2" customFormat="1" x14ac:dyDescent="0.3">
      <c r="A1054" s="4"/>
      <c r="B1054" s="4"/>
      <c r="C1054" s="4" t="s">
        <v>396</v>
      </c>
      <c r="D1054" s="6"/>
      <c r="E1054" s="6"/>
      <c r="F1054" s="36"/>
      <c r="G1054" s="41"/>
      <c r="H1054" s="4"/>
      <c r="I1054" s="4"/>
      <c r="J1054" s="4"/>
      <c r="K1054" s="4"/>
      <c r="L1054" s="4"/>
      <c r="M1054" s="4"/>
      <c r="N1054" s="4"/>
      <c r="O1054" s="4"/>
    </row>
    <row r="1055" spans="1:15" outlineLevel="1" x14ac:dyDescent="0.3">
      <c r="A1055" s="7">
        <v>520</v>
      </c>
      <c r="B1055" s="7">
        <v>66</v>
      </c>
      <c r="C1055" s="7" t="s">
        <v>494</v>
      </c>
      <c r="D1055" s="8" t="s">
        <v>555</v>
      </c>
      <c r="E1055" s="8">
        <v>752</v>
      </c>
      <c r="F1055" s="36"/>
      <c r="G1055" s="41"/>
      <c r="H1055" s="7"/>
      <c r="I1055" s="7"/>
      <c r="J1055" s="7"/>
      <c r="K1055" s="7"/>
      <c r="L1055" s="7"/>
      <c r="M1055" s="7"/>
      <c r="N1055" s="7"/>
      <c r="O1055" s="7"/>
    </row>
    <row r="1056" spans="1:15" s="2" customFormat="1" x14ac:dyDescent="0.3">
      <c r="A1056" s="4"/>
      <c r="B1056" s="4"/>
      <c r="C1056" s="9" t="s">
        <v>495</v>
      </c>
      <c r="D1056" s="6"/>
      <c r="E1056" s="6"/>
      <c r="F1056" s="36"/>
      <c r="G1056" s="41"/>
      <c r="H1056" s="4"/>
      <c r="I1056" s="4"/>
      <c r="J1056" s="4"/>
      <c r="K1056" s="4"/>
      <c r="L1056" s="4"/>
      <c r="M1056" s="4"/>
      <c r="N1056" s="4"/>
      <c r="O1056" s="4"/>
    </row>
    <row r="1057" spans="1:15" ht="409.6" outlineLevel="1" x14ac:dyDescent="0.3">
      <c r="A1057" s="7">
        <v>521</v>
      </c>
      <c r="B1057" s="7">
        <v>67</v>
      </c>
      <c r="C1057" s="7" t="s">
        <v>496</v>
      </c>
      <c r="D1057" s="8" t="s">
        <v>555</v>
      </c>
      <c r="E1057" s="8">
        <v>400.65</v>
      </c>
      <c r="F1057" s="36"/>
      <c r="G1057" s="41"/>
      <c r="H1057" s="7"/>
      <c r="I1057" s="7"/>
      <c r="J1057" s="7"/>
      <c r="K1057" s="7"/>
      <c r="L1057" s="7"/>
      <c r="M1057" s="7"/>
      <c r="N1057" s="7" t="s">
        <v>1009</v>
      </c>
      <c r="O1057" s="7"/>
    </row>
    <row r="1058" spans="1:15" ht="86.4" outlineLevel="1" x14ac:dyDescent="0.3">
      <c r="A1058" s="7">
        <v>522</v>
      </c>
      <c r="B1058" s="7">
        <v>68</v>
      </c>
      <c r="C1058" s="7" t="s">
        <v>497</v>
      </c>
      <c r="D1058" s="8" t="s">
        <v>547</v>
      </c>
      <c r="E1058" s="8">
        <v>31</v>
      </c>
      <c r="F1058" s="36"/>
      <c r="G1058" s="41"/>
      <c r="H1058" s="7"/>
      <c r="I1058" s="7"/>
      <c r="J1058" s="7"/>
      <c r="K1058" s="7"/>
      <c r="L1058" s="7"/>
      <c r="M1058" s="7"/>
      <c r="N1058" s="7" t="s">
        <v>1010</v>
      </c>
      <c r="O1058" s="7" t="s">
        <v>1049</v>
      </c>
    </row>
    <row r="1059" spans="1:15" ht="409.6" outlineLevel="1" x14ac:dyDescent="0.3">
      <c r="A1059" s="7">
        <v>523</v>
      </c>
      <c r="B1059" s="7">
        <v>69</v>
      </c>
      <c r="C1059" s="7" t="s">
        <v>498</v>
      </c>
      <c r="D1059" s="8" t="s">
        <v>555</v>
      </c>
      <c r="E1059" s="8">
        <v>546.56999999999994</v>
      </c>
      <c r="F1059" s="36"/>
      <c r="G1059" s="41"/>
      <c r="H1059" s="7"/>
      <c r="I1059" s="7"/>
      <c r="J1059" s="7"/>
      <c r="K1059" s="7"/>
      <c r="L1059" s="7"/>
      <c r="M1059" s="7"/>
      <c r="N1059" s="7" t="s">
        <v>1011</v>
      </c>
      <c r="O1059" s="7"/>
    </row>
    <row r="1060" spans="1:15" ht="57.6" outlineLevel="1" x14ac:dyDescent="0.3">
      <c r="A1060" s="7">
        <v>524</v>
      </c>
      <c r="B1060" s="7">
        <v>70</v>
      </c>
      <c r="C1060" s="7" t="s">
        <v>497</v>
      </c>
      <c r="D1060" s="8" t="s">
        <v>547</v>
      </c>
      <c r="E1060" s="8">
        <v>38</v>
      </c>
      <c r="F1060" s="36"/>
      <c r="G1060" s="41"/>
      <c r="H1060" s="7"/>
      <c r="I1060" s="7"/>
      <c r="J1060" s="7"/>
      <c r="K1060" s="7"/>
      <c r="L1060" s="7"/>
      <c r="M1060" s="7"/>
      <c r="N1060" s="7" t="s">
        <v>1012</v>
      </c>
      <c r="O1060" s="7"/>
    </row>
    <row r="1061" spans="1:15" s="2" customFormat="1" x14ac:dyDescent="0.3">
      <c r="A1061" s="4"/>
      <c r="B1061" s="4"/>
      <c r="C1061" s="4" t="s">
        <v>499</v>
      </c>
      <c r="D1061" s="6"/>
      <c r="E1061" s="6"/>
      <c r="F1061" s="36"/>
      <c r="G1061" s="41"/>
      <c r="H1061" s="4"/>
      <c r="I1061" s="4"/>
      <c r="J1061" s="4"/>
      <c r="K1061" s="4"/>
      <c r="L1061" s="4"/>
      <c r="M1061" s="4"/>
      <c r="N1061" s="4"/>
      <c r="O1061" s="4"/>
    </row>
    <row r="1062" spans="1:15" ht="57.6" outlineLevel="1" x14ac:dyDescent="0.3">
      <c r="A1062" s="7">
        <v>525</v>
      </c>
      <c r="B1062" s="7">
        <v>71</v>
      </c>
      <c r="C1062" s="7" t="s">
        <v>500</v>
      </c>
      <c r="D1062" s="8" t="s">
        <v>547</v>
      </c>
      <c r="E1062" s="8">
        <v>242</v>
      </c>
      <c r="F1062" s="36"/>
      <c r="G1062" s="41"/>
      <c r="H1062" s="7"/>
      <c r="I1062" s="7"/>
      <c r="J1062" s="7"/>
      <c r="K1062" s="7"/>
      <c r="L1062" s="7"/>
      <c r="M1062" s="7"/>
      <c r="N1062" s="7" t="s">
        <v>1013</v>
      </c>
      <c r="O1062" s="7"/>
    </row>
    <row r="1063" spans="1:15" ht="288" outlineLevel="1" x14ac:dyDescent="0.3">
      <c r="A1063" s="7">
        <v>526</v>
      </c>
      <c r="B1063" s="7">
        <v>72</v>
      </c>
      <c r="C1063" s="7" t="s">
        <v>501</v>
      </c>
      <c r="D1063" s="8" t="s">
        <v>547</v>
      </c>
      <c r="E1063" s="8">
        <v>300</v>
      </c>
      <c r="F1063" s="36"/>
      <c r="G1063" s="41"/>
      <c r="H1063" s="7"/>
      <c r="I1063" s="7"/>
      <c r="J1063" s="7"/>
      <c r="K1063" s="7"/>
      <c r="L1063" s="7"/>
      <c r="M1063" s="7"/>
      <c r="N1063" s="7" t="s">
        <v>1014</v>
      </c>
      <c r="O1063" s="7"/>
    </row>
    <row r="1064" spans="1:15" ht="158.4" outlineLevel="1" x14ac:dyDescent="0.3">
      <c r="A1064" s="7">
        <v>527</v>
      </c>
      <c r="B1064" s="7">
        <v>73</v>
      </c>
      <c r="C1064" s="7" t="s">
        <v>502</v>
      </c>
      <c r="D1064" s="8" t="s">
        <v>547</v>
      </c>
      <c r="E1064" s="8">
        <v>4</v>
      </c>
      <c r="F1064" s="36"/>
      <c r="G1064" s="41"/>
      <c r="H1064" s="7"/>
      <c r="I1064" s="7"/>
      <c r="J1064" s="7"/>
      <c r="K1064" s="7"/>
      <c r="L1064" s="7"/>
      <c r="M1064" s="7"/>
      <c r="N1064" s="7" t="s">
        <v>1015</v>
      </c>
      <c r="O1064" s="7"/>
    </row>
    <row r="1065" spans="1:15" ht="57.6" outlineLevel="1" x14ac:dyDescent="0.3">
      <c r="A1065" s="7">
        <v>528</v>
      </c>
      <c r="B1065" s="7">
        <v>74</v>
      </c>
      <c r="C1065" s="7" t="s">
        <v>503</v>
      </c>
      <c r="D1065" s="8" t="s">
        <v>547</v>
      </c>
      <c r="E1065" s="8">
        <v>8</v>
      </c>
      <c r="F1065" s="36"/>
      <c r="G1065" s="41"/>
      <c r="H1065" s="7"/>
      <c r="I1065" s="7"/>
      <c r="J1065" s="7"/>
      <c r="K1065" s="7"/>
      <c r="L1065" s="7"/>
      <c r="M1065" s="7"/>
      <c r="N1065" s="7" t="s">
        <v>1016</v>
      </c>
      <c r="O1065" s="7"/>
    </row>
    <row r="1066" spans="1:15" s="2" customFormat="1" x14ac:dyDescent="0.3">
      <c r="A1066" s="4"/>
      <c r="B1066" s="4"/>
      <c r="C1066" s="4" t="s">
        <v>504</v>
      </c>
      <c r="D1066" s="6"/>
      <c r="E1066" s="6"/>
      <c r="F1066" s="36"/>
      <c r="G1066" s="41"/>
      <c r="H1066" s="4"/>
      <c r="I1066" s="4"/>
      <c r="J1066" s="4"/>
      <c r="K1066" s="4"/>
      <c r="L1066" s="4"/>
      <c r="M1066" s="4"/>
      <c r="N1066" s="4"/>
      <c r="O1066" s="4"/>
    </row>
    <row r="1067" spans="1:15" ht="28.8" outlineLevel="1" x14ac:dyDescent="0.3">
      <c r="A1067" s="7">
        <v>529</v>
      </c>
      <c r="B1067" s="7">
        <v>75</v>
      </c>
      <c r="C1067" s="7" t="s">
        <v>505</v>
      </c>
      <c r="D1067" s="8" t="s">
        <v>555</v>
      </c>
      <c r="E1067" s="8">
        <v>320</v>
      </c>
      <c r="F1067" s="36"/>
      <c r="G1067" s="41"/>
      <c r="H1067" s="7"/>
      <c r="I1067" s="7"/>
      <c r="J1067" s="7"/>
      <c r="K1067" s="7"/>
      <c r="L1067" s="7"/>
      <c r="M1067" s="7"/>
      <c r="N1067" s="7" t="s">
        <v>1017</v>
      </c>
      <c r="O1067" s="7"/>
    </row>
    <row r="1068" spans="1:15" outlineLevel="1" x14ac:dyDescent="0.3">
      <c r="A1068" s="7">
        <v>530</v>
      </c>
      <c r="B1068" s="7">
        <v>76</v>
      </c>
      <c r="C1068" s="7" t="s">
        <v>506</v>
      </c>
      <c r="D1068" s="8" t="s">
        <v>547</v>
      </c>
      <c r="E1068" s="8">
        <v>128</v>
      </c>
      <c r="F1068" s="36"/>
      <c r="G1068" s="41"/>
      <c r="H1068" s="7"/>
      <c r="I1068" s="7"/>
      <c r="J1068" s="7"/>
      <c r="K1068" s="7"/>
      <c r="L1068" s="7"/>
      <c r="M1068" s="7"/>
      <c r="N1068" s="7" t="s">
        <v>1018</v>
      </c>
      <c r="O1068" s="7"/>
    </row>
    <row r="1069" spans="1:15" s="2" customFormat="1" x14ac:dyDescent="0.3">
      <c r="A1069" s="4"/>
      <c r="B1069" s="4"/>
      <c r="C1069" s="4" t="s">
        <v>418</v>
      </c>
      <c r="D1069" s="6"/>
      <c r="E1069" s="6"/>
      <c r="F1069" s="36"/>
      <c r="G1069" s="41"/>
      <c r="H1069" s="4"/>
      <c r="I1069" s="4"/>
      <c r="J1069" s="4"/>
      <c r="K1069" s="4"/>
      <c r="L1069" s="4"/>
      <c r="M1069" s="4"/>
      <c r="N1069" s="4"/>
      <c r="O1069" s="4"/>
    </row>
    <row r="1070" spans="1:15" ht="28.8" outlineLevel="1" x14ac:dyDescent="0.3">
      <c r="A1070" s="7">
        <v>531</v>
      </c>
      <c r="B1070" s="7">
        <v>77</v>
      </c>
      <c r="C1070" s="7" t="s">
        <v>507</v>
      </c>
      <c r="D1070" s="8" t="s">
        <v>567</v>
      </c>
      <c r="E1070" s="8">
        <v>1</v>
      </c>
      <c r="F1070" s="36"/>
      <c r="G1070" s="41"/>
      <c r="H1070" s="7"/>
      <c r="I1070" s="7"/>
      <c r="J1070" s="7"/>
      <c r="K1070" s="7"/>
      <c r="L1070" s="7"/>
      <c r="M1070" s="7"/>
      <c r="N1070" s="7"/>
      <c r="O1070" s="7"/>
    </row>
    <row r="1071" spans="1:15" s="2" customFormat="1" x14ac:dyDescent="0.3">
      <c r="A1071" s="4"/>
      <c r="B1071" s="4"/>
      <c r="C1071" s="5" t="s">
        <v>508</v>
      </c>
      <c r="D1071" s="5"/>
      <c r="E1071" s="5"/>
      <c r="F1071" s="37"/>
      <c r="G1071" s="42"/>
      <c r="H1071" s="5"/>
      <c r="I1071" s="5"/>
      <c r="J1071" s="5"/>
      <c r="K1071" s="5"/>
      <c r="L1071" s="5"/>
      <c r="M1071" s="5"/>
      <c r="N1071" s="5"/>
      <c r="O1071" s="4"/>
    </row>
    <row r="1072" spans="1:15" s="2" customFormat="1" x14ac:dyDescent="0.3">
      <c r="A1072" s="4"/>
      <c r="B1072" s="4"/>
      <c r="C1072" s="4" t="s">
        <v>415</v>
      </c>
      <c r="D1072" s="6"/>
      <c r="E1072" s="6"/>
      <c r="F1072" s="36"/>
      <c r="G1072" s="41"/>
      <c r="H1072" s="4"/>
      <c r="I1072" s="4"/>
      <c r="J1072" s="4"/>
      <c r="K1072" s="4"/>
      <c r="L1072" s="4"/>
      <c r="M1072" s="4"/>
      <c r="N1072" s="4"/>
      <c r="O1072" s="4"/>
    </row>
    <row r="1073" spans="1:15" ht="28.8" outlineLevel="1" x14ac:dyDescent="0.3">
      <c r="A1073" s="7">
        <v>532</v>
      </c>
      <c r="B1073" s="7">
        <v>78</v>
      </c>
      <c r="C1073" s="7" t="s">
        <v>509</v>
      </c>
      <c r="D1073" s="8" t="s">
        <v>551</v>
      </c>
      <c r="E1073" s="8">
        <v>508.9</v>
      </c>
      <c r="F1073" s="36"/>
      <c r="G1073" s="41"/>
      <c r="H1073" s="7"/>
      <c r="I1073" s="7"/>
      <c r="J1073" s="7"/>
      <c r="K1073" s="7"/>
      <c r="L1073" s="7"/>
      <c r="M1073" s="7"/>
      <c r="N1073" s="7" t="s">
        <v>1019</v>
      </c>
      <c r="O1073" s="7"/>
    </row>
    <row r="1074" spans="1:15" ht="28.8" outlineLevel="1" x14ac:dyDescent="0.3">
      <c r="A1074" s="7">
        <v>533</v>
      </c>
      <c r="B1074" s="7">
        <v>79</v>
      </c>
      <c r="C1074" s="7" t="s">
        <v>510</v>
      </c>
      <c r="D1074" s="8" t="s">
        <v>551</v>
      </c>
      <c r="E1074" s="8">
        <v>464.6</v>
      </c>
      <c r="F1074" s="36"/>
      <c r="G1074" s="41"/>
      <c r="H1074" s="7"/>
      <c r="I1074" s="7"/>
      <c r="J1074" s="7"/>
      <c r="K1074" s="7"/>
      <c r="L1074" s="7"/>
      <c r="M1074" s="7"/>
      <c r="N1074" s="7" t="s">
        <v>1020</v>
      </c>
      <c r="O1074" s="7"/>
    </row>
    <row r="1075" spans="1:15" ht="28.8" outlineLevel="1" x14ac:dyDescent="0.3">
      <c r="A1075" s="7">
        <v>534</v>
      </c>
      <c r="B1075" s="7">
        <v>80</v>
      </c>
      <c r="C1075" s="7" t="s">
        <v>511</v>
      </c>
      <c r="D1075" s="8" t="s">
        <v>551</v>
      </c>
      <c r="E1075" s="8">
        <v>13.3</v>
      </c>
      <c r="F1075" s="36"/>
      <c r="G1075" s="41"/>
      <c r="H1075" s="7"/>
      <c r="I1075" s="7"/>
      <c r="J1075" s="7"/>
      <c r="K1075" s="7"/>
      <c r="L1075" s="7"/>
      <c r="M1075" s="7"/>
      <c r="N1075" s="7"/>
      <c r="O1075" s="7"/>
    </row>
    <row r="1076" spans="1:15" ht="28.8" outlineLevel="1" x14ac:dyDescent="0.3">
      <c r="A1076" s="7">
        <v>535</v>
      </c>
      <c r="B1076" s="7">
        <v>81</v>
      </c>
      <c r="C1076" s="7" t="s">
        <v>512</v>
      </c>
      <c r="D1076" s="8" t="s">
        <v>551</v>
      </c>
      <c r="E1076" s="8">
        <v>947.4</v>
      </c>
      <c r="F1076" s="36"/>
      <c r="G1076" s="41"/>
      <c r="H1076" s="7"/>
      <c r="I1076" s="7"/>
      <c r="J1076" s="7"/>
      <c r="K1076" s="7"/>
      <c r="L1076" s="7"/>
      <c r="M1076" s="7"/>
      <c r="N1076" s="7"/>
      <c r="O1076" s="7"/>
    </row>
    <row r="1077" spans="1:15" ht="28.8" outlineLevel="1" x14ac:dyDescent="0.3">
      <c r="A1077" s="7">
        <v>536</v>
      </c>
      <c r="B1077" s="7">
        <v>82</v>
      </c>
      <c r="C1077" s="7" t="s">
        <v>513</v>
      </c>
      <c r="D1077" s="8" t="s">
        <v>550</v>
      </c>
      <c r="E1077" s="8">
        <v>45.674999999999997</v>
      </c>
      <c r="F1077" s="36"/>
      <c r="G1077" s="41"/>
      <c r="H1077" s="7"/>
      <c r="I1077" s="7"/>
      <c r="J1077" s="7"/>
      <c r="K1077" s="7"/>
      <c r="L1077" s="7"/>
      <c r="M1077" s="7"/>
      <c r="N1077" s="7" t="s">
        <v>1021</v>
      </c>
      <c r="O1077" s="7"/>
    </row>
    <row r="1078" spans="1:15" s="2" customFormat="1" x14ac:dyDescent="0.3">
      <c r="A1078" s="4"/>
      <c r="B1078" s="4"/>
      <c r="C1078" s="4" t="s">
        <v>396</v>
      </c>
      <c r="D1078" s="6"/>
      <c r="E1078" s="6"/>
      <c r="F1078" s="36"/>
      <c r="G1078" s="41"/>
      <c r="H1078" s="4"/>
      <c r="I1078" s="4"/>
      <c r="J1078" s="4"/>
      <c r="K1078" s="4"/>
      <c r="L1078" s="4"/>
      <c r="M1078" s="4"/>
      <c r="N1078" s="4"/>
      <c r="O1078" s="4"/>
    </row>
    <row r="1079" spans="1:15" outlineLevel="1" x14ac:dyDescent="0.3">
      <c r="A1079" s="7">
        <v>537</v>
      </c>
      <c r="B1079" s="7">
        <v>83</v>
      </c>
      <c r="C1079" s="7" t="s">
        <v>514</v>
      </c>
      <c r="D1079" s="8" t="s">
        <v>568</v>
      </c>
      <c r="E1079" s="8" t="s">
        <v>577</v>
      </c>
      <c r="F1079" s="36"/>
      <c r="G1079" s="41"/>
      <c r="H1079" s="7"/>
      <c r="I1079" s="7"/>
      <c r="J1079" s="7"/>
      <c r="K1079" s="7"/>
      <c r="L1079" s="7"/>
      <c r="M1079" s="7"/>
      <c r="N1079" s="7"/>
      <c r="O1079" s="7"/>
    </row>
    <row r="1080" spans="1:15" ht="28.8" outlineLevel="1" x14ac:dyDescent="0.3">
      <c r="A1080" s="7">
        <v>538</v>
      </c>
      <c r="B1080" s="7">
        <v>84</v>
      </c>
      <c r="C1080" s="7" t="s">
        <v>515</v>
      </c>
      <c r="D1080" s="8" t="s">
        <v>555</v>
      </c>
      <c r="E1080" s="8">
        <v>88.6</v>
      </c>
      <c r="F1080" s="36"/>
      <c r="G1080" s="41"/>
      <c r="H1080" s="7"/>
      <c r="I1080" s="7"/>
      <c r="J1080" s="7"/>
      <c r="K1080" s="7"/>
      <c r="L1080" s="7"/>
      <c r="M1080" s="7"/>
      <c r="N1080" s="7"/>
      <c r="O1080" s="7"/>
    </row>
    <row r="1081" spans="1:15" ht="28.8" outlineLevel="1" x14ac:dyDescent="0.3">
      <c r="A1081" s="7">
        <v>539</v>
      </c>
      <c r="B1081" s="7">
        <v>85</v>
      </c>
      <c r="C1081" s="7" t="s">
        <v>516</v>
      </c>
      <c r="D1081" s="8" t="s">
        <v>555</v>
      </c>
      <c r="E1081" s="8">
        <v>27.8</v>
      </c>
      <c r="F1081" s="36"/>
      <c r="G1081" s="41"/>
      <c r="H1081" s="7"/>
      <c r="I1081" s="7"/>
      <c r="J1081" s="7"/>
      <c r="K1081" s="7"/>
      <c r="L1081" s="7"/>
      <c r="M1081" s="7"/>
      <c r="N1081" s="7"/>
      <c r="O1081" s="7"/>
    </row>
    <row r="1082" spans="1:15" ht="28.8" outlineLevel="1" x14ac:dyDescent="0.3">
      <c r="A1082" s="7">
        <v>540</v>
      </c>
      <c r="B1082" s="7">
        <v>86</v>
      </c>
      <c r="C1082" s="7" t="s">
        <v>517</v>
      </c>
      <c r="D1082" s="8" t="s">
        <v>550</v>
      </c>
      <c r="E1082" s="8">
        <v>17.672000000000001</v>
      </c>
      <c r="F1082" s="36"/>
      <c r="G1082" s="41"/>
      <c r="H1082" s="7"/>
      <c r="I1082" s="7"/>
      <c r="J1082" s="7"/>
      <c r="K1082" s="7"/>
      <c r="L1082" s="7"/>
      <c r="M1082" s="7"/>
      <c r="N1082" s="7"/>
      <c r="O1082" s="7"/>
    </row>
    <row r="1083" spans="1:15" ht="28.8" outlineLevel="1" x14ac:dyDescent="0.3">
      <c r="A1083" s="7">
        <v>541</v>
      </c>
      <c r="B1083" s="7">
        <v>87</v>
      </c>
      <c r="C1083" s="7" t="s">
        <v>518</v>
      </c>
      <c r="D1083" s="8" t="s">
        <v>550</v>
      </c>
      <c r="E1083" s="8">
        <v>17.672000000000001</v>
      </c>
      <c r="F1083" s="36"/>
      <c r="G1083" s="41"/>
      <c r="H1083" s="7"/>
      <c r="I1083" s="7"/>
      <c r="J1083" s="7"/>
      <c r="K1083" s="7"/>
      <c r="L1083" s="7"/>
      <c r="M1083" s="7"/>
      <c r="N1083" s="10" t="s">
        <v>1022</v>
      </c>
      <c r="O1083" s="7"/>
    </row>
    <row r="1084" spans="1:15" s="2" customFormat="1" x14ac:dyDescent="0.3">
      <c r="A1084" s="4"/>
      <c r="B1084" s="4"/>
      <c r="C1084" s="4" t="s">
        <v>398</v>
      </c>
      <c r="D1084" s="6"/>
      <c r="E1084" s="6"/>
      <c r="F1084" s="36"/>
      <c r="G1084" s="41"/>
      <c r="H1084" s="4"/>
      <c r="I1084" s="4"/>
      <c r="J1084" s="4"/>
      <c r="K1084" s="4"/>
      <c r="L1084" s="4"/>
      <c r="M1084" s="4"/>
      <c r="N1084" s="4"/>
      <c r="O1084" s="4"/>
    </row>
    <row r="1085" spans="1:15" outlineLevel="1" x14ac:dyDescent="0.3">
      <c r="A1085" s="7">
        <v>542</v>
      </c>
      <c r="B1085" s="7">
        <v>88</v>
      </c>
      <c r="C1085" s="7" t="s">
        <v>519</v>
      </c>
      <c r="D1085" s="8" t="s">
        <v>555</v>
      </c>
      <c r="E1085" s="8">
        <v>12</v>
      </c>
      <c r="F1085" s="36"/>
      <c r="G1085" s="41"/>
      <c r="H1085" s="7"/>
      <c r="I1085" s="7"/>
      <c r="J1085" s="7"/>
      <c r="K1085" s="7"/>
      <c r="L1085" s="7"/>
      <c r="M1085" s="7"/>
      <c r="N1085" s="7" t="s">
        <v>1023</v>
      </c>
      <c r="O1085" s="7"/>
    </row>
    <row r="1086" spans="1:15" outlineLevel="1" x14ac:dyDescent="0.3">
      <c r="A1086" s="7">
        <v>543</v>
      </c>
      <c r="B1086" s="7">
        <v>89</v>
      </c>
      <c r="C1086" s="7" t="s">
        <v>520</v>
      </c>
      <c r="D1086" s="8" t="s">
        <v>555</v>
      </c>
      <c r="E1086" s="8">
        <v>6</v>
      </c>
      <c r="F1086" s="36"/>
      <c r="G1086" s="41"/>
      <c r="H1086" s="7"/>
      <c r="I1086" s="7"/>
      <c r="J1086" s="7"/>
      <c r="K1086" s="7"/>
      <c r="L1086" s="7"/>
      <c r="M1086" s="7"/>
      <c r="N1086" s="7" t="s">
        <v>1024</v>
      </c>
      <c r="O1086" s="7"/>
    </row>
    <row r="1087" spans="1:15" ht="28.8" outlineLevel="1" x14ac:dyDescent="0.3">
      <c r="A1087" s="7">
        <v>544</v>
      </c>
      <c r="B1087" s="7">
        <v>90</v>
      </c>
      <c r="C1087" s="7" t="s">
        <v>521</v>
      </c>
      <c r="D1087" s="8" t="s">
        <v>555</v>
      </c>
      <c r="E1087" s="8">
        <v>122</v>
      </c>
      <c r="F1087" s="36"/>
      <c r="G1087" s="41"/>
      <c r="H1087" s="7"/>
      <c r="I1087" s="7"/>
      <c r="J1087" s="7"/>
      <c r="K1087" s="7"/>
      <c r="L1087" s="7"/>
      <c r="M1087" s="7"/>
      <c r="N1087" s="7" t="s">
        <v>1025</v>
      </c>
      <c r="O1087" s="7"/>
    </row>
    <row r="1088" spans="1:15" ht="172.8" outlineLevel="1" x14ac:dyDescent="0.3">
      <c r="A1088" s="7">
        <v>545</v>
      </c>
      <c r="B1088" s="7">
        <v>91</v>
      </c>
      <c r="C1088" s="7" t="s">
        <v>522</v>
      </c>
      <c r="D1088" s="8" t="s">
        <v>568</v>
      </c>
      <c r="E1088" s="8" t="s">
        <v>578</v>
      </c>
      <c r="F1088" s="36"/>
      <c r="G1088" s="41"/>
      <c r="H1088" s="7"/>
      <c r="I1088" s="7"/>
      <c r="J1088" s="7"/>
      <c r="K1088" s="7"/>
      <c r="L1088" s="7"/>
      <c r="M1088" s="7"/>
      <c r="N1088" s="7" t="s">
        <v>1026</v>
      </c>
      <c r="O1088" s="7"/>
    </row>
    <row r="1089" spans="1:15" outlineLevel="1" x14ac:dyDescent="0.3">
      <c r="A1089" s="7">
        <v>546</v>
      </c>
      <c r="B1089" s="7">
        <v>92</v>
      </c>
      <c r="C1089" s="7" t="s">
        <v>523</v>
      </c>
      <c r="D1089" s="8" t="s">
        <v>546</v>
      </c>
      <c r="E1089" s="8">
        <v>116.4</v>
      </c>
      <c r="F1089" s="36"/>
      <c r="G1089" s="41"/>
      <c r="H1089" s="7"/>
      <c r="I1089" s="7"/>
      <c r="J1089" s="7"/>
      <c r="K1089" s="7"/>
      <c r="L1089" s="7"/>
      <c r="M1089" s="7"/>
      <c r="N1089" s="7" t="s">
        <v>1027</v>
      </c>
      <c r="O1089" s="7"/>
    </row>
    <row r="1090" spans="1:15" ht="43.2" outlineLevel="1" x14ac:dyDescent="0.3">
      <c r="A1090" s="7">
        <v>547</v>
      </c>
      <c r="B1090" s="7">
        <v>93</v>
      </c>
      <c r="C1090" s="7" t="s">
        <v>524</v>
      </c>
      <c r="D1090" s="8" t="s">
        <v>547</v>
      </c>
      <c r="E1090" s="8">
        <v>18</v>
      </c>
      <c r="F1090" s="36"/>
      <c r="G1090" s="41"/>
      <c r="H1090" s="7"/>
      <c r="I1090" s="7"/>
      <c r="J1090" s="7"/>
      <c r="K1090" s="7"/>
      <c r="L1090" s="7"/>
      <c r="M1090" s="7"/>
      <c r="N1090" s="7" t="s">
        <v>1028</v>
      </c>
      <c r="O1090" s="7"/>
    </row>
    <row r="1091" spans="1:15" ht="43.2" outlineLevel="1" x14ac:dyDescent="0.3">
      <c r="A1091" s="7">
        <v>548</v>
      </c>
      <c r="B1091" s="7">
        <v>94</v>
      </c>
      <c r="C1091" s="7" t="s">
        <v>525</v>
      </c>
      <c r="D1091" s="8" t="s">
        <v>557</v>
      </c>
      <c r="E1091" s="8" t="s">
        <v>579</v>
      </c>
      <c r="F1091" s="36"/>
      <c r="G1091" s="41"/>
      <c r="H1091" s="7"/>
      <c r="I1091" s="7"/>
      <c r="J1091" s="7"/>
      <c r="K1091" s="7"/>
      <c r="L1091" s="7"/>
      <c r="M1091" s="7"/>
      <c r="N1091" s="7" t="s">
        <v>1029</v>
      </c>
      <c r="O1091" s="7"/>
    </row>
    <row r="1092" spans="1:15" s="2" customFormat="1" ht="28.8" x14ac:dyDescent="0.3">
      <c r="A1092" s="4"/>
      <c r="B1092" s="4"/>
      <c r="C1092" s="5" t="s">
        <v>526</v>
      </c>
      <c r="D1092" s="5"/>
      <c r="E1092" s="5"/>
      <c r="F1092" s="37"/>
      <c r="G1092" s="42"/>
      <c r="H1092" s="5"/>
      <c r="I1092" s="5"/>
      <c r="J1092" s="5"/>
      <c r="K1092" s="5"/>
      <c r="L1092" s="5"/>
      <c r="M1092" s="5"/>
      <c r="N1092" s="5"/>
      <c r="O1092" s="4"/>
    </row>
    <row r="1093" spans="1:15" s="2" customFormat="1" ht="28.8" x14ac:dyDescent="0.3">
      <c r="A1093" s="4"/>
      <c r="B1093" s="4"/>
      <c r="C1093" s="5" t="s">
        <v>527</v>
      </c>
      <c r="D1093" s="6"/>
      <c r="E1093" s="6"/>
      <c r="F1093" s="36"/>
      <c r="G1093" s="41"/>
      <c r="H1093" s="4"/>
      <c r="I1093" s="4"/>
      <c r="J1093" s="4"/>
      <c r="K1093" s="4"/>
      <c r="L1093" s="4"/>
      <c r="M1093" s="4"/>
      <c r="N1093" s="4"/>
      <c r="O1093" s="4"/>
    </row>
    <row r="1094" spans="1:15" s="2" customFormat="1" x14ac:dyDescent="0.3">
      <c r="A1094" s="4"/>
      <c r="B1094" s="4"/>
      <c r="C1094" s="4" t="s">
        <v>528</v>
      </c>
      <c r="D1094" s="6"/>
      <c r="E1094" s="6"/>
      <c r="F1094" s="36"/>
      <c r="G1094" s="41"/>
      <c r="H1094" s="4"/>
      <c r="I1094" s="4"/>
      <c r="J1094" s="4"/>
      <c r="K1094" s="4"/>
      <c r="L1094" s="4"/>
      <c r="M1094" s="4"/>
      <c r="N1094" s="4"/>
      <c r="O1094" s="4"/>
    </row>
    <row r="1095" spans="1:15" ht="57.6" outlineLevel="1" x14ac:dyDescent="0.3">
      <c r="A1095" s="7">
        <v>549</v>
      </c>
      <c r="B1095" s="7">
        <v>95</v>
      </c>
      <c r="C1095" s="7" t="s">
        <v>529</v>
      </c>
      <c r="D1095" s="8" t="s">
        <v>547</v>
      </c>
      <c r="E1095" s="8">
        <v>8</v>
      </c>
      <c r="F1095" s="36"/>
      <c r="G1095" s="41"/>
      <c r="H1095" s="7"/>
      <c r="I1095" s="7"/>
      <c r="J1095" s="7"/>
      <c r="K1095" s="7"/>
      <c r="L1095" s="7"/>
      <c r="M1095" s="7"/>
      <c r="N1095" s="7" t="s">
        <v>1030</v>
      </c>
      <c r="O1095" s="7" t="s">
        <v>1050</v>
      </c>
    </row>
    <row r="1096" spans="1:15" ht="28.8" outlineLevel="1" x14ac:dyDescent="0.3">
      <c r="A1096" s="7">
        <v>550</v>
      </c>
      <c r="B1096" s="7">
        <v>96</v>
      </c>
      <c r="C1096" s="7" t="s">
        <v>530</v>
      </c>
      <c r="D1096" s="8" t="s">
        <v>547</v>
      </c>
      <c r="E1096" s="8">
        <v>116</v>
      </c>
      <c r="F1096" s="36"/>
      <c r="G1096" s="41"/>
      <c r="H1096" s="7"/>
      <c r="I1096" s="7"/>
      <c r="J1096" s="7"/>
      <c r="K1096" s="7"/>
      <c r="L1096" s="7"/>
      <c r="M1096" s="7"/>
      <c r="N1096" s="7" t="s">
        <v>1031</v>
      </c>
      <c r="O1096" s="7"/>
    </row>
    <row r="1097" spans="1:15" outlineLevel="1" x14ac:dyDescent="0.3">
      <c r="A1097" s="7">
        <v>551</v>
      </c>
      <c r="B1097" s="7">
        <v>97</v>
      </c>
      <c r="C1097" s="7" t="s">
        <v>531</v>
      </c>
      <c r="D1097" s="8" t="s">
        <v>547</v>
      </c>
      <c r="E1097" s="8">
        <v>16</v>
      </c>
      <c r="F1097" s="36"/>
      <c r="G1097" s="41"/>
      <c r="H1097" s="7"/>
      <c r="I1097" s="7"/>
      <c r="J1097" s="7"/>
      <c r="K1097" s="7"/>
      <c r="L1097" s="7"/>
      <c r="M1097" s="7"/>
      <c r="N1097" s="7" t="s">
        <v>1032</v>
      </c>
      <c r="O1097" s="7"/>
    </row>
    <row r="1098" spans="1:15" x14ac:dyDescent="0.3">
      <c r="A1098" s="7"/>
      <c r="B1098" s="7"/>
      <c r="C1098" s="4" t="s">
        <v>504</v>
      </c>
      <c r="D1098" s="8"/>
      <c r="E1098" s="8"/>
      <c r="F1098" s="36"/>
      <c r="G1098" s="41"/>
      <c r="H1098" s="7"/>
      <c r="I1098" s="7"/>
      <c r="J1098" s="7"/>
      <c r="K1098" s="7"/>
      <c r="L1098" s="7"/>
      <c r="M1098" s="7"/>
      <c r="N1098" s="7"/>
      <c r="O1098" s="7"/>
    </row>
    <row r="1099" spans="1:15" ht="28.8" outlineLevel="1" x14ac:dyDescent="0.3">
      <c r="A1099" s="7">
        <v>552</v>
      </c>
      <c r="B1099" s="7">
        <v>98</v>
      </c>
      <c r="C1099" s="7" t="s">
        <v>532</v>
      </c>
      <c r="D1099" s="8" t="s">
        <v>547</v>
      </c>
      <c r="E1099" s="8">
        <v>16</v>
      </c>
      <c r="F1099" s="36"/>
      <c r="G1099" s="41"/>
      <c r="H1099" s="7"/>
      <c r="I1099" s="7"/>
      <c r="J1099" s="7"/>
      <c r="K1099" s="7"/>
      <c r="L1099" s="7"/>
      <c r="M1099" s="7"/>
      <c r="N1099" s="7" t="s">
        <v>1033</v>
      </c>
      <c r="O1099" s="7"/>
    </row>
    <row r="1100" spans="1:15" ht="115.2" outlineLevel="1" x14ac:dyDescent="0.3">
      <c r="A1100" s="7">
        <v>553</v>
      </c>
      <c r="B1100" s="7">
        <v>99</v>
      </c>
      <c r="C1100" s="7" t="s">
        <v>533</v>
      </c>
      <c r="D1100" s="8" t="s">
        <v>555</v>
      </c>
      <c r="E1100" s="8">
        <v>2025</v>
      </c>
      <c r="F1100" s="36"/>
      <c r="G1100" s="41"/>
      <c r="H1100" s="7"/>
      <c r="I1100" s="7"/>
      <c r="J1100" s="7"/>
      <c r="K1100" s="7"/>
      <c r="L1100" s="7"/>
      <c r="M1100" s="7"/>
      <c r="N1100" s="7" t="s">
        <v>1034</v>
      </c>
      <c r="O1100" s="7"/>
    </row>
    <row r="1101" spans="1:15" ht="187.2" outlineLevel="1" x14ac:dyDescent="0.3">
      <c r="A1101" s="7">
        <v>554</v>
      </c>
      <c r="B1101" s="7">
        <v>100</v>
      </c>
      <c r="C1101" s="7" t="s">
        <v>534</v>
      </c>
      <c r="D1101" s="8" t="s">
        <v>555</v>
      </c>
      <c r="E1101" s="8">
        <v>2025</v>
      </c>
      <c r="F1101" s="36"/>
      <c r="G1101" s="41"/>
      <c r="H1101" s="7"/>
      <c r="I1101" s="7"/>
      <c r="J1101" s="7"/>
      <c r="K1101" s="7"/>
      <c r="L1101" s="7"/>
      <c r="M1101" s="7"/>
      <c r="N1101" s="7" t="s">
        <v>1035</v>
      </c>
      <c r="O1101" s="7"/>
    </row>
    <row r="1102" spans="1:15" outlineLevel="1" x14ac:dyDescent="0.3">
      <c r="A1102" s="7">
        <v>555</v>
      </c>
      <c r="B1102" s="7">
        <v>101</v>
      </c>
      <c r="C1102" s="7" t="s">
        <v>535</v>
      </c>
      <c r="D1102" s="8" t="s">
        <v>555</v>
      </c>
      <c r="E1102" s="8">
        <v>5</v>
      </c>
      <c r="F1102" s="36"/>
      <c r="G1102" s="41"/>
      <c r="H1102" s="7"/>
      <c r="I1102" s="7"/>
      <c r="J1102" s="7"/>
      <c r="K1102" s="7"/>
      <c r="L1102" s="7"/>
      <c r="M1102" s="7"/>
      <c r="N1102" s="7" t="s">
        <v>1036</v>
      </c>
      <c r="O1102" s="7"/>
    </row>
    <row r="1103" spans="1:15" outlineLevel="1" x14ac:dyDescent="0.3">
      <c r="A1103" s="7">
        <v>556</v>
      </c>
      <c r="B1103" s="7">
        <v>102</v>
      </c>
      <c r="C1103" s="7" t="s">
        <v>536</v>
      </c>
      <c r="D1103" s="8" t="s">
        <v>569</v>
      </c>
      <c r="E1103" s="8">
        <v>10</v>
      </c>
      <c r="F1103" s="36"/>
      <c r="G1103" s="41"/>
      <c r="H1103" s="7"/>
      <c r="I1103" s="7"/>
      <c r="J1103" s="7"/>
      <c r="K1103" s="7"/>
      <c r="L1103" s="7"/>
      <c r="M1103" s="7"/>
      <c r="N1103" s="7" t="s">
        <v>1037</v>
      </c>
      <c r="O1103" s="7"/>
    </row>
    <row r="1104" spans="1:15" s="2" customFormat="1" x14ac:dyDescent="0.3">
      <c r="A1104" s="4"/>
      <c r="B1104" s="4"/>
      <c r="C1104" s="5" t="s">
        <v>537</v>
      </c>
      <c r="D1104" s="6"/>
      <c r="E1104" s="6"/>
      <c r="F1104" s="36"/>
      <c r="G1104" s="41"/>
      <c r="H1104" s="4"/>
      <c r="I1104" s="4"/>
      <c r="J1104" s="4"/>
      <c r="K1104" s="4"/>
      <c r="L1104" s="4"/>
      <c r="M1104" s="4"/>
      <c r="N1104" s="4"/>
      <c r="O1104" s="4"/>
    </row>
    <row r="1105" spans="1:15" s="2" customFormat="1" x14ac:dyDescent="0.3">
      <c r="A1105" s="4"/>
      <c r="B1105" s="4"/>
      <c r="C1105" s="4" t="s">
        <v>528</v>
      </c>
      <c r="D1105" s="6"/>
      <c r="E1105" s="6"/>
      <c r="F1105" s="36"/>
      <c r="G1105" s="41"/>
      <c r="H1105" s="4"/>
      <c r="I1105" s="4"/>
      <c r="J1105" s="4"/>
      <c r="K1105" s="4"/>
      <c r="L1105" s="4"/>
      <c r="M1105" s="4"/>
      <c r="N1105" s="4"/>
      <c r="O1105" s="4"/>
    </row>
    <row r="1106" spans="1:15" ht="28.8" outlineLevel="1" x14ac:dyDescent="0.3">
      <c r="A1106" s="7">
        <v>557</v>
      </c>
      <c r="B1106" s="7">
        <v>103</v>
      </c>
      <c r="C1106" s="7" t="s">
        <v>538</v>
      </c>
      <c r="D1106" s="8" t="s">
        <v>547</v>
      </c>
      <c r="E1106" s="8">
        <v>4</v>
      </c>
      <c r="F1106" s="36"/>
      <c r="G1106" s="41"/>
      <c r="H1106" s="7"/>
      <c r="I1106" s="7"/>
      <c r="J1106" s="7"/>
      <c r="K1106" s="7"/>
      <c r="L1106" s="7"/>
      <c r="M1106" s="7"/>
      <c r="N1106" s="7" t="s">
        <v>1038</v>
      </c>
      <c r="O1106" s="7"/>
    </row>
    <row r="1107" spans="1:15" ht="28.8" outlineLevel="1" x14ac:dyDescent="0.3">
      <c r="A1107" s="7">
        <v>558</v>
      </c>
      <c r="B1107" s="7">
        <v>104</v>
      </c>
      <c r="C1107" s="7" t="s">
        <v>530</v>
      </c>
      <c r="D1107" s="8" t="s">
        <v>547</v>
      </c>
      <c r="E1107" s="8">
        <v>63</v>
      </c>
      <c r="F1107" s="36"/>
      <c r="G1107" s="41"/>
      <c r="H1107" s="7"/>
      <c r="I1107" s="7"/>
      <c r="J1107" s="7"/>
      <c r="K1107" s="7"/>
      <c r="L1107" s="7"/>
      <c r="M1107" s="7"/>
      <c r="N1107" s="7" t="s">
        <v>1039</v>
      </c>
      <c r="O1107" s="7"/>
    </row>
    <row r="1108" spans="1:15" s="2" customFormat="1" x14ac:dyDescent="0.3">
      <c r="A1108" s="4"/>
      <c r="B1108" s="4"/>
      <c r="C1108" s="4" t="s">
        <v>504</v>
      </c>
      <c r="D1108" s="6"/>
      <c r="E1108" s="6"/>
      <c r="F1108" s="36"/>
      <c r="G1108" s="41"/>
      <c r="H1108" s="4"/>
      <c r="I1108" s="4"/>
      <c r="J1108" s="4"/>
      <c r="K1108" s="4"/>
      <c r="L1108" s="4"/>
      <c r="M1108" s="4"/>
      <c r="N1108" s="4"/>
      <c r="O1108" s="4"/>
    </row>
    <row r="1109" spans="1:15" ht="28.8" outlineLevel="1" x14ac:dyDescent="0.3">
      <c r="A1109" s="7">
        <v>559</v>
      </c>
      <c r="B1109" s="7">
        <v>105</v>
      </c>
      <c r="C1109" s="7" t="s">
        <v>532</v>
      </c>
      <c r="D1109" s="8" t="s">
        <v>547</v>
      </c>
      <c r="E1109" s="8">
        <v>2</v>
      </c>
      <c r="F1109" s="36"/>
      <c r="G1109" s="41"/>
      <c r="H1109" s="7"/>
      <c r="I1109" s="7"/>
      <c r="J1109" s="7"/>
      <c r="K1109" s="7"/>
      <c r="L1109" s="7"/>
      <c r="M1109" s="7"/>
      <c r="N1109" s="7" t="s">
        <v>1040</v>
      </c>
      <c r="O1109" s="7"/>
    </row>
    <row r="1110" spans="1:15" ht="172.8" outlineLevel="1" x14ac:dyDescent="0.3">
      <c r="A1110" s="7">
        <v>560</v>
      </c>
      <c r="B1110" s="7">
        <v>106</v>
      </c>
      <c r="C1110" s="7" t="s">
        <v>533</v>
      </c>
      <c r="D1110" s="8" t="s">
        <v>555</v>
      </c>
      <c r="E1110" s="8">
        <v>2117</v>
      </c>
      <c r="F1110" s="36"/>
      <c r="G1110" s="41"/>
      <c r="H1110" s="7"/>
      <c r="I1110" s="7"/>
      <c r="J1110" s="7"/>
      <c r="K1110" s="7"/>
      <c r="L1110" s="7"/>
      <c r="M1110" s="7"/>
      <c r="N1110" s="7" t="s">
        <v>1041</v>
      </c>
      <c r="O1110" s="7"/>
    </row>
    <row r="1111" spans="1:15" ht="172.8" outlineLevel="1" x14ac:dyDescent="0.3">
      <c r="A1111" s="7">
        <v>561</v>
      </c>
      <c r="B1111" s="7">
        <v>107</v>
      </c>
      <c r="C1111" s="7" t="s">
        <v>534</v>
      </c>
      <c r="D1111" s="8" t="s">
        <v>555</v>
      </c>
      <c r="E1111" s="8">
        <v>2117</v>
      </c>
      <c r="F1111" s="36"/>
      <c r="G1111" s="41"/>
      <c r="H1111" s="7"/>
      <c r="I1111" s="7"/>
      <c r="J1111" s="7"/>
      <c r="K1111" s="7"/>
      <c r="L1111" s="7"/>
      <c r="M1111" s="7"/>
      <c r="N1111" s="7" t="s">
        <v>1042</v>
      </c>
      <c r="O1111" s="7"/>
    </row>
    <row r="1112" spans="1:15" outlineLevel="1" x14ac:dyDescent="0.3">
      <c r="A1112" s="7">
        <v>562</v>
      </c>
      <c r="B1112" s="7">
        <v>108</v>
      </c>
      <c r="C1112" s="7" t="s">
        <v>535</v>
      </c>
      <c r="D1112" s="8" t="s">
        <v>555</v>
      </c>
      <c r="E1112" s="8">
        <v>5</v>
      </c>
      <c r="F1112" s="36"/>
      <c r="G1112" s="41"/>
      <c r="H1112" s="7"/>
      <c r="I1112" s="7"/>
      <c r="J1112" s="7"/>
      <c r="K1112" s="7"/>
      <c r="L1112" s="7"/>
      <c r="M1112" s="7"/>
      <c r="N1112" s="7" t="s">
        <v>1036</v>
      </c>
      <c r="O1112" s="7"/>
    </row>
    <row r="1113" spans="1:15" outlineLevel="1" x14ac:dyDescent="0.3">
      <c r="A1113" s="7">
        <v>563</v>
      </c>
      <c r="B1113" s="7">
        <v>109</v>
      </c>
      <c r="C1113" s="7" t="s">
        <v>536</v>
      </c>
      <c r="D1113" s="8" t="s">
        <v>569</v>
      </c>
      <c r="E1113" s="8">
        <v>10</v>
      </c>
      <c r="F1113" s="36"/>
      <c r="G1113" s="41"/>
      <c r="H1113" s="7"/>
      <c r="I1113" s="7"/>
      <c r="J1113" s="7">
        <v>0</v>
      </c>
      <c r="K1113" s="7"/>
      <c r="L1113" s="7"/>
      <c r="M1113" s="7"/>
      <c r="N1113" s="7" t="s">
        <v>1037</v>
      </c>
      <c r="O1113" s="7"/>
    </row>
    <row r="1114" spans="1:15" outlineLevel="1" x14ac:dyDescent="0.3">
      <c r="A1114" s="7">
        <v>564</v>
      </c>
      <c r="B1114" s="7">
        <v>110</v>
      </c>
      <c r="C1114" s="7" t="s">
        <v>539</v>
      </c>
      <c r="D1114" s="8" t="s">
        <v>547</v>
      </c>
      <c r="E1114" s="8">
        <v>10</v>
      </c>
      <c r="F1114" s="36"/>
      <c r="G1114" s="41"/>
      <c r="H1114" s="7"/>
      <c r="I1114" s="7"/>
      <c r="J1114" s="7">
        <v>0</v>
      </c>
      <c r="K1114" s="7"/>
      <c r="L1114" s="7"/>
      <c r="M1114" s="7"/>
      <c r="N1114" s="7" t="s">
        <v>1043</v>
      </c>
      <c r="O1114" s="7"/>
    </row>
    <row r="1115" spans="1:15" outlineLevel="1" x14ac:dyDescent="0.3">
      <c r="A1115" s="7">
        <v>565</v>
      </c>
      <c r="B1115" s="7" t="s">
        <v>4</v>
      </c>
      <c r="C1115" s="7" t="s">
        <v>540</v>
      </c>
      <c r="D1115" s="8" t="s">
        <v>547</v>
      </c>
      <c r="E1115" s="8" t="s">
        <v>580</v>
      </c>
      <c r="F1115" s="36"/>
      <c r="G1115" s="41"/>
      <c r="H1115" s="7"/>
      <c r="I1115" s="7"/>
      <c r="J1115" s="7">
        <v>0</v>
      </c>
      <c r="K1115" s="7"/>
      <c r="L1115" s="7"/>
      <c r="M1115" s="7"/>
      <c r="N1115" s="7" t="s">
        <v>1044</v>
      </c>
      <c r="O1115" s="7"/>
    </row>
    <row r="1116" spans="1:15" outlineLevel="1" x14ac:dyDescent="0.3">
      <c r="A1116" s="7">
        <v>566</v>
      </c>
      <c r="B1116" s="7" t="s">
        <v>5</v>
      </c>
      <c r="C1116" s="7" t="s">
        <v>541</v>
      </c>
      <c r="D1116" s="8" t="s">
        <v>547</v>
      </c>
      <c r="E1116" s="8" t="s">
        <v>581</v>
      </c>
      <c r="F1116" s="36"/>
      <c r="G1116" s="41"/>
      <c r="H1116" s="7"/>
      <c r="I1116" s="7"/>
      <c r="J1116" s="7"/>
      <c r="K1116" s="7"/>
      <c r="L1116" s="7"/>
      <c r="M1116" s="7"/>
      <c r="N1116" s="7" t="s">
        <v>1045</v>
      </c>
      <c r="O1116" s="7"/>
    </row>
    <row r="1117" spans="1:15" x14ac:dyDescent="0.3">
      <c r="A1117" s="7"/>
      <c r="B1117" s="7"/>
      <c r="C1117" s="7" t="s">
        <v>542</v>
      </c>
      <c r="D1117" s="8"/>
      <c r="E1117" s="8"/>
      <c r="F1117" s="36"/>
      <c r="G1117" s="41"/>
      <c r="H1117" s="7"/>
      <c r="I1117" s="7"/>
      <c r="J1117" s="7">
        <v>0</v>
      </c>
      <c r="K1117" s="7"/>
      <c r="L1117" s="7"/>
      <c r="M1117" s="7"/>
      <c r="N1117" s="7"/>
      <c r="O1117" s="7"/>
    </row>
    <row r="1118" spans="1:15" x14ac:dyDescent="0.3">
      <c r="A1118" s="7"/>
      <c r="B1118" s="7"/>
      <c r="C1118" s="7" t="s">
        <v>543</v>
      </c>
      <c r="D1118" s="8"/>
      <c r="E1118" s="8"/>
      <c r="F1118" s="36"/>
      <c r="G1118" s="41"/>
      <c r="H1118" s="7"/>
      <c r="I1118" s="7"/>
      <c r="J1118" s="7">
        <v>0</v>
      </c>
      <c r="K1118" s="7"/>
      <c r="L1118" s="7"/>
      <c r="M1118" s="7"/>
      <c r="N1118" s="7"/>
      <c r="O1118" s="7"/>
    </row>
    <row r="1119" spans="1:15" x14ac:dyDescent="0.3">
      <c r="A1119" s="7"/>
      <c r="B1119" s="7"/>
      <c r="C1119" s="7" t="s">
        <v>544</v>
      </c>
      <c r="D1119" s="8"/>
      <c r="E1119" s="8"/>
      <c r="F1119" s="36"/>
      <c r="G1119" s="41"/>
      <c r="H1119" s="7"/>
      <c r="I1119" s="7"/>
      <c r="J1119" s="7">
        <v>0</v>
      </c>
      <c r="K1119" s="7"/>
      <c r="L1119" s="7"/>
      <c r="M1119" s="7"/>
      <c r="N1119" s="7"/>
      <c r="O1119" s="7"/>
    </row>
  </sheetData>
  <autoFilter ref="A1:O1119" xr:uid="{00000000-0001-0000-0000-000000000000}"/>
  <mergeCells count="13">
    <mergeCell ref="O1:O2"/>
    <mergeCell ref="K1:L1"/>
    <mergeCell ref="M1:M2"/>
    <mergeCell ref="N1:N2"/>
    <mergeCell ref="A1:A2"/>
    <mergeCell ref="B1:B2"/>
    <mergeCell ref="C1:C2"/>
    <mergeCell ref="D1:D2"/>
    <mergeCell ref="E1:E2"/>
    <mergeCell ref="H1:I1"/>
    <mergeCell ref="J1:J2"/>
    <mergeCell ref="F1:F2"/>
    <mergeCell ref="G1:G2"/>
  </mergeCells>
  <phoneticPr fontId="1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2025-08-26T10:41:21Z</dcterms:created>
  <dcterms:modified xsi:type="dcterms:W3CDTF">2025-09-03T15:03:23Z</dcterms:modified>
</cp:coreProperties>
</file>