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роекты\МЫТИЩИ\517 цех смотровые ямы пути\"/>
    </mc:Choice>
  </mc:AlternateContent>
  <xr:revisionPtr revIDLastSave="0" documentId="13_ncr:1_{C35DC2A2-E8AF-4675-9E68-7244B28C6D7A}" xr6:coauthVersionLast="47" xr6:coauthVersionMax="47" xr10:uidLastSave="{00000000-0000-0000-0000-000000000000}"/>
  <bookViews>
    <workbookView xWindow="-120" yWindow="-120" windowWidth="29040" windowHeight="16440" firstSheet="1" activeTab="1" xr2:uid="{00000000-000D-0000-FFFF-FFFF00000000}"/>
  </bookViews>
  <sheets>
    <sheet name="Свод" sheetId="6" state="hidden" r:id="rId1"/>
    <sheet name="СМР" sheetId="7" r:id="rId2"/>
  </sheets>
  <externalReferences>
    <externalReference r:id="rId3"/>
  </externalReferences>
  <definedNames>
    <definedName name="_xlnm.Print_Area" localSheetId="0">Свод!$A$1:$H$4</definedName>
    <definedName name="_xlnm.Print_Area" localSheetId="1">СМР!$A$3:$P$96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1" i="7" l="1"/>
  <c r="L99" i="7"/>
  <c r="L100" i="7"/>
  <c r="H47" i="7"/>
  <c r="O47" i="7" s="1"/>
  <c r="P47" i="7" s="1"/>
  <c r="M60" i="7"/>
  <c r="N60" i="7" s="1"/>
  <c r="H60" i="7"/>
  <c r="I60" i="7" s="1"/>
  <c r="O59" i="7"/>
  <c r="P59" i="7" s="1"/>
  <c r="N59" i="7"/>
  <c r="M59" i="7"/>
  <c r="H59" i="7"/>
  <c r="I59" i="7" s="1"/>
  <c r="O58" i="7"/>
  <c r="P58" i="7" s="1"/>
  <c r="M58" i="7"/>
  <c r="N58" i="7" s="1"/>
  <c r="Q58" i="7" s="1"/>
  <c r="J58" i="7"/>
  <c r="L58" i="7" s="1"/>
  <c r="I58" i="7"/>
  <c r="K58" i="7" s="1"/>
  <c r="H58" i="7"/>
  <c r="O49" i="7"/>
  <c r="P49" i="7" s="1"/>
  <c r="M49" i="7"/>
  <c r="N49" i="7" s="1"/>
  <c r="Q49" i="7" s="1"/>
  <c r="J49" i="7"/>
  <c r="L49" i="7" s="1"/>
  <c r="I49" i="7"/>
  <c r="K49" i="7" s="1"/>
  <c r="H49" i="7"/>
  <c r="P48" i="7"/>
  <c r="O48" i="7"/>
  <c r="N48" i="7"/>
  <c r="Q48" i="7" s="1"/>
  <c r="M48" i="7"/>
  <c r="J48" i="7"/>
  <c r="L48" i="7" s="1"/>
  <c r="I48" i="7"/>
  <c r="K48" i="7" s="1"/>
  <c r="H48" i="7"/>
  <c r="M47" i="7"/>
  <c r="N47" i="7" s="1"/>
  <c r="M46" i="7"/>
  <c r="N46" i="7" s="1"/>
  <c r="Q46" i="7" s="1"/>
  <c r="O46" i="7"/>
  <c r="P46" i="7" s="1"/>
  <c r="J46" i="7"/>
  <c r="L46" i="7" s="1"/>
  <c r="I46" i="7"/>
  <c r="K46" i="7" s="1"/>
  <c r="H46" i="7"/>
  <c r="E22" i="7"/>
  <c r="M22" i="7" s="1"/>
  <c r="D22" i="7"/>
  <c r="D15" i="7"/>
  <c r="O22" i="7"/>
  <c r="N23" i="7"/>
  <c r="O23" i="7"/>
  <c r="P23" i="7"/>
  <c r="Q23" i="7"/>
  <c r="F23" i="7"/>
  <c r="K23" i="7" s="1"/>
  <c r="E23" i="7"/>
  <c r="M23" i="7" s="1"/>
  <c r="D23" i="7"/>
  <c r="M11" i="7"/>
  <c r="O11" i="7"/>
  <c r="M12" i="7"/>
  <c r="O12" i="7"/>
  <c r="M13" i="7"/>
  <c r="N13" i="7" s="1"/>
  <c r="O13" i="7"/>
  <c r="P13" i="7" s="1"/>
  <c r="M14" i="7"/>
  <c r="N14" i="7" s="1"/>
  <c r="O14" i="7"/>
  <c r="P14" i="7" s="1"/>
  <c r="M15" i="7"/>
  <c r="O15" i="7"/>
  <c r="M16" i="7"/>
  <c r="N16" i="7" s="1"/>
  <c r="O16" i="7"/>
  <c r="P16" i="7" s="1"/>
  <c r="M17" i="7"/>
  <c r="O17" i="7"/>
  <c r="M18" i="7"/>
  <c r="O18" i="7"/>
  <c r="M19" i="7"/>
  <c r="N19" i="7" s="1"/>
  <c r="O19" i="7"/>
  <c r="P19" i="7" s="1"/>
  <c r="M20" i="7"/>
  <c r="N20" i="7" s="1"/>
  <c r="O20" i="7"/>
  <c r="P20" i="7" s="1"/>
  <c r="M21" i="7"/>
  <c r="O21" i="7"/>
  <c r="P21" i="7" s="1"/>
  <c r="M24" i="7"/>
  <c r="N24" i="7" s="1"/>
  <c r="O24" i="7"/>
  <c r="P24" i="7" s="1"/>
  <c r="M25" i="7"/>
  <c r="O25" i="7"/>
  <c r="M26" i="7"/>
  <c r="O26" i="7"/>
  <c r="P26" i="7" s="1"/>
  <c r="M27" i="7"/>
  <c r="M28" i="7"/>
  <c r="O28" i="7"/>
  <c r="P28" i="7" s="1"/>
  <c r="M29" i="7"/>
  <c r="O29" i="7"/>
  <c r="M30" i="7"/>
  <c r="O30" i="7"/>
  <c r="M31" i="7"/>
  <c r="N31" i="7" s="1"/>
  <c r="M32" i="7"/>
  <c r="N32" i="7" s="1"/>
  <c r="O32" i="7"/>
  <c r="P32" i="7" s="1"/>
  <c r="M33" i="7"/>
  <c r="N33" i="7" s="1"/>
  <c r="O33" i="7"/>
  <c r="P33" i="7" s="1"/>
  <c r="M34" i="7"/>
  <c r="O34" i="7"/>
  <c r="M35" i="7"/>
  <c r="N35" i="7" s="1"/>
  <c r="O35" i="7"/>
  <c r="P35" i="7" s="1"/>
  <c r="M36" i="7"/>
  <c r="N36" i="7" s="1"/>
  <c r="O36" i="7"/>
  <c r="P36" i="7" s="1"/>
  <c r="M37" i="7"/>
  <c r="O37" i="7"/>
  <c r="M38" i="7"/>
  <c r="N38" i="7" s="1"/>
  <c r="O38" i="7"/>
  <c r="P38" i="7" s="1"/>
  <c r="M39" i="7"/>
  <c r="N39" i="7" s="1"/>
  <c r="O39" i="7"/>
  <c r="P39" i="7" s="1"/>
  <c r="M40" i="7"/>
  <c r="O40" i="7"/>
  <c r="M41" i="7"/>
  <c r="N41" i="7" s="1"/>
  <c r="O41" i="7"/>
  <c r="P41" i="7" s="1"/>
  <c r="M42" i="7"/>
  <c r="N42" i="7" s="1"/>
  <c r="O42" i="7"/>
  <c r="P42" i="7" s="1"/>
  <c r="M43" i="7"/>
  <c r="M44" i="7"/>
  <c r="N44" i="7" s="1"/>
  <c r="Q44" i="7" s="1"/>
  <c r="O44" i="7"/>
  <c r="P44" i="7" s="1"/>
  <c r="M45" i="7"/>
  <c r="N45" i="7"/>
  <c r="M50" i="7"/>
  <c r="O50" i="7"/>
  <c r="M51" i="7"/>
  <c r="O51" i="7"/>
  <c r="M52" i="7"/>
  <c r="O52" i="7"/>
  <c r="M53" i="7"/>
  <c r="O53" i="7"/>
  <c r="M54" i="7"/>
  <c r="N54" i="7" s="1"/>
  <c r="O54" i="7"/>
  <c r="P54" i="7" s="1"/>
  <c r="M55" i="7"/>
  <c r="N55" i="7" s="1"/>
  <c r="O55" i="7"/>
  <c r="P55" i="7" s="1"/>
  <c r="M56" i="7"/>
  <c r="N56" i="7" s="1"/>
  <c r="O56" i="7"/>
  <c r="P56" i="7" s="1"/>
  <c r="M57" i="7"/>
  <c r="N57" i="7" s="1"/>
  <c r="M61" i="7"/>
  <c r="N61" i="7" s="1"/>
  <c r="O61" i="7"/>
  <c r="P61" i="7" s="1"/>
  <c r="M62" i="7"/>
  <c r="N62" i="7" s="1"/>
  <c r="O62" i="7"/>
  <c r="P62" i="7" s="1"/>
  <c r="M63" i="7"/>
  <c r="N63" i="7" s="1"/>
  <c r="O63" i="7"/>
  <c r="P63" i="7" s="1"/>
  <c r="M64" i="7"/>
  <c r="N64" i="7" s="1"/>
  <c r="O64" i="7"/>
  <c r="P64" i="7" s="1"/>
  <c r="M65" i="7"/>
  <c r="N65" i="7" s="1"/>
  <c r="O65" i="7"/>
  <c r="P65" i="7" s="1"/>
  <c r="M66" i="7"/>
  <c r="N66" i="7" s="1"/>
  <c r="O66" i="7"/>
  <c r="P66" i="7" s="1"/>
  <c r="M67" i="7"/>
  <c r="O67" i="7"/>
  <c r="M68" i="7"/>
  <c r="N68" i="7" s="1"/>
  <c r="Q68" i="7" s="1"/>
  <c r="O68" i="7"/>
  <c r="P68" i="7"/>
  <c r="M69" i="7"/>
  <c r="O69" i="7"/>
  <c r="M70" i="7"/>
  <c r="N70" i="7" s="1"/>
  <c r="O70" i="7"/>
  <c r="P70" i="7" s="1"/>
  <c r="M71" i="7"/>
  <c r="N71" i="7" s="1"/>
  <c r="Q71" i="7" s="1"/>
  <c r="O71" i="7"/>
  <c r="P71" i="7" s="1"/>
  <c r="M72" i="7"/>
  <c r="N72" i="7" s="1"/>
  <c r="O72" i="7"/>
  <c r="P72" i="7" s="1"/>
  <c r="M73" i="7"/>
  <c r="N73" i="7" s="1"/>
  <c r="O73" i="7"/>
  <c r="P73" i="7" s="1"/>
  <c r="M74" i="7"/>
  <c r="N74" i="7" s="1"/>
  <c r="O74" i="7"/>
  <c r="P74" i="7" s="1"/>
  <c r="M75" i="7"/>
  <c r="N75" i="7" s="1"/>
  <c r="O75" i="7"/>
  <c r="P75" i="7" s="1"/>
  <c r="M76" i="7"/>
  <c r="N76" i="7"/>
  <c r="Q76" i="7" s="1"/>
  <c r="O76" i="7"/>
  <c r="P76" i="7" s="1"/>
  <c r="M77" i="7"/>
  <c r="N77" i="7" s="1"/>
  <c r="O77" i="7"/>
  <c r="P77" i="7" s="1"/>
  <c r="M78" i="7"/>
  <c r="N78" i="7" s="1"/>
  <c r="O78" i="7"/>
  <c r="P78" i="7" s="1"/>
  <c r="M79" i="7"/>
  <c r="N79" i="7" s="1"/>
  <c r="O79" i="7"/>
  <c r="P79" i="7" s="1"/>
  <c r="M80" i="7"/>
  <c r="N80" i="7" s="1"/>
  <c r="O80" i="7"/>
  <c r="P80" i="7" s="1"/>
  <c r="M81" i="7"/>
  <c r="N81" i="7" s="1"/>
  <c r="O81" i="7"/>
  <c r="P81" i="7" s="1"/>
  <c r="M82" i="7"/>
  <c r="N82" i="7" s="1"/>
  <c r="O82" i="7"/>
  <c r="P82" i="7" s="1"/>
  <c r="M83" i="7"/>
  <c r="N83" i="7" s="1"/>
  <c r="Q83" i="7" s="1"/>
  <c r="O83" i="7"/>
  <c r="P83" i="7" s="1"/>
  <c r="M84" i="7"/>
  <c r="N84" i="7" s="1"/>
  <c r="O84" i="7"/>
  <c r="P84" i="7" s="1"/>
  <c r="M85" i="7"/>
  <c r="O85" i="7"/>
  <c r="M86" i="7"/>
  <c r="N86" i="7"/>
  <c r="O86" i="7"/>
  <c r="P86" i="7" s="1"/>
  <c r="M87" i="7"/>
  <c r="O87" i="7"/>
  <c r="M88" i="7"/>
  <c r="N88" i="7" s="1"/>
  <c r="Q88" i="7" s="1"/>
  <c r="O88" i="7"/>
  <c r="P88" i="7" s="1"/>
  <c r="M89" i="7"/>
  <c r="N89" i="7" s="1"/>
  <c r="O89" i="7"/>
  <c r="P89" i="7"/>
  <c r="M90" i="7"/>
  <c r="O90" i="7"/>
  <c r="M91" i="7"/>
  <c r="N91" i="7" s="1"/>
  <c r="O91" i="7"/>
  <c r="P91" i="7" s="1"/>
  <c r="M92" i="7"/>
  <c r="M93" i="7"/>
  <c r="N93" i="7" s="1"/>
  <c r="O93" i="7"/>
  <c r="P93" i="7" s="1"/>
  <c r="M94" i="7"/>
  <c r="M95" i="7"/>
  <c r="D58" i="7"/>
  <c r="I84" i="7"/>
  <c r="J84" i="7" s="1"/>
  <c r="L84" i="7" s="1"/>
  <c r="F83" i="7"/>
  <c r="K83" i="7" s="1"/>
  <c r="F61" i="7"/>
  <c r="K61" i="7" s="1"/>
  <c r="D60" i="7"/>
  <c r="F55" i="7"/>
  <c r="K55" i="7" s="1"/>
  <c r="F54" i="7"/>
  <c r="K54" i="7" s="1"/>
  <c r="D50" i="7"/>
  <c r="F50" i="7" s="1"/>
  <c r="G50" i="7" s="1"/>
  <c r="L50" i="7" s="1"/>
  <c r="H57" i="7"/>
  <c r="O57" i="7" s="1"/>
  <c r="P57" i="7" s="1"/>
  <c r="H45" i="7"/>
  <c r="I45" i="7" s="1"/>
  <c r="K45" i="7" s="1"/>
  <c r="O10" i="7"/>
  <c r="P10" i="7" s="1"/>
  <c r="M10" i="7"/>
  <c r="N10" i="7" s="1"/>
  <c r="D12" i="7"/>
  <c r="D25" i="7"/>
  <c r="I25" i="7" s="1"/>
  <c r="H27" i="7"/>
  <c r="O27" i="7" s="1"/>
  <c r="D27" i="7"/>
  <c r="N27" i="7" s="1"/>
  <c r="D29" i="7"/>
  <c r="I29" i="7" s="1"/>
  <c r="J29" i="7" s="1"/>
  <c r="L29" i="7" s="1"/>
  <c r="H31" i="7"/>
  <c r="O31" i="7" s="1"/>
  <c r="P31" i="7" s="1"/>
  <c r="D31" i="7"/>
  <c r="D34" i="7"/>
  <c r="I34" i="7" s="1"/>
  <c r="I35" i="7"/>
  <c r="K35" i="7" s="1"/>
  <c r="D37" i="7"/>
  <c r="I37" i="7" s="1"/>
  <c r="I38" i="7"/>
  <c r="J38" i="7" s="1"/>
  <c r="L38" i="7" s="1"/>
  <c r="D40" i="7"/>
  <c r="I40" i="7" s="1"/>
  <c r="J40" i="7" s="1"/>
  <c r="L40" i="7" s="1"/>
  <c r="I41" i="7"/>
  <c r="J41" i="7" s="1"/>
  <c r="L41" i="7" s="1"/>
  <c r="H43" i="7"/>
  <c r="O43" i="7" s="1"/>
  <c r="P43" i="7" s="1"/>
  <c r="D43" i="7"/>
  <c r="N43" i="7" s="1"/>
  <c r="Q43" i="7" s="1"/>
  <c r="I64" i="7"/>
  <c r="K64" i="7" s="1"/>
  <c r="I65" i="7"/>
  <c r="J65" i="7" s="1"/>
  <c r="L65" i="7" s="1"/>
  <c r="D67" i="7"/>
  <c r="I67" i="7" s="1"/>
  <c r="D69" i="7"/>
  <c r="I69" i="7" s="1"/>
  <c r="I70" i="7"/>
  <c r="K70" i="7" s="1"/>
  <c r="I72" i="7"/>
  <c r="J72" i="7" s="1"/>
  <c r="L72" i="7" s="1"/>
  <c r="I74" i="7"/>
  <c r="J74" i="7" s="1"/>
  <c r="L74" i="7" s="1"/>
  <c r="I76" i="7"/>
  <c r="K76" i="7" s="1"/>
  <c r="I78" i="7"/>
  <c r="K78" i="7" s="1"/>
  <c r="D85" i="7"/>
  <c r="I85" i="7" s="1"/>
  <c r="D87" i="7"/>
  <c r="I87" i="7" s="1"/>
  <c r="D90" i="7"/>
  <c r="I90" i="7" s="1"/>
  <c r="H92" i="7"/>
  <c r="O92" i="7" s="1"/>
  <c r="P92" i="7" s="1"/>
  <c r="D92" i="7"/>
  <c r="N92" i="7" s="1"/>
  <c r="H94" i="7"/>
  <c r="O94" i="7" s="1"/>
  <c r="D94" i="7"/>
  <c r="N94" i="7" s="1"/>
  <c r="H95" i="7"/>
  <c r="O95" i="7" s="1"/>
  <c r="D95" i="7"/>
  <c r="F63" i="7"/>
  <c r="K63" i="7" s="1"/>
  <c r="F62" i="7"/>
  <c r="K62" i="7" s="1"/>
  <c r="B94" i="7"/>
  <c r="C94" i="7"/>
  <c r="B95" i="7"/>
  <c r="C95" i="7"/>
  <c r="B92" i="7"/>
  <c r="C92" i="7"/>
  <c r="B90" i="7"/>
  <c r="C90" i="7"/>
  <c r="F16" i="7"/>
  <c r="K16" i="7" s="1"/>
  <c r="A9" i="7"/>
  <c r="A14" i="7" s="1"/>
  <c r="A15" i="7" s="1"/>
  <c r="A16" i="7" s="1"/>
  <c r="A17" i="7" s="1"/>
  <c r="A18" i="7" s="1"/>
  <c r="A19" i="7" s="1"/>
  <c r="A20" i="7" s="1"/>
  <c r="A21" i="7" s="1"/>
  <c r="A24" i="7" s="1"/>
  <c r="A26" i="7" s="1"/>
  <c r="A28" i="7" s="1"/>
  <c r="A30" i="7" s="1"/>
  <c r="A32" i="7" s="1"/>
  <c r="A33" i="7" s="1"/>
  <c r="A36" i="7" s="1"/>
  <c r="A39" i="7" s="1"/>
  <c r="A42" i="7" s="1"/>
  <c r="A44" i="7" s="1"/>
  <c r="A56" i="7" s="1"/>
  <c r="A62" i="7" s="1"/>
  <c r="A63" i="7" s="1"/>
  <c r="A66" i="7" s="1"/>
  <c r="A68" i="7" s="1"/>
  <c r="A71" i="7" s="1"/>
  <c r="A73" i="7" s="1"/>
  <c r="A75" i="7" s="1"/>
  <c r="A77" i="7" s="1"/>
  <c r="A79" i="7" s="1"/>
  <c r="A80" i="7" s="1"/>
  <c r="A81" i="7" s="1"/>
  <c r="A82" i="7" s="1"/>
  <c r="A86" i="7" s="1"/>
  <c r="A88" i="7" s="1"/>
  <c r="A89" i="7" s="1"/>
  <c r="A91" i="7" s="1"/>
  <c r="A93" i="7" s="1"/>
  <c r="F14" i="7"/>
  <c r="K14" i="7" s="1"/>
  <c r="F13" i="7"/>
  <c r="G13" i="7" s="1"/>
  <c r="L13" i="7" s="1"/>
  <c r="F10" i="7"/>
  <c r="G10" i="7" s="1"/>
  <c r="L10" i="7" s="1"/>
  <c r="D11" i="7"/>
  <c r="F11" i="7" s="1"/>
  <c r="G11" i="7" s="1"/>
  <c r="L11" i="7" s="1"/>
  <c r="F9" i="7"/>
  <c r="K9" i="7" s="1"/>
  <c r="D17" i="7"/>
  <c r="F17" i="7" s="1"/>
  <c r="F19" i="7"/>
  <c r="K19" i="7" s="1"/>
  <c r="F20" i="7"/>
  <c r="G20" i="7" s="1"/>
  <c r="L20" i="7" s="1"/>
  <c r="D21" i="7"/>
  <c r="F21" i="7" s="1"/>
  <c r="F24" i="7"/>
  <c r="G24" i="7" s="1"/>
  <c r="L24" i="7" s="1"/>
  <c r="D26" i="7"/>
  <c r="F26" i="7" s="1"/>
  <c r="D28" i="7"/>
  <c r="F28" i="7" s="1"/>
  <c r="G28" i="7" s="1"/>
  <c r="L28" i="7" s="1"/>
  <c r="D30" i="7"/>
  <c r="F30" i="7" s="1"/>
  <c r="F32" i="7"/>
  <c r="G32" i="7" s="1"/>
  <c r="L32" i="7" s="1"/>
  <c r="F33" i="7"/>
  <c r="G33" i="7" s="1"/>
  <c r="L33" i="7" s="1"/>
  <c r="F36" i="7"/>
  <c r="K36" i="7" s="1"/>
  <c r="F39" i="7"/>
  <c r="G39" i="7" s="1"/>
  <c r="L39" i="7" s="1"/>
  <c r="F42" i="7"/>
  <c r="K42" i="7" s="1"/>
  <c r="F44" i="7"/>
  <c r="G44" i="7" s="1"/>
  <c r="L44" i="7" s="1"/>
  <c r="F56" i="7"/>
  <c r="K56" i="7" s="1"/>
  <c r="F66" i="7"/>
  <c r="G66" i="7" s="1"/>
  <c r="L66" i="7" s="1"/>
  <c r="F68" i="7"/>
  <c r="K68" i="7" s="1"/>
  <c r="F71" i="7"/>
  <c r="K71" i="7" s="1"/>
  <c r="F73" i="7"/>
  <c r="G73" i="7" s="1"/>
  <c r="L73" i="7" s="1"/>
  <c r="F75" i="7"/>
  <c r="K75" i="7" s="1"/>
  <c r="F77" i="7"/>
  <c r="K77" i="7" s="1"/>
  <c r="F79" i="7"/>
  <c r="K79" i="7" s="1"/>
  <c r="F80" i="7"/>
  <c r="G80" i="7" s="1"/>
  <c r="L80" i="7" s="1"/>
  <c r="F81" i="7"/>
  <c r="G81" i="7" s="1"/>
  <c r="L81" i="7" s="1"/>
  <c r="F82" i="7"/>
  <c r="K82" i="7" s="1"/>
  <c r="F86" i="7"/>
  <c r="G86" i="7" s="1"/>
  <c r="L86" i="7" s="1"/>
  <c r="F88" i="7"/>
  <c r="K88" i="7" s="1"/>
  <c r="F89" i="7"/>
  <c r="G89" i="7" s="1"/>
  <c r="L89" i="7" s="1"/>
  <c r="F91" i="7"/>
  <c r="G91" i="7" s="1"/>
  <c r="L91" i="7" s="1"/>
  <c r="F93" i="7"/>
  <c r="G93" i="7" s="1"/>
  <c r="L93" i="7" s="1"/>
  <c r="K74" i="7"/>
  <c r="C4" i="6"/>
  <c r="F4" i="6"/>
  <c r="H3" i="6"/>
  <c r="H4" i="6"/>
  <c r="G4" i="6"/>
  <c r="D4" i="6"/>
  <c r="E3" i="6"/>
  <c r="E4" i="6"/>
  <c r="I47" i="7" l="1"/>
  <c r="Q47" i="7"/>
  <c r="K59" i="7"/>
  <c r="J59" i="7"/>
  <c r="L59" i="7" s="1"/>
  <c r="Q59" i="7"/>
  <c r="K60" i="7"/>
  <c r="J60" i="7"/>
  <c r="L60" i="7" s="1"/>
  <c r="Q60" i="7"/>
  <c r="O60" i="7"/>
  <c r="P60" i="7" s="1"/>
  <c r="P94" i="7"/>
  <c r="P95" i="7"/>
  <c r="F22" i="7"/>
  <c r="K22" i="7" s="1"/>
  <c r="F15" i="7"/>
  <c r="G15" i="7" s="1"/>
  <c r="L15" i="7" s="1"/>
  <c r="N22" i="7"/>
  <c r="P22" i="7"/>
  <c r="G23" i="7"/>
  <c r="L23" i="7" s="1"/>
  <c r="P50" i="7"/>
  <c r="P27" i="7"/>
  <c r="Q14" i="7"/>
  <c r="Q27" i="7"/>
  <c r="Q78" i="7"/>
  <c r="P34" i="7"/>
  <c r="P17" i="7"/>
  <c r="Q84" i="7"/>
  <c r="P67" i="7"/>
  <c r="Q91" i="7"/>
  <c r="P87" i="7"/>
  <c r="Q56" i="7"/>
  <c r="N95" i="7"/>
  <c r="Q95" i="7" s="1"/>
  <c r="Q80" i="7"/>
  <c r="Q36" i="7"/>
  <c r="Q35" i="7"/>
  <c r="Q94" i="7"/>
  <c r="Q92" i="7"/>
  <c r="Q75" i="7"/>
  <c r="Q65" i="7"/>
  <c r="Q42" i="7"/>
  <c r="N87" i="7"/>
  <c r="Q87" i="7" s="1"/>
  <c r="N67" i="7"/>
  <c r="Q67" i="7" s="1"/>
  <c r="Q57" i="7"/>
  <c r="N34" i="7"/>
  <c r="P30" i="7"/>
  <c r="Q30" i="7" s="1"/>
  <c r="N21" i="7"/>
  <c r="Q31" i="7"/>
  <c r="N90" i="7"/>
  <c r="Q86" i="7"/>
  <c r="O45" i="7"/>
  <c r="P45" i="7" s="1"/>
  <c r="Q45" i="7" s="1"/>
  <c r="N30" i="7"/>
  <c r="N28" i="7"/>
  <c r="Q28" i="7" s="1"/>
  <c r="N26" i="7"/>
  <c r="Q26" i="7" s="1"/>
  <c r="Q20" i="7"/>
  <c r="Q38" i="7"/>
  <c r="Q82" i="7"/>
  <c r="Q41" i="7"/>
  <c r="P37" i="7"/>
  <c r="P25" i="7"/>
  <c r="Q16" i="7"/>
  <c r="P12" i="7"/>
  <c r="K84" i="7"/>
  <c r="Q93" i="7"/>
  <c r="Q74" i="7"/>
  <c r="Q70" i="7"/>
  <c r="P40" i="7"/>
  <c r="N37" i="7"/>
  <c r="Q33" i="7"/>
  <c r="P29" i="7"/>
  <c r="P15" i="7"/>
  <c r="N12" i="7"/>
  <c r="P90" i="7"/>
  <c r="N69" i="7"/>
  <c r="Q61" i="7"/>
  <c r="Q89" i="7"/>
  <c r="P85" i="7"/>
  <c r="Q66" i="7"/>
  <c r="Q62" i="7"/>
  <c r="Q55" i="7"/>
  <c r="N40" i="7"/>
  <c r="N29" i="7"/>
  <c r="N25" i="7"/>
  <c r="Q25" i="7" s="1"/>
  <c r="Q19" i="7"/>
  <c r="P11" i="7"/>
  <c r="N85" i="7"/>
  <c r="Q81" i="7"/>
  <c r="Q77" i="7"/>
  <c r="Q54" i="7"/>
  <c r="N15" i="7"/>
  <c r="N11" i="7"/>
  <c r="Q73" i="7"/>
  <c r="P69" i="7"/>
  <c r="N50" i="7"/>
  <c r="Q50" i="7" s="1"/>
  <c r="N17" i="7"/>
  <c r="Q72" i="7"/>
  <c r="Q21" i="7"/>
  <c r="Q79" i="7"/>
  <c r="Q64" i="7"/>
  <c r="Q13" i="7"/>
  <c r="Q63" i="7"/>
  <c r="Q32" i="7"/>
  <c r="Q39" i="7"/>
  <c r="Q24" i="7"/>
  <c r="G83" i="7"/>
  <c r="L83" i="7" s="1"/>
  <c r="J70" i="7"/>
  <c r="L70" i="7" s="1"/>
  <c r="G61" i="7"/>
  <c r="L61" i="7" s="1"/>
  <c r="K41" i="7"/>
  <c r="G54" i="7"/>
  <c r="L54" i="7" s="1"/>
  <c r="D51" i="7"/>
  <c r="N51" i="7" s="1"/>
  <c r="G55" i="7"/>
  <c r="L55" i="7" s="1"/>
  <c r="K50" i="7"/>
  <c r="K66" i="7"/>
  <c r="I57" i="7"/>
  <c r="K57" i="7" s="1"/>
  <c r="J45" i="7"/>
  <c r="L45" i="7" s="1"/>
  <c r="I94" i="7"/>
  <c r="K94" i="7" s="1"/>
  <c r="J76" i="7"/>
  <c r="L76" i="7" s="1"/>
  <c r="F12" i="7"/>
  <c r="G12" i="7" s="1"/>
  <c r="L12" i="7" s="1"/>
  <c r="J35" i="7"/>
  <c r="L35" i="7" s="1"/>
  <c r="G9" i="7"/>
  <c r="L9" i="7" s="1"/>
  <c r="K44" i="7"/>
  <c r="K65" i="7"/>
  <c r="Q10" i="7"/>
  <c r="G75" i="7"/>
  <c r="L75" i="7" s="1"/>
  <c r="K89" i="7"/>
  <c r="K39" i="7"/>
  <c r="K81" i="7"/>
  <c r="K33" i="7"/>
  <c r="K32" i="7"/>
  <c r="I92" i="7"/>
  <c r="J92" i="7" s="1"/>
  <c r="L92" i="7" s="1"/>
  <c r="G79" i="7"/>
  <c r="L79" i="7" s="1"/>
  <c r="G36" i="7"/>
  <c r="L36" i="7" s="1"/>
  <c r="K73" i="7"/>
  <c r="G14" i="7"/>
  <c r="L14" i="7" s="1"/>
  <c r="G88" i="7"/>
  <c r="L88" i="7" s="1"/>
  <c r="G82" i="7"/>
  <c r="L82" i="7" s="1"/>
  <c r="J64" i="7"/>
  <c r="L64" i="7" s="1"/>
  <c r="G68" i="7"/>
  <c r="L68" i="7" s="1"/>
  <c r="K20" i="7"/>
  <c r="K26" i="7"/>
  <c r="G26" i="7"/>
  <c r="L26" i="7" s="1"/>
  <c r="G77" i="7"/>
  <c r="L77" i="7" s="1"/>
  <c r="G63" i="7"/>
  <c r="L63" i="7" s="1"/>
  <c r="I31" i="7"/>
  <c r="J31" i="7" s="1"/>
  <c r="L31" i="7" s="1"/>
  <c r="K86" i="7"/>
  <c r="K91" i="7"/>
  <c r="K69" i="7"/>
  <c r="J69" i="7"/>
  <c r="L69" i="7" s="1"/>
  <c r="J87" i="7"/>
  <c r="L87" i="7" s="1"/>
  <c r="K87" i="7"/>
  <c r="K67" i="7"/>
  <c r="J67" i="7"/>
  <c r="L67" i="7" s="1"/>
  <c r="K30" i="7"/>
  <c r="G30" i="7"/>
  <c r="L30" i="7" s="1"/>
  <c r="K37" i="7"/>
  <c r="J37" i="7"/>
  <c r="L37" i="7" s="1"/>
  <c r="K25" i="7"/>
  <c r="J25" i="7"/>
  <c r="L25" i="7" s="1"/>
  <c r="K34" i="7"/>
  <c r="J34" i="7"/>
  <c r="L34" i="7" s="1"/>
  <c r="K15" i="7"/>
  <c r="K80" i="7"/>
  <c r="J78" i="7"/>
  <c r="L78" i="7" s="1"/>
  <c r="K29" i="7"/>
  <c r="K10" i="7"/>
  <c r="I27" i="7"/>
  <c r="K27" i="7" s="1"/>
  <c r="K38" i="7"/>
  <c r="I43" i="7"/>
  <c r="J43" i="7" s="1"/>
  <c r="L43" i="7" s="1"/>
  <c r="I95" i="7"/>
  <c r="J95" i="7" s="1"/>
  <c r="L95" i="7" s="1"/>
  <c r="G56" i="7"/>
  <c r="L56" i="7" s="1"/>
  <c r="G17" i="7"/>
  <c r="L17" i="7" s="1"/>
  <c r="K17" i="7"/>
  <c r="J90" i="7"/>
  <c r="L90" i="7" s="1"/>
  <c r="K90" i="7"/>
  <c r="G21" i="7"/>
  <c r="L21" i="7" s="1"/>
  <c r="K21" i="7"/>
  <c r="K85" i="7"/>
  <c r="J85" i="7"/>
  <c r="L85" i="7" s="1"/>
  <c r="K11" i="7"/>
  <c r="D18" i="7"/>
  <c r="G62" i="7"/>
  <c r="L62" i="7" s="1"/>
  <c r="K24" i="7"/>
  <c r="K72" i="7"/>
  <c r="K13" i="7"/>
  <c r="G42" i="7"/>
  <c r="L42" i="7" s="1"/>
  <c r="G71" i="7"/>
  <c r="L71" i="7" s="1"/>
  <c r="K28" i="7"/>
  <c r="K93" i="7"/>
  <c r="K40" i="7"/>
  <c r="G19" i="7"/>
  <c r="L19" i="7" s="1"/>
  <c r="G16" i="7"/>
  <c r="L16" i="7" s="1"/>
  <c r="K47" i="7" l="1"/>
  <c r="J47" i="7"/>
  <c r="L47" i="7" s="1"/>
  <c r="J94" i="7"/>
  <c r="L94" i="7" s="1"/>
  <c r="G22" i="7"/>
  <c r="L22" i="7" s="1"/>
  <c r="Q22" i="7"/>
  <c r="Q12" i="7"/>
  <c r="Q15" i="7"/>
  <c r="Q34" i="7"/>
  <c r="Q17" i="7"/>
  <c r="Q40" i="7"/>
  <c r="Q37" i="7"/>
  <c r="P51" i="7"/>
  <c r="Q51" i="7" s="1"/>
  <c r="F18" i="7"/>
  <c r="K18" i="7" s="1"/>
  <c r="N18" i="7"/>
  <c r="P18" i="7"/>
  <c r="Q69" i="7"/>
  <c r="Q90" i="7"/>
  <c r="K12" i="7"/>
  <c r="Q11" i="7"/>
  <c r="Q85" i="7"/>
  <c r="Q29" i="7"/>
  <c r="J57" i="7"/>
  <c r="L57" i="7" s="1"/>
  <c r="D52" i="7"/>
  <c r="I51" i="7"/>
  <c r="K92" i="7"/>
  <c r="K31" i="7"/>
  <c r="K95" i="7"/>
  <c r="J27" i="7"/>
  <c r="L27" i="7" s="1"/>
  <c r="K43" i="7"/>
  <c r="G18" i="7" l="1"/>
  <c r="L18" i="7" s="1"/>
  <c r="N52" i="7"/>
  <c r="P52" i="7"/>
  <c r="Q18" i="7"/>
  <c r="K51" i="7"/>
  <c r="J51" i="7"/>
  <c r="L51" i="7" s="1"/>
  <c r="F52" i="7"/>
  <c r="D53" i="7"/>
  <c r="N53" i="7" l="1"/>
  <c r="P53" i="7"/>
  <c r="Q53" i="7" s="1"/>
  <c r="Q52" i="7"/>
  <c r="I53" i="7"/>
  <c r="K53" i="7" s="1"/>
  <c r="P96" i="7"/>
  <c r="J53" i="7"/>
  <c r="L53" i="7" s="1"/>
  <c r="I96" i="7"/>
  <c r="J96" i="7" s="1"/>
  <c r="K52" i="7"/>
  <c r="G52" i="7"/>
  <c r="L52" i="7" s="1"/>
  <c r="F96" i="7"/>
  <c r="G96" i="7" s="1"/>
  <c r="Q96" i="7" l="1"/>
  <c r="N96" i="7"/>
  <c r="K96" i="7"/>
  <c r="L96" i="7" s="1"/>
  <c r="L98" i="7" s="1"/>
</calcChain>
</file>

<file path=xl/sharedStrings.xml><?xml version="1.0" encoding="utf-8"?>
<sst xmlns="http://schemas.openxmlformats.org/spreadsheetml/2006/main" count="247" uniqueCount="154">
  <si>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</si>
  <si>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</si>
  <si>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</si>
  <si>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</si>
  <si>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</si>
  <si>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</si>
  <si>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</si>
  <si>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</si>
  <si>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</si>
  <si>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</si>
  <si>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</si>
  <si>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</si>
  <si>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</si>
  <si>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м3</t>
  </si>
  <si>
    <t xml:space="preserve">Итого </t>
  </si>
  <si>
    <t>шт</t>
  </si>
  <si>
    <t>м</t>
  </si>
  <si>
    <t>т</t>
  </si>
  <si>
    <t>11.1</t>
  </si>
  <si>
    <t>12.1</t>
  </si>
  <si>
    <t>Наименование работ (затрат)</t>
  </si>
  <si>
    <t>Без НДС</t>
  </si>
  <si>
    <t>Стоимость 
СМР</t>
  </si>
  <si>
    <t>Стоимость 
МТР</t>
  </si>
  <si>
    <t>Стоимость 
ИТОГО</t>
  </si>
  <si>
    <t>ВСЕГО</t>
  </si>
  <si>
    <r>
      <rPr>
        <b/>
        <sz val="11"/>
        <color theme="1"/>
        <rFont val="Times New Roman"/>
        <family val="1"/>
        <charset val="204"/>
      </rPr>
      <t>130-23-АС4.</t>
    </r>
    <r>
      <rPr>
        <sz val="11"/>
        <color theme="1"/>
        <rFont val="Times New Roman"/>
        <family val="1"/>
        <charset val="204"/>
      </rPr>
      <t xml:space="preserve"> Архитектурно-строительные решения</t>
    </r>
  </si>
  <si>
    <t>Выборка бетонного лома из арматурного каркаса вручную</t>
  </si>
  <si>
    <t xml:space="preserve">Резка арматуры пространственной решетки пола </t>
  </si>
  <si>
    <t>Погрузка вручную арматурных стержней от демонтажа</t>
  </si>
  <si>
    <t>Погрузка механизированным способом бетонного лома и строит. мусора от демонтажа</t>
  </si>
  <si>
    <t>Песок</t>
  </si>
  <si>
    <t>13.1</t>
  </si>
  <si>
    <t>15.1</t>
  </si>
  <si>
    <t>15.2</t>
  </si>
  <si>
    <t>Устройство смотровых канав, вытяжных каналов и рельсовых путей под установку окрасочно-сушильных камер в здании цеха 517 инв. № 1-174</t>
  </si>
  <si>
    <t>Демонтаж железобетонного основания пола толщиной 250 мм</t>
  </si>
  <si>
    <t>Разборка пути поэлементно на деревянных шпалах</t>
  </si>
  <si>
    <t>м2</t>
  </si>
  <si>
    <t>Шлифовка бетонных поверхностей</t>
  </si>
  <si>
    <t>Засыпка вручную траншей, пазух котлованов и ям: песком с послойной утрамбовкой</t>
  </si>
  <si>
    <t>Демонтаж керамзитобетонной стеновой панели</t>
  </si>
  <si>
    <t>Огрунтовка бетонных поверхностей стен грунтом глубокого проникновения</t>
  </si>
  <si>
    <t>Окраска поливинилацетатными водоэмульсионными составами улучшенная за два раза</t>
  </si>
  <si>
    <t>Устройство полимерных наливных полов из полиуретана: с толщиной покрытия 2 мм</t>
  </si>
  <si>
    <t>п.м</t>
  </si>
  <si>
    <t>10.1</t>
  </si>
  <si>
    <t>17.1</t>
  </si>
  <si>
    <t>16.1</t>
  </si>
  <si>
    <t>18.1</t>
  </si>
  <si>
    <t>26.1</t>
  </si>
  <si>
    <t>28.1</t>
  </si>
  <si>
    <t>Бетон В7,5</t>
  </si>
  <si>
    <t>Устройство песчаной подушки толщиной 100 мм (561м2)</t>
  </si>
  <si>
    <t>Устройство бетонной подготовки толщиной 100 мм (316м2)</t>
  </si>
  <si>
    <t>Устройство подстилающих и выравнивающих слоев оснований: из щебня толщиной 200 мм (150м2)</t>
  </si>
  <si>
    <t>Уголок стальной 50x50x5 мм</t>
  </si>
  <si>
    <t>кг</t>
  </si>
  <si>
    <t>Металлическая труба ф21,3</t>
  </si>
  <si>
    <t>Металлическая труба 100x100x5</t>
  </si>
  <si>
    <t>Погрузка лишнего грунта в автосамосвалы</t>
  </si>
  <si>
    <t>Демонтаж асфальтобетонного покрытия толщиной 100 мм (57м2)</t>
  </si>
  <si>
    <t xml:space="preserve">Резка алмазными дисками существующего пола </t>
  </si>
  <si>
    <t>Выбивка существующего железобетонного пола  отбойными молотками</t>
  </si>
  <si>
    <t>Щебень фр 20-40 известковый</t>
  </si>
  <si>
    <t>Бетон В25 W6 F50</t>
  </si>
  <si>
    <t>Устройство вытяжных каналов из монолитного железобетона с толщиной стен 100 мм (476м2)</t>
  </si>
  <si>
    <t>Устройство основания вытяжных каналов и смотровых ям из монолитного железобетона с толщиной 200 мм (365м2)</t>
  </si>
  <si>
    <t>Устройство смотровых ям из монолитного железобетона с толщиной 467,5 мм (112м2)</t>
  </si>
  <si>
    <t>Арматура ф14 А500С</t>
  </si>
  <si>
    <t>Арматура ф16 А500С</t>
  </si>
  <si>
    <t>Арматура Ф14А500С</t>
  </si>
  <si>
    <t>Устройство железобетонного основания пола толщиной 200 мм (315м2)</t>
  </si>
  <si>
    <t>Минераловатные плита плотн 150кг/м3</t>
  </si>
  <si>
    <t>Изоляция стен изделиями из минераловатных плит толщ 150мм</t>
  </si>
  <si>
    <t>Устройство перегородки с обшивкой с двух сторон профлистом ral7035</t>
  </si>
  <si>
    <t>Профлист Н57-750-0,6 ral7035 (3м2 * 2 стороны)</t>
  </si>
  <si>
    <t>Демонтаж секционных ворот (27м2)</t>
  </si>
  <si>
    <t>Монтаж б/у секционных ворот (27м2)</t>
  </si>
  <si>
    <t>Устройство асфальтобетонного покрытия толщиной 4см</t>
  </si>
  <si>
    <t>Устройство асфальтобетонного покрытия толщиной 6см</t>
  </si>
  <si>
    <t>Асфальт мелкозернистый плотный, тип Б, марка II</t>
  </si>
  <si>
    <t>Асфальт крупнозернистый плотный, тип Б, марка II</t>
  </si>
  <si>
    <t>16.2</t>
  </si>
  <si>
    <t>22.1</t>
  </si>
  <si>
    <t>1.1</t>
  </si>
  <si>
    <t>1.2</t>
  </si>
  <si>
    <t>1.3</t>
  </si>
  <si>
    <t>1.4</t>
  </si>
  <si>
    <t>Погрузка механизированным способом строит. мусора от демонтажа</t>
  </si>
  <si>
    <t>мп</t>
  </si>
  <si>
    <t>Резка асфальтобетонного покрытия фрезой</t>
  </si>
  <si>
    <t xml:space="preserve">Разработка техногенного грунта в котлованах экскаватором </t>
  </si>
  <si>
    <t xml:space="preserve">Крепление досками стенок котлованов и траншей шириной: более 3 м, глубиной до 3 м (стоимость </t>
  </si>
  <si>
    <t>Щиты из досок (с оборачиваемостью)</t>
  </si>
  <si>
    <t>Засыпка смотровой ямы бетонным боем (от разборки полов)</t>
  </si>
  <si>
    <t>Устройство обрамления уголком стальным 50x50x5 мм</t>
  </si>
  <si>
    <t>Устройство закладных из металлической трубы ф21,3</t>
  </si>
  <si>
    <t>Устройство каркаса из металлической трубы 100x100x5 мм для устройства перегородки из профлиста</t>
  </si>
  <si>
    <t>17.2</t>
  </si>
  <si>
    <t>Сверление в ж/б конструкциях вертикальных отверстий Ф 35 мм</t>
  </si>
  <si>
    <t>шт.</t>
  </si>
  <si>
    <t>Постановка дюбеля полимерного</t>
  </si>
  <si>
    <t>Дюбель полимерный</t>
  </si>
  <si>
    <t>27.2</t>
  </si>
  <si>
    <t>Химический клеевой анкер (585мл/шт.)</t>
  </si>
  <si>
    <t>22.2</t>
  </si>
  <si>
    <t>23.1</t>
  </si>
  <si>
    <t>24.1</t>
  </si>
  <si>
    <t>24.2</t>
  </si>
  <si>
    <t>25.1</t>
  </si>
  <si>
    <t>32.1</t>
  </si>
  <si>
    <t>33.1</t>
  </si>
  <si>
    <t>35.1</t>
  </si>
  <si>
    <t>36.1</t>
  </si>
  <si>
    <t>37.1</t>
  </si>
  <si>
    <t>37.2</t>
  </si>
  <si>
    <t>стоимость работ</t>
  </si>
  <si>
    <t>Кр</t>
  </si>
  <si>
    <t>Км</t>
  </si>
  <si>
    <t>НДС</t>
  </si>
  <si>
    <t>цена за ед с НДС</t>
  </si>
  <si>
    <t>ИТОГО С НДС</t>
  </si>
  <si>
    <t>стоимость материалов</t>
  </si>
  <si>
    <t>КиКГЕОСТРОЙ</t>
  </si>
  <si>
    <t>ВСЕГО с НДС</t>
  </si>
  <si>
    <t>Шпала деревянная</t>
  </si>
  <si>
    <t>компл.</t>
  </si>
  <si>
    <t>Рельс Р65 12,5м</t>
  </si>
  <si>
    <t>Укладка пути отдельными элементами на деревянных шпалах, тип рельсов: Р65 (давальческий материал: шпалы деревянные - 82шт.; рельсы Р65 - 176м.п..; скрепления КБ65 - 82 компл.)</t>
  </si>
  <si>
    <t>Укладка пути на стены смотровых ям, тип рельсов: Р65 (давальческий материал: рельсы Р65 - 232м.п.; скрепления ЖБР65 ПШ-Д - 216 компл.)</t>
  </si>
  <si>
    <t xml:space="preserve"> накладка стыковая </t>
  </si>
  <si>
    <t>болт стыковой</t>
  </si>
  <si>
    <t>Балластировка путей</t>
  </si>
  <si>
    <t>Щебень балластный кат.2</t>
  </si>
  <si>
    <t>19.2</t>
  </si>
  <si>
    <t xml:space="preserve">Выправка пути </t>
  </si>
  <si>
    <t>19.2.1</t>
  </si>
  <si>
    <t>19.3</t>
  </si>
  <si>
    <t>Рихтовка пути</t>
  </si>
  <si>
    <t xml:space="preserve">Монтаж стыковочных накладок </t>
  </si>
  <si>
    <t>к-т</t>
  </si>
  <si>
    <t>скрепление ЖБР65 ПШ-Д</t>
  </si>
  <si>
    <t>Устройство щебёночного основания  (57 м2)</t>
  </si>
  <si>
    <t>Щебень известняковый</t>
  </si>
  <si>
    <t>Перевозка и утилизация грунта с К разуплотнения 1,25</t>
  </si>
  <si>
    <t>Перевозка и утилизация строительных отходов с К разуплотнения 1,7</t>
  </si>
  <si>
    <t>без рельс крепежа и утилизации</t>
  </si>
  <si>
    <t>скрепление КД65</t>
  </si>
  <si>
    <t>себес ЭЭ</t>
  </si>
  <si>
    <t>себес КиК</t>
  </si>
  <si>
    <t>рельсы крепеж утиль</t>
  </si>
  <si>
    <t>сбес ЭЭ дисконт</t>
  </si>
  <si>
    <t>итого с диск.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</si>
</sst>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_-* #,##0.00\ _₽_-;\-* #,##0.00\ _₽_-;_-* &quot;-&quot;??\ _₽_-;_-@_-"/>
    <numFmt numFmtId="167" formatCode="0.0"/>
    <numFmt numFmtId="168" formatCode="0.00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164">
    <xf numFmtId="0" fontId="0" fillId="0" borderId="0" xfId="0"/>
    <xf numFmtId="164" fontId="4" fillId="0" borderId="3" xfId="1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 wrapText="1"/>
    </xf>
    <xf numFmtId="1" fontId="3" fillId="0" borderId="3" xfId="2" applyNumberFormat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165" fontId="3" fillId="2" borderId="3" xfId="0" applyNumberFormat="1" applyFont="1" applyFill="1" applyBorder="1" applyAlignment="1">
      <alignment horizontal="left" vertical="center" wrapText="1"/>
    </xf>
    <xf numFmtId="164" fontId="3" fillId="2" borderId="3" xfId="1" applyNumberFormat="1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3" xfId="0" applyFont="1" applyBorder="1"/>
    <xf numFmtId="43" fontId="6" fillId="3" borderId="3" xfId="1" applyFont="1" applyFill="1" applyBorder="1" applyAlignment="1">
      <alignment horizontal="center" vertical="center" wrapText="1"/>
    </xf>
    <xf numFmtId="43" fontId="6" fillId="0" borderId="3" xfId="1" applyFont="1" applyBorder="1" applyAlignment="1">
      <alignment vertical="center"/>
    </xf>
    <xf numFmtId="43" fontId="7" fillId="3" borderId="3" xfId="1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vertical="center"/>
    </xf>
    <xf numFmtId="43" fontId="6" fillId="4" borderId="3" xfId="1" applyFont="1" applyFill="1" applyBorder="1" applyAlignment="1">
      <alignment vertical="center"/>
    </xf>
    <xf numFmtId="43" fontId="6" fillId="4" borderId="3" xfId="1" applyFont="1" applyFill="1" applyBorder="1" applyAlignment="1">
      <alignment horizontal="center" vertical="center" wrapText="1"/>
    </xf>
    <xf numFmtId="43" fontId="8" fillId="0" borderId="3" xfId="1" applyFont="1" applyFill="1" applyBorder="1" applyAlignment="1">
      <alignment horizontal="center" vertical="center" wrapText="1"/>
    </xf>
    <xf numFmtId="164" fontId="0" fillId="0" borderId="0" xfId="1" applyNumberFormat="1" applyFont="1"/>
    <xf numFmtId="43" fontId="7" fillId="0" borderId="3" xfId="1" applyFont="1" applyFill="1" applyBorder="1" applyAlignment="1">
      <alignment horizontal="center" vertical="center" wrapText="1"/>
    </xf>
    <xf numFmtId="43" fontId="8" fillId="4" borderId="3" xfId="1" applyFont="1" applyFill="1" applyBorder="1" applyAlignment="1">
      <alignment horizontal="center" vertical="center" wrapText="1"/>
    </xf>
    <xf numFmtId="43" fontId="6" fillId="5" borderId="3" xfId="1" applyFont="1" applyFill="1" applyBorder="1" applyAlignment="1">
      <alignment vertical="center"/>
    </xf>
    <xf numFmtId="43" fontId="6" fillId="0" borderId="3" xfId="1" applyFont="1" applyFill="1" applyBorder="1" applyAlignment="1">
      <alignment vertical="center"/>
    </xf>
    <xf numFmtId="43" fontId="6" fillId="0" borderId="3" xfId="1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/>
    <xf numFmtId="0" fontId="8" fillId="0" borderId="3" xfId="2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8" fillId="3" borderId="3" xfId="3" applyFont="1" applyFill="1" applyBorder="1" applyAlignment="1">
      <alignment horizontal="left"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3" fontId="6" fillId="5" borderId="3" xfId="1" applyFont="1" applyFill="1" applyBorder="1" applyAlignment="1">
      <alignment horizontal="right" vertical="center"/>
    </xf>
    <xf numFmtId="43" fontId="6" fillId="6" borderId="3" xfId="1" applyFont="1" applyFill="1" applyBorder="1" applyAlignment="1">
      <alignment vertical="center"/>
    </xf>
    <xf numFmtId="43" fontId="6" fillId="6" borderId="3" xfId="1" applyFont="1" applyFill="1" applyBorder="1" applyAlignment="1">
      <alignment horizontal="right" vertical="center"/>
    </xf>
    <xf numFmtId="43" fontId="4" fillId="6" borderId="3" xfId="1" applyFont="1" applyFill="1" applyBorder="1" applyAlignment="1">
      <alignment horizontal="center" vertical="center"/>
    </xf>
    <xf numFmtId="166" fontId="0" fillId="0" borderId="0" xfId="0" applyNumberFormat="1"/>
    <xf numFmtId="43" fontId="4" fillId="5" borderId="3" xfId="1" applyFont="1" applyFill="1" applyBorder="1"/>
    <xf numFmtId="43" fontId="4" fillId="6" borderId="3" xfId="1" applyFont="1" applyFill="1" applyBorder="1"/>
    <xf numFmtId="0" fontId="6" fillId="0" borderId="0" xfId="0" applyFont="1"/>
    <xf numFmtId="0" fontId="6" fillId="0" borderId="3" xfId="0" applyFont="1" applyBorder="1" applyAlignment="1">
      <alignment vertical="center" wrapText="1"/>
    </xf>
    <xf numFmtId="43" fontId="4" fillId="5" borderId="3" xfId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1" fontId="6" fillId="3" borderId="3" xfId="0" applyNumberFormat="1" applyFont="1" applyFill="1" applyBorder="1" applyAlignment="1">
      <alignment horizontal="center" vertical="center" wrapText="1"/>
    </xf>
    <xf numFmtId="0" fontId="8" fillId="4" borderId="3" xfId="2" applyFont="1" applyFill="1" applyBorder="1" applyAlignment="1">
      <alignment vertical="center" wrapText="1"/>
    </xf>
    <xf numFmtId="0" fontId="8" fillId="4" borderId="3" xfId="0" applyFont="1" applyFill="1" applyBorder="1" applyAlignment="1">
      <alignment vertical="center"/>
    </xf>
    <xf numFmtId="0" fontId="8" fillId="4" borderId="3" xfId="3" applyFont="1" applyFill="1" applyBorder="1" applyAlignment="1">
      <alignment horizontal="left" vertical="center" wrapText="1"/>
    </xf>
    <xf numFmtId="0" fontId="6" fillId="4" borderId="3" xfId="2" applyFont="1" applyFill="1" applyBorder="1" applyAlignment="1">
      <alignment vertical="center" wrapText="1"/>
    </xf>
    <xf numFmtId="0" fontId="3" fillId="0" borderId="3" xfId="2" applyFont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43" fontId="8" fillId="0" borderId="3" xfId="1" applyFont="1" applyFill="1" applyBorder="1" applyAlignment="1">
      <alignment vertical="center"/>
    </xf>
    <xf numFmtId="0" fontId="10" fillId="0" borderId="0" xfId="0" applyFont="1"/>
    <xf numFmtId="43" fontId="8" fillId="4" borderId="3" xfId="1" applyFont="1" applyFill="1" applyBorder="1" applyAlignment="1">
      <alignment vertical="center"/>
    </xf>
    <xf numFmtId="43" fontId="8" fillId="0" borderId="3" xfId="1" applyFont="1" applyBorder="1" applyAlignment="1">
      <alignment vertical="center"/>
    </xf>
    <xf numFmtId="43" fontId="8" fillId="3" borderId="3" xfId="1" applyFont="1" applyFill="1" applyBorder="1" applyAlignment="1">
      <alignment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0" borderId="3" xfId="2" applyFont="1" applyBorder="1" applyAlignment="1">
      <alignment horizontal="left" vertical="center" wrapText="1"/>
    </xf>
    <xf numFmtId="0" fontId="8" fillId="0" borderId="3" xfId="2" applyFont="1" applyBorder="1" applyAlignment="1">
      <alignment horizontal="center" vertical="center" wrapText="1"/>
    </xf>
    <xf numFmtId="49" fontId="8" fillId="4" borderId="3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3" xfId="2" applyFont="1" applyFill="1" applyBorder="1" applyAlignment="1">
      <alignment horizontal="center" vertical="center" wrapText="1"/>
    </xf>
    <xf numFmtId="43" fontId="8" fillId="4" borderId="3" xfId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9" xfId="2" applyFont="1" applyBorder="1" applyAlignment="1">
      <alignment horizontal="right" vertical="center"/>
    </xf>
    <xf numFmtId="1" fontId="8" fillId="0" borderId="9" xfId="2" applyNumberFormat="1" applyFont="1" applyBorder="1" applyAlignment="1">
      <alignment horizontal="right" vertical="center" wrapText="1"/>
    </xf>
    <xf numFmtId="2" fontId="8" fillId="3" borderId="9" xfId="0" applyNumberFormat="1" applyFont="1" applyFill="1" applyBorder="1" applyAlignment="1">
      <alignment vertical="center" wrapText="1"/>
    </xf>
    <xf numFmtId="2" fontId="8" fillId="3" borderId="9" xfId="1" applyNumberFormat="1" applyFont="1" applyFill="1" applyBorder="1" applyAlignment="1">
      <alignment horizontal="right" vertical="center"/>
    </xf>
    <xf numFmtId="2" fontId="8" fillId="0" borderId="9" xfId="2" applyNumberFormat="1" applyFont="1" applyBorder="1" applyAlignment="1">
      <alignment horizontal="right" vertical="center" wrapText="1"/>
    </xf>
    <xf numFmtId="167" fontId="8" fillId="4" borderId="9" xfId="2" applyNumberFormat="1" applyFont="1" applyFill="1" applyBorder="1" applyAlignment="1">
      <alignment horizontal="right" vertical="center" wrapText="1"/>
    </xf>
    <xf numFmtId="1" fontId="8" fillId="3" borderId="9" xfId="2" applyNumberFormat="1" applyFont="1" applyFill="1" applyBorder="1" applyAlignment="1">
      <alignment horizontal="right" vertical="center"/>
    </xf>
    <xf numFmtId="1" fontId="8" fillId="4" borderId="9" xfId="2" applyNumberFormat="1" applyFont="1" applyFill="1" applyBorder="1" applyAlignment="1">
      <alignment horizontal="right" vertical="center" wrapText="1"/>
    </xf>
    <xf numFmtId="167" fontId="8" fillId="0" borderId="9" xfId="2" applyNumberFormat="1" applyFont="1" applyBorder="1" applyAlignment="1">
      <alignment horizontal="right" vertical="center" wrapText="1"/>
    </xf>
    <xf numFmtId="2" fontId="8" fillId="4" borderId="9" xfId="2" applyNumberFormat="1" applyFont="1" applyFill="1" applyBorder="1" applyAlignment="1">
      <alignment horizontal="right" vertical="center" wrapText="1"/>
    </xf>
    <xf numFmtId="168" fontId="8" fillId="4" borderId="9" xfId="2" applyNumberFormat="1" applyFont="1" applyFill="1" applyBorder="1" applyAlignment="1">
      <alignment horizontal="right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horizontal="center" vertical="center" wrapText="1"/>
    </xf>
    <xf numFmtId="4" fontId="3" fillId="0" borderId="16" xfId="0" applyNumberFormat="1" applyFont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4" fontId="3" fillId="0" borderId="17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0" fontId="3" fillId="0" borderId="17" xfId="2" applyFont="1" applyBorder="1" applyAlignment="1">
      <alignment horizontal="center" vertical="center"/>
    </xf>
    <xf numFmtId="0" fontId="0" fillId="0" borderId="0" xfId="0" applyBorder="1"/>
    <xf numFmtId="0" fontId="0" fillId="0" borderId="19" xfId="0" applyBorder="1"/>
    <xf numFmtId="4" fontId="3" fillId="2" borderId="17" xfId="0" applyNumberFormat="1" applyFont="1" applyFill="1" applyBorder="1" applyAlignment="1">
      <alignment horizontal="left" vertical="center" wrapText="1"/>
    </xf>
    <xf numFmtId="164" fontId="3" fillId="2" borderId="18" xfId="1" applyNumberFormat="1" applyFont="1" applyFill="1" applyBorder="1" applyAlignment="1">
      <alignment horizontal="left" vertical="center" wrapText="1"/>
    </xf>
    <xf numFmtId="43" fontId="8" fillId="3" borderId="17" xfId="1" applyFont="1" applyFill="1" applyBorder="1" applyAlignment="1">
      <alignment horizontal="center" vertical="center" wrapText="1"/>
    </xf>
    <xf numFmtId="43" fontId="6" fillId="0" borderId="18" xfId="1" applyFont="1" applyBorder="1" applyAlignment="1">
      <alignment vertical="center"/>
    </xf>
    <xf numFmtId="43" fontId="8" fillId="3" borderId="17" xfId="1" applyFont="1" applyFill="1" applyBorder="1" applyAlignment="1">
      <alignment vertical="center" wrapText="1"/>
    </xf>
    <xf numFmtId="43" fontId="6" fillId="0" borderId="18" xfId="1" applyFont="1" applyFill="1" applyBorder="1" applyAlignment="1">
      <alignment vertical="center"/>
    </xf>
    <xf numFmtId="4" fontId="8" fillId="0" borderId="17" xfId="0" applyNumberFormat="1" applyFont="1" applyBorder="1" applyAlignment="1">
      <alignment horizontal="right" vertical="center" wrapText="1"/>
    </xf>
    <xf numFmtId="43" fontId="8" fillId="0" borderId="17" xfId="1" applyFont="1" applyFill="1" applyBorder="1" applyAlignment="1">
      <alignment horizontal="center" vertical="center" wrapText="1"/>
    </xf>
    <xf numFmtId="43" fontId="8" fillId="0" borderId="18" xfId="1" applyFont="1" applyFill="1" applyBorder="1" applyAlignment="1">
      <alignment vertical="center"/>
    </xf>
    <xf numFmtId="43" fontId="9" fillId="4" borderId="17" xfId="1" applyFont="1" applyFill="1" applyBorder="1" applyAlignment="1">
      <alignment horizontal="center" vertical="center" wrapText="1"/>
    </xf>
    <xf numFmtId="43" fontId="6" fillId="4" borderId="18" xfId="1" applyFont="1" applyFill="1" applyBorder="1" applyAlignment="1">
      <alignment vertical="center"/>
    </xf>
    <xf numFmtId="43" fontId="8" fillId="4" borderId="17" xfId="1" applyFont="1" applyFill="1" applyBorder="1" applyAlignment="1">
      <alignment horizontal="center" vertical="center" wrapText="1"/>
    </xf>
    <xf numFmtId="43" fontId="6" fillId="3" borderId="17" xfId="1" applyFont="1" applyFill="1" applyBorder="1" applyAlignment="1">
      <alignment vertical="center"/>
    </xf>
    <xf numFmtId="43" fontId="7" fillId="4" borderId="17" xfId="1" applyFont="1" applyFill="1" applyBorder="1" applyAlignment="1">
      <alignment horizontal="center" vertical="center" wrapText="1"/>
    </xf>
    <xf numFmtId="43" fontId="6" fillId="3" borderId="17" xfId="1" applyFont="1" applyFill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64" fontId="4" fillId="0" borderId="3" xfId="1" applyNumberFormat="1" applyFont="1" applyBorder="1" applyAlignment="1">
      <alignment horizontal="center" vertical="center" wrapText="1"/>
    </xf>
    <xf numFmtId="0" fontId="0" fillId="0" borderId="3" xfId="0" applyBorder="1"/>
    <xf numFmtId="166" fontId="0" fillId="0" borderId="3" xfId="0" applyNumberFormat="1" applyBorder="1"/>
    <xf numFmtId="4" fontId="3" fillId="0" borderId="20" xfId="0" applyNumberFormat="1" applyFont="1" applyBorder="1" applyAlignment="1">
      <alignment horizontal="center" vertical="center" wrapText="1"/>
    </xf>
    <xf numFmtId="4" fontId="3" fillId="0" borderId="21" xfId="0" applyNumberFormat="1" applyFont="1" applyBorder="1" applyAlignment="1">
      <alignment horizontal="center" vertical="center" wrapText="1"/>
    </xf>
    <xf numFmtId="4" fontId="3" fillId="0" borderId="22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0" fontId="0" fillId="0" borderId="18" xfId="0" applyBorder="1"/>
    <xf numFmtId="0" fontId="0" fillId="0" borderId="17" xfId="0" applyBorder="1"/>
    <xf numFmtId="0" fontId="2" fillId="0" borderId="17" xfId="0" applyFont="1" applyBorder="1" applyAlignment="1">
      <alignment vertical="center" wrapText="1"/>
    </xf>
    <xf numFmtId="166" fontId="0" fillId="0" borderId="17" xfId="0" applyNumberFormat="1" applyBorder="1"/>
    <xf numFmtId="166" fontId="0" fillId="0" borderId="18" xfId="0" applyNumberFormat="1" applyBorder="1"/>
    <xf numFmtId="0" fontId="6" fillId="7" borderId="3" xfId="0" applyFont="1" applyFill="1" applyBorder="1" applyAlignment="1">
      <alignment horizontal="center" vertical="center" wrapText="1"/>
    </xf>
    <xf numFmtId="43" fontId="8" fillId="4" borderId="9" xfId="1" applyFont="1" applyFill="1" applyBorder="1" applyAlignment="1">
      <alignment horizontal="right" vertical="center" wrapText="1"/>
    </xf>
    <xf numFmtId="2" fontId="8" fillId="3" borderId="9" xfId="2" applyNumberFormat="1" applyFont="1" applyFill="1" applyBorder="1" applyAlignment="1">
      <alignment horizontal="right" vertical="center" wrapText="1"/>
    </xf>
    <xf numFmtId="43" fontId="8" fillId="3" borderId="9" xfId="1" applyFont="1" applyFill="1" applyBorder="1" applyAlignment="1">
      <alignment horizontal="right" vertical="center" wrapText="1"/>
    </xf>
    <xf numFmtId="43" fontId="8" fillId="0" borderId="9" xfId="1" applyFont="1" applyBorder="1" applyAlignment="1">
      <alignment horizontal="right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8" fillId="4" borderId="1" xfId="2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167" fontId="8" fillId="4" borderId="23" xfId="2" applyNumberFormat="1" applyFont="1" applyFill="1" applyBorder="1" applyAlignment="1">
      <alignment horizontal="right" vertical="center" wrapText="1"/>
    </xf>
    <xf numFmtId="43" fontId="9" fillId="4" borderId="24" xfId="1" applyFont="1" applyFill="1" applyBorder="1" applyAlignment="1">
      <alignment horizontal="center" vertical="center" wrapText="1"/>
    </xf>
    <xf numFmtId="43" fontId="6" fillId="4" borderId="1" xfId="1" applyFont="1" applyFill="1" applyBorder="1" applyAlignment="1">
      <alignment vertical="center"/>
    </xf>
    <xf numFmtId="43" fontId="8" fillId="4" borderId="1" xfId="1" applyFont="1" applyFill="1" applyBorder="1" applyAlignment="1">
      <alignment horizontal="center" vertical="center" wrapText="1"/>
    </xf>
    <xf numFmtId="43" fontId="6" fillId="4" borderId="1" xfId="1" applyFont="1" applyFill="1" applyBorder="1" applyAlignment="1">
      <alignment horizontal="center" vertical="center" wrapText="1"/>
    </xf>
    <xf numFmtId="43" fontId="6" fillId="4" borderId="25" xfId="1" applyFont="1" applyFill="1" applyBorder="1" applyAlignment="1">
      <alignment vertical="center"/>
    </xf>
    <xf numFmtId="0" fontId="3" fillId="0" borderId="26" xfId="3" applyFont="1" applyBorder="1" applyAlignment="1">
      <alignment horizontal="right" vertical="center" wrapText="1"/>
    </xf>
    <xf numFmtId="0" fontId="3" fillId="0" borderId="27" xfId="3" applyFont="1" applyBorder="1" applyAlignment="1">
      <alignment horizontal="right" vertical="center" wrapText="1"/>
    </xf>
    <xf numFmtId="0" fontId="3" fillId="0" borderId="28" xfId="3" applyFont="1" applyBorder="1" applyAlignment="1">
      <alignment horizontal="right" vertical="center" wrapText="1"/>
    </xf>
    <xf numFmtId="43" fontId="4" fillId="0" borderId="29" xfId="1" applyFont="1" applyBorder="1" applyAlignment="1">
      <alignment vertical="center"/>
    </xf>
    <xf numFmtId="43" fontId="3" fillId="0" borderId="29" xfId="1" applyFont="1" applyBorder="1" applyAlignment="1">
      <alignment vertical="center"/>
    </xf>
    <xf numFmtId="164" fontId="0" fillId="0" borderId="27" xfId="1" applyNumberFormat="1" applyFont="1" applyBorder="1" applyAlignment="1">
      <alignment vertical="center"/>
    </xf>
    <xf numFmtId="43" fontId="3" fillId="0" borderId="30" xfId="1" applyFont="1" applyBorder="1" applyAlignment="1">
      <alignment vertical="center"/>
    </xf>
    <xf numFmtId="0" fontId="0" fillId="0" borderId="31" xfId="0" applyBorder="1"/>
    <xf numFmtId="43" fontId="4" fillId="0" borderId="32" xfId="1" applyFont="1" applyBorder="1" applyAlignment="1">
      <alignment vertical="center"/>
    </xf>
    <xf numFmtId="0" fontId="0" fillId="0" borderId="32" xfId="0" applyBorder="1"/>
    <xf numFmtId="43" fontId="4" fillId="0" borderId="33" xfId="1" applyFont="1" applyBorder="1" applyAlignment="1">
      <alignment vertical="center"/>
    </xf>
    <xf numFmtId="0" fontId="8" fillId="7" borderId="3" xfId="3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3" xfId="3" applyFont="1" applyFill="1" applyBorder="1" applyAlignment="1">
      <alignment vertical="center" wrapText="1"/>
    </xf>
    <xf numFmtId="0" fontId="6" fillId="3" borderId="9" xfId="0" applyFont="1" applyFill="1" applyBorder="1" applyAlignment="1">
      <alignment horizontal="right" vertical="center" wrapText="1"/>
    </xf>
    <xf numFmtId="0" fontId="8" fillId="3" borderId="3" xfId="2" applyFont="1" applyFill="1" applyBorder="1" applyAlignment="1">
      <alignment vertical="center" wrapText="1"/>
    </xf>
    <xf numFmtId="43" fontId="8" fillId="7" borderId="3" xfId="1" applyFont="1" applyFill="1" applyBorder="1" applyAlignment="1">
      <alignment horizontal="center" vertical="center" wrapText="1"/>
    </xf>
  </cellXfs>
  <cellStyles count="4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Downloads\&#1042;&#1044;&#1062;%20&#1059;&#1089;&#1090;&#1088;&#1086;&#1081;&#1089;&#1090;&#1074;&#1086;%20&#1089;&#1084;&#1086;&#1090;&#1088;&#1086;&#1074;&#1099;&#1093;%20&#1082;&#1072;&#1085;&#1072;&#1074;_08.05.24%20&#1040;.&#1042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"/>
      <sheetName val="СМР"/>
    </sheetNames>
    <sheetDataSet>
      <sheetData sheetId="0" refreshError="1"/>
      <sheetData sheetId="1">
        <row r="68">
          <cell r="B68" t="str">
            <v>Грунтовка Ceresit CT 17 PRO глубокого проникновения</v>
          </cell>
          <cell r="C68" t="str">
            <v>л</v>
          </cell>
          <cell r="D68">
            <v>25</v>
          </cell>
        </row>
        <row r="70">
          <cell r="B70" t="str">
            <v>Водоэмульсионная краска Movatex EXTRA для стен и потолков</v>
          </cell>
          <cell r="C70" t="str">
            <v>кг</v>
          </cell>
          <cell r="D70">
            <v>20</v>
          </cell>
          <cell r="H70">
            <v>110</v>
          </cell>
        </row>
        <row r="72">
          <cell r="B72" t="str">
            <v>Грунтовка Ceresit CT 17 PRO глубокого проникновения</v>
          </cell>
          <cell r="C72" t="str">
            <v>л</v>
          </cell>
          <cell r="D72">
            <v>90</v>
          </cell>
          <cell r="H72">
            <v>115</v>
          </cell>
        </row>
        <row r="73">
          <cell r="B73" t="str">
            <v>Полиуретановый пол Компонент (А и Б) "Блокада"</v>
          </cell>
          <cell r="C73" t="str">
            <v>кг</v>
          </cell>
          <cell r="D73">
            <v>1100</v>
          </cell>
          <cell r="H73">
            <v>650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B2F08-8C60-4DF6-9DD4-03F2EC8F3EE2}">
  <dimension ref="A1:I12"/>
  <sheetViews>
    <sheetView view="pageBreakPreview" zoomScaleNormal="100" zoomScaleSheetLayoutView="100" workbookViewId="0">
      <selection activeCell="B3" sqref="B3"/>
    </sheetView>
  </sheetViews>
  <sheetFormatPr defaultRowHeight="15" x14ac:dyDescent="0.25"/>
  <cols>
    <col min="1" max="1" width="6.5703125" customWidth="1"/>
    <col min="2" max="2" width="47.140625" customWidth="1"/>
    <col min="3" max="3" width="17.7109375" customWidth="1"/>
    <col min="4" max="4" width="18.7109375" customWidth="1"/>
    <col min="5" max="5" width="20.2851562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67" t="s">
        <v>0</v>
      </c>
      <c r="B1" s="67" t="s">
        <v>20</v>
      </c>
      <c r="C1" s="68" t="s">
        <v>21</v>
      </c>
      <c r="D1" s="68"/>
      <c r="E1" s="68"/>
      <c r="F1" s="69" t="s">
        <v>12</v>
      </c>
      <c r="G1" s="69"/>
      <c r="H1" s="69"/>
    </row>
    <row r="2" spans="1:9" ht="28.5" x14ac:dyDescent="0.25">
      <c r="A2" s="67"/>
      <c r="B2" s="67"/>
      <c r="C2" s="29" t="s">
        <v>22</v>
      </c>
      <c r="D2" s="30" t="s">
        <v>23</v>
      </c>
      <c r="E2" s="30" t="s">
        <v>24</v>
      </c>
      <c r="F2" s="31" t="s">
        <v>22</v>
      </c>
      <c r="G2" s="32" t="s">
        <v>23</v>
      </c>
      <c r="H2" s="32" t="s">
        <v>24</v>
      </c>
    </row>
    <row r="3" spans="1:9" ht="23.1" customHeight="1" x14ac:dyDescent="0.25">
      <c r="A3" s="33">
        <v>2</v>
      </c>
      <c r="B3" s="42" t="s">
        <v>26</v>
      </c>
      <c r="C3" s="20"/>
      <c r="D3" s="34"/>
      <c r="E3" s="43">
        <f t="shared" ref="E3" si="0">C3+D3</f>
        <v>0</v>
      </c>
      <c r="F3" s="35"/>
      <c r="G3" s="36"/>
      <c r="H3" s="37">
        <f t="shared" ref="H3" si="1">F3+G3</f>
        <v>0</v>
      </c>
      <c r="I3" s="38"/>
    </row>
    <row r="4" spans="1:9" x14ac:dyDescent="0.25">
      <c r="A4" s="9"/>
      <c r="B4" s="24" t="s">
        <v>25</v>
      </c>
      <c r="C4" s="39">
        <f t="shared" ref="C4:H4" si="2">SUM(C3:C3)</f>
        <v>0</v>
      </c>
      <c r="D4" s="39">
        <f t="shared" si="2"/>
        <v>0</v>
      </c>
      <c r="E4" s="39">
        <f t="shared" si="2"/>
        <v>0</v>
      </c>
      <c r="F4" s="40">
        <f t="shared" si="2"/>
        <v>0</v>
      </c>
      <c r="G4" s="40">
        <f t="shared" si="2"/>
        <v>0</v>
      </c>
      <c r="H4" s="40">
        <f t="shared" si="2"/>
        <v>0</v>
      </c>
      <c r="I4" s="38"/>
    </row>
    <row r="5" spans="1:9" x14ac:dyDescent="0.25">
      <c r="A5" s="41"/>
      <c r="B5" s="41"/>
      <c r="C5" s="41"/>
      <c r="D5" s="41"/>
      <c r="E5" s="41"/>
      <c r="I5" s="38"/>
    </row>
    <row r="6" spans="1:9" x14ac:dyDescent="0.25">
      <c r="A6" s="41"/>
      <c r="B6" s="41"/>
      <c r="C6" s="41"/>
      <c r="D6" s="41"/>
      <c r="E6" s="41"/>
    </row>
    <row r="7" spans="1:9" x14ac:dyDescent="0.25">
      <c r="A7" s="41"/>
      <c r="B7" s="41"/>
      <c r="C7" s="41"/>
      <c r="D7" s="41"/>
      <c r="E7" s="41"/>
    </row>
    <row r="8" spans="1:9" x14ac:dyDescent="0.25">
      <c r="A8" s="41"/>
      <c r="B8" s="41"/>
      <c r="C8" s="41"/>
      <c r="D8" s="41"/>
      <c r="E8" s="41"/>
    </row>
    <row r="9" spans="1:9" x14ac:dyDescent="0.25">
      <c r="A9" s="41"/>
      <c r="B9" s="41"/>
      <c r="C9" s="41"/>
      <c r="D9" s="41"/>
      <c r="E9" s="41"/>
    </row>
    <row r="10" spans="1:9" x14ac:dyDescent="0.25">
      <c r="A10" s="41"/>
      <c r="B10" s="41"/>
      <c r="C10" s="41"/>
      <c r="D10" s="41"/>
      <c r="E10" s="41"/>
    </row>
    <row r="11" spans="1:9" x14ac:dyDescent="0.25">
      <c r="A11" s="41"/>
      <c r="B11" s="41"/>
      <c r="C11" s="41"/>
      <c r="D11" s="41"/>
      <c r="E11" s="41"/>
    </row>
    <row r="12" spans="1:9" x14ac:dyDescent="0.25">
      <c r="A12" s="41"/>
      <c r="B12" s="41"/>
      <c r="C12" s="41"/>
      <c r="D12" s="41"/>
      <c r="E12" s="41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48D53-59F5-4B07-A1EE-0034B871E64C}">
  <dimension ref="A1:Q101"/>
  <sheetViews>
    <sheetView tabSelected="1" zoomScale="85" zoomScaleNormal="85" zoomScaleSheetLayoutView="85" workbookViewId="0">
      <pane ySplit="6" topLeftCell="A91" activePane="bottomLeft" state="frozen"/>
      <selection pane="bottomLeft" activeCell="L101" sqref="L101"/>
    </sheetView>
  </sheetViews>
  <sheetFormatPr defaultColWidth="8.85546875" defaultRowHeight="15" x14ac:dyDescent="0.25"/>
  <cols>
    <col min="2" max="2" width="65.140625" customWidth="1"/>
    <col min="3" max="3" width="7.7109375" bestFit="1" customWidth="1"/>
    <col min="4" max="4" width="7.85546875" style="45" bestFit="1" customWidth="1"/>
    <col min="5" max="5" width="13.85546875" bestFit="1" customWidth="1"/>
    <col min="6" max="6" width="14.5703125" bestFit="1" customWidth="1"/>
    <col min="7" max="7" width="17.5703125" style="17" bestFit="1" customWidth="1"/>
    <col min="8" max="8" width="13.85546875" style="17" customWidth="1"/>
    <col min="9" max="9" width="14.5703125" bestFit="1" customWidth="1"/>
    <col min="10" max="10" width="17.5703125" bestFit="1" customWidth="1"/>
    <col min="11" max="12" width="15.7109375" bestFit="1" customWidth="1"/>
    <col min="13" max="13" width="13.140625" bestFit="1" customWidth="1"/>
    <col min="14" max="14" width="14.7109375" bestFit="1" customWidth="1"/>
    <col min="15" max="15" width="13.140625" bestFit="1" customWidth="1"/>
    <col min="16" max="17" width="15.7109375" bestFit="1" customWidth="1"/>
  </cols>
  <sheetData>
    <row r="1" spans="1:17" x14ac:dyDescent="0.25">
      <c r="M1" s="119">
        <v>1.4</v>
      </c>
      <c r="N1" s="119">
        <v>1.25</v>
      </c>
      <c r="O1" s="119">
        <v>1.2</v>
      </c>
    </row>
    <row r="2" spans="1:17" ht="15.75" thickBot="1" x14ac:dyDescent="0.3">
      <c r="M2" s="120" t="s">
        <v>118</v>
      </c>
      <c r="N2" s="120" t="s">
        <v>119</v>
      </c>
      <c r="O2" s="119" t="s">
        <v>120</v>
      </c>
    </row>
    <row r="3" spans="1:17" ht="14.45" customHeight="1" x14ac:dyDescent="0.25">
      <c r="A3" s="72" t="s">
        <v>0</v>
      </c>
      <c r="B3" s="75" t="s">
        <v>1</v>
      </c>
      <c r="C3" s="78" t="s">
        <v>2</v>
      </c>
      <c r="D3" s="80" t="s">
        <v>3</v>
      </c>
      <c r="E3" s="92" t="s">
        <v>4</v>
      </c>
      <c r="F3" s="93"/>
      <c r="G3" s="93"/>
      <c r="H3" s="93"/>
      <c r="I3" s="93"/>
      <c r="J3" s="93"/>
      <c r="K3" s="93"/>
      <c r="L3" s="94"/>
      <c r="M3" s="124" t="s">
        <v>124</v>
      </c>
      <c r="N3" s="125"/>
      <c r="O3" s="125"/>
      <c r="P3" s="125"/>
      <c r="Q3" s="126"/>
    </row>
    <row r="4" spans="1:17" ht="14.45" customHeight="1" x14ac:dyDescent="0.25">
      <c r="A4" s="73"/>
      <c r="B4" s="76"/>
      <c r="C4" s="78"/>
      <c r="D4" s="80"/>
      <c r="E4" s="95"/>
      <c r="F4" s="79"/>
      <c r="G4" s="79"/>
      <c r="H4" s="79"/>
      <c r="I4" s="79"/>
      <c r="J4" s="79"/>
      <c r="K4" s="79"/>
      <c r="L4" s="96"/>
      <c r="M4" s="97"/>
      <c r="N4" s="78"/>
      <c r="O4" s="78"/>
      <c r="P4" s="78"/>
      <c r="Q4" s="127"/>
    </row>
    <row r="5" spans="1:17" ht="27.75" customHeight="1" x14ac:dyDescent="0.25">
      <c r="A5" s="73"/>
      <c r="B5" s="76"/>
      <c r="C5" s="78"/>
      <c r="D5" s="80"/>
      <c r="E5" s="97" t="s">
        <v>5</v>
      </c>
      <c r="F5" s="78"/>
      <c r="G5" s="78"/>
      <c r="H5" s="78" t="s">
        <v>6</v>
      </c>
      <c r="I5" s="78"/>
      <c r="J5" s="78"/>
      <c r="K5" s="67" t="s">
        <v>7</v>
      </c>
      <c r="L5" s="98"/>
      <c r="M5" s="97" t="s">
        <v>117</v>
      </c>
      <c r="N5" s="78"/>
      <c r="O5" s="78" t="s">
        <v>123</v>
      </c>
      <c r="P5" s="78"/>
      <c r="Q5" s="100" t="s">
        <v>125</v>
      </c>
    </row>
    <row r="6" spans="1:17" ht="56.1" customHeight="1" x14ac:dyDescent="0.25">
      <c r="A6" s="74"/>
      <c r="B6" s="77"/>
      <c r="C6" s="78"/>
      <c r="D6" s="80"/>
      <c r="E6" s="99" t="s">
        <v>8</v>
      </c>
      <c r="F6" s="2" t="s">
        <v>9</v>
      </c>
      <c r="G6" s="1" t="s">
        <v>10</v>
      </c>
      <c r="H6" s="2" t="s">
        <v>8</v>
      </c>
      <c r="I6" s="2" t="s">
        <v>9</v>
      </c>
      <c r="J6" s="1" t="s">
        <v>10</v>
      </c>
      <c r="K6" s="2" t="s">
        <v>11</v>
      </c>
      <c r="L6" s="100" t="s">
        <v>12</v>
      </c>
      <c r="M6" s="99" t="s">
        <v>121</v>
      </c>
      <c r="N6" s="121" t="s">
        <v>122</v>
      </c>
      <c r="O6" s="121" t="s">
        <v>121</v>
      </c>
      <c r="P6" s="121" t="s">
        <v>122</v>
      </c>
      <c r="Q6" s="128"/>
    </row>
    <row r="7" spans="1:17" x14ac:dyDescent="0.25">
      <c r="A7" s="3">
        <v>1</v>
      </c>
      <c r="B7" s="4">
        <v>2</v>
      </c>
      <c r="C7" s="4">
        <v>3</v>
      </c>
      <c r="D7" s="81">
        <v>4</v>
      </c>
      <c r="E7" s="101">
        <v>5</v>
      </c>
      <c r="F7" s="4">
        <v>6</v>
      </c>
      <c r="G7" s="4">
        <v>7</v>
      </c>
      <c r="H7" s="102"/>
      <c r="I7" s="102"/>
      <c r="J7" s="102"/>
      <c r="K7" s="102"/>
      <c r="L7" s="103"/>
      <c r="M7" s="129"/>
      <c r="N7" s="122"/>
      <c r="O7" s="122"/>
      <c r="P7" s="122"/>
      <c r="Q7" s="128"/>
    </row>
    <row r="8" spans="1:17" ht="36.75" customHeight="1" x14ac:dyDescent="0.25">
      <c r="A8" s="5"/>
      <c r="B8" s="70" t="s">
        <v>35</v>
      </c>
      <c r="C8" s="71"/>
      <c r="D8" s="71"/>
      <c r="E8" s="104"/>
      <c r="F8" s="6"/>
      <c r="G8" s="7"/>
      <c r="H8" s="7"/>
      <c r="I8" s="7"/>
      <c r="J8" s="7"/>
      <c r="K8" s="7"/>
      <c r="L8" s="105"/>
      <c r="M8" s="129"/>
      <c r="N8" s="122"/>
      <c r="O8" s="122"/>
      <c r="P8" s="122"/>
      <c r="Q8" s="128"/>
    </row>
    <row r="9" spans="1:17" ht="22.5" customHeight="1" x14ac:dyDescent="0.25">
      <c r="A9" s="52">
        <f>1</f>
        <v>1</v>
      </c>
      <c r="B9" s="51" t="s">
        <v>36</v>
      </c>
      <c r="C9" s="8" t="s">
        <v>38</v>
      </c>
      <c r="D9" s="82">
        <v>505</v>
      </c>
      <c r="E9" s="106"/>
      <c r="F9" s="11">
        <f t="shared" ref="F9:F15" si="0">ROUND(E9*D9,2)</f>
        <v>0</v>
      </c>
      <c r="G9" s="11">
        <f t="shared" ref="G9:G15" si="1">ROUND(F9*1.2,2)</f>
        <v>0</v>
      </c>
      <c r="H9" s="12"/>
      <c r="I9" s="13"/>
      <c r="J9" s="13"/>
      <c r="K9" s="10">
        <f t="shared" ref="K9:L16" si="2">F9+I9</f>
        <v>0</v>
      </c>
      <c r="L9" s="107">
        <f t="shared" si="2"/>
        <v>0</v>
      </c>
      <c r="M9" s="130"/>
      <c r="N9" s="122"/>
      <c r="O9" s="122"/>
      <c r="P9" s="122"/>
      <c r="Q9" s="128"/>
    </row>
    <row r="10" spans="1:17" ht="18" customHeight="1" x14ac:dyDescent="0.25">
      <c r="A10" s="53" t="s">
        <v>85</v>
      </c>
      <c r="B10" s="159" t="s">
        <v>62</v>
      </c>
      <c r="C10" s="54" t="s">
        <v>16</v>
      </c>
      <c r="D10" s="83">
        <v>460</v>
      </c>
      <c r="E10" s="108">
        <v>3500</v>
      </c>
      <c r="F10" s="21">
        <f t="shared" si="0"/>
        <v>1610000</v>
      </c>
      <c r="G10" s="21">
        <f t="shared" si="1"/>
        <v>1932000</v>
      </c>
      <c r="H10" s="18"/>
      <c r="I10" s="21"/>
      <c r="J10" s="21"/>
      <c r="K10" s="22">
        <f t="shared" si="2"/>
        <v>1610000</v>
      </c>
      <c r="L10" s="109">
        <f t="shared" si="2"/>
        <v>1932000</v>
      </c>
      <c r="M10" s="131">
        <f>E10*$M$1*$O$1</f>
        <v>5880</v>
      </c>
      <c r="N10" s="123">
        <f>D10*M10</f>
        <v>2704800</v>
      </c>
      <c r="O10" s="123">
        <f>H10*$N$1*$O$1</f>
        <v>0</v>
      </c>
      <c r="P10" s="123">
        <f>O10*D10</f>
        <v>0</v>
      </c>
      <c r="Q10" s="132">
        <f>N10+P10</f>
        <v>2704800</v>
      </c>
    </row>
    <row r="11" spans="1:17" ht="30.75" customHeight="1" x14ac:dyDescent="0.25">
      <c r="A11" s="53" t="s">
        <v>86</v>
      </c>
      <c r="B11" s="159" t="s">
        <v>63</v>
      </c>
      <c r="C11" s="54" t="s">
        <v>13</v>
      </c>
      <c r="D11" s="83">
        <f>ROUND(505*0.25,2)</f>
        <v>126.25</v>
      </c>
      <c r="E11" s="110">
        <v>4380.38</v>
      </c>
      <c r="F11" s="21">
        <f t="shared" si="0"/>
        <v>553022.98</v>
      </c>
      <c r="G11" s="21">
        <f t="shared" si="1"/>
        <v>663627.57999999996</v>
      </c>
      <c r="H11" s="18"/>
      <c r="I11" s="21"/>
      <c r="J11" s="21"/>
      <c r="K11" s="22">
        <f t="shared" si="2"/>
        <v>553022.98</v>
      </c>
      <c r="L11" s="109">
        <f t="shared" si="2"/>
        <v>663627.57999999996</v>
      </c>
      <c r="M11" s="131">
        <f t="shared" ref="M11:M76" si="3">E11*$M$1*$O$1</f>
        <v>7359.0384000000004</v>
      </c>
      <c r="N11" s="123">
        <f t="shared" ref="N11:N76" si="4">D11*M11</f>
        <v>929078.598</v>
      </c>
      <c r="O11" s="123">
        <f t="shared" ref="O11:O76" si="5">H11*$N$1*$O$1</f>
        <v>0</v>
      </c>
      <c r="P11" s="123">
        <f t="shared" ref="P11:P76" si="6">O11*D11</f>
        <v>0</v>
      </c>
      <c r="Q11" s="132">
        <f t="shared" ref="Q11:Q76" si="7">N11+P11</f>
        <v>929078.598</v>
      </c>
    </row>
    <row r="12" spans="1:17" ht="18" customHeight="1" x14ac:dyDescent="0.25">
      <c r="A12" s="53" t="s">
        <v>87</v>
      </c>
      <c r="B12" s="159" t="s">
        <v>27</v>
      </c>
      <c r="C12" s="54" t="s">
        <v>13</v>
      </c>
      <c r="D12" s="83">
        <f>ROUND(505*0.25,2)</f>
        <v>126.25</v>
      </c>
      <c r="E12" s="110">
        <v>1200</v>
      </c>
      <c r="F12" s="21">
        <f t="shared" si="0"/>
        <v>151500</v>
      </c>
      <c r="G12" s="21">
        <f t="shared" si="1"/>
        <v>181800</v>
      </c>
      <c r="H12" s="18"/>
      <c r="I12" s="21"/>
      <c r="J12" s="21"/>
      <c r="K12" s="22">
        <f t="shared" si="2"/>
        <v>151500</v>
      </c>
      <c r="L12" s="109">
        <f t="shared" si="2"/>
        <v>181800</v>
      </c>
      <c r="M12" s="131">
        <f t="shared" si="3"/>
        <v>2016</v>
      </c>
      <c r="N12" s="123">
        <f t="shared" si="4"/>
        <v>254520</v>
      </c>
      <c r="O12" s="123">
        <f t="shared" si="5"/>
        <v>0</v>
      </c>
      <c r="P12" s="123">
        <f t="shared" si="6"/>
        <v>0</v>
      </c>
      <c r="Q12" s="132">
        <f t="shared" si="7"/>
        <v>254520</v>
      </c>
    </row>
    <row r="13" spans="1:17" ht="18" customHeight="1" x14ac:dyDescent="0.25">
      <c r="A13" s="53" t="s">
        <v>88</v>
      </c>
      <c r="B13" s="159" t="s">
        <v>28</v>
      </c>
      <c r="C13" s="54" t="s">
        <v>17</v>
      </c>
      <c r="D13" s="83">
        <v>2.68</v>
      </c>
      <c r="E13" s="110">
        <v>14000</v>
      </c>
      <c r="F13" s="21">
        <f t="shared" si="0"/>
        <v>37520</v>
      </c>
      <c r="G13" s="21">
        <f t="shared" si="1"/>
        <v>45024</v>
      </c>
      <c r="H13" s="18"/>
      <c r="I13" s="21"/>
      <c r="J13" s="21"/>
      <c r="K13" s="22">
        <f t="shared" si="2"/>
        <v>37520</v>
      </c>
      <c r="L13" s="109">
        <f t="shared" si="2"/>
        <v>45024</v>
      </c>
      <c r="M13" s="131">
        <f t="shared" si="3"/>
        <v>23520</v>
      </c>
      <c r="N13" s="123">
        <f t="shared" si="4"/>
        <v>63033.600000000006</v>
      </c>
      <c r="O13" s="123">
        <f t="shared" si="5"/>
        <v>0</v>
      </c>
      <c r="P13" s="123">
        <f t="shared" si="6"/>
        <v>0</v>
      </c>
      <c r="Q13" s="132">
        <f t="shared" si="7"/>
        <v>63033.600000000006</v>
      </c>
    </row>
    <row r="14" spans="1:17" ht="18" customHeight="1" x14ac:dyDescent="0.25">
      <c r="A14" s="8">
        <f>A9+1</f>
        <v>2</v>
      </c>
      <c r="B14" s="159" t="s">
        <v>29</v>
      </c>
      <c r="C14" s="54" t="s">
        <v>17</v>
      </c>
      <c r="D14" s="83">
        <v>2.68</v>
      </c>
      <c r="E14" s="106">
        <v>2115.34</v>
      </c>
      <c r="F14" s="21">
        <f t="shared" si="0"/>
        <v>5669.11</v>
      </c>
      <c r="G14" s="21">
        <f t="shared" si="1"/>
        <v>6802.93</v>
      </c>
      <c r="H14" s="18"/>
      <c r="I14" s="21"/>
      <c r="J14" s="21"/>
      <c r="K14" s="22">
        <f t="shared" si="2"/>
        <v>5669.11</v>
      </c>
      <c r="L14" s="109">
        <f t="shared" si="2"/>
        <v>6802.93</v>
      </c>
      <c r="M14" s="131">
        <f t="shared" si="3"/>
        <v>3553.7712000000001</v>
      </c>
      <c r="N14" s="123">
        <f t="shared" si="4"/>
        <v>9524.1068160000013</v>
      </c>
      <c r="O14" s="123">
        <f t="shared" si="5"/>
        <v>0</v>
      </c>
      <c r="P14" s="123">
        <f t="shared" si="6"/>
        <v>0</v>
      </c>
      <c r="Q14" s="132">
        <f t="shared" si="7"/>
        <v>9524.1068160000013</v>
      </c>
    </row>
    <row r="15" spans="1:17" ht="30" customHeight="1" x14ac:dyDescent="0.25">
      <c r="A15" s="8">
        <f t="shared" ref="A15:A17" si="8">A14+1</f>
        <v>3</v>
      </c>
      <c r="B15" s="159" t="s">
        <v>30</v>
      </c>
      <c r="C15" s="54" t="s">
        <v>17</v>
      </c>
      <c r="D15" s="83">
        <f>(D12-55)*2.5</f>
        <v>178.125</v>
      </c>
      <c r="E15" s="106">
        <v>325</v>
      </c>
      <c r="F15" s="21">
        <f t="shared" si="0"/>
        <v>57890.63</v>
      </c>
      <c r="G15" s="21">
        <f t="shared" si="1"/>
        <v>69468.759999999995</v>
      </c>
      <c r="H15" s="18"/>
      <c r="I15" s="21"/>
      <c r="J15" s="21"/>
      <c r="K15" s="22">
        <f t="shared" si="2"/>
        <v>57890.63</v>
      </c>
      <c r="L15" s="109">
        <f t="shared" si="2"/>
        <v>69468.759999999995</v>
      </c>
      <c r="M15" s="131">
        <f t="shared" si="3"/>
        <v>545.99999999999989</v>
      </c>
      <c r="N15" s="123">
        <f t="shared" si="4"/>
        <v>97256.249999999985</v>
      </c>
      <c r="O15" s="123">
        <f t="shared" si="5"/>
        <v>0</v>
      </c>
      <c r="P15" s="123">
        <f t="shared" si="6"/>
        <v>0</v>
      </c>
      <c r="Q15" s="132">
        <f t="shared" si="7"/>
        <v>97256.249999999985</v>
      </c>
    </row>
    <row r="16" spans="1:17" ht="18" customHeight="1" x14ac:dyDescent="0.25">
      <c r="A16" s="8">
        <f t="shared" si="8"/>
        <v>4</v>
      </c>
      <c r="B16" s="27" t="s">
        <v>91</v>
      </c>
      <c r="C16" s="28" t="s">
        <v>90</v>
      </c>
      <c r="D16" s="84">
        <v>74.84</v>
      </c>
      <c r="E16" s="111">
        <v>1900</v>
      </c>
      <c r="F16" s="21">
        <f>ROUND(E16*D16,2)</f>
        <v>142196</v>
      </c>
      <c r="G16" s="21">
        <f>ROUND(F16*1.2,2)</f>
        <v>170635.2</v>
      </c>
      <c r="H16" s="18"/>
      <c r="I16" s="21"/>
      <c r="J16" s="21"/>
      <c r="K16" s="22">
        <f t="shared" si="2"/>
        <v>142196</v>
      </c>
      <c r="L16" s="109">
        <f t="shared" si="2"/>
        <v>170635.2</v>
      </c>
      <c r="M16" s="131">
        <f t="shared" si="3"/>
        <v>3192</v>
      </c>
      <c r="N16" s="123">
        <f t="shared" si="4"/>
        <v>238889.28</v>
      </c>
      <c r="O16" s="123">
        <f t="shared" si="5"/>
        <v>0</v>
      </c>
      <c r="P16" s="123">
        <f t="shared" si="6"/>
        <v>0</v>
      </c>
      <c r="Q16" s="132">
        <f t="shared" si="7"/>
        <v>238889.28</v>
      </c>
    </row>
    <row r="17" spans="1:17" ht="18" customHeight="1" x14ac:dyDescent="0.25">
      <c r="A17" s="8">
        <f t="shared" si="8"/>
        <v>5</v>
      </c>
      <c r="B17" s="27" t="s">
        <v>61</v>
      </c>
      <c r="C17" s="28" t="s">
        <v>13</v>
      </c>
      <c r="D17" s="84">
        <f>57*0.1</f>
        <v>5.7</v>
      </c>
      <c r="E17" s="111">
        <v>9380.3799999999992</v>
      </c>
      <c r="F17" s="21">
        <f>ROUND(E17*D17,2)</f>
        <v>53468.17</v>
      </c>
      <c r="G17" s="21">
        <f>ROUND(F17*1.2,2)</f>
        <v>64161.8</v>
      </c>
      <c r="H17" s="18"/>
      <c r="I17" s="21"/>
      <c r="J17" s="21"/>
      <c r="K17" s="22">
        <f t="shared" ref="K17:L19" si="9">F17+I17</f>
        <v>53468.17</v>
      </c>
      <c r="L17" s="109">
        <f t="shared" si="9"/>
        <v>64161.8</v>
      </c>
      <c r="M17" s="131">
        <f t="shared" si="3"/>
        <v>15759.038399999996</v>
      </c>
      <c r="N17" s="123">
        <f t="shared" si="4"/>
        <v>89826.518879999974</v>
      </c>
      <c r="O17" s="123">
        <f t="shared" si="5"/>
        <v>0</v>
      </c>
      <c r="P17" s="123">
        <f t="shared" si="6"/>
        <v>0</v>
      </c>
      <c r="Q17" s="132">
        <f t="shared" si="7"/>
        <v>89826.518879999974</v>
      </c>
    </row>
    <row r="18" spans="1:17" s="56" customFormat="1" ht="18" customHeight="1" x14ac:dyDescent="0.25">
      <c r="A18" s="54">
        <f t="shared" ref="A18:A19" si="10">A17+1</f>
        <v>6</v>
      </c>
      <c r="B18" s="159" t="s">
        <v>89</v>
      </c>
      <c r="C18" s="54" t="s">
        <v>17</v>
      </c>
      <c r="D18" s="83">
        <f>D17*2</f>
        <v>11.4</v>
      </c>
      <c r="E18" s="106">
        <v>325</v>
      </c>
      <c r="F18" s="55">
        <f t="shared" ref="F18" si="11">ROUND(E18*D18,2)</f>
        <v>3705</v>
      </c>
      <c r="G18" s="55">
        <f t="shared" ref="G18" si="12">ROUND(F18*1.2,2)</f>
        <v>4446</v>
      </c>
      <c r="H18" s="18"/>
      <c r="I18" s="55"/>
      <c r="J18" s="55"/>
      <c r="K18" s="16">
        <f t="shared" si="9"/>
        <v>3705</v>
      </c>
      <c r="L18" s="112">
        <f t="shared" si="9"/>
        <v>4446</v>
      </c>
      <c r="M18" s="131">
        <f t="shared" si="3"/>
        <v>545.99999999999989</v>
      </c>
      <c r="N18" s="123">
        <f t="shared" si="4"/>
        <v>6224.3999999999987</v>
      </c>
      <c r="O18" s="123">
        <f t="shared" si="5"/>
        <v>0</v>
      </c>
      <c r="P18" s="123">
        <f t="shared" si="6"/>
        <v>0</v>
      </c>
      <c r="Q18" s="132">
        <f t="shared" si="7"/>
        <v>6224.3999999999987</v>
      </c>
    </row>
    <row r="19" spans="1:17" ht="18" customHeight="1" x14ac:dyDescent="0.25">
      <c r="A19" s="8">
        <f t="shared" si="10"/>
        <v>7</v>
      </c>
      <c r="B19" s="160" t="s">
        <v>37</v>
      </c>
      <c r="C19" s="8" t="s">
        <v>45</v>
      </c>
      <c r="D19" s="161">
        <v>176</v>
      </c>
      <c r="E19" s="111">
        <v>1979.8</v>
      </c>
      <c r="F19" s="21">
        <f>ROUND(E19*D19,2)</f>
        <v>348444.8</v>
      </c>
      <c r="G19" s="21">
        <f>ROUND(F19*1.2,2)</f>
        <v>418133.76000000001</v>
      </c>
      <c r="H19" s="18"/>
      <c r="I19" s="21"/>
      <c r="J19" s="21"/>
      <c r="K19" s="22">
        <f t="shared" si="9"/>
        <v>348444.8</v>
      </c>
      <c r="L19" s="109">
        <f t="shared" si="9"/>
        <v>418133.76000000001</v>
      </c>
      <c r="M19" s="131">
        <f t="shared" si="3"/>
        <v>3326.0639999999999</v>
      </c>
      <c r="N19" s="123">
        <f t="shared" si="4"/>
        <v>585387.26399999997</v>
      </c>
      <c r="O19" s="123">
        <f t="shared" si="5"/>
        <v>0</v>
      </c>
      <c r="P19" s="123">
        <f t="shared" si="6"/>
        <v>0</v>
      </c>
      <c r="Q19" s="132">
        <f t="shared" si="7"/>
        <v>585387.26399999997</v>
      </c>
    </row>
    <row r="20" spans="1:17" ht="18" customHeight="1" x14ac:dyDescent="0.25">
      <c r="A20" s="46">
        <f t="shared" ref="A20:A21" si="13">A19+1</f>
        <v>8</v>
      </c>
      <c r="B20" s="162" t="s">
        <v>92</v>
      </c>
      <c r="C20" s="8" t="s">
        <v>13</v>
      </c>
      <c r="D20" s="135">
        <v>15</v>
      </c>
      <c r="E20" s="106">
        <v>592</v>
      </c>
      <c r="F20" s="11">
        <f t="shared" ref="F20" si="14">ROUND(E20*D20,2)</f>
        <v>8880</v>
      </c>
      <c r="G20" s="11">
        <f t="shared" ref="G20" si="15">ROUND(F20*1.2,2)</f>
        <v>10656</v>
      </c>
      <c r="H20" s="12"/>
      <c r="I20" s="13"/>
      <c r="J20" s="13"/>
      <c r="K20" s="10">
        <f t="shared" ref="K20" si="16">F20+I20</f>
        <v>8880</v>
      </c>
      <c r="L20" s="107">
        <f t="shared" ref="L20" si="17">G20+J20</f>
        <v>10656</v>
      </c>
      <c r="M20" s="131">
        <f t="shared" si="3"/>
        <v>994.56</v>
      </c>
      <c r="N20" s="123">
        <f t="shared" si="4"/>
        <v>14918.4</v>
      </c>
      <c r="O20" s="123">
        <f t="shared" si="5"/>
        <v>0</v>
      </c>
      <c r="P20" s="123">
        <f t="shared" si="6"/>
        <v>0</v>
      </c>
      <c r="Q20" s="132">
        <f t="shared" si="7"/>
        <v>14918.4</v>
      </c>
    </row>
    <row r="21" spans="1:17" ht="18" customHeight="1" x14ac:dyDescent="0.25">
      <c r="A21" s="46">
        <f t="shared" si="13"/>
        <v>9</v>
      </c>
      <c r="B21" s="27" t="s">
        <v>60</v>
      </c>
      <c r="C21" s="8" t="s">
        <v>17</v>
      </c>
      <c r="D21" s="135">
        <f>ROUND(D20*1.9,2)</f>
        <v>28.5</v>
      </c>
      <c r="E21" s="106">
        <v>544.86</v>
      </c>
      <c r="F21" s="11">
        <f t="shared" ref="F21:F22" si="18">ROUND(E21*D21,2)</f>
        <v>15528.51</v>
      </c>
      <c r="G21" s="11">
        <f t="shared" ref="G21:G22" si="19">ROUND(F21*1.2,2)</f>
        <v>18634.21</v>
      </c>
      <c r="H21" s="12"/>
      <c r="I21" s="13"/>
      <c r="J21" s="13"/>
      <c r="K21" s="10">
        <f t="shared" ref="K21:K22" si="20">F21+I21</f>
        <v>15528.51</v>
      </c>
      <c r="L21" s="107">
        <f t="shared" ref="L21:L22" si="21">G21+J21</f>
        <v>18634.21</v>
      </c>
      <c r="M21" s="131">
        <f t="shared" si="3"/>
        <v>915.36479999999995</v>
      </c>
      <c r="N21" s="123">
        <f t="shared" si="4"/>
        <v>26087.896799999999</v>
      </c>
      <c r="O21" s="123">
        <f t="shared" si="5"/>
        <v>0</v>
      </c>
      <c r="P21" s="123">
        <f t="shared" si="6"/>
        <v>0</v>
      </c>
      <c r="Q21" s="132">
        <f t="shared" si="7"/>
        <v>26087.896799999999</v>
      </c>
    </row>
    <row r="22" spans="1:17" ht="18" customHeight="1" x14ac:dyDescent="0.25">
      <c r="A22" s="46"/>
      <c r="B22" s="158" t="s">
        <v>146</v>
      </c>
      <c r="C22" s="8" t="s">
        <v>13</v>
      </c>
      <c r="D22" s="135">
        <f>D12*1.7+D17*1.9+352*0.1</f>
        <v>260.65500000000003</v>
      </c>
      <c r="E22" s="106">
        <f>1050/1.2</f>
        <v>875</v>
      </c>
      <c r="F22" s="11">
        <f t="shared" si="18"/>
        <v>228073.13</v>
      </c>
      <c r="G22" s="11">
        <f t="shared" si="19"/>
        <v>273687.76</v>
      </c>
      <c r="H22" s="12"/>
      <c r="I22" s="13"/>
      <c r="J22" s="13"/>
      <c r="K22" s="10">
        <f t="shared" si="20"/>
        <v>228073.13</v>
      </c>
      <c r="L22" s="107">
        <f t="shared" si="21"/>
        <v>273687.76</v>
      </c>
      <c r="M22" s="131">
        <f t="shared" si="3"/>
        <v>1470</v>
      </c>
      <c r="N22" s="123">
        <f t="shared" ref="N22:N23" si="22">D22*M22</f>
        <v>383162.85000000003</v>
      </c>
      <c r="O22" s="123">
        <f t="shared" ref="O22:O23" si="23">H22*$N$1*$O$1</f>
        <v>0</v>
      </c>
      <c r="P22" s="123">
        <f t="shared" ref="P22:P23" si="24">O22*D22</f>
        <v>0</v>
      </c>
      <c r="Q22" s="132">
        <f t="shared" ref="Q22:Q23" si="25">N22+P22</f>
        <v>383162.85000000003</v>
      </c>
    </row>
    <row r="23" spans="1:17" ht="18" customHeight="1" x14ac:dyDescent="0.25">
      <c r="A23" s="46"/>
      <c r="B23" s="158" t="s">
        <v>145</v>
      </c>
      <c r="C23" s="8" t="s">
        <v>13</v>
      </c>
      <c r="D23" s="135">
        <f>D20*1.25</f>
        <v>18.75</v>
      </c>
      <c r="E23" s="106">
        <f>1050/1.2</f>
        <v>875</v>
      </c>
      <c r="F23" s="11">
        <f t="shared" ref="F23" si="26">ROUND(E23*D23,2)</f>
        <v>16406.25</v>
      </c>
      <c r="G23" s="11">
        <f t="shared" ref="G23" si="27">ROUND(F23*1.2,2)</f>
        <v>19687.5</v>
      </c>
      <c r="H23" s="12"/>
      <c r="I23" s="13"/>
      <c r="J23" s="13"/>
      <c r="K23" s="10">
        <f t="shared" ref="K23" si="28">F23+I23</f>
        <v>16406.25</v>
      </c>
      <c r="L23" s="107">
        <f t="shared" ref="L23" si="29">G23+J23</f>
        <v>19687.5</v>
      </c>
      <c r="M23" s="131">
        <f t="shared" si="3"/>
        <v>1470</v>
      </c>
      <c r="N23" s="123">
        <f t="shared" si="22"/>
        <v>27562.5</v>
      </c>
      <c r="O23" s="123">
        <f t="shared" si="23"/>
        <v>0</v>
      </c>
      <c r="P23" s="123">
        <f t="shared" si="24"/>
        <v>0</v>
      </c>
      <c r="Q23" s="132">
        <f t="shared" si="25"/>
        <v>27562.5</v>
      </c>
    </row>
    <row r="24" spans="1:17" ht="29.25" customHeight="1" x14ac:dyDescent="0.25">
      <c r="A24" s="46">
        <f>A21+1</f>
        <v>10</v>
      </c>
      <c r="B24" s="25" t="s">
        <v>93</v>
      </c>
      <c r="C24" s="8" t="s">
        <v>38</v>
      </c>
      <c r="D24" s="82">
        <v>137</v>
      </c>
      <c r="E24" s="111">
        <v>456.95</v>
      </c>
      <c r="F24" s="11">
        <f t="shared" ref="F24:F28" si="30">ROUND(E24*D24,2)</f>
        <v>62602.15</v>
      </c>
      <c r="G24" s="11">
        <f t="shared" ref="G24:G28" si="31">ROUND(F24*1.2,2)</f>
        <v>75122.58</v>
      </c>
      <c r="H24" s="12"/>
      <c r="I24" s="13"/>
      <c r="J24" s="13"/>
      <c r="K24" s="10">
        <f t="shared" ref="K24" si="32">F24+I24</f>
        <v>62602.15</v>
      </c>
      <c r="L24" s="107">
        <f t="shared" ref="L24" si="33">G24+J24</f>
        <v>75122.58</v>
      </c>
      <c r="M24" s="131">
        <f t="shared" si="3"/>
        <v>767.67599999999982</v>
      </c>
      <c r="N24" s="123">
        <f t="shared" si="4"/>
        <v>105171.61199999998</v>
      </c>
      <c r="O24" s="123">
        <f t="shared" si="5"/>
        <v>0</v>
      </c>
      <c r="P24" s="123">
        <f t="shared" si="6"/>
        <v>0</v>
      </c>
      <c r="Q24" s="132">
        <f t="shared" si="7"/>
        <v>105171.61199999998</v>
      </c>
    </row>
    <row r="25" spans="1:17" ht="18" customHeight="1" x14ac:dyDescent="0.25">
      <c r="A25" s="23" t="s">
        <v>46</v>
      </c>
      <c r="B25" s="48" t="s">
        <v>94</v>
      </c>
      <c r="C25" s="44" t="s">
        <v>38</v>
      </c>
      <c r="D25" s="86">
        <f>137*0.5</f>
        <v>68.5</v>
      </c>
      <c r="E25" s="113"/>
      <c r="F25" s="14"/>
      <c r="G25" s="14"/>
      <c r="H25" s="15">
        <v>617.20000000000005</v>
      </c>
      <c r="I25" s="14">
        <f>ROUND(H25*D25,2)</f>
        <v>42278.2</v>
      </c>
      <c r="J25" s="14">
        <f t="shared" ref="J25" si="34">ROUND(I25*1.2,2)</f>
        <v>50733.84</v>
      </c>
      <c r="K25" s="15">
        <f t="shared" ref="K25:L27" si="35">F25+I25</f>
        <v>42278.2</v>
      </c>
      <c r="L25" s="114">
        <f t="shared" si="35"/>
        <v>50733.84</v>
      </c>
      <c r="M25" s="131">
        <f t="shared" si="3"/>
        <v>0</v>
      </c>
      <c r="N25" s="123">
        <f t="shared" si="4"/>
        <v>0</v>
      </c>
      <c r="O25" s="123">
        <f t="shared" si="5"/>
        <v>925.8</v>
      </c>
      <c r="P25" s="123">
        <f t="shared" si="6"/>
        <v>63417.299999999996</v>
      </c>
      <c r="Q25" s="132">
        <f t="shared" si="7"/>
        <v>63417.299999999996</v>
      </c>
    </row>
    <row r="26" spans="1:17" ht="18" customHeight="1" x14ac:dyDescent="0.25">
      <c r="A26" s="8">
        <f>A24+1</f>
        <v>11</v>
      </c>
      <c r="B26" s="25" t="s">
        <v>53</v>
      </c>
      <c r="C26" s="8" t="s">
        <v>13</v>
      </c>
      <c r="D26" s="85">
        <f>ROUND(561*0.1,2)</f>
        <v>56.1</v>
      </c>
      <c r="E26" s="106">
        <v>1310.05</v>
      </c>
      <c r="F26" s="11">
        <f t="shared" ref="F26" si="36">ROUND(E26*D26,2)</f>
        <v>73493.81</v>
      </c>
      <c r="G26" s="11">
        <f t="shared" ref="G26" si="37">ROUND(F26*1.2,2)</f>
        <v>88192.57</v>
      </c>
      <c r="H26" s="12"/>
      <c r="I26" s="13"/>
      <c r="J26" s="13"/>
      <c r="K26" s="10">
        <f t="shared" si="35"/>
        <v>73493.81</v>
      </c>
      <c r="L26" s="107">
        <f t="shared" si="35"/>
        <v>88192.57</v>
      </c>
      <c r="M26" s="131">
        <f t="shared" si="3"/>
        <v>2200.8839999999996</v>
      </c>
      <c r="N26" s="123">
        <f t="shared" si="4"/>
        <v>123469.59239999998</v>
      </c>
      <c r="O26" s="123">
        <f t="shared" si="5"/>
        <v>0</v>
      </c>
      <c r="P26" s="123">
        <f t="shared" si="6"/>
        <v>0</v>
      </c>
      <c r="Q26" s="132">
        <f t="shared" si="7"/>
        <v>123469.59239999998</v>
      </c>
    </row>
    <row r="27" spans="1:17" ht="18" customHeight="1" x14ac:dyDescent="0.25">
      <c r="A27" s="23" t="s">
        <v>18</v>
      </c>
      <c r="B27" s="48" t="s">
        <v>31</v>
      </c>
      <c r="C27" s="44" t="s">
        <v>13</v>
      </c>
      <c r="D27" s="86">
        <f>ROUND(561*0.1*1.1,2)</f>
        <v>61.71</v>
      </c>
      <c r="E27" s="113"/>
      <c r="F27" s="14"/>
      <c r="G27" s="14"/>
      <c r="H27" s="19">
        <f>ROUND(1200,2)</f>
        <v>1200</v>
      </c>
      <c r="I27" s="14">
        <f>ROUND(H27*D27,2)</f>
        <v>74052</v>
      </c>
      <c r="J27" s="14">
        <f t="shared" ref="J27" si="38">ROUND(I27*1.2,2)</f>
        <v>88862.399999999994</v>
      </c>
      <c r="K27" s="15">
        <f t="shared" si="35"/>
        <v>74052</v>
      </c>
      <c r="L27" s="114">
        <f t="shared" si="35"/>
        <v>88862.399999999994</v>
      </c>
      <c r="M27" s="131">
        <f t="shared" si="3"/>
        <v>0</v>
      </c>
      <c r="N27" s="123">
        <f t="shared" si="4"/>
        <v>0</v>
      </c>
      <c r="O27" s="123">
        <f t="shared" si="5"/>
        <v>1800</v>
      </c>
      <c r="P27" s="123">
        <f t="shared" si="6"/>
        <v>111078</v>
      </c>
      <c r="Q27" s="132">
        <f t="shared" si="7"/>
        <v>111078</v>
      </c>
    </row>
    <row r="28" spans="1:17" ht="18" customHeight="1" x14ac:dyDescent="0.25">
      <c r="A28" s="8">
        <f>A26+1</f>
        <v>12</v>
      </c>
      <c r="B28" s="25" t="s">
        <v>54</v>
      </c>
      <c r="C28" s="8" t="s">
        <v>13</v>
      </c>
      <c r="D28" s="85">
        <f>ROUND(316*0.1,2)</f>
        <v>31.6</v>
      </c>
      <c r="E28" s="106">
        <v>6804.09</v>
      </c>
      <c r="F28" s="11">
        <f t="shared" si="30"/>
        <v>215009.24</v>
      </c>
      <c r="G28" s="11">
        <f t="shared" si="31"/>
        <v>258011.09</v>
      </c>
      <c r="H28" s="12"/>
      <c r="I28" s="13"/>
      <c r="J28" s="13"/>
      <c r="K28" s="10">
        <f t="shared" ref="K28" si="39">F28+I28</f>
        <v>215009.24</v>
      </c>
      <c r="L28" s="107">
        <f t="shared" ref="L28" si="40">G28+J28</f>
        <v>258011.09</v>
      </c>
      <c r="M28" s="131">
        <f t="shared" si="3"/>
        <v>11430.871199999998</v>
      </c>
      <c r="N28" s="123">
        <f t="shared" si="4"/>
        <v>361215.52991999994</v>
      </c>
      <c r="O28" s="123">
        <f t="shared" si="5"/>
        <v>0</v>
      </c>
      <c r="P28" s="123">
        <f t="shared" si="6"/>
        <v>0</v>
      </c>
      <c r="Q28" s="132">
        <f t="shared" si="7"/>
        <v>361215.52991999994</v>
      </c>
    </row>
    <row r="29" spans="1:17" ht="18" customHeight="1" x14ac:dyDescent="0.25">
      <c r="A29" s="23" t="s">
        <v>19</v>
      </c>
      <c r="B29" s="48" t="s">
        <v>52</v>
      </c>
      <c r="C29" s="44" t="s">
        <v>13</v>
      </c>
      <c r="D29" s="86">
        <f>ROUND(316*0.1*1.02,2)</f>
        <v>32.229999999999997</v>
      </c>
      <c r="E29" s="113"/>
      <c r="F29" s="14"/>
      <c r="G29" s="14"/>
      <c r="H29" s="19">
        <v>6420</v>
      </c>
      <c r="I29" s="14">
        <f>ROUND(H29*D29,2)</f>
        <v>206916.6</v>
      </c>
      <c r="J29" s="14">
        <f t="shared" ref="J29" si="41">ROUND(I29*1.2,2)</f>
        <v>248299.92</v>
      </c>
      <c r="K29" s="15">
        <f>F29+I29</f>
        <v>206916.6</v>
      </c>
      <c r="L29" s="114">
        <f>G29+J29</f>
        <v>248299.92</v>
      </c>
      <c r="M29" s="131">
        <f t="shared" si="3"/>
        <v>0</v>
      </c>
      <c r="N29" s="123">
        <f t="shared" si="4"/>
        <v>0</v>
      </c>
      <c r="O29" s="123">
        <f t="shared" si="5"/>
        <v>9630</v>
      </c>
      <c r="P29" s="123">
        <f t="shared" si="6"/>
        <v>310374.89999999997</v>
      </c>
      <c r="Q29" s="132">
        <f t="shared" si="7"/>
        <v>310374.89999999997</v>
      </c>
    </row>
    <row r="30" spans="1:17" ht="31.5" customHeight="1" x14ac:dyDescent="0.25">
      <c r="A30" s="8">
        <f>A28+1</f>
        <v>13</v>
      </c>
      <c r="B30" s="25" t="s">
        <v>55</v>
      </c>
      <c r="C30" s="8" t="s">
        <v>38</v>
      </c>
      <c r="D30" s="85">
        <f>ROUND(150*0.2,2)</f>
        <v>30</v>
      </c>
      <c r="E30" s="106">
        <v>2057.89</v>
      </c>
      <c r="F30" s="11">
        <f t="shared" ref="F30:F32" si="42">ROUND(E30*D30,2)</f>
        <v>61736.7</v>
      </c>
      <c r="G30" s="11">
        <f t="shared" ref="G30:G32" si="43">ROUND(F30*1.2,2)</f>
        <v>74084.039999999994</v>
      </c>
      <c r="H30" s="12"/>
      <c r="I30" s="13"/>
      <c r="J30" s="13"/>
      <c r="K30" s="10">
        <f t="shared" ref="K30:K32" si="44">F30+I30</f>
        <v>61736.7</v>
      </c>
      <c r="L30" s="107">
        <f t="shared" ref="L30:L32" si="45">G30+J30</f>
        <v>74084.039999999994</v>
      </c>
      <c r="M30" s="131">
        <f t="shared" si="3"/>
        <v>3457.2551999999996</v>
      </c>
      <c r="N30" s="123">
        <f t="shared" si="4"/>
        <v>103717.65599999999</v>
      </c>
      <c r="O30" s="123">
        <f t="shared" si="5"/>
        <v>0</v>
      </c>
      <c r="P30" s="123">
        <f t="shared" si="6"/>
        <v>0</v>
      </c>
      <c r="Q30" s="132">
        <f t="shared" si="7"/>
        <v>103717.65599999999</v>
      </c>
    </row>
    <row r="31" spans="1:17" ht="18" customHeight="1" x14ac:dyDescent="0.25">
      <c r="A31" s="23" t="s">
        <v>32</v>
      </c>
      <c r="B31" s="49" t="s">
        <v>64</v>
      </c>
      <c r="C31" s="44" t="s">
        <v>13</v>
      </c>
      <c r="D31" s="86">
        <f>ROUND(150*0.2*1.26,2)</f>
        <v>37.799999999999997</v>
      </c>
      <c r="E31" s="113"/>
      <c r="F31" s="14"/>
      <c r="G31" s="14"/>
      <c r="H31" s="57">
        <f>ROUND(2950*1.15,2)</f>
        <v>3392.5</v>
      </c>
      <c r="I31" s="14">
        <f>ROUND(H31*D31,2)</f>
        <v>128236.5</v>
      </c>
      <c r="J31" s="14">
        <f t="shared" ref="J31" si="46">ROUND(I31*1.2,2)</f>
        <v>153883.79999999999</v>
      </c>
      <c r="K31" s="15">
        <f>F31+I31</f>
        <v>128236.5</v>
      </c>
      <c r="L31" s="114">
        <f>G31+J31</f>
        <v>153883.79999999999</v>
      </c>
      <c r="M31" s="131">
        <f t="shared" si="3"/>
        <v>0</v>
      </c>
      <c r="N31" s="123">
        <f t="shared" si="4"/>
        <v>0</v>
      </c>
      <c r="O31" s="123">
        <f t="shared" si="5"/>
        <v>5088.75</v>
      </c>
      <c r="P31" s="123">
        <f t="shared" si="6"/>
        <v>192354.75</v>
      </c>
      <c r="Q31" s="132">
        <f t="shared" si="7"/>
        <v>192354.75</v>
      </c>
    </row>
    <row r="32" spans="1:17" ht="18" customHeight="1" x14ac:dyDescent="0.25">
      <c r="A32" s="8">
        <f>A30+1</f>
        <v>14</v>
      </c>
      <c r="B32" s="25" t="s">
        <v>95</v>
      </c>
      <c r="C32" s="8" t="s">
        <v>13</v>
      </c>
      <c r="D32" s="82">
        <v>55</v>
      </c>
      <c r="E32" s="106">
        <v>2057.89</v>
      </c>
      <c r="F32" s="11">
        <f t="shared" si="42"/>
        <v>113183.95</v>
      </c>
      <c r="G32" s="11">
        <f t="shared" si="43"/>
        <v>135820.74</v>
      </c>
      <c r="H32" s="12"/>
      <c r="I32" s="13"/>
      <c r="J32" s="13"/>
      <c r="K32" s="10">
        <f t="shared" si="44"/>
        <v>113183.95</v>
      </c>
      <c r="L32" s="107">
        <f t="shared" si="45"/>
        <v>135820.74</v>
      </c>
      <c r="M32" s="131">
        <f t="shared" si="3"/>
        <v>3457.2551999999996</v>
      </c>
      <c r="N32" s="123">
        <f t="shared" si="4"/>
        <v>190149.03599999996</v>
      </c>
      <c r="O32" s="123">
        <f t="shared" si="5"/>
        <v>0</v>
      </c>
      <c r="P32" s="123">
        <f t="shared" si="6"/>
        <v>0</v>
      </c>
      <c r="Q32" s="132">
        <f t="shared" si="7"/>
        <v>190149.03599999996</v>
      </c>
    </row>
    <row r="33" spans="1:17" ht="30" x14ac:dyDescent="0.25">
      <c r="A33" s="8">
        <f>A32+1</f>
        <v>15</v>
      </c>
      <c r="B33" s="25" t="s">
        <v>66</v>
      </c>
      <c r="C33" s="8" t="s">
        <v>13</v>
      </c>
      <c r="D33" s="85">
        <v>47.6</v>
      </c>
      <c r="E33" s="106">
        <v>12082.41</v>
      </c>
      <c r="F33" s="11">
        <f t="shared" ref="F33" si="47">ROUND(E33*D33,2)</f>
        <v>575122.72</v>
      </c>
      <c r="G33" s="11">
        <f t="shared" ref="G33" si="48">ROUND(F33*1.2,2)</f>
        <v>690147.26</v>
      </c>
      <c r="H33" s="12"/>
      <c r="I33" s="13"/>
      <c r="J33" s="13"/>
      <c r="K33" s="10">
        <f t="shared" ref="K33" si="49">F33+I33</f>
        <v>575122.72</v>
      </c>
      <c r="L33" s="107">
        <f t="shared" ref="L33" si="50">G33+J33</f>
        <v>690147.26</v>
      </c>
      <c r="M33" s="131">
        <f t="shared" si="3"/>
        <v>20298.448799999998</v>
      </c>
      <c r="N33" s="123">
        <f t="shared" si="4"/>
        <v>966206.16287999996</v>
      </c>
      <c r="O33" s="123">
        <f t="shared" si="5"/>
        <v>0</v>
      </c>
      <c r="P33" s="123">
        <f t="shared" si="6"/>
        <v>0</v>
      </c>
      <c r="Q33" s="132">
        <f t="shared" si="7"/>
        <v>966206.16287999996</v>
      </c>
    </row>
    <row r="34" spans="1:17" ht="18" customHeight="1" x14ac:dyDescent="0.25">
      <c r="A34" s="23" t="s">
        <v>33</v>
      </c>
      <c r="B34" s="49" t="s">
        <v>65</v>
      </c>
      <c r="C34" s="44" t="s">
        <v>13</v>
      </c>
      <c r="D34" s="86">
        <f>ROUND(47.6*1.02,2)</f>
        <v>48.55</v>
      </c>
      <c r="E34" s="113"/>
      <c r="F34" s="14"/>
      <c r="G34" s="14"/>
      <c r="H34" s="19">
        <v>7620</v>
      </c>
      <c r="I34" s="14">
        <f>ROUND(H34*D34,2)</f>
        <v>369951</v>
      </c>
      <c r="J34" s="14">
        <f t="shared" ref="J34" si="51">ROUND(I34*1.2,2)</f>
        <v>443941.2</v>
      </c>
      <c r="K34" s="15">
        <f>F34+I34</f>
        <v>369951</v>
      </c>
      <c r="L34" s="114">
        <f>G34+J34</f>
        <v>443941.2</v>
      </c>
      <c r="M34" s="131">
        <f t="shared" si="3"/>
        <v>0</v>
      </c>
      <c r="N34" s="123">
        <f t="shared" si="4"/>
        <v>0</v>
      </c>
      <c r="O34" s="123">
        <f t="shared" si="5"/>
        <v>11430</v>
      </c>
      <c r="P34" s="123">
        <f t="shared" si="6"/>
        <v>554926.5</v>
      </c>
      <c r="Q34" s="132">
        <f t="shared" si="7"/>
        <v>554926.5</v>
      </c>
    </row>
    <row r="35" spans="1:17" ht="18" customHeight="1" x14ac:dyDescent="0.25">
      <c r="A35" s="23" t="s">
        <v>34</v>
      </c>
      <c r="B35" s="47" t="s">
        <v>69</v>
      </c>
      <c r="C35" s="44" t="s">
        <v>17</v>
      </c>
      <c r="D35" s="86">
        <v>7.2</v>
      </c>
      <c r="E35" s="113"/>
      <c r="F35" s="14"/>
      <c r="G35" s="14"/>
      <c r="H35" s="19">
        <v>78600</v>
      </c>
      <c r="I35" s="14">
        <f>ROUND(H35*D35,2)</f>
        <v>565920</v>
      </c>
      <c r="J35" s="14">
        <f t="shared" ref="J35" si="52">ROUND(I35*1.2,2)</f>
        <v>679104</v>
      </c>
      <c r="K35" s="15">
        <f>F35+I35</f>
        <v>565920</v>
      </c>
      <c r="L35" s="114">
        <f>G35+J35</f>
        <v>679104</v>
      </c>
      <c r="M35" s="131">
        <f t="shared" si="3"/>
        <v>0</v>
      </c>
      <c r="N35" s="123">
        <f t="shared" si="4"/>
        <v>0</v>
      </c>
      <c r="O35" s="123">
        <f t="shared" si="5"/>
        <v>117900</v>
      </c>
      <c r="P35" s="123">
        <f t="shared" si="6"/>
        <v>848880</v>
      </c>
      <c r="Q35" s="132">
        <f t="shared" si="7"/>
        <v>848880</v>
      </c>
    </row>
    <row r="36" spans="1:17" ht="30" x14ac:dyDescent="0.25">
      <c r="A36" s="8">
        <f>A33+1</f>
        <v>16</v>
      </c>
      <c r="B36" s="25" t="s">
        <v>67</v>
      </c>
      <c r="C36" s="8" t="s">
        <v>13</v>
      </c>
      <c r="D36" s="85">
        <v>73</v>
      </c>
      <c r="E36" s="106">
        <v>12082.41</v>
      </c>
      <c r="F36" s="11">
        <f t="shared" ref="F36" si="53">ROUND(E36*D36,2)</f>
        <v>882015.93</v>
      </c>
      <c r="G36" s="11">
        <f t="shared" ref="G36" si="54">ROUND(F36*1.2,2)</f>
        <v>1058419.1200000001</v>
      </c>
      <c r="H36" s="12"/>
      <c r="I36" s="13"/>
      <c r="J36" s="13"/>
      <c r="K36" s="10">
        <f t="shared" ref="K36" si="55">F36+I36</f>
        <v>882015.93</v>
      </c>
      <c r="L36" s="107">
        <f t="shared" ref="L36" si="56">G36+J36</f>
        <v>1058419.1200000001</v>
      </c>
      <c r="M36" s="131">
        <f t="shared" si="3"/>
        <v>20298.448799999998</v>
      </c>
      <c r="N36" s="123">
        <f t="shared" si="4"/>
        <v>1481786.7623999999</v>
      </c>
      <c r="O36" s="123">
        <f t="shared" si="5"/>
        <v>0</v>
      </c>
      <c r="P36" s="123">
        <f t="shared" si="6"/>
        <v>0</v>
      </c>
      <c r="Q36" s="132">
        <f t="shared" si="7"/>
        <v>1481786.7623999999</v>
      </c>
    </row>
    <row r="37" spans="1:17" ht="18" customHeight="1" x14ac:dyDescent="0.25">
      <c r="A37" s="23" t="s">
        <v>48</v>
      </c>
      <c r="B37" s="49" t="s">
        <v>65</v>
      </c>
      <c r="C37" s="44" t="s">
        <v>13</v>
      </c>
      <c r="D37" s="86">
        <f>ROUND(73*1.02,2)</f>
        <v>74.459999999999994</v>
      </c>
      <c r="E37" s="115"/>
      <c r="F37" s="14"/>
      <c r="G37" s="14"/>
      <c r="H37" s="19">
        <v>7620</v>
      </c>
      <c r="I37" s="14">
        <f>ROUND(H37*D37,2)</f>
        <v>567385.19999999995</v>
      </c>
      <c r="J37" s="14">
        <f t="shared" ref="J37:J38" si="57">ROUND(I37*1.2,2)</f>
        <v>680862.24</v>
      </c>
      <c r="K37" s="15">
        <f>F37+I37</f>
        <v>567385.19999999995</v>
      </c>
      <c r="L37" s="114">
        <f>G37+J37</f>
        <v>680862.24</v>
      </c>
      <c r="M37" s="131">
        <f t="shared" si="3"/>
        <v>0</v>
      </c>
      <c r="N37" s="123">
        <f t="shared" si="4"/>
        <v>0</v>
      </c>
      <c r="O37" s="123">
        <f t="shared" si="5"/>
        <v>11430</v>
      </c>
      <c r="P37" s="123">
        <f t="shared" si="6"/>
        <v>851077.79999999993</v>
      </c>
      <c r="Q37" s="132">
        <f t="shared" si="7"/>
        <v>851077.79999999993</v>
      </c>
    </row>
    <row r="38" spans="1:17" ht="18" customHeight="1" x14ac:dyDescent="0.25">
      <c r="A38" s="23" t="s">
        <v>83</v>
      </c>
      <c r="B38" s="47" t="s">
        <v>69</v>
      </c>
      <c r="C38" s="44" t="s">
        <v>17</v>
      </c>
      <c r="D38" s="86">
        <v>8.1</v>
      </c>
      <c r="E38" s="115"/>
      <c r="F38" s="14"/>
      <c r="G38" s="14"/>
      <c r="H38" s="19">
        <v>78600</v>
      </c>
      <c r="I38" s="14">
        <f>ROUND(H38*D38,2)</f>
        <v>636660</v>
      </c>
      <c r="J38" s="14">
        <f t="shared" si="57"/>
        <v>763992</v>
      </c>
      <c r="K38" s="15">
        <f>F38+I38</f>
        <v>636660</v>
      </c>
      <c r="L38" s="114">
        <f>G38+J38</f>
        <v>763992</v>
      </c>
      <c r="M38" s="131">
        <f t="shared" si="3"/>
        <v>0</v>
      </c>
      <c r="N38" s="123">
        <f t="shared" si="4"/>
        <v>0</v>
      </c>
      <c r="O38" s="123">
        <f t="shared" si="5"/>
        <v>117900</v>
      </c>
      <c r="P38" s="123">
        <f t="shared" si="6"/>
        <v>954990</v>
      </c>
      <c r="Q38" s="132">
        <f t="shared" si="7"/>
        <v>954990</v>
      </c>
    </row>
    <row r="39" spans="1:17" ht="30" x14ac:dyDescent="0.25">
      <c r="A39" s="8">
        <f>A36+1</f>
        <v>17</v>
      </c>
      <c r="B39" s="25" t="s">
        <v>68</v>
      </c>
      <c r="C39" s="8" t="s">
        <v>13</v>
      </c>
      <c r="D39" s="85">
        <v>52.3</v>
      </c>
      <c r="E39" s="106">
        <v>12082.41</v>
      </c>
      <c r="F39" s="11">
        <f t="shared" ref="F39" si="58">ROUND(E39*D39,2)</f>
        <v>631910.04</v>
      </c>
      <c r="G39" s="11">
        <f t="shared" ref="G39" si="59">ROUND(F39*1.2,2)</f>
        <v>758292.05</v>
      </c>
      <c r="H39" s="12"/>
      <c r="I39" s="13"/>
      <c r="J39" s="13"/>
      <c r="K39" s="10">
        <f t="shared" ref="K39" si="60">F39+I39</f>
        <v>631910.04</v>
      </c>
      <c r="L39" s="107">
        <f t="shared" ref="L39" si="61">G39+J39</f>
        <v>758292.05</v>
      </c>
      <c r="M39" s="131">
        <f t="shared" si="3"/>
        <v>20298.448799999998</v>
      </c>
      <c r="N39" s="123">
        <f t="shared" si="4"/>
        <v>1061608.8722399999</v>
      </c>
      <c r="O39" s="123">
        <f t="shared" si="5"/>
        <v>0</v>
      </c>
      <c r="P39" s="123">
        <f t="shared" si="6"/>
        <v>0</v>
      </c>
      <c r="Q39" s="132">
        <f t="shared" si="7"/>
        <v>1061608.8722399999</v>
      </c>
    </row>
    <row r="40" spans="1:17" ht="18" customHeight="1" x14ac:dyDescent="0.25">
      <c r="A40" s="23" t="s">
        <v>47</v>
      </c>
      <c r="B40" s="49" t="s">
        <v>65</v>
      </c>
      <c r="C40" s="44" t="s">
        <v>13</v>
      </c>
      <c r="D40" s="86">
        <f>ROUND(52.3*1.02,2)</f>
        <v>53.35</v>
      </c>
      <c r="E40" s="113"/>
      <c r="F40" s="14"/>
      <c r="G40" s="14"/>
      <c r="H40" s="19">
        <v>7620</v>
      </c>
      <c r="I40" s="14">
        <f>ROUND(H40*D40,2)</f>
        <v>406527</v>
      </c>
      <c r="J40" s="14">
        <f t="shared" ref="J40:J41" si="62">ROUND(I40*1.2,2)</f>
        <v>487832.4</v>
      </c>
      <c r="K40" s="15">
        <f>F40+I40</f>
        <v>406527</v>
      </c>
      <c r="L40" s="114">
        <f>G40+J40</f>
        <v>487832.4</v>
      </c>
      <c r="M40" s="131">
        <f t="shared" si="3"/>
        <v>0</v>
      </c>
      <c r="N40" s="123">
        <f t="shared" si="4"/>
        <v>0</v>
      </c>
      <c r="O40" s="123">
        <f t="shared" si="5"/>
        <v>11430</v>
      </c>
      <c r="P40" s="123">
        <f t="shared" si="6"/>
        <v>609790.5</v>
      </c>
      <c r="Q40" s="132">
        <f t="shared" si="7"/>
        <v>609790.5</v>
      </c>
    </row>
    <row r="41" spans="1:17" ht="18" customHeight="1" x14ac:dyDescent="0.25">
      <c r="A41" s="23" t="s">
        <v>99</v>
      </c>
      <c r="B41" s="47" t="s">
        <v>70</v>
      </c>
      <c r="C41" s="44" t="s">
        <v>17</v>
      </c>
      <c r="D41" s="86">
        <v>8.4</v>
      </c>
      <c r="E41" s="113"/>
      <c r="F41" s="14"/>
      <c r="G41" s="14"/>
      <c r="H41" s="19">
        <v>81600</v>
      </c>
      <c r="I41" s="14">
        <f>ROUND(H41*D41,2)</f>
        <v>685440</v>
      </c>
      <c r="J41" s="14">
        <f t="shared" si="62"/>
        <v>822528</v>
      </c>
      <c r="K41" s="15">
        <f>F41+I41</f>
        <v>685440</v>
      </c>
      <c r="L41" s="114">
        <f>G41+J41</f>
        <v>822528</v>
      </c>
      <c r="M41" s="131">
        <f t="shared" si="3"/>
        <v>0</v>
      </c>
      <c r="N41" s="123">
        <f t="shared" si="4"/>
        <v>0</v>
      </c>
      <c r="O41" s="123">
        <f t="shared" si="5"/>
        <v>122400</v>
      </c>
      <c r="P41" s="123">
        <f t="shared" si="6"/>
        <v>1028160</v>
      </c>
      <c r="Q41" s="132">
        <f t="shared" si="7"/>
        <v>1028160</v>
      </c>
    </row>
    <row r="42" spans="1:17" ht="30" x14ac:dyDescent="0.25">
      <c r="A42" s="8">
        <f>A39+1</f>
        <v>18</v>
      </c>
      <c r="B42" s="25" t="s">
        <v>40</v>
      </c>
      <c r="C42" s="8" t="s">
        <v>13</v>
      </c>
      <c r="D42" s="85">
        <v>370</v>
      </c>
      <c r="E42" s="106">
        <v>1310.05</v>
      </c>
      <c r="F42" s="11">
        <f t="shared" ref="F42" si="63">ROUND(E42*D42,2)</f>
        <v>484718.5</v>
      </c>
      <c r="G42" s="11">
        <f t="shared" ref="G42" si="64">ROUND(F42*1.2,2)</f>
        <v>581662.19999999995</v>
      </c>
      <c r="H42" s="12"/>
      <c r="I42" s="13"/>
      <c r="J42" s="13"/>
      <c r="K42" s="10">
        <f t="shared" ref="K42" si="65">F42+I42</f>
        <v>484718.5</v>
      </c>
      <c r="L42" s="107">
        <f t="shared" ref="L42" si="66">G42+J42</f>
        <v>581662.19999999995</v>
      </c>
      <c r="M42" s="131">
        <f t="shared" si="3"/>
        <v>2200.8839999999996</v>
      </c>
      <c r="N42" s="123">
        <f t="shared" si="4"/>
        <v>814327.07999999984</v>
      </c>
      <c r="O42" s="123">
        <f t="shared" si="5"/>
        <v>0</v>
      </c>
      <c r="P42" s="123">
        <f t="shared" si="6"/>
        <v>0</v>
      </c>
      <c r="Q42" s="132">
        <f t="shared" si="7"/>
        <v>814327.07999999984</v>
      </c>
    </row>
    <row r="43" spans="1:17" ht="18" customHeight="1" x14ac:dyDescent="0.25">
      <c r="A43" s="23" t="s">
        <v>49</v>
      </c>
      <c r="B43" s="48" t="s">
        <v>31</v>
      </c>
      <c r="C43" s="44" t="s">
        <v>13</v>
      </c>
      <c r="D43" s="86">
        <f>ROUND(370*1.1,2)</f>
        <v>407</v>
      </c>
      <c r="E43" s="113"/>
      <c r="F43" s="14"/>
      <c r="G43" s="14"/>
      <c r="H43" s="19">
        <f>ROUND(1200,2)</f>
        <v>1200</v>
      </c>
      <c r="I43" s="14">
        <f>ROUND(H43*D43,2)</f>
        <v>488400</v>
      </c>
      <c r="J43" s="14">
        <f t="shared" ref="J43" si="67">ROUND(I43*1.2,2)</f>
        <v>586080</v>
      </c>
      <c r="K43" s="15">
        <f>F43+I43</f>
        <v>488400</v>
      </c>
      <c r="L43" s="114">
        <f>G43+J43</f>
        <v>586080</v>
      </c>
      <c r="M43" s="131">
        <f t="shared" si="3"/>
        <v>0</v>
      </c>
      <c r="N43" s="123">
        <f t="shared" si="4"/>
        <v>0</v>
      </c>
      <c r="O43" s="123">
        <f t="shared" si="5"/>
        <v>1800</v>
      </c>
      <c r="P43" s="123">
        <f t="shared" si="6"/>
        <v>732600</v>
      </c>
      <c r="Q43" s="132">
        <f t="shared" si="7"/>
        <v>732600</v>
      </c>
    </row>
    <row r="44" spans="1:17" ht="45" x14ac:dyDescent="0.25">
      <c r="A44" s="8">
        <f>A42+1</f>
        <v>19</v>
      </c>
      <c r="B44" s="25" t="s">
        <v>129</v>
      </c>
      <c r="C44" s="26" t="s">
        <v>45</v>
      </c>
      <c r="D44" s="135">
        <v>44</v>
      </c>
      <c r="E44" s="106">
        <v>2817.6</v>
      </c>
      <c r="F44" s="11">
        <f t="shared" ref="F44" si="68">ROUND(E44*D44,2)</f>
        <v>123974.39999999999</v>
      </c>
      <c r="G44" s="11">
        <f t="shared" ref="G44" si="69">ROUND(F44*1.2,2)</f>
        <v>148769.28</v>
      </c>
      <c r="H44" s="12"/>
      <c r="I44" s="13"/>
      <c r="J44" s="13"/>
      <c r="K44" s="10">
        <f t="shared" ref="K44" si="70">F44+I44</f>
        <v>123974.39999999999</v>
      </c>
      <c r="L44" s="107">
        <f t="shared" ref="L44" si="71">G44+J44</f>
        <v>148769.28</v>
      </c>
      <c r="M44" s="131">
        <f t="shared" si="3"/>
        <v>4733.5679999999993</v>
      </c>
      <c r="N44" s="123">
        <f t="shared" si="4"/>
        <v>208276.99199999997</v>
      </c>
      <c r="O44" s="123">
        <f t="shared" si="5"/>
        <v>0</v>
      </c>
      <c r="P44" s="123">
        <f t="shared" si="6"/>
        <v>0</v>
      </c>
      <c r="Q44" s="132">
        <f t="shared" si="7"/>
        <v>208276.99199999997</v>
      </c>
    </row>
    <row r="45" spans="1:17" x14ac:dyDescent="0.25">
      <c r="A45" s="133"/>
      <c r="B45" s="48" t="s">
        <v>128</v>
      </c>
      <c r="C45" s="44" t="s">
        <v>101</v>
      </c>
      <c r="D45" s="134">
        <v>7</v>
      </c>
      <c r="E45" s="113"/>
      <c r="F45" s="14"/>
      <c r="G45" s="14"/>
      <c r="H45" s="19">
        <f>9985032/72/1.2</f>
        <v>115567.5</v>
      </c>
      <c r="I45" s="14">
        <f>ROUND(H45*D45,2)</f>
        <v>808972.5</v>
      </c>
      <c r="J45" s="14">
        <f t="shared" ref="J45" si="72">ROUND(I45*1.2,2)</f>
        <v>970767</v>
      </c>
      <c r="K45" s="15">
        <f>F45+I45</f>
        <v>808972.5</v>
      </c>
      <c r="L45" s="114">
        <f>G45+J45</f>
        <v>970767</v>
      </c>
      <c r="M45" s="131">
        <f t="shared" si="3"/>
        <v>0</v>
      </c>
      <c r="N45" s="123">
        <f t="shared" si="4"/>
        <v>0</v>
      </c>
      <c r="O45" s="123">
        <f t="shared" si="5"/>
        <v>173351.25</v>
      </c>
      <c r="P45" s="123">
        <f t="shared" si="6"/>
        <v>1213458.75</v>
      </c>
      <c r="Q45" s="132">
        <f t="shared" si="7"/>
        <v>1213458.75</v>
      </c>
    </row>
    <row r="46" spans="1:17" x14ac:dyDescent="0.25">
      <c r="A46" s="133"/>
      <c r="B46" s="48" t="s">
        <v>126</v>
      </c>
      <c r="C46" s="44" t="s">
        <v>101</v>
      </c>
      <c r="D46" s="86">
        <v>82</v>
      </c>
      <c r="E46" s="113"/>
      <c r="F46" s="14"/>
      <c r="G46" s="14"/>
      <c r="H46" s="163">
        <f>3300/1.2</f>
        <v>2750</v>
      </c>
      <c r="I46" s="14">
        <f>ROUND(H46*D46,2)</f>
        <v>225500</v>
      </c>
      <c r="J46" s="14">
        <f t="shared" ref="J46" si="73">ROUND(I46*1.2,2)</f>
        <v>270600</v>
      </c>
      <c r="K46" s="15">
        <f>F46+I46</f>
        <v>225500</v>
      </c>
      <c r="L46" s="114">
        <f>G46+J46</f>
        <v>270600</v>
      </c>
      <c r="M46" s="131">
        <f t="shared" ref="M46:M49" si="74">E46*$M$1*$O$1</f>
        <v>0</v>
      </c>
      <c r="N46" s="123">
        <f t="shared" ref="N46:N49" si="75">D46*M46</f>
        <v>0</v>
      </c>
      <c r="O46" s="123">
        <f t="shared" ref="O46:O49" si="76">H46*$N$1*$O$1</f>
        <v>4125</v>
      </c>
      <c r="P46" s="123">
        <f t="shared" ref="P46:P49" si="77">O46*D46</f>
        <v>338250</v>
      </c>
      <c r="Q46" s="132">
        <f t="shared" ref="Q46:Q49" si="78">N46+P46</f>
        <v>338250</v>
      </c>
    </row>
    <row r="47" spans="1:17" x14ac:dyDescent="0.25">
      <c r="A47" s="133"/>
      <c r="B47" s="48" t="s">
        <v>148</v>
      </c>
      <c r="C47" s="44" t="s">
        <v>127</v>
      </c>
      <c r="D47" s="86">
        <v>82</v>
      </c>
      <c r="E47" s="113"/>
      <c r="F47" s="14"/>
      <c r="G47" s="14"/>
      <c r="H47" s="163">
        <f>(4350*2)/1.2</f>
        <v>7250</v>
      </c>
      <c r="I47" s="14">
        <f>ROUND(H47*D47,2)</f>
        <v>594500</v>
      </c>
      <c r="J47" s="14">
        <f t="shared" ref="J47" si="79">ROUND(I47*1.2,2)</f>
        <v>713400</v>
      </c>
      <c r="K47" s="15">
        <f>F47+I47</f>
        <v>594500</v>
      </c>
      <c r="L47" s="114">
        <f>G47+J47</f>
        <v>713400</v>
      </c>
      <c r="M47" s="131">
        <f t="shared" ref="M47" si="80">E47*$M$1*$O$1</f>
        <v>0</v>
      </c>
      <c r="N47" s="123">
        <f t="shared" ref="N47" si="81">D47*M47</f>
        <v>0</v>
      </c>
      <c r="O47" s="123">
        <f t="shared" ref="O47" si="82">H47*$N$1*$O$1</f>
        <v>10875</v>
      </c>
      <c r="P47" s="123">
        <f t="shared" ref="P47" si="83">O47*D47</f>
        <v>891750</v>
      </c>
      <c r="Q47" s="132">
        <f t="shared" ref="Q47" si="84">N47+P47</f>
        <v>891750</v>
      </c>
    </row>
    <row r="48" spans="1:17" x14ac:dyDescent="0.25">
      <c r="A48" s="133"/>
      <c r="B48" s="48" t="s">
        <v>131</v>
      </c>
      <c r="C48" s="44" t="s">
        <v>101</v>
      </c>
      <c r="D48" s="86">
        <v>16</v>
      </c>
      <c r="E48" s="113"/>
      <c r="F48" s="14"/>
      <c r="G48" s="14"/>
      <c r="H48" s="163">
        <f>9300/1.2</f>
        <v>7750</v>
      </c>
      <c r="I48" s="14">
        <f>ROUND(H48*D48,2)</f>
        <v>124000</v>
      </c>
      <c r="J48" s="14">
        <f t="shared" ref="J48" si="85">ROUND(I48*1.2,2)</f>
        <v>148800</v>
      </c>
      <c r="K48" s="15">
        <f>F48+I48</f>
        <v>124000</v>
      </c>
      <c r="L48" s="114">
        <f>G48+J48</f>
        <v>148800</v>
      </c>
      <c r="M48" s="131">
        <f t="shared" ref="M48" si="86">E48*$M$1*$O$1</f>
        <v>0</v>
      </c>
      <c r="N48" s="123">
        <f t="shared" ref="N48" si="87">D48*M48</f>
        <v>0</v>
      </c>
      <c r="O48" s="123">
        <f t="shared" ref="O48" si="88">H48*$N$1*$O$1</f>
        <v>11625</v>
      </c>
      <c r="P48" s="123">
        <f t="shared" ref="P48" si="89">O48*D48</f>
        <v>186000</v>
      </c>
      <c r="Q48" s="132">
        <f t="shared" ref="Q48" si="90">N48+P48</f>
        <v>186000</v>
      </c>
    </row>
    <row r="49" spans="1:17" x14ac:dyDescent="0.25">
      <c r="A49" s="133"/>
      <c r="B49" s="48" t="s">
        <v>132</v>
      </c>
      <c r="C49" s="44" t="s">
        <v>101</v>
      </c>
      <c r="D49" s="86">
        <v>64</v>
      </c>
      <c r="E49" s="113"/>
      <c r="F49" s="14"/>
      <c r="G49" s="14"/>
      <c r="H49" s="163">
        <f>270/1.2</f>
        <v>225</v>
      </c>
      <c r="I49" s="14">
        <f>ROUND(H49*D49,2)</f>
        <v>14400</v>
      </c>
      <c r="J49" s="14">
        <f t="shared" ref="J49" si="91">ROUND(I49*1.2,2)</f>
        <v>17280</v>
      </c>
      <c r="K49" s="15">
        <f>F49+I49</f>
        <v>14400</v>
      </c>
      <c r="L49" s="114">
        <f>G49+J49</f>
        <v>17280</v>
      </c>
      <c r="M49" s="131">
        <f t="shared" ref="M49" si="92">E49*$M$1*$O$1</f>
        <v>0</v>
      </c>
      <c r="N49" s="123">
        <f t="shared" ref="N49" si="93">D49*M49</f>
        <v>0</v>
      </c>
      <c r="O49" s="123">
        <f t="shared" ref="O49" si="94">H49*$N$1*$O$1</f>
        <v>337.5</v>
      </c>
      <c r="P49" s="123">
        <f t="shared" ref="P49" si="95">O49*D49</f>
        <v>21600</v>
      </c>
      <c r="Q49" s="132">
        <f t="shared" ref="Q49" si="96">N49+P49</f>
        <v>21600</v>
      </c>
    </row>
    <row r="50" spans="1:17" ht="33" customHeight="1" x14ac:dyDescent="0.25">
      <c r="A50" s="8"/>
      <c r="B50" s="25" t="s">
        <v>133</v>
      </c>
      <c r="C50" s="26" t="s">
        <v>13</v>
      </c>
      <c r="D50" s="85">
        <f>D44*0.43</f>
        <v>18.919999999999998</v>
      </c>
      <c r="E50" s="106">
        <v>1630</v>
      </c>
      <c r="F50" s="11">
        <f t="shared" ref="F50" si="97">ROUND(E50*D50,2)</f>
        <v>30839.599999999999</v>
      </c>
      <c r="G50" s="11">
        <f t="shared" ref="G50" si="98">ROUND(F50*1.2,2)</f>
        <v>37007.519999999997</v>
      </c>
      <c r="H50" s="12"/>
      <c r="I50" s="13"/>
      <c r="J50" s="13"/>
      <c r="K50" s="10">
        <f t="shared" ref="K50:L50" si="99">F50+I50</f>
        <v>30839.599999999999</v>
      </c>
      <c r="L50" s="107">
        <f t="shared" si="99"/>
        <v>37007.519999999997</v>
      </c>
      <c r="M50" s="131">
        <f t="shared" si="3"/>
        <v>2738.4</v>
      </c>
      <c r="N50" s="123">
        <f t="shared" si="4"/>
        <v>51810.527999999998</v>
      </c>
      <c r="O50" s="123">
        <f t="shared" si="5"/>
        <v>0</v>
      </c>
      <c r="P50" s="123">
        <f t="shared" si="6"/>
        <v>0</v>
      </c>
      <c r="Q50" s="132">
        <f t="shared" si="7"/>
        <v>51810.527999999998</v>
      </c>
    </row>
    <row r="51" spans="1:17" x14ac:dyDescent="0.25">
      <c r="A51" s="23"/>
      <c r="B51" s="48" t="s">
        <v>134</v>
      </c>
      <c r="C51" s="44" t="s">
        <v>13</v>
      </c>
      <c r="D51" s="134">
        <f>D50*1.17</f>
        <v>22.136399999999995</v>
      </c>
      <c r="E51" s="113"/>
      <c r="F51" s="14"/>
      <c r="G51" s="14"/>
      <c r="H51" s="14">
        <v>3625</v>
      </c>
      <c r="I51" s="14">
        <f>ROUND(H51*D51,2)</f>
        <v>80244.45</v>
      </c>
      <c r="J51" s="14">
        <f>ROUND(I51*1.2,2)</f>
        <v>96293.34</v>
      </c>
      <c r="K51" s="15">
        <f>F51+I51</f>
        <v>80244.45</v>
      </c>
      <c r="L51" s="114">
        <f>G51+J51</f>
        <v>96293.34</v>
      </c>
      <c r="M51" s="131">
        <f t="shared" si="3"/>
        <v>0</v>
      </c>
      <c r="N51" s="123">
        <f t="shared" si="4"/>
        <v>0</v>
      </c>
      <c r="O51" s="123">
        <f t="shared" si="5"/>
        <v>5437.5</v>
      </c>
      <c r="P51" s="123">
        <f t="shared" si="6"/>
        <v>120366.67499999997</v>
      </c>
      <c r="Q51" s="132">
        <f t="shared" si="7"/>
        <v>120366.67499999997</v>
      </c>
    </row>
    <row r="52" spans="1:17" ht="15.75" x14ac:dyDescent="0.25">
      <c r="A52" s="53" t="s">
        <v>135</v>
      </c>
      <c r="B52" s="25" t="s">
        <v>136</v>
      </c>
      <c r="C52" s="26" t="s">
        <v>13</v>
      </c>
      <c r="D52" s="137">
        <f>D51*0.2</f>
        <v>4.4272799999999988</v>
      </c>
      <c r="E52" s="106">
        <v>1449.9</v>
      </c>
      <c r="F52" s="11">
        <f>ROUND(E52*D52,2)</f>
        <v>6419.11</v>
      </c>
      <c r="G52" s="11">
        <f>ROUND(F52*1.2,2)</f>
        <v>7702.93</v>
      </c>
      <c r="H52" s="12"/>
      <c r="I52" s="13"/>
      <c r="J52" s="13"/>
      <c r="K52" s="10">
        <f t="shared" ref="K52:L55" si="100">F52+I52</f>
        <v>6419.11</v>
      </c>
      <c r="L52" s="107">
        <f t="shared" si="100"/>
        <v>7702.93</v>
      </c>
      <c r="M52" s="131">
        <f t="shared" si="3"/>
        <v>2435.8319999999999</v>
      </c>
      <c r="N52" s="123">
        <f t="shared" si="4"/>
        <v>10784.110296959996</v>
      </c>
      <c r="O52" s="123">
        <f t="shared" si="5"/>
        <v>0</v>
      </c>
      <c r="P52" s="123">
        <f t="shared" si="6"/>
        <v>0</v>
      </c>
      <c r="Q52" s="132">
        <f t="shared" si="7"/>
        <v>10784.110296959996</v>
      </c>
    </row>
    <row r="53" spans="1:17" x14ac:dyDescent="0.25">
      <c r="A53" s="23" t="s">
        <v>137</v>
      </c>
      <c r="B53" s="48" t="s">
        <v>134</v>
      </c>
      <c r="C53" s="44" t="s">
        <v>13</v>
      </c>
      <c r="D53" s="134">
        <f>D52*1.17</f>
        <v>5.1799175999999987</v>
      </c>
      <c r="E53" s="113"/>
      <c r="F53" s="14"/>
      <c r="G53" s="14"/>
      <c r="H53" s="14">
        <v>3625</v>
      </c>
      <c r="I53" s="14">
        <f>ROUND(H53*D53,2)</f>
        <v>18777.2</v>
      </c>
      <c r="J53" s="14">
        <f>ROUND(I53*1.2,2)</f>
        <v>22532.639999999999</v>
      </c>
      <c r="K53" s="15">
        <f>F53+I53</f>
        <v>18777.2</v>
      </c>
      <c r="L53" s="114">
        <f>G53+J53</f>
        <v>22532.639999999999</v>
      </c>
      <c r="M53" s="131">
        <f t="shared" si="3"/>
        <v>0</v>
      </c>
      <c r="N53" s="123">
        <f t="shared" si="4"/>
        <v>0</v>
      </c>
      <c r="O53" s="123">
        <f t="shared" si="5"/>
        <v>5437.5</v>
      </c>
      <c r="P53" s="123">
        <f t="shared" si="6"/>
        <v>28165.801949999994</v>
      </c>
      <c r="Q53" s="132">
        <f t="shared" si="7"/>
        <v>28165.801949999994</v>
      </c>
    </row>
    <row r="54" spans="1:17" ht="15.75" x14ac:dyDescent="0.25">
      <c r="A54" s="53" t="s">
        <v>138</v>
      </c>
      <c r="B54" s="25" t="s">
        <v>139</v>
      </c>
      <c r="C54" s="26" t="s">
        <v>16</v>
      </c>
      <c r="D54" s="137">
        <v>44</v>
      </c>
      <c r="E54" s="106">
        <v>945.3</v>
      </c>
      <c r="F54" s="11">
        <f>ROUND(E54*D54,2)</f>
        <v>41593.199999999997</v>
      </c>
      <c r="G54" s="11">
        <f>ROUND(F54*1.2,2)</f>
        <v>49911.839999999997</v>
      </c>
      <c r="H54" s="12"/>
      <c r="I54" s="13"/>
      <c r="J54" s="13"/>
      <c r="K54" s="10">
        <f t="shared" si="100"/>
        <v>41593.199999999997</v>
      </c>
      <c r="L54" s="107">
        <f t="shared" si="100"/>
        <v>49911.839999999997</v>
      </c>
      <c r="M54" s="131">
        <f t="shared" si="3"/>
        <v>1588.1039999999998</v>
      </c>
      <c r="N54" s="123">
        <f t="shared" si="4"/>
        <v>69876.575999999986</v>
      </c>
      <c r="O54" s="123">
        <f t="shared" si="5"/>
        <v>0</v>
      </c>
      <c r="P54" s="123">
        <f t="shared" si="6"/>
        <v>0</v>
      </c>
      <c r="Q54" s="132">
        <f t="shared" si="7"/>
        <v>69876.575999999986</v>
      </c>
    </row>
    <row r="55" spans="1:17" ht="15.75" x14ac:dyDescent="0.25">
      <c r="A55" s="53" t="s">
        <v>138</v>
      </c>
      <c r="B55" s="25" t="s">
        <v>140</v>
      </c>
      <c r="C55" s="26" t="s">
        <v>141</v>
      </c>
      <c r="D55" s="137">
        <v>8</v>
      </c>
      <c r="E55" s="106">
        <v>1324</v>
      </c>
      <c r="F55" s="11">
        <f>ROUND(E55*D55,2)</f>
        <v>10592</v>
      </c>
      <c r="G55" s="11">
        <f>ROUND(F55*1.2,2)</f>
        <v>12710.4</v>
      </c>
      <c r="H55" s="12"/>
      <c r="I55" s="13"/>
      <c r="J55" s="13"/>
      <c r="K55" s="10">
        <f t="shared" si="100"/>
        <v>10592</v>
      </c>
      <c r="L55" s="107">
        <f t="shared" si="100"/>
        <v>12710.4</v>
      </c>
      <c r="M55" s="131">
        <f t="shared" si="3"/>
        <v>2224.3199999999997</v>
      </c>
      <c r="N55" s="123">
        <f t="shared" si="4"/>
        <v>17794.559999999998</v>
      </c>
      <c r="O55" s="123">
        <f t="shared" si="5"/>
        <v>0</v>
      </c>
      <c r="P55" s="123">
        <f t="shared" si="6"/>
        <v>0</v>
      </c>
      <c r="Q55" s="132">
        <f t="shared" si="7"/>
        <v>17794.559999999998</v>
      </c>
    </row>
    <row r="56" spans="1:17" ht="33" customHeight="1" x14ac:dyDescent="0.25">
      <c r="A56" s="8">
        <f>A44+1</f>
        <v>20</v>
      </c>
      <c r="B56" s="25" t="s">
        <v>130</v>
      </c>
      <c r="C56" s="26" t="s">
        <v>45</v>
      </c>
      <c r="D56" s="136">
        <v>58</v>
      </c>
      <c r="E56" s="106">
        <v>2817.6</v>
      </c>
      <c r="F56" s="11">
        <f t="shared" ref="F56:F63" si="101">ROUND(E56*D56,2)</f>
        <v>163420.79999999999</v>
      </c>
      <c r="G56" s="11">
        <f t="shared" ref="G56:G63" si="102">ROUND(F56*1.2,2)</f>
        <v>196104.95999999999</v>
      </c>
      <c r="H56" s="12"/>
      <c r="I56" s="13"/>
      <c r="J56" s="13"/>
      <c r="K56" s="10">
        <f t="shared" ref="K56:L65" si="103">F56+I56</f>
        <v>163420.79999999999</v>
      </c>
      <c r="L56" s="107">
        <f t="shared" ref="L56" si="104">G56+J56</f>
        <v>196104.95999999999</v>
      </c>
      <c r="M56" s="131">
        <f t="shared" si="3"/>
        <v>4733.5679999999993</v>
      </c>
      <c r="N56" s="123">
        <f t="shared" si="4"/>
        <v>274546.94399999996</v>
      </c>
      <c r="O56" s="123">
        <f t="shared" si="5"/>
        <v>0</v>
      </c>
      <c r="P56" s="123">
        <f t="shared" si="6"/>
        <v>0</v>
      </c>
      <c r="Q56" s="132">
        <f t="shared" si="7"/>
        <v>274546.94399999996</v>
      </c>
    </row>
    <row r="57" spans="1:17" x14ac:dyDescent="0.25">
      <c r="A57" s="133"/>
      <c r="B57" s="48" t="s">
        <v>128</v>
      </c>
      <c r="C57" s="44" t="s">
        <v>101</v>
      </c>
      <c r="D57" s="134">
        <v>11</v>
      </c>
      <c r="E57" s="113"/>
      <c r="F57" s="14"/>
      <c r="G57" s="14"/>
      <c r="H57" s="19">
        <f>9985032/72/1.2</f>
        <v>115567.5</v>
      </c>
      <c r="I57" s="14">
        <f>ROUND(H57*D57,2)</f>
        <v>1271242.5</v>
      </c>
      <c r="J57" s="14">
        <f t="shared" ref="J57" si="105">ROUND(I57*1.2,2)</f>
        <v>1525491</v>
      </c>
      <c r="K57" s="15">
        <f>F57+I57</f>
        <v>1271242.5</v>
      </c>
      <c r="L57" s="114">
        <f>G57+J57</f>
        <v>1525491</v>
      </c>
      <c r="M57" s="131">
        <f t="shared" si="3"/>
        <v>0</v>
      </c>
      <c r="N57" s="123">
        <f t="shared" si="4"/>
        <v>0</v>
      </c>
      <c r="O57" s="123">
        <f t="shared" si="5"/>
        <v>173351.25</v>
      </c>
      <c r="P57" s="123">
        <f t="shared" si="6"/>
        <v>1906863.75</v>
      </c>
      <c r="Q57" s="132">
        <f t="shared" si="7"/>
        <v>1906863.75</v>
      </c>
    </row>
    <row r="58" spans="1:17" x14ac:dyDescent="0.25">
      <c r="A58" s="133"/>
      <c r="B58" s="48" t="s">
        <v>142</v>
      </c>
      <c r="C58" s="44" t="s">
        <v>127</v>
      </c>
      <c r="D58" s="86">
        <f>D56*4</f>
        <v>232</v>
      </c>
      <c r="E58" s="113"/>
      <c r="F58" s="14"/>
      <c r="G58" s="14"/>
      <c r="H58" s="163">
        <f>3019/1.2</f>
        <v>2515.8333333333335</v>
      </c>
      <c r="I58" s="14">
        <f>ROUND(H58*D58,2)</f>
        <v>583673.32999999996</v>
      </c>
      <c r="J58" s="14">
        <f t="shared" ref="J58:J60" si="106">ROUND(I58*1.2,2)</f>
        <v>700408</v>
      </c>
      <c r="K58" s="15">
        <f>F58+I58</f>
        <v>583673.32999999996</v>
      </c>
      <c r="L58" s="114">
        <f>G58+J58</f>
        <v>700408</v>
      </c>
      <c r="M58" s="131">
        <f t="shared" ref="M58:M60" si="107">E58*$M$1*$O$1</f>
        <v>0</v>
      </c>
      <c r="N58" s="123">
        <f t="shared" ref="N58:N60" si="108">D58*M58</f>
        <v>0</v>
      </c>
      <c r="O58" s="123">
        <f t="shared" ref="O58:O60" si="109">H58*$N$1*$O$1</f>
        <v>3773.75</v>
      </c>
      <c r="P58" s="123">
        <f t="shared" ref="P58:P60" si="110">O58*D58</f>
        <v>875510</v>
      </c>
      <c r="Q58" s="132">
        <f t="shared" ref="Q58:Q60" si="111">N58+P58</f>
        <v>875510</v>
      </c>
    </row>
    <row r="59" spans="1:17" x14ac:dyDescent="0.25">
      <c r="A59" s="133"/>
      <c r="B59" s="48" t="s">
        <v>131</v>
      </c>
      <c r="C59" s="44" t="s">
        <v>101</v>
      </c>
      <c r="D59" s="86">
        <v>32</v>
      </c>
      <c r="E59" s="113"/>
      <c r="F59" s="14"/>
      <c r="G59" s="14"/>
      <c r="H59" s="163">
        <f>9300/1.2</f>
        <v>7750</v>
      </c>
      <c r="I59" s="14">
        <f>ROUND(H59*D59,2)</f>
        <v>248000</v>
      </c>
      <c r="J59" s="14">
        <f t="shared" si="106"/>
        <v>297600</v>
      </c>
      <c r="K59" s="15">
        <f>F59+I59</f>
        <v>248000</v>
      </c>
      <c r="L59" s="114">
        <f>G59+J59</f>
        <v>297600</v>
      </c>
      <c r="M59" s="131">
        <f t="shared" si="107"/>
        <v>0</v>
      </c>
      <c r="N59" s="123">
        <f t="shared" si="108"/>
        <v>0</v>
      </c>
      <c r="O59" s="123">
        <f t="shared" si="109"/>
        <v>11625</v>
      </c>
      <c r="P59" s="123">
        <f t="shared" si="110"/>
        <v>372000</v>
      </c>
      <c r="Q59" s="132">
        <f t="shared" si="111"/>
        <v>372000</v>
      </c>
    </row>
    <row r="60" spans="1:17" x14ac:dyDescent="0.25">
      <c r="A60" s="133"/>
      <c r="B60" s="48" t="s">
        <v>132</v>
      </c>
      <c r="C60" s="44" t="s">
        <v>101</v>
      </c>
      <c r="D60" s="86">
        <f>D59*4</f>
        <v>128</v>
      </c>
      <c r="E60" s="113"/>
      <c r="F60" s="14"/>
      <c r="G60" s="14"/>
      <c r="H60" s="163">
        <f>270/1.2</f>
        <v>225</v>
      </c>
      <c r="I60" s="14">
        <f>ROUND(H60*D60,2)</f>
        <v>28800</v>
      </c>
      <c r="J60" s="14">
        <f t="shared" si="106"/>
        <v>34560</v>
      </c>
      <c r="K60" s="15">
        <f>F60+I60</f>
        <v>28800</v>
      </c>
      <c r="L60" s="114">
        <f>G60+J60</f>
        <v>34560</v>
      </c>
      <c r="M60" s="131">
        <f t="shared" si="107"/>
        <v>0</v>
      </c>
      <c r="N60" s="123">
        <f t="shared" si="108"/>
        <v>0</v>
      </c>
      <c r="O60" s="123">
        <f t="shared" si="109"/>
        <v>337.5</v>
      </c>
      <c r="P60" s="123">
        <f t="shared" si="110"/>
        <v>43200</v>
      </c>
      <c r="Q60" s="132">
        <f t="shared" si="111"/>
        <v>43200</v>
      </c>
    </row>
    <row r="61" spans="1:17" ht="15.75" x14ac:dyDescent="0.25">
      <c r="A61" s="53"/>
      <c r="B61" s="25" t="s">
        <v>140</v>
      </c>
      <c r="C61" s="26" t="s">
        <v>141</v>
      </c>
      <c r="D61" s="137">
        <v>16</v>
      </c>
      <c r="E61" s="106">
        <v>1324</v>
      </c>
      <c r="F61" s="11">
        <f>ROUND(E61*D61,2)</f>
        <v>21184</v>
      </c>
      <c r="G61" s="11">
        <f>ROUND(F61*1.2,2)</f>
        <v>25420.799999999999</v>
      </c>
      <c r="H61" s="12"/>
      <c r="I61" s="13"/>
      <c r="J61" s="13"/>
      <c r="K61" s="10">
        <f t="shared" ref="K61" si="112">F61+I61</f>
        <v>21184</v>
      </c>
      <c r="L61" s="107">
        <f t="shared" ref="L61" si="113">G61+J61</f>
        <v>25420.799999999999</v>
      </c>
      <c r="M61" s="131">
        <f t="shared" si="3"/>
        <v>2224.3199999999997</v>
      </c>
      <c r="N61" s="123">
        <f t="shared" si="4"/>
        <v>35589.119999999995</v>
      </c>
      <c r="O61" s="123">
        <f t="shared" si="5"/>
        <v>0</v>
      </c>
      <c r="P61" s="123">
        <f t="shared" si="6"/>
        <v>0</v>
      </c>
      <c r="Q61" s="132">
        <f t="shared" si="7"/>
        <v>35589.119999999995</v>
      </c>
    </row>
    <row r="62" spans="1:17" ht="20.25" customHeight="1" x14ac:dyDescent="0.25">
      <c r="A62" s="54">
        <f>A56+1</f>
        <v>21</v>
      </c>
      <c r="B62" s="61" t="s">
        <v>100</v>
      </c>
      <c r="C62" s="62" t="s">
        <v>101</v>
      </c>
      <c r="D62" s="87">
        <v>432</v>
      </c>
      <c r="E62" s="116">
        <v>570</v>
      </c>
      <c r="F62" s="11">
        <f t="shared" si="101"/>
        <v>246240</v>
      </c>
      <c r="G62" s="11">
        <f t="shared" si="102"/>
        <v>295488</v>
      </c>
      <c r="H62" s="13"/>
      <c r="I62" s="13"/>
      <c r="J62" s="13"/>
      <c r="K62" s="10">
        <f t="shared" si="103"/>
        <v>246240</v>
      </c>
      <c r="L62" s="107">
        <f t="shared" si="103"/>
        <v>295488</v>
      </c>
      <c r="M62" s="131">
        <f t="shared" si="3"/>
        <v>957.59999999999991</v>
      </c>
      <c r="N62" s="123">
        <f t="shared" si="4"/>
        <v>413683.19999999995</v>
      </c>
      <c r="O62" s="123">
        <f t="shared" si="5"/>
        <v>0</v>
      </c>
      <c r="P62" s="123">
        <f t="shared" si="6"/>
        <v>0</v>
      </c>
      <c r="Q62" s="132">
        <f t="shared" si="7"/>
        <v>413683.19999999995</v>
      </c>
    </row>
    <row r="63" spans="1:17" ht="20.25" customHeight="1" x14ac:dyDescent="0.25">
      <c r="A63" s="54">
        <f>A62+1</f>
        <v>22</v>
      </c>
      <c r="B63" s="61" t="s">
        <v>102</v>
      </c>
      <c r="C63" s="62" t="s">
        <v>101</v>
      </c>
      <c r="D63" s="87">
        <v>452</v>
      </c>
      <c r="E63" s="116">
        <v>244.36</v>
      </c>
      <c r="F63" s="11">
        <f t="shared" si="101"/>
        <v>110450.72</v>
      </c>
      <c r="G63" s="11">
        <f t="shared" si="102"/>
        <v>132540.85999999999</v>
      </c>
      <c r="H63" s="13"/>
      <c r="I63" s="13"/>
      <c r="J63" s="13"/>
      <c r="K63" s="10">
        <f t="shared" si="103"/>
        <v>110450.72</v>
      </c>
      <c r="L63" s="107">
        <f t="shared" si="103"/>
        <v>132540.85999999999</v>
      </c>
      <c r="M63" s="131">
        <f t="shared" si="3"/>
        <v>410.52479999999997</v>
      </c>
      <c r="N63" s="123">
        <f t="shared" si="4"/>
        <v>185557.20959999997</v>
      </c>
      <c r="O63" s="123">
        <f t="shared" si="5"/>
        <v>0</v>
      </c>
      <c r="P63" s="123">
        <f t="shared" si="6"/>
        <v>0</v>
      </c>
      <c r="Q63" s="132">
        <f t="shared" si="7"/>
        <v>185557.20959999997</v>
      </c>
    </row>
    <row r="64" spans="1:17" ht="20.25" customHeight="1" x14ac:dyDescent="0.25">
      <c r="A64" s="63" t="s">
        <v>84</v>
      </c>
      <c r="B64" s="64" t="s">
        <v>103</v>
      </c>
      <c r="C64" s="65" t="s">
        <v>15</v>
      </c>
      <c r="D64" s="88">
        <v>452</v>
      </c>
      <c r="E64" s="117"/>
      <c r="F64" s="57"/>
      <c r="G64" s="57"/>
      <c r="H64" s="66">
        <v>50</v>
      </c>
      <c r="I64" s="14">
        <f t="shared" ref="I64:I65" si="114">ROUND(H64*D64,2)</f>
        <v>22600</v>
      </c>
      <c r="J64" s="14">
        <f t="shared" ref="J64:J65" si="115">ROUND(I64*1.2,2)</f>
        <v>27120</v>
      </c>
      <c r="K64" s="15">
        <f t="shared" si="103"/>
        <v>22600</v>
      </c>
      <c r="L64" s="114">
        <f t="shared" si="103"/>
        <v>27120</v>
      </c>
      <c r="M64" s="131">
        <f t="shared" si="3"/>
        <v>0</v>
      </c>
      <c r="N64" s="123">
        <f t="shared" si="4"/>
        <v>0</v>
      </c>
      <c r="O64" s="123">
        <f t="shared" si="5"/>
        <v>75</v>
      </c>
      <c r="P64" s="123">
        <f t="shared" si="6"/>
        <v>33900</v>
      </c>
      <c r="Q64" s="132">
        <f t="shared" si="7"/>
        <v>33900</v>
      </c>
    </row>
    <row r="65" spans="1:17" ht="20.25" customHeight="1" x14ac:dyDescent="0.25">
      <c r="A65" s="63" t="s">
        <v>106</v>
      </c>
      <c r="B65" s="64" t="s">
        <v>105</v>
      </c>
      <c r="C65" s="65" t="s">
        <v>15</v>
      </c>
      <c r="D65" s="86">
        <v>2</v>
      </c>
      <c r="E65" s="117"/>
      <c r="F65" s="57"/>
      <c r="G65" s="57"/>
      <c r="H65" s="66">
        <v>6285</v>
      </c>
      <c r="I65" s="14">
        <f t="shared" si="114"/>
        <v>12570</v>
      </c>
      <c r="J65" s="14">
        <f t="shared" si="115"/>
        <v>15084</v>
      </c>
      <c r="K65" s="15">
        <f t="shared" si="103"/>
        <v>12570</v>
      </c>
      <c r="L65" s="114">
        <f t="shared" si="103"/>
        <v>15084</v>
      </c>
      <c r="M65" s="131">
        <f t="shared" si="3"/>
        <v>0</v>
      </c>
      <c r="N65" s="123">
        <f t="shared" si="4"/>
        <v>0</v>
      </c>
      <c r="O65" s="123">
        <f t="shared" si="5"/>
        <v>9427.5</v>
      </c>
      <c r="P65" s="123">
        <f t="shared" si="6"/>
        <v>18855</v>
      </c>
      <c r="Q65" s="132">
        <f t="shared" si="7"/>
        <v>18855</v>
      </c>
    </row>
    <row r="66" spans="1:17" ht="18" customHeight="1" x14ac:dyDescent="0.25">
      <c r="A66" s="8">
        <f>A63+1</f>
        <v>23</v>
      </c>
      <c r="B66" s="25" t="s">
        <v>96</v>
      </c>
      <c r="C66" s="26" t="s">
        <v>45</v>
      </c>
      <c r="D66" s="85">
        <v>820</v>
      </c>
      <c r="E66" s="106">
        <v>456</v>
      </c>
      <c r="F66" s="11">
        <f t="shared" ref="F66" si="116">ROUND(E66*D66,2)</f>
        <v>373920</v>
      </c>
      <c r="G66" s="11">
        <f t="shared" ref="G66" si="117">ROUND(F66*1.2,2)</f>
        <v>448704</v>
      </c>
      <c r="H66" s="12"/>
      <c r="I66" s="13"/>
      <c r="J66" s="13"/>
      <c r="K66" s="10">
        <f t="shared" ref="K66" si="118">F66+I66</f>
        <v>373920</v>
      </c>
      <c r="L66" s="107">
        <f t="shared" ref="L66" si="119">G66+J66</f>
        <v>448704</v>
      </c>
      <c r="M66" s="131">
        <f t="shared" si="3"/>
        <v>766.07999999999993</v>
      </c>
      <c r="N66" s="123">
        <f t="shared" si="4"/>
        <v>628185.59999999998</v>
      </c>
      <c r="O66" s="123">
        <f t="shared" si="5"/>
        <v>0</v>
      </c>
      <c r="P66" s="123">
        <f t="shared" si="6"/>
        <v>0</v>
      </c>
      <c r="Q66" s="132">
        <f t="shared" si="7"/>
        <v>628185.59999999998</v>
      </c>
    </row>
    <row r="67" spans="1:17" ht="18" customHeight="1" x14ac:dyDescent="0.25">
      <c r="A67" s="23" t="s">
        <v>107</v>
      </c>
      <c r="B67" s="50" t="s">
        <v>56</v>
      </c>
      <c r="C67" s="44" t="s">
        <v>57</v>
      </c>
      <c r="D67" s="86">
        <f>ROUND(3.77*820,2)</f>
        <v>3091.4</v>
      </c>
      <c r="E67" s="113"/>
      <c r="F67" s="14"/>
      <c r="G67" s="14"/>
      <c r="H67" s="19">
        <v>116.99</v>
      </c>
      <c r="I67" s="14">
        <f>ROUND(H67*D67,2)</f>
        <v>361662.89</v>
      </c>
      <c r="J67" s="14">
        <f t="shared" ref="J67" si="120">ROUND(I67*1.2,2)</f>
        <v>433995.47</v>
      </c>
      <c r="K67" s="15">
        <f>F67+I67</f>
        <v>361662.89</v>
      </c>
      <c r="L67" s="114">
        <f>G67+J67</f>
        <v>433995.47</v>
      </c>
      <c r="M67" s="131">
        <f t="shared" si="3"/>
        <v>0</v>
      </c>
      <c r="N67" s="123">
        <f t="shared" si="4"/>
        <v>0</v>
      </c>
      <c r="O67" s="123">
        <f t="shared" si="5"/>
        <v>175.48499999999999</v>
      </c>
      <c r="P67" s="123">
        <f t="shared" si="6"/>
        <v>542494.32900000003</v>
      </c>
      <c r="Q67" s="132">
        <f t="shared" si="7"/>
        <v>542494.32900000003</v>
      </c>
    </row>
    <row r="68" spans="1:17" ht="18" customHeight="1" x14ac:dyDescent="0.25">
      <c r="A68" s="8">
        <f>A66+1</f>
        <v>24</v>
      </c>
      <c r="B68" s="25" t="s">
        <v>72</v>
      </c>
      <c r="C68" s="8" t="s">
        <v>13</v>
      </c>
      <c r="D68" s="85">
        <v>63</v>
      </c>
      <c r="E68" s="118">
        <v>10122</v>
      </c>
      <c r="F68" s="11">
        <f t="shared" ref="F68" si="121">ROUND(E68*D68,2)</f>
        <v>637686</v>
      </c>
      <c r="G68" s="11">
        <f t="shared" ref="G68" si="122">ROUND(F68*1.2,2)</f>
        <v>765223.2</v>
      </c>
      <c r="H68" s="12"/>
      <c r="I68" s="13"/>
      <c r="J68" s="13"/>
      <c r="K68" s="10">
        <f t="shared" ref="K68" si="123">F68+I68</f>
        <v>637686</v>
      </c>
      <c r="L68" s="107">
        <f t="shared" ref="L68" si="124">G68+J68</f>
        <v>765223.2</v>
      </c>
      <c r="M68" s="131">
        <f t="shared" si="3"/>
        <v>17004.96</v>
      </c>
      <c r="N68" s="123">
        <f t="shared" si="4"/>
        <v>1071312.48</v>
      </c>
      <c r="O68" s="123">
        <f t="shared" si="5"/>
        <v>0</v>
      </c>
      <c r="P68" s="123">
        <f t="shared" si="6"/>
        <v>0</v>
      </c>
      <c r="Q68" s="132">
        <f t="shared" si="7"/>
        <v>1071312.48</v>
      </c>
    </row>
    <row r="69" spans="1:17" ht="18" customHeight="1" x14ac:dyDescent="0.25">
      <c r="A69" s="23" t="s">
        <v>108</v>
      </c>
      <c r="B69" s="49" t="s">
        <v>65</v>
      </c>
      <c r="C69" s="44" t="s">
        <v>13</v>
      </c>
      <c r="D69" s="86">
        <f>ROUND(63*1.02,2)</f>
        <v>64.260000000000005</v>
      </c>
      <c r="E69" s="113"/>
      <c r="F69" s="14"/>
      <c r="G69" s="14"/>
      <c r="H69" s="19">
        <v>7620</v>
      </c>
      <c r="I69" s="14">
        <f>ROUND(H69*D69,2)</f>
        <v>489661.2</v>
      </c>
      <c r="J69" s="14">
        <f t="shared" ref="J69" si="125">ROUND(I69*1.2,2)</f>
        <v>587593.43999999994</v>
      </c>
      <c r="K69" s="15">
        <f>F69+I69</f>
        <v>489661.2</v>
      </c>
      <c r="L69" s="114">
        <f>G69+J69</f>
        <v>587593.43999999994</v>
      </c>
      <c r="M69" s="131">
        <f t="shared" si="3"/>
        <v>0</v>
      </c>
      <c r="N69" s="123">
        <f t="shared" si="4"/>
        <v>0</v>
      </c>
      <c r="O69" s="123">
        <f t="shared" si="5"/>
        <v>11430</v>
      </c>
      <c r="P69" s="123">
        <f t="shared" si="6"/>
        <v>734491.8</v>
      </c>
      <c r="Q69" s="132">
        <f t="shared" si="7"/>
        <v>734491.8</v>
      </c>
    </row>
    <row r="70" spans="1:17" ht="18" customHeight="1" x14ac:dyDescent="0.25">
      <c r="A70" s="23" t="s">
        <v>109</v>
      </c>
      <c r="B70" s="47" t="s">
        <v>71</v>
      </c>
      <c r="C70" s="44" t="s">
        <v>17</v>
      </c>
      <c r="D70" s="86">
        <v>6.9</v>
      </c>
      <c r="E70" s="113"/>
      <c r="F70" s="14"/>
      <c r="G70" s="14"/>
      <c r="H70" s="19">
        <v>78600</v>
      </c>
      <c r="I70" s="14">
        <f>ROUND(H70*D70,2)</f>
        <v>542340</v>
      </c>
      <c r="J70" s="14">
        <f t="shared" ref="J70" si="126">ROUND(I70*1.2,2)</f>
        <v>650808</v>
      </c>
      <c r="K70" s="15">
        <f>F70+I70</f>
        <v>542340</v>
      </c>
      <c r="L70" s="114">
        <f>G70+J70</f>
        <v>650808</v>
      </c>
      <c r="M70" s="131">
        <f t="shared" si="3"/>
        <v>0</v>
      </c>
      <c r="N70" s="123">
        <f t="shared" si="4"/>
        <v>0</v>
      </c>
      <c r="O70" s="123">
        <f t="shared" si="5"/>
        <v>117900</v>
      </c>
      <c r="P70" s="123">
        <f t="shared" si="6"/>
        <v>813510</v>
      </c>
      <c r="Q70" s="132">
        <f t="shared" si="7"/>
        <v>813510</v>
      </c>
    </row>
    <row r="71" spans="1:17" ht="18" customHeight="1" x14ac:dyDescent="0.25">
      <c r="A71" s="8">
        <f>A68+1</f>
        <v>25</v>
      </c>
      <c r="B71" s="25" t="s">
        <v>97</v>
      </c>
      <c r="C71" s="26" t="s">
        <v>45</v>
      </c>
      <c r="D71" s="85">
        <v>33</v>
      </c>
      <c r="E71" s="118">
        <v>456</v>
      </c>
      <c r="F71" s="11">
        <f t="shared" ref="F71" si="127">ROUND(E71*D71,2)</f>
        <v>15048</v>
      </c>
      <c r="G71" s="11">
        <f t="shared" ref="G71" si="128">ROUND(F71*1.2,2)</f>
        <v>18057.599999999999</v>
      </c>
      <c r="H71" s="12"/>
      <c r="I71" s="13"/>
      <c r="J71" s="13"/>
      <c r="K71" s="10">
        <f t="shared" ref="K71" si="129">F71+I71</f>
        <v>15048</v>
      </c>
      <c r="L71" s="107">
        <f t="shared" ref="L71" si="130">G71+J71</f>
        <v>18057.599999999999</v>
      </c>
      <c r="M71" s="131">
        <f t="shared" si="3"/>
        <v>766.07999999999993</v>
      </c>
      <c r="N71" s="123">
        <f t="shared" si="4"/>
        <v>25280.639999999999</v>
      </c>
      <c r="O71" s="123">
        <f t="shared" si="5"/>
        <v>0</v>
      </c>
      <c r="P71" s="123">
        <f t="shared" si="6"/>
        <v>0</v>
      </c>
      <c r="Q71" s="132">
        <f t="shared" si="7"/>
        <v>25280.639999999999</v>
      </c>
    </row>
    <row r="72" spans="1:17" ht="18" customHeight="1" x14ac:dyDescent="0.25">
      <c r="A72" s="23" t="s">
        <v>110</v>
      </c>
      <c r="B72" s="47" t="s">
        <v>58</v>
      </c>
      <c r="C72" s="44" t="s">
        <v>16</v>
      </c>
      <c r="D72" s="86">
        <v>33</v>
      </c>
      <c r="E72" s="113"/>
      <c r="F72" s="14"/>
      <c r="G72" s="14"/>
      <c r="H72" s="19">
        <v>249.25</v>
      </c>
      <c r="I72" s="14">
        <f>ROUND(H72*D72,2)</f>
        <v>8225.25</v>
      </c>
      <c r="J72" s="14">
        <f t="shared" ref="J72" si="131">ROUND(I72*1.2,2)</f>
        <v>9870.2999999999993</v>
      </c>
      <c r="K72" s="15">
        <f>F72+I72</f>
        <v>8225.25</v>
      </c>
      <c r="L72" s="114">
        <f>G72+J72</f>
        <v>9870.2999999999993</v>
      </c>
      <c r="M72" s="131">
        <f t="shared" si="3"/>
        <v>0</v>
      </c>
      <c r="N72" s="123">
        <f t="shared" si="4"/>
        <v>0</v>
      </c>
      <c r="O72" s="123">
        <f t="shared" si="5"/>
        <v>373.875</v>
      </c>
      <c r="P72" s="123">
        <f t="shared" si="6"/>
        <v>12337.875</v>
      </c>
      <c r="Q72" s="132">
        <f t="shared" si="7"/>
        <v>12337.875</v>
      </c>
    </row>
    <row r="73" spans="1:17" ht="33" customHeight="1" x14ac:dyDescent="0.25">
      <c r="A73" s="8">
        <f>A71+1</f>
        <v>26</v>
      </c>
      <c r="B73" s="25" t="s">
        <v>98</v>
      </c>
      <c r="C73" s="8" t="s">
        <v>17</v>
      </c>
      <c r="D73" s="89">
        <v>0.2</v>
      </c>
      <c r="E73" s="106">
        <v>104862.17</v>
      </c>
      <c r="F73" s="11">
        <f t="shared" ref="F73" si="132">ROUND(E73*D73,2)</f>
        <v>20972.43</v>
      </c>
      <c r="G73" s="11">
        <f t="shared" ref="G73" si="133">ROUND(F73*1.2,2)</f>
        <v>25166.92</v>
      </c>
      <c r="H73" s="12"/>
      <c r="I73" s="13"/>
      <c r="J73" s="13"/>
      <c r="K73" s="10">
        <f t="shared" ref="K73" si="134">F73+I73</f>
        <v>20972.43</v>
      </c>
      <c r="L73" s="107">
        <f t="shared" ref="L73" si="135">G73+J73</f>
        <v>25166.92</v>
      </c>
      <c r="M73" s="131">
        <f t="shared" si="3"/>
        <v>176168.44560000001</v>
      </c>
      <c r="N73" s="123">
        <f t="shared" si="4"/>
        <v>35233.689120000003</v>
      </c>
      <c r="O73" s="123">
        <f t="shared" si="5"/>
        <v>0</v>
      </c>
      <c r="P73" s="123">
        <f t="shared" si="6"/>
        <v>0</v>
      </c>
      <c r="Q73" s="132">
        <f t="shared" si="7"/>
        <v>35233.689120000003</v>
      </c>
    </row>
    <row r="74" spans="1:17" ht="18" customHeight="1" x14ac:dyDescent="0.25">
      <c r="A74" s="23" t="s">
        <v>50</v>
      </c>
      <c r="B74" s="47" t="s">
        <v>59</v>
      </c>
      <c r="C74" s="44" t="s">
        <v>17</v>
      </c>
      <c r="D74" s="86">
        <v>0.2</v>
      </c>
      <c r="E74" s="113"/>
      <c r="F74" s="14"/>
      <c r="G74" s="14"/>
      <c r="H74" s="19">
        <v>90000</v>
      </c>
      <c r="I74" s="14">
        <f>ROUND(H74*D74,2)</f>
        <v>18000</v>
      </c>
      <c r="J74" s="14">
        <f t="shared" ref="J74" si="136">ROUND(I74*1.2,2)</f>
        <v>21600</v>
      </c>
      <c r="K74" s="15">
        <f>F74+I74</f>
        <v>18000</v>
      </c>
      <c r="L74" s="114">
        <f>G74+J74</f>
        <v>21600</v>
      </c>
      <c r="M74" s="131">
        <f t="shared" si="3"/>
        <v>0</v>
      </c>
      <c r="N74" s="123">
        <f t="shared" si="4"/>
        <v>0</v>
      </c>
      <c r="O74" s="123">
        <f t="shared" si="5"/>
        <v>135000</v>
      </c>
      <c r="P74" s="123">
        <f t="shared" si="6"/>
        <v>27000</v>
      </c>
      <c r="Q74" s="132">
        <f t="shared" si="7"/>
        <v>27000</v>
      </c>
    </row>
    <row r="75" spans="1:17" ht="18" customHeight="1" x14ac:dyDescent="0.25">
      <c r="A75" s="8">
        <f>A73+1</f>
        <v>27</v>
      </c>
      <c r="B75" s="25" t="s">
        <v>75</v>
      </c>
      <c r="C75" s="54" t="s">
        <v>38</v>
      </c>
      <c r="D75" s="85">
        <v>3</v>
      </c>
      <c r="E75" s="106">
        <v>1950.32</v>
      </c>
      <c r="F75" s="58">
        <f t="shared" ref="F75" si="137">ROUND(E75*D75,2)</f>
        <v>5850.96</v>
      </c>
      <c r="G75" s="58">
        <f t="shared" ref="G75" si="138">ROUND(F75*1.2,2)</f>
        <v>7021.15</v>
      </c>
      <c r="H75" s="12"/>
      <c r="I75" s="59"/>
      <c r="J75" s="13"/>
      <c r="K75" s="10">
        <f t="shared" ref="K75" si="139">F75+I75</f>
        <v>5850.96</v>
      </c>
      <c r="L75" s="107">
        <f t="shared" ref="L75" si="140">G75+J75</f>
        <v>7021.15</v>
      </c>
      <c r="M75" s="131">
        <f t="shared" si="3"/>
        <v>3276.5375999999997</v>
      </c>
      <c r="N75" s="123">
        <f t="shared" si="4"/>
        <v>9829.612799999999</v>
      </c>
      <c r="O75" s="123">
        <f t="shared" si="5"/>
        <v>0</v>
      </c>
      <c r="P75" s="123">
        <f t="shared" si="6"/>
        <v>0</v>
      </c>
      <c r="Q75" s="132">
        <f t="shared" si="7"/>
        <v>9829.612799999999</v>
      </c>
    </row>
    <row r="76" spans="1:17" ht="18" customHeight="1" x14ac:dyDescent="0.25">
      <c r="A76" s="23" t="s">
        <v>104</v>
      </c>
      <c r="B76" s="47" t="s">
        <v>76</v>
      </c>
      <c r="C76" s="60" t="s">
        <v>17</v>
      </c>
      <c r="D76" s="90">
        <v>0.06</v>
      </c>
      <c r="E76" s="115"/>
      <c r="F76" s="57"/>
      <c r="G76" s="57"/>
      <c r="H76" s="19">
        <v>127604.17</v>
      </c>
      <c r="I76" s="57">
        <f>ROUND(H76*D76,2)</f>
        <v>7656.25</v>
      </c>
      <c r="J76" s="14">
        <f t="shared" ref="J76" si="141">ROUND(I76*1.2,2)</f>
        <v>9187.5</v>
      </c>
      <c r="K76" s="15">
        <f>F76+I76</f>
        <v>7656.25</v>
      </c>
      <c r="L76" s="114">
        <f>G76+J76</f>
        <v>9187.5</v>
      </c>
      <c r="M76" s="131">
        <f t="shared" si="3"/>
        <v>0</v>
      </c>
      <c r="N76" s="123">
        <f t="shared" si="4"/>
        <v>0</v>
      </c>
      <c r="O76" s="123">
        <f t="shared" si="5"/>
        <v>191406.25499999998</v>
      </c>
      <c r="P76" s="123">
        <f t="shared" si="6"/>
        <v>11484.375299999998</v>
      </c>
      <c r="Q76" s="132">
        <f t="shared" si="7"/>
        <v>11484.375299999998</v>
      </c>
    </row>
    <row r="77" spans="1:17" ht="18" customHeight="1" x14ac:dyDescent="0.25">
      <c r="A77" s="8">
        <f>A75+1</f>
        <v>28</v>
      </c>
      <c r="B77" s="25" t="s">
        <v>74</v>
      </c>
      <c r="C77" s="8" t="s">
        <v>38</v>
      </c>
      <c r="D77" s="85">
        <v>3</v>
      </c>
      <c r="E77" s="106">
        <v>351</v>
      </c>
      <c r="F77" s="11">
        <f t="shared" ref="F77" si="142">ROUND(E77*D77,2)</f>
        <v>1053</v>
      </c>
      <c r="G77" s="11">
        <f t="shared" ref="G77" si="143">ROUND(F77*1.2,2)</f>
        <v>1263.5999999999999</v>
      </c>
      <c r="H77" s="12"/>
      <c r="I77" s="13"/>
      <c r="J77" s="13"/>
      <c r="K77" s="10">
        <f t="shared" ref="K77" si="144">F77+I77</f>
        <v>1053</v>
      </c>
      <c r="L77" s="107">
        <f t="shared" ref="L77" si="145">G77+J77</f>
        <v>1263.5999999999999</v>
      </c>
      <c r="M77" s="131">
        <f t="shared" ref="M77:M95" si="146">E77*$M$1*$O$1</f>
        <v>589.67999999999995</v>
      </c>
      <c r="N77" s="123">
        <f t="shared" ref="N77:N95" si="147">D77*M77</f>
        <v>1769.04</v>
      </c>
      <c r="O77" s="123">
        <f t="shared" ref="O77:O95" si="148">H77*$N$1*$O$1</f>
        <v>0</v>
      </c>
      <c r="P77" s="123">
        <f t="shared" ref="P77:P95" si="149">O77*D77</f>
        <v>0</v>
      </c>
      <c r="Q77" s="132">
        <f t="shared" ref="Q77:Q95" si="150">N77+P77</f>
        <v>1769.04</v>
      </c>
    </row>
    <row r="78" spans="1:17" ht="18" customHeight="1" x14ac:dyDescent="0.25">
      <c r="A78" s="23" t="s">
        <v>51</v>
      </c>
      <c r="B78" s="50" t="s">
        <v>73</v>
      </c>
      <c r="C78" s="44" t="s">
        <v>13</v>
      </c>
      <c r="D78" s="86">
        <v>0.5</v>
      </c>
      <c r="E78" s="115"/>
      <c r="F78" s="14"/>
      <c r="G78" s="14"/>
      <c r="H78" s="19">
        <v>4423.67</v>
      </c>
      <c r="I78" s="14">
        <f>ROUND(H78*D78,2)</f>
        <v>2211.84</v>
      </c>
      <c r="J78" s="14">
        <f t="shared" ref="J78" si="151">ROUND(I78*1.2,2)</f>
        <v>2654.21</v>
      </c>
      <c r="K78" s="15">
        <f>F78+I78</f>
        <v>2211.84</v>
      </c>
      <c r="L78" s="114">
        <f>G78+J78</f>
        <v>2654.21</v>
      </c>
      <c r="M78" s="131">
        <f t="shared" si="146"/>
        <v>0</v>
      </c>
      <c r="N78" s="123">
        <f t="shared" si="147"/>
        <v>0</v>
      </c>
      <c r="O78" s="123">
        <f t="shared" si="148"/>
        <v>6635.5049999999992</v>
      </c>
      <c r="P78" s="123">
        <f t="shared" si="149"/>
        <v>3317.7524999999996</v>
      </c>
      <c r="Q78" s="132">
        <f t="shared" si="150"/>
        <v>3317.7524999999996</v>
      </c>
    </row>
    <row r="79" spans="1:17" ht="18" customHeight="1" x14ac:dyDescent="0.25">
      <c r="A79" s="8">
        <f>A77+1</f>
        <v>29</v>
      </c>
      <c r="B79" s="25" t="s">
        <v>41</v>
      </c>
      <c r="C79" s="8" t="s">
        <v>13</v>
      </c>
      <c r="D79" s="85">
        <v>0.9</v>
      </c>
      <c r="E79" s="106">
        <v>3722.86</v>
      </c>
      <c r="F79" s="11">
        <f t="shared" ref="F79" si="152">ROUND(E79*D79,2)</f>
        <v>3350.57</v>
      </c>
      <c r="G79" s="11">
        <f t="shared" ref="G79" si="153">ROUND(F79*1.2,2)</f>
        <v>4020.68</v>
      </c>
      <c r="H79" s="12"/>
      <c r="I79" s="13"/>
      <c r="J79" s="13"/>
      <c r="K79" s="10">
        <f t="shared" ref="K79" si="154">F79+I79</f>
        <v>3350.57</v>
      </c>
      <c r="L79" s="107">
        <f t="shared" ref="L79" si="155">G79+J79</f>
        <v>4020.68</v>
      </c>
      <c r="M79" s="131">
        <f t="shared" si="146"/>
        <v>6254.4047999999993</v>
      </c>
      <c r="N79" s="123">
        <f t="shared" si="147"/>
        <v>5628.9643199999991</v>
      </c>
      <c r="O79" s="123">
        <f t="shared" si="148"/>
        <v>0</v>
      </c>
      <c r="P79" s="123">
        <f t="shared" si="149"/>
        <v>0</v>
      </c>
      <c r="Q79" s="132">
        <f t="shared" si="150"/>
        <v>5628.9643199999991</v>
      </c>
    </row>
    <row r="80" spans="1:17" ht="18" customHeight="1" x14ac:dyDescent="0.25">
      <c r="A80" s="8">
        <f t="shared" ref="A80:A82" si="156">A79+1</f>
        <v>30</v>
      </c>
      <c r="B80" s="25" t="s">
        <v>77</v>
      </c>
      <c r="C80" s="8" t="s">
        <v>17</v>
      </c>
      <c r="D80" s="85">
        <v>0.3</v>
      </c>
      <c r="E80" s="106">
        <v>69599.839999999997</v>
      </c>
      <c r="F80" s="11">
        <f t="shared" ref="F80" si="157">ROUND(E80*D80,2)</f>
        <v>20879.95</v>
      </c>
      <c r="G80" s="11">
        <f t="shared" ref="G80" si="158">ROUND(F80*1.2,2)</f>
        <v>25055.94</v>
      </c>
      <c r="H80" s="12"/>
      <c r="I80" s="13"/>
      <c r="J80" s="13"/>
      <c r="K80" s="10">
        <f t="shared" ref="K80" si="159">F80+I80</f>
        <v>20879.95</v>
      </c>
      <c r="L80" s="107">
        <f t="shared" ref="L80" si="160">G80+J80</f>
        <v>25055.94</v>
      </c>
      <c r="M80" s="131">
        <f t="shared" si="146"/>
        <v>116927.73119999998</v>
      </c>
      <c r="N80" s="123">
        <f t="shared" si="147"/>
        <v>35078.319359999994</v>
      </c>
      <c r="O80" s="123">
        <f t="shared" si="148"/>
        <v>0</v>
      </c>
      <c r="P80" s="123">
        <f t="shared" si="149"/>
        <v>0</v>
      </c>
      <c r="Q80" s="132">
        <f t="shared" si="150"/>
        <v>35078.319359999994</v>
      </c>
    </row>
    <row r="81" spans="1:17" ht="18" customHeight="1" x14ac:dyDescent="0.25">
      <c r="A81" s="8">
        <f t="shared" si="156"/>
        <v>31</v>
      </c>
      <c r="B81" s="25" t="s">
        <v>78</v>
      </c>
      <c r="C81" s="8" t="s">
        <v>17</v>
      </c>
      <c r="D81" s="85">
        <v>0.3</v>
      </c>
      <c r="E81" s="106">
        <v>190000</v>
      </c>
      <c r="F81" s="11">
        <f t="shared" ref="F81:F86" si="161">ROUND(E81*D81,2)</f>
        <v>57000</v>
      </c>
      <c r="G81" s="11">
        <f t="shared" ref="G81:G86" si="162">ROUND(F81*1.2,2)</f>
        <v>68400</v>
      </c>
      <c r="H81" s="12"/>
      <c r="I81" s="13"/>
      <c r="J81" s="13"/>
      <c r="K81" s="10">
        <f t="shared" ref="K81:K86" si="163">F81+I81</f>
        <v>57000</v>
      </c>
      <c r="L81" s="107">
        <f t="shared" ref="L81:L86" si="164">G81+J81</f>
        <v>68400</v>
      </c>
      <c r="M81" s="131">
        <f t="shared" si="146"/>
        <v>319200</v>
      </c>
      <c r="N81" s="123">
        <f t="shared" si="147"/>
        <v>95760</v>
      </c>
      <c r="O81" s="123">
        <f t="shared" si="148"/>
        <v>0</v>
      </c>
      <c r="P81" s="123">
        <f t="shared" si="149"/>
        <v>0</v>
      </c>
      <c r="Q81" s="132">
        <f t="shared" si="150"/>
        <v>95760</v>
      </c>
    </row>
    <row r="82" spans="1:17" ht="18" customHeight="1" x14ac:dyDescent="0.25">
      <c r="A82" s="8">
        <f t="shared" si="156"/>
        <v>32</v>
      </c>
      <c r="B82" s="25" t="s">
        <v>80</v>
      </c>
      <c r="C82" s="8" t="s">
        <v>38</v>
      </c>
      <c r="D82" s="85">
        <v>57</v>
      </c>
      <c r="E82" s="106">
        <v>2000</v>
      </c>
      <c r="F82" s="11">
        <f t="shared" ref="F82:F83" si="165">ROUND(E82*D82,2)</f>
        <v>114000</v>
      </c>
      <c r="G82" s="11">
        <f t="shared" ref="G82:G83" si="166">ROUND(F82*1.2,2)</f>
        <v>136800</v>
      </c>
      <c r="H82" s="12"/>
      <c r="I82" s="13"/>
      <c r="J82" s="13"/>
      <c r="K82" s="10">
        <f t="shared" ref="K82:K83" si="167">F82+I82</f>
        <v>114000</v>
      </c>
      <c r="L82" s="107">
        <f t="shared" ref="L82:L83" si="168">G82+J82</f>
        <v>136800</v>
      </c>
      <c r="M82" s="131">
        <f t="shared" si="146"/>
        <v>3360</v>
      </c>
      <c r="N82" s="123">
        <f t="shared" si="147"/>
        <v>191520</v>
      </c>
      <c r="O82" s="123">
        <f t="shared" si="148"/>
        <v>0</v>
      </c>
      <c r="P82" s="123">
        <f t="shared" si="149"/>
        <v>0</v>
      </c>
      <c r="Q82" s="132">
        <f t="shared" si="150"/>
        <v>191520</v>
      </c>
    </row>
    <row r="83" spans="1:17" ht="18" customHeight="1" x14ac:dyDescent="0.25">
      <c r="A83" s="8"/>
      <c r="B83" s="25" t="s">
        <v>143</v>
      </c>
      <c r="C83" s="8" t="s">
        <v>13</v>
      </c>
      <c r="D83" s="85">
        <v>8.5500000000000007</v>
      </c>
      <c r="E83" s="106">
        <v>1630</v>
      </c>
      <c r="F83" s="11">
        <f t="shared" si="165"/>
        <v>13936.5</v>
      </c>
      <c r="G83" s="11">
        <f t="shared" si="166"/>
        <v>16723.8</v>
      </c>
      <c r="H83" s="12"/>
      <c r="I83" s="13"/>
      <c r="J83" s="13"/>
      <c r="K83" s="10">
        <f t="shared" si="167"/>
        <v>13936.5</v>
      </c>
      <c r="L83" s="107">
        <f t="shared" si="168"/>
        <v>16723.8</v>
      </c>
      <c r="M83" s="131">
        <f t="shared" si="146"/>
        <v>2738.4</v>
      </c>
      <c r="N83" s="123">
        <f t="shared" si="147"/>
        <v>23413.320000000003</v>
      </c>
      <c r="O83" s="123">
        <f t="shared" si="148"/>
        <v>0</v>
      </c>
      <c r="P83" s="123">
        <f t="shared" si="149"/>
        <v>0</v>
      </c>
      <c r="Q83" s="132">
        <f t="shared" si="150"/>
        <v>23413.320000000003</v>
      </c>
    </row>
    <row r="84" spans="1:17" ht="18" customHeight="1" x14ac:dyDescent="0.25">
      <c r="A84" s="23"/>
      <c r="B84" s="47" t="s">
        <v>144</v>
      </c>
      <c r="C84" s="44" t="s">
        <v>13</v>
      </c>
      <c r="D84" s="91">
        <v>10.26</v>
      </c>
      <c r="E84" s="113"/>
      <c r="F84" s="14"/>
      <c r="G84" s="14"/>
      <c r="H84" s="19">
        <v>3000</v>
      </c>
      <c r="I84" s="14">
        <f>ROUND(H84*D84,2)</f>
        <v>30780</v>
      </c>
      <c r="J84" s="14">
        <f t="shared" ref="J84" si="169">ROUND(I84*1.2,2)</f>
        <v>36936</v>
      </c>
      <c r="K84" s="15">
        <f>F84+I84</f>
        <v>30780</v>
      </c>
      <c r="L84" s="114">
        <f>G84+J84</f>
        <v>36936</v>
      </c>
      <c r="M84" s="131">
        <f t="shared" si="146"/>
        <v>0</v>
      </c>
      <c r="N84" s="123">
        <f t="shared" si="147"/>
        <v>0</v>
      </c>
      <c r="O84" s="123">
        <f t="shared" si="148"/>
        <v>4500</v>
      </c>
      <c r="P84" s="123">
        <f t="shared" si="149"/>
        <v>46170</v>
      </c>
      <c r="Q84" s="132">
        <f t="shared" si="150"/>
        <v>46170</v>
      </c>
    </row>
    <row r="85" spans="1:17" ht="18" customHeight="1" x14ac:dyDescent="0.25">
      <c r="A85" s="23" t="s">
        <v>111</v>
      </c>
      <c r="B85" s="47" t="s">
        <v>82</v>
      </c>
      <c r="C85" s="44" t="s">
        <v>17</v>
      </c>
      <c r="D85" s="91">
        <f>D82*96.6/1000</f>
        <v>5.5061999999999998</v>
      </c>
      <c r="E85" s="113"/>
      <c r="F85" s="14"/>
      <c r="G85" s="14"/>
      <c r="H85" s="19">
        <v>4406.1000000000004</v>
      </c>
      <c r="I85" s="14">
        <f>ROUND(H85*D85,2)</f>
        <v>24260.87</v>
      </c>
      <c r="J85" s="14">
        <f t="shared" ref="J85" si="170">ROUND(I85*1.2,2)</f>
        <v>29113.040000000001</v>
      </c>
      <c r="K85" s="15">
        <f>F85+I85</f>
        <v>24260.87</v>
      </c>
      <c r="L85" s="114">
        <f>G85+J85</f>
        <v>29113.040000000001</v>
      </c>
      <c r="M85" s="131">
        <f t="shared" si="146"/>
        <v>0</v>
      </c>
      <c r="N85" s="123">
        <f t="shared" si="147"/>
        <v>0</v>
      </c>
      <c r="O85" s="123">
        <f t="shared" si="148"/>
        <v>6609.15</v>
      </c>
      <c r="P85" s="123">
        <f t="shared" si="149"/>
        <v>36391.301729999999</v>
      </c>
      <c r="Q85" s="132">
        <f t="shared" si="150"/>
        <v>36391.301729999999</v>
      </c>
    </row>
    <row r="86" spans="1:17" ht="18" customHeight="1" x14ac:dyDescent="0.25">
      <c r="A86" s="8">
        <f>A82+1</f>
        <v>33</v>
      </c>
      <c r="B86" s="25" t="s">
        <v>79</v>
      </c>
      <c r="C86" s="8" t="s">
        <v>38</v>
      </c>
      <c r="D86" s="85">
        <v>57</v>
      </c>
      <c r="E86" s="106">
        <v>1600</v>
      </c>
      <c r="F86" s="11">
        <f t="shared" si="161"/>
        <v>91200</v>
      </c>
      <c r="G86" s="11">
        <f t="shared" si="162"/>
        <v>109440</v>
      </c>
      <c r="H86" s="12"/>
      <c r="I86" s="13"/>
      <c r="J86" s="13"/>
      <c r="K86" s="10">
        <f t="shared" si="163"/>
        <v>91200</v>
      </c>
      <c r="L86" s="107">
        <f t="shared" si="164"/>
        <v>109440</v>
      </c>
      <c r="M86" s="131">
        <f t="shared" si="146"/>
        <v>2688</v>
      </c>
      <c r="N86" s="123">
        <f t="shared" si="147"/>
        <v>153216</v>
      </c>
      <c r="O86" s="123">
        <f t="shared" si="148"/>
        <v>0</v>
      </c>
      <c r="P86" s="123">
        <f t="shared" si="149"/>
        <v>0</v>
      </c>
      <c r="Q86" s="132">
        <f t="shared" si="150"/>
        <v>153216</v>
      </c>
    </row>
    <row r="87" spans="1:17" ht="18" customHeight="1" x14ac:dyDescent="0.25">
      <c r="A87" s="23" t="s">
        <v>112</v>
      </c>
      <c r="B87" s="47" t="s">
        <v>81</v>
      </c>
      <c r="C87" s="44" t="s">
        <v>17</v>
      </c>
      <c r="D87" s="91">
        <f>D86*141.15/1000</f>
        <v>8.0455500000000004</v>
      </c>
      <c r="E87" s="113"/>
      <c r="F87" s="14"/>
      <c r="G87" s="14"/>
      <c r="H87" s="19">
        <v>4406.1000000000004</v>
      </c>
      <c r="I87" s="14">
        <f>ROUND(H87*D87,2)</f>
        <v>35449.5</v>
      </c>
      <c r="J87" s="14">
        <f t="shared" ref="J87" si="171">ROUND(I87*1.2,2)</f>
        <v>42539.4</v>
      </c>
      <c r="K87" s="15">
        <f>F87+I87</f>
        <v>35449.5</v>
      </c>
      <c r="L87" s="114">
        <f>G87+J87</f>
        <v>42539.4</v>
      </c>
      <c r="M87" s="131">
        <f t="shared" si="146"/>
        <v>0</v>
      </c>
      <c r="N87" s="123">
        <f t="shared" si="147"/>
        <v>0</v>
      </c>
      <c r="O87" s="123">
        <f t="shared" si="148"/>
        <v>6609.15</v>
      </c>
      <c r="P87" s="123">
        <f t="shared" si="149"/>
        <v>53174.246782499999</v>
      </c>
      <c r="Q87" s="132">
        <f t="shared" si="150"/>
        <v>53174.246782499999</v>
      </c>
    </row>
    <row r="88" spans="1:17" ht="18" customHeight="1" x14ac:dyDescent="0.25">
      <c r="A88" s="8">
        <f>A86+1</f>
        <v>34</v>
      </c>
      <c r="B88" s="25" t="s">
        <v>39</v>
      </c>
      <c r="C88" s="8" t="s">
        <v>38</v>
      </c>
      <c r="D88" s="85">
        <v>440</v>
      </c>
      <c r="E88" s="111">
        <v>999.95</v>
      </c>
      <c r="F88" s="11">
        <f t="shared" ref="F88" si="172">ROUND(E88*D88,2)</f>
        <v>439978</v>
      </c>
      <c r="G88" s="11">
        <f t="shared" ref="G88" si="173">ROUND(F88*1.2,2)</f>
        <v>527973.6</v>
      </c>
      <c r="H88" s="12"/>
      <c r="I88" s="13"/>
      <c r="J88" s="13"/>
      <c r="K88" s="10">
        <f t="shared" ref="K88" si="174">F88+I88</f>
        <v>439978</v>
      </c>
      <c r="L88" s="107">
        <f t="shared" ref="L88" si="175">G88+J88</f>
        <v>527973.6</v>
      </c>
      <c r="M88" s="131">
        <f t="shared" si="146"/>
        <v>1679.9159999999999</v>
      </c>
      <c r="N88" s="123">
        <f t="shared" si="147"/>
        <v>739163.03999999992</v>
      </c>
      <c r="O88" s="123">
        <f t="shared" si="148"/>
        <v>0</v>
      </c>
      <c r="P88" s="123">
        <f t="shared" si="149"/>
        <v>0</v>
      </c>
      <c r="Q88" s="132">
        <f t="shared" si="150"/>
        <v>739163.03999999992</v>
      </c>
    </row>
    <row r="89" spans="1:17" ht="30" x14ac:dyDescent="0.25">
      <c r="A89" s="8">
        <f>A88+1</f>
        <v>35</v>
      </c>
      <c r="B89" s="25" t="s">
        <v>42</v>
      </c>
      <c r="C89" s="8" t="s">
        <v>38</v>
      </c>
      <c r="D89" s="85">
        <v>121</v>
      </c>
      <c r="E89" s="111">
        <v>152</v>
      </c>
      <c r="F89" s="11">
        <f t="shared" ref="F89" si="176">ROUND(E89*D89,2)</f>
        <v>18392</v>
      </c>
      <c r="G89" s="11">
        <f t="shared" ref="G89" si="177">ROUND(F89*1.2,2)</f>
        <v>22070.400000000001</v>
      </c>
      <c r="H89" s="12"/>
      <c r="I89" s="13"/>
      <c r="J89" s="13"/>
      <c r="K89" s="10">
        <f t="shared" ref="K89" si="178">F89+I89</f>
        <v>18392</v>
      </c>
      <c r="L89" s="107">
        <f t="shared" ref="L89" si="179">G89+J89</f>
        <v>22070.400000000001</v>
      </c>
      <c r="M89" s="131">
        <f t="shared" si="146"/>
        <v>255.35999999999996</v>
      </c>
      <c r="N89" s="123">
        <f t="shared" si="147"/>
        <v>30898.559999999994</v>
      </c>
      <c r="O89" s="123">
        <f t="shared" si="148"/>
        <v>0</v>
      </c>
      <c r="P89" s="123">
        <f t="shared" si="149"/>
        <v>0</v>
      </c>
      <c r="Q89" s="132">
        <f t="shared" si="150"/>
        <v>30898.559999999994</v>
      </c>
    </row>
    <row r="90" spans="1:17" ht="18" customHeight="1" x14ac:dyDescent="0.25">
      <c r="A90" s="23" t="s">
        <v>113</v>
      </c>
      <c r="B90" s="47" t="str">
        <f>[1]СМР!B68</f>
        <v>Грунтовка Ceresit CT 17 PRO глубокого проникновения</v>
      </c>
      <c r="C90" s="44" t="str">
        <f>[1]СМР!C68</f>
        <v>л</v>
      </c>
      <c r="D90" s="86">
        <f>[1]СМР!D68</f>
        <v>25</v>
      </c>
      <c r="E90" s="113"/>
      <c r="F90" s="14"/>
      <c r="G90" s="14"/>
      <c r="H90" s="19">
        <v>115</v>
      </c>
      <c r="I90" s="14">
        <f>ROUND(H90*D90,2)</f>
        <v>2875</v>
      </c>
      <c r="J90" s="14">
        <f t="shared" ref="J90" si="180">ROUND(I90*1.2,2)</f>
        <v>3450</v>
      </c>
      <c r="K90" s="15">
        <f>F90+I90</f>
        <v>2875</v>
      </c>
      <c r="L90" s="114">
        <f>G90+J90</f>
        <v>3450</v>
      </c>
      <c r="M90" s="131">
        <f t="shared" si="146"/>
        <v>0</v>
      </c>
      <c r="N90" s="123">
        <f t="shared" si="147"/>
        <v>0</v>
      </c>
      <c r="O90" s="123">
        <f t="shared" si="148"/>
        <v>172.5</v>
      </c>
      <c r="P90" s="123">
        <f t="shared" si="149"/>
        <v>4312.5</v>
      </c>
      <c r="Q90" s="132">
        <f t="shared" si="150"/>
        <v>4312.5</v>
      </c>
    </row>
    <row r="91" spans="1:17" ht="30" x14ac:dyDescent="0.25">
      <c r="A91" s="8">
        <f>A89+1</f>
        <v>36</v>
      </c>
      <c r="B91" s="25" t="s">
        <v>43</v>
      </c>
      <c r="C91" s="8" t="s">
        <v>38</v>
      </c>
      <c r="D91" s="85">
        <v>121</v>
      </c>
      <c r="E91" s="106">
        <v>152</v>
      </c>
      <c r="F91" s="11">
        <f t="shared" ref="F91" si="181">ROUND(E91*D91,2)</f>
        <v>18392</v>
      </c>
      <c r="G91" s="11">
        <f t="shared" ref="G91" si="182">ROUND(F91*1.2,2)</f>
        <v>22070.400000000001</v>
      </c>
      <c r="H91" s="12"/>
      <c r="I91" s="13"/>
      <c r="J91" s="13"/>
      <c r="K91" s="10">
        <f t="shared" ref="K91" si="183">F91+I91</f>
        <v>18392</v>
      </c>
      <c r="L91" s="107">
        <f t="shared" ref="L91" si="184">G91+J91</f>
        <v>22070.400000000001</v>
      </c>
      <c r="M91" s="131">
        <f t="shared" si="146"/>
        <v>255.35999999999996</v>
      </c>
      <c r="N91" s="123">
        <f t="shared" si="147"/>
        <v>30898.559999999994</v>
      </c>
      <c r="O91" s="123">
        <f t="shared" si="148"/>
        <v>0</v>
      </c>
      <c r="P91" s="123">
        <f t="shared" si="149"/>
        <v>0</v>
      </c>
      <c r="Q91" s="132">
        <f t="shared" si="150"/>
        <v>30898.559999999994</v>
      </c>
    </row>
    <row r="92" spans="1:17" ht="18" customHeight="1" x14ac:dyDescent="0.25">
      <c r="A92" s="23" t="s">
        <v>114</v>
      </c>
      <c r="B92" s="47" t="str">
        <f>[1]СМР!B70</f>
        <v>Водоэмульсионная краска Movatex EXTRA для стен и потолков</v>
      </c>
      <c r="C92" s="44" t="str">
        <f>[1]СМР!C70</f>
        <v>кг</v>
      </c>
      <c r="D92" s="86">
        <f>[1]СМР!D70</f>
        <v>20</v>
      </c>
      <c r="E92" s="113"/>
      <c r="F92" s="14"/>
      <c r="G92" s="14"/>
      <c r="H92" s="19">
        <f>[1]СМР!H70</f>
        <v>110</v>
      </c>
      <c r="I92" s="14">
        <f>ROUND(H92*D92,2)</f>
        <v>2200</v>
      </c>
      <c r="J92" s="14">
        <f t="shared" ref="J92" si="185">ROUND(I92*1.2,2)</f>
        <v>2640</v>
      </c>
      <c r="K92" s="15">
        <f>F92+I92</f>
        <v>2200</v>
      </c>
      <c r="L92" s="114">
        <f>G92+J92</f>
        <v>2640</v>
      </c>
      <c r="M92" s="131">
        <f t="shared" si="146"/>
        <v>0</v>
      </c>
      <c r="N92" s="123">
        <f t="shared" si="147"/>
        <v>0</v>
      </c>
      <c r="O92" s="123">
        <f t="shared" si="148"/>
        <v>165</v>
      </c>
      <c r="P92" s="123">
        <f t="shared" si="149"/>
        <v>3300</v>
      </c>
      <c r="Q92" s="132">
        <f t="shared" si="150"/>
        <v>3300</v>
      </c>
    </row>
    <row r="93" spans="1:17" ht="30" x14ac:dyDescent="0.25">
      <c r="A93" s="8">
        <f>A91+1</f>
        <v>37</v>
      </c>
      <c r="B93" s="25" t="s">
        <v>44</v>
      </c>
      <c r="C93" s="8" t="s">
        <v>38</v>
      </c>
      <c r="D93" s="85">
        <v>440</v>
      </c>
      <c r="E93" s="106">
        <v>1518.53</v>
      </c>
      <c r="F93" s="11">
        <f t="shared" ref="F93" si="186">ROUND(E93*D93,2)</f>
        <v>668153.19999999995</v>
      </c>
      <c r="G93" s="11">
        <f t="shared" ref="G93" si="187">ROUND(F93*1.2,2)</f>
        <v>801783.84</v>
      </c>
      <c r="H93" s="12"/>
      <c r="I93" s="13"/>
      <c r="J93" s="13"/>
      <c r="K93" s="10">
        <f t="shared" ref="K93" si="188">F93+I93</f>
        <v>668153.19999999995</v>
      </c>
      <c r="L93" s="107">
        <f t="shared" ref="L93" si="189">G93+J93</f>
        <v>801783.84</v>
      </c>
      <c r="M93" s="131">
        <f t="shared" si="146"/>
        <v>2551.1304</v>
      </c>
      <c r="N93" s="123">
        <f t="shared" si="147"/>
        <v>1122497.3759999999</v>
      </c>
      <c r="O93" s="123">
        <f t="shared" si="148"/>
        <v>0</v>
      </c>
      <c r="P93" s="123">
        <f t="shared" si="149"/>
        <v>0</v>
      </c>
      <c r="Q93" s="132">
        <f t="shared" si="150"/>
        <v>1122497.3759999999</v>
      </c>
    </row>
    <row r="94" spans="1:17" ht="18" customHeight="1" x14ac:dyDescent="0.25">
      <c r="A94" s="23" t="s">
        <v>115</v>
      </c>
      <c r="B94" s="47" t="str">
        <f>[1]СМР!B72</f>
        <v>Грунтовка Ceresit CT 17 PRO глубокого проникновения</v>
      </c>
      <c r="C94" s="44" t="str">
        <f>[1]СМР!C72</f>
        <v>л</v>
      </c>
      <c r="D94" s="86">
        <f>[1]СМР!D72</f>
        <v>90</v>
      </c>
      <c r="E94" s="113"/>
      <c r="F94" s="14"/>
      <c r="G94" s="14"/>
      <c r="H94" s="19">
        <f>[1]СМР!H72</f>
        <v>115</v>
      </c>
      <c r="I94" s="14">
        <f>ROUND(H94*D94,2)</f>
        <v>10350</v>
      </c>
      <c r="J94" s="14">
        <f t="shared" ref="J94" si="190">ROUND(I94*1.2,2)</f>
        <v>12420</v>
      </c>
      <c r="K94" s="15">
        <f>F94+I94</f>
        <v>10350</v>
      </c>
      <c r="L94" s="114">
        <f>G94+J94</f>
        <v>12420</v>
      </c>
      <c r="M94" s="131">
        <f t="shared" si="146"/>
        <v>0</v>
      </c>
      <c r="N94" s="123">
        <f t="shared" si="147"/>
        <v>0</v>
      </c>
      <c r="O94" s="123">
        <f t="shared" si="148"/>
        <v>172.5</v>
      </c>
      <c r="P94" s="123">
        <f t="shared" si="149"/>
        <v>15525</v>
      </c>
      <c r="Q94" s="132">
        <f t="shared" si="150"/>
        <v>15525</v>
      </c>
    </row>
    <row r="95" spans="1:17" ht="18" customHeight="1" thickBot="1" x14ac:dyDescent="0.3">
      <c r="A95" s="138" t="s">
        <v>116</v>
      </c>
      <c r="B95" s="139" t="str">
        <f>[1]СМР!B73</f>
        <v>Полиуретановый пол Компонент (А и Б) "Блокада"</v>
      </c>
      <c r="C95" s="140" t="str">
        <f>[1]СМР!C73</f>
        <v>кг</v>
      </c>
      <c r="D95" s="141">
        <f>[1]СМР!D73</f>
        <v>1100</v>
      </c>
      <c r="E95" s="142"/>
      <c r="F95" s="143"/>
      <c r="G95" s="143"/>
      <c r="H95" s="144">
        <f>[1]СМР!H73</f>
        <v>650</v>
      </c>
      <c r="I95" s="143">
        <f>ROUND(H95*D95,2)</f>
        <v>715000</v>
      </c>
      <c r="J95" s="143">
        <f t="shared" ref="J95" si="191">ROUND(I95*1.2,2)</f>
        <v>858000</v>
      </c>
      <c r="K95" s="145">
        <f>F95+I95</f>
        <v>715000</v>
      </c>
      <c r="L95" s="146">
        <f>G95+J95</f>
        <v>858000</v>
      </c>
      <c r="M95" s="131">
        <f t="shared" si="146"/>
        <v>0</v>
      </c>
      <c r="N95" s="123">
        <f t="shared" si="147"/>
        <v>0</v>
      </c>
      <c r="O95" s="123">
        <f t="shared" si="148"/>
        <v>975</v>
      </c>
      <c r="P95" s="123">
        <f t="shared" si="149"/>
        <v>1072500</v>
      </c>
      <c r="Q95" s="132">
        <f t="shared" si="150"/>
        <v>1072500</v>
      </c>
    </row>
    <row r="96" spans="1:17" ht="21.75" customHeight="1" thickBot="1" x14ac:dyDescent="0.3">
      <c r="A96" s="147" t="s">
        <v>14</v>
      </c>
      <c r="B96" s="148"/>
      <c r="C96" s="148"/>
      <c r="D96" s="148"/>
      <c r="E96" s="149"/>
      <c r="F96" s="150">
        <f>SUM(F9:F95)</f>
        <v>9586624.0599999987</v>
      </c>
      <c r="G96" s="151">
        <f>ROUND(F96*1.2,2)</f>
        <v>11503948.869999999</v>
      </c>
      <c r="H96" s="152"/>
      <c r="I96" s="150">
        <f>SUM(I9:I95)</f>
        <v>10455719.279999999</v>
      </c>
      <c r="J96" s="151">
        <f>ROUND(I96*1.2,2)</f>
        <v>12546863.140000001</v>
      </c>
      <c r="K96" s="150">
        <f>SUM(K9:K95)</f>
        <v>20042343.34</v>
      </c>
      <c r="L96" s="153">
        <f>ROUND(K96*1.2,2)</f>
        <v>24050812.010000002</v>
      </c>
      <c r="M96" s="154"/>
      <c r="N96" s="155">
        <f>SUM(N9:N95)</f>
        <v>16105528.409832962</v>
      </c>
      <c r="O96" s="156"/>
      <c r="P96" s="155">
        <f>SUM(P9:P95)</f>
        <v>15683578.9072625</v>
      </c>
      <c r="Q96" s="157">
        <f>SUM(Q9:Q95)</f>
        <v>31789107.317095459</v>
      </c>
    </row>
    <row r="97" spans="11:16" x14ac:dyDescent="0.25">
      <c r="L97" s="38"/>
    </row>
    <row r="98" spans="11:16" x14ac:dyDescent="0.25">
      <c r="K98" t="s">
        <v>149</v>
      </c>
      <c r="L98" s="38">
        <f>L96-L57-L45-L22-L23-L46-L47-L48-L49-L58-L59-L60</f>
        <v>19078530.75</v>
      </c>
      <c r="M98" t="s">
        <v>147</v>
      </c>
      <c r="P98" s="38"/>
    </row>
    <row r="99" spans="11:16" x14ac:dyDescent="0.25">
      <c r="K99" t="s">
        <v>150</v>
      </c>
      <c r="L99" s="38">
        <f>L96-L98</f>
        <v>4972281.2600000016</v>
      </c>
      <c r="M99" t="s">
        <v>151</v>
      </c>
    </row>
    <row r="100" spans="11:16" x14ac:dyDescent="0.25">
      <c r="K100" t="s">
        <v>152</v>
      </c>
      <c r="L100" s="38">
        <f>L98*0.95</f>
        <v>18124604.212499999</v>
      </c>
    </row>
    <row r="101" spans="11:16" x14ac:dyDescent="0.25">
      <c r="K101" t="s">
        <v>153</v>
      </c>
      <c r="L101" s="38">
        <f>L99+L100</f>
        <v>23096885.4725</v>
      </c>
    </row>
  </sheetData>
  <mergeCells count="13">
    <mergeCell ref="M5:N5"/>
    <mergeCell ref="O5:P5"/>
    <mergeCell ref="M3:Q4"/>
    <mergeCell ref="B8:D8"/>
    <mergeCell ref="A96:E96"/>
    <mergeCell ref="A3:A6"/>
    <mergeCell ref="B3:B6"/>
    <mergeCell ref="C3:C6"/>
    <mergeCell ref="D3:D6"/>
    <mergeCell ref="E3:L4"/>
    <mergeCell ref="E5:G5"/>
    <mergeCell ref="H5:J5"/>
    <mergeCell ref="K5:L5"/>
  </mergeCells>
  <pageMargins left="0.7" right="0.7" top="0.75" bottom="0.75" header="0.3" footer="0.3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Свод</vt:lpstr>
      <vt:lpstr>СМР</vt:lpstr>
      <vt:lpstr>Свод!Область_печати</vt:lpstr>
      <vt:lpstr>СМР!Область_печати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Владислав Липатов</cp:lastModifiedBy>
  <dcterms:created xsi:type="dcterms:W3CDTF">2024-02-26T16:38:11Z</dcterms:created>
  <dcterms:modified xsi:type="dcterms:W3CDTF">2024-05-12T09:14:00Z</dcterms:modified>
</cp:coreProperties>
</file>