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ЛСР на доп.работы\+КП_01.11\"/>
    </mc:Choice>
  </mc:AlternateContent>
  <bookViews>
    <workbookView xWindow="0" yWindow="0" windowWidth="20490" windowHeight="7905" firstSheet="3" activeTab="5"/>
  </bookViews>
  <sheets>
    <sheet name="Свод" sheetId="3" state="hidden" r:id="rId1"/>
    <sheet name="СМР " sheetId="1" state="hidden" r:id="rId2"/>
    <sheet name="материалы" sheetId="2" state="hidden" r:id="rId3"/>
    <sheet name="МВМ тупики СВОД" sheetId="4" r:id="rId4"/>
    <sheet name="МВМтупики СМР+ПИР" sheetId="5" r:id="rId5"/>
    <sheet name="МВМ тупики МТР" sheetId="6" r:id="rId6"/>
  </sheets>
  <definedNames>
    <definedName name="_xlnm.Print_Area" localSheetId="2">материалы!$A$1:$G$71</definedName>
    <definedName name="_xlnm.Print_Area" localSheetId="0">Свод!$A$3:$H$7</definedName>
    <definedName name="_xlnm.Print_Area" localSheetId="1">'СМР '!$A$1:$G$84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F24" i="6"/>
  <c r="G24" i="6"/>
  <c r="C24" i="6"/>
  <c r="D24" i="6"/>
  <c r="B24" i="6"/>
  <c r="K24" i="2"/>
  <c r="I24" i="2"/>
  <c r="J24" i="2" s="1"/>
  <c r="G24" i="2"/>
  <c r="F24" i="2"/>
  <c r="H6" i="3"/>
  <c r="E6" i="3"/>
  <c r="D21" i="6" l="1"/>
  <c r="D9" i="6"/>
  <c r="E17" i="5"/>
  <c r="F17" i="5"/>
  <c r="G17" i="5" s="1"/>
  <c r="C17" i="5"/>
  <c r="D17" i="5"/>
  <c r="B17" i="5"/>
  <c r="J17" i="1"/>
  <c r="K17" i="1" s="1"/>
  <c r="I17" i="1"/>
  <c r="F17" i="1"/>
  <c r="G17" i="1" s="1"/>
  <c r="J21" i="2"/>
  <c r="K21" i="2" s="1"/>
  <c r="I21" i="2"/>
  <c r="I18" i="1"/>
  <c r="I45" i="1"/>
  <c r="I9" i="2"/>
  <c r="J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9" i="2"/>
  <c r="G9" i="2" s="1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48" i="5"/>
  <c r="A49" i="5" s="1"/>
  <c r="A50" i="5" s="1"/>
  <c r="A51" i="5" s="1"/>
  <c r="A52" i="5" s="1"/>
  <c r="A53" i="5" s="1"/>
  <c r="A54" i="5" s="1"/>
  <c r="A55" i="5" s="1"/>
  <c r="A40" i="5"/>
  <c r="A41" i="5" s="1"/>
  <c r="A42" i="5" s="1"/>
  <c r="A43" i="5" s="1"/>
  <c r="A23" i="5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8" i="5"/>
  <c r="A9" i="5" s="1"/>
  <c r="A10" i="5" s="1"/>
  <c r="A11" i="5" s="1"/>
  <c r="A12" i="5" s="1"/>
  <c r="A13" i="5" s="1"/>
  <c r="A14" i="5" s="1"/>
  <c r="A15" i="5" s="1"/>
  <c r="A16" i="5" s="1"/>
  <c r="A18" i="5" s="1"/>
  <c r="A19" i="5" s="1"/>
  <c r="A20" i="5" s="1"/>
  <c r="E25" i="6"/>
  <c r="E32" i="6"/>
  <c r="E33" i="6"/>
  <c r="E40" i="6"/>
  <c r="E41" i="6"/>
  <c r="E49" i="6"/>
  <c r="E55" i="6"/>
  <c r="E56" i="6"/>
  <c r="E57" i="6"/>
  <c r="E63" i="6"/>
  <c r="E64" i="6"/>
  <c r="E65" i="6"/>
  <c r="D70" i="6"/>
  <c r="D66" i="6"/>
  <c r="A59" i="6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D55" i="6"/>
  <c r="A55" i="6"/>
  <c r="A45" i="6"/>
  <c r="A46" i="6" s="1"/>
  <c r="A47" i="6" s="1"/>
  <c r="A48" i="6" s="1"/>
  <c r="A49" i="6" s="1"/>
  <c r="A50" i="6" s="1"/>
  <c r="A51" i="6" s="1"/>
  <c r="A52" i="6" s="1"/>
  <c r="D41" i="6"/>
  <c r="D40" i="6"/>
  <c r="A27" i="6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D22" i="6"/>
  <c r="D8" i="6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D7" i="6"/>
  <c r="F14" i="5"/>
  <c r="F21" i="5"/>
  <c r="F24" i="5"/>
  <c r="F38" i="5"/>
  <c r="F40" i="5"/>
  <c r="F43" i="5"/>
  <c r="G43" i="5" s="1"/>
  <c r="F44" i="5"/>
  <c r="F46" i="5"/>
  <c r="F56" i="5"/>
  <c r="F60" i="5"/>
  <c r="E8" i="5"/>
  <c r="E18" i="5"/>
  <c r="E21" i="5"/>
  <c r="E24" i="5"/>
  <c r="E32" i="5"/>
  <c r="E38" i="5"/>
  <c r="E40" i="5"/>
  <c r="E41" i="5"/>
  <c r="E43" i="5"/>
  <c r="E44" i="5"/>
  <c r="E46" i="5"/>
  <c r="E50" i="5"/>
  <c r="E56" i="5"/>
  <c r="E60" i="5"/>
  <c r="E66" i="5"/>
  <c r="E68" i="5"/>
  <c r="E76" i="5"/>
  <c r="G60" i="5"/>
  <c r="G14" i="5"/>
  <c r="D76" i="5"/>
  <c r="D74" i="5"/>
  <c r="D71" i="5"/>
  <c r="D69" i="5"/>
  <c r="D65" i="5"/>
  <c r="D66" i="5" s="1"/>
  <c r="D62" i="5"/>
  <c r="D61" i="5"/>
  <c r="D68" i="5" s="1"/>
  <c r="D57" i="5"/>
  <c r="D59" i="5" s="1"/>
  <c r="D54" i="5"/>
  <c r="D55" i="5" s="1"/>
  <c r="D51" i="5"/>
  <c r="D50" i="5"/>
  <c r="D47" i="5"/>
  <c r="D42" i="5"/>
  <c r="D41" i="5"/>
  <c r="D37" i="5"/>
  <c r="D35" i="5"/>
  <c r="D32" i="5"/>
  <c r="D31" i="5"/>
  <c r="D29" i="5"/>
  <c r="D26" i="5"/>
  <c r="D25" i="5"/>
  <c r="D23" i="5"/>
  <c r="D22" i="5"/>
  <c r="D20" i="5"/>
  <c r="D19" i="5"/>
  <c r="D11" i="5"/>
  <c r="D10" i="5"/>
  <c r="D7" i="5"/>
  <c r="K58" i="2"/>
  <c r="J22" i="2"/>
  <c r="F22" i="6" s="1"/>
  <c r="G22" i="6" s="1"/>
  <c r="J32" i="2"/>
  <c r="K32" i="2" s="1"/>
  <c r="J40" i="2"/>
  <c r="K40" i="2" s="1"/>
  <c r="J54" i="2"/>
  <c r="F54" i="6" s="1"/>
  <c r="G54" i="6" s="1"/>
  <c r="J56" i="2"/>
  <c r="K56" i="2" s="1"/>
  <c r="J58" i="2"/>
  <c r="F58" i="6" s="1"/>
  <c r="J62" i="2"/>
  <c r="F62" i="6" s="1"/>
  <c r="J63" i="2"/>
  <c r="F63" i="6" s="1"/>
  <c r="G63" i="6" s="1"/>
  <c r="J64" i="2"/>
  <c r="K64" i="2" s="1"/>
  <c r="J7" i="2"/>
  <c r="F7" i="6" s="1"/>
  <c r="I8" i="2"/>
  <c r="I22" i="2"/>
  <c r="I25" i="2"/>
  <c r="J25" i="2" s="1"/>
  <c r="I27" i="2"/>
  <c r="J27" i="2" s="1"/>
  <c r="I28" i="2"/>
  <c r="J28" i="2" s="1"/>
  <c r="I29" i="2"/>
  <c r="E29" i="6" s="1"/>
  <c r="I32" i="2"/>
  <c r="I33" i="2"/>
  <c r="J33" i="2" s="1"/>
  <c r="I37" i="2"/>
  <c r="E37" i="6" s="1"/>
  <c r="I40" i="2"/>
  <c r="I41" i="2"/>
  <c r="I43" i="2"/>
  <c r="J43" i="2" s="1"/>
  <c r="I44" i="2"/>
  <c r="J44" i="2" s="1"/>
  <c r="I45" i="2"/>
  <c r="E45" i="6" s="1"/>
  <c r="I49" i="2"/>
  <c r="J49" i="2" s="1"/>
  <c r="I51" i="2"/>
  <c r="E51" i="6" s="1"/>
  <c r="I52" i="2"/>
  <c r="E52" i="6" s="1"/>
  <c r="I53" i="2"/>
  <c r="E53" i="6" s="1"/>
  <c r="I54" i="2"/>
  <c r="E54" i="6" s="1"/>
  <c r="I55" i="2"/>
  <c r="I56" i="2"/>
  <c r="I57" i="2"/>
  <c r="J57" i="2" s="1"/>
  <c r="I58" i="2"/>
  <c r="E58" i="6" s="1"/>
  <c r="G58" i="6" s="1"/>
  <c r="I59" i="2"/>
  <c r="J59" i="2" s="1"/>
  <c r="I60" i="2"/>
  <c r="J60" i="2" s="1"/>
  <c r="I61" i="2"/>
  <c r="E61" i="6" s="1"/>
  <c r="I62" i="2"/>
  <c r="E62" i="6" s="1"/>
  <c r="I63" i="2"/>
  <c r="I64" i="2"/>
  <c r="I65" i="2"/>
  <c r="J65" i="2" s="1"/>
  <c r="I66" i="2"/>
  <c r="E66" i="6" s="1"/>
  <c r="I67" i="2"/>
  <c r="E67" i="6" s="1"/>
  <c r="I68" i="2"/>
  <c r="E68" i="6" s="1"/>
  <c r="I69" i="2"/>
  <c r="E69" i="6" s="1"/>
  <c r="I70" i="2"/>
  <c r="E70" i="6" s="1"/>
  <c r="I7" i="2"/>
  <c r="I80" i="1"/>
  <c r="E80" i="5" s="1"/>
  <c r="I79" i="1"/>
  <c r="I78" i="1"/>
  <c r="I77" i="1"/>
  <c r="I76" i="1"/>
  <c r="I75" i="1"/>
  <c r="J75" i="1" s="1"/>
  <c r="K75" i="1" s="1"/>
  <c r="I73" i="1"/>
  <c r="J73" i="1" s="1"/>
  <c r="I72" i="1"/>
  <c r="J72" i="1" s="1"/>
  <c r="K72" i="1" s="1"/>
  <c r="I71" i="1"/>
  <c r="I70" i="1"/>
  <c r="J70" i="1" s="1"/>
  <c r="K70" i="1" s="1"/>
  <c r="I69" i="1"/>
  <c r="I68" i="1"/>
  <c r="I67" i="1"/>
  <c r="E67" i="5" s="1"/>
  <c r="I66" i="1"/>
  <c r="I65" i="1"/>
  <c r="E65" i="5" s="1"/>
  <c r="I64" i="1"/>
  <c r="E64" i="5" s="1"/>
  <c r="I63" i="1"/>
  <c r="J63" i="1" s="1"/>
  <c r="K63" i="1" s="1"/>
  <c r="I62" i="1"/>
  <c r="J62" i="1" s="1"/>
  <c r="K62" i="1" s="1"/>
  <c r="I61" i="1"/>
  <c r="I60" i="1"/>
  <c r="J60" i="1" s="1"/>
  <c r="K60" i="1" s="1"/>
  <c r="I59" i="1"/>
  <c r="E59" i="5" s="1"/>
  <c r="I57" i="1"/>
  <c r="J57" i="1" s="1"/>
  <c r="K57" i="1" s="1"/>
  <c r="I55" i="1"/>
  <c r="I54" i="1"/>
  <c r="E54" i="5" s="1"/>
  <c r="I53" i="1"/>
  <c r="J53" i="1" s="1"/>
  <c r="K53" i="1" s="1"/>
  <c r="I51" i="1"/>
  <c r="E51" i="5" s="1"/>
  <c r="I50" i="1"/>
  <c r="I47" i="1"/>
  <c r="J47" i="1" s="1"/>
  <c r="K47" i="1" s="1"/>
  <c r="I43" i="1"/>
  <c r="J43" i="1" s="1"/>
  <c r="K43" i="1" s="1"/>
  <c r="I42" i="1"/>
  <c r="J42" i="1" s="1"/>
  <c r="K42" i="1" s="1"/>
  <c r="I41" i="1"/>
  <c r="I40" i="1"/>
  <c r="J40" i="1" s="1"/>
  <c r="K40" i="1" s="1"/>
  <c r="I39" i="1"/>
  <c r="J39" i="1" s="1"/>
  <c r="K39" i="1" s="1"/>
  <c r="I37" i="1"/>
  <c r="I36" i="1"/>
  <c r="J36" i="1" s="1"/>
  <c r="K36" i="1" s="1"/>
  <c r="I35" i="1"/>
  <c r="E35" i="5" s="1"/>
  <c r="I34" i="1"/>
  <c r="E34" i="5" s="1"/>
  <c r="I33" i="1"/>
  <c r="E33" i="5" s="1"/>
  <c r="I32" i="1"/>
  <c r="I31" i="1"/>
  <c r="E31" i="5" s="1"/>
  <c r="I30" i="1"/>
  <c r="J30" i="1" s="1"/>
  <c r="K30" i="1" s="1"/>
  <c r="I29" i="1"/>
  <c r="I28" i="1"/>
  <c r="J28" i="1" s="1"/>
  <c r="K28" i="1" s="1"/>
  <c r="I27" i="1"/>
  <c r="J27" i="1" s="1"/>
  <c r="K27" i="1" s="1"/>
  <c r="I26" i="1"/>
  <c r="J26" i="1" s="1"/>
  <c r="I25" i="1"/>
  <c r="J25" i="1" s="1"/>
  <c r="I24" i="1"/>
  <c r="J24" i="1" s="1"/>
  <c r="K24" i="1" s="1"/>
  <c r="I23" i="1"/>
  <c r="E23" i="5" s="1"/>
  <c r="I22" i="1"/>
  <c r="I8" i="1"/>
  <c r="J8" i="1" s="1"/>
  <c r="K8" i="1" s="1"/>
  <c r="I9" i="1"/>
  <c r="J9" i="1" s="1"/>
  <c r="K9" i="1" s="1"/>
  <c r="I10" i="1"/>
  <c r="E10" i="5" s="1"/>
  <c r="I11" i="1"/>
  <c r="E11" i="5" s="1"/>
  <c r="I12" i="1"/>
  <c r="E12" i="5" s="1"/>
  <c r="I13" i="1"/>
  <c r="J13" i="1" s="1"/>
  <c r="K13" i="1" s="1"/>
  <c r="I14" i="1"/>
  <c r="J14" i="1" s="1"/>
  <c r="K14" i="1" s="1"/>
  <c r="J18" i="1"/>
  <c r="K18" i="1" s="1"/>
  <c r="I19" i="1"/>
  <c r="E19" i="5" s="1"/>
  <c r="I20" i="1"/>
  <c r="I7" i="1"/>
  <c r="E7" i="5" s="1"/>
  <c r="D20" i="1"/>
  <c r="D7" i="1"/>
  <c r="F7" i="1" s="1"/>
  <c r="F8" i="1"/>
  <c r="F9" i="1"/>
  <c r="G9" i="1" s="1"/>
  <c r="D10" i="1"/>
  <c r="F10" i="1" s="1"/>
  <c r="G10" i="1" s="1"/>
  <c r="D11" i="1"/>
  <c r="F11" i="1" s="1"/>
  <c r="G11" i="1" s="1"/>
  <c r="F12" i="1"/>
  <c r="G12" i="1" s="1"/>
  <c r="F13" i="1"/>
  <c r="G13" i="1" s="1"/>
  <c r="F14" i="1"/>
  <c r="E15" i="1"/>
  <c r="F15" i="1" s="1"/>
  <c r="G15" i="1" s="1"/>
  <c r="E16" i="1"/>
  <c r="F16" i="1" s="1"/>
  <c r="G16" i="1" s="1"/>
  <c r="F18" i="1"/>
  <c r="G18" i="1" s="1"/>
  <c r="D19" i="1"/>
  <c r="F19" i="1" s="1"/>
  <c r="G19" i="1" s="1"/>
  <c r="F20" i="1"/>
  <c r="G20" i="1" s="1"/>
  <c r="D22" i="1"/>
  <c r="F22" i="1" s="1"/>
  <c r="G22" i="1" s="1"/>
  <c r="D23" i="1"/>
  <c r="F23" i="1" s="1"/>
  <c r="G23" i="1" s="1"/>
  <c r="F24" i="1"/>
  <c r="G24" i="1" s="1"/>
  <c r="D25" i="1"/>
  <c r="F25" i="1" s="1"/>
  <c r="G25" i="1" s="1"/>
  <c r="D26" i="1"/>
  <c r="F26" i="1" s="1"/>
  <c r="G26" i="1" s="1"/>
  <c r="F27" i="1"/>
  <c r="G27" i="1" s="1"/>
  <c r="F28" i="1"/>
  <c r="G28" i="1" s="1"/>
  <c r="D29" i="1"/>
  <c r="F29" i="1" s="1"/>
  <c r="G29" i="1" s="1"/>
  <c r="F30" i="1"/>
  <c r="G30" i="1" s="1"/>
  <c r="D31" i="1"/>
  <c r="F31" i="1" s="1"/>
  <c r="G31" i="1" s="1"/>
  <c r="D32" i="1"/>
  <c r="F32" i="1" s="1"/>
  <c r="G32" i="1" s="1"/>
  <c r="E33" i="1"/>
  <c r="F33" i="1" s="1"/>
  <c r="G33" i="1" s="1"/>
  <c r="F34" i="1"/>
  <c r="G34" i="1" s="1"/>
  <c r="D35" i="1"/>
  <c r="F35" i="1" s="1"/>
  <c r="G35" i="1" s="1"/>
  <c r="F36" i="1"/>
  <c r="G36" i="1" s="1"/>
  <c r="D37" i="1"/>
  <c r="F37" i="1" s="1"/>
  <c r="G37" i="1" s="1"/>
  <c r="F39" i="1"/>
  <c r="F40" i="1"/>
  <c r="G40" i="1" s="1"/>
  <c r="D41" i="1"/>
  <c r="F41" i="1" s="1"/>
  <c r="G41" i="1" s="1"/>
  <c r="D42" i="1"/>
  <c r="F42" i="1" s="1"/>
  <c r="G42" i="1" s="1"/>
  <c r="F45" i="1"/>
  <c r="G45" i="1" s="1"/>
  <c r="D47" i="1"/>
  <c r="F47" i="1" s="1"/>
  <c r="G47" i="1" s="1"/>
  <c r="E48" i="1"/>
  <c r="F48" i="1" s="1"/>
  <c r="G48" i="1" s="1"/>
  <c r="E49" i="1"/>
  <c r="F49" i="1" s="1"/>
  <c r="G49" i="1" s="1"/>
  <c r="D50" i="1"/>
  <c r="F50" i="1" s="1"/>
  <c r="G50" i="1" s="1"/>
  <c r="D51" i="1"/>
  <c r="F51" i="1" s="1"/>
  <c r="G51" i="1" s="1"/>
  <c r="E52" i="1"/>
  <c r="F52" i="1" s="1"/>
  <c r="G52" i="1" s="1"/>
  <c r="E53" i="1"/>
  <c r="F53" i="1" s="1"/>
  <c r="G53" i="1" s="1"/>
  <c r="D54" i="1"/>
  <c r="F54" i="1" s="1"/>
  <c r="G54" i="1" s="1"/>
  <c r="D57" i="1"/>
  <c r="D59" i="1" s="1"/>
  <c r="E58" i="1"/>
  <c r="F58" i="1" s="1"/>
  <c r="G58" i="1" s="1"/>
  <c r="D61" i="1"/>
  <c r="F61" i="1" s="1"/>
  <c r="G61" i="1" s="1"/>
  <c r="D62" i="1"/>
  <c r="F62" i="1" s="1"/>
  <c r="G62" i="1" s="1"/>
  <c r="F63" i="1"/>
  <c r="F64" i="1"/>
  <c r="G64" i="1" s="1"/>
  <c r="D65" i="1"/>
  <c r="D66" i="1" s="1"/>
  <c r="F66" i="1" s="1"/>
  <c r="G66" i="1" s="1"/>
  <c r="D69" i="1"/>
  <c r="F69" i="1" s="1"/>
  <c r="G69" i="1" s="1"/>
  <c r="E70" i="1"/>
  <c r="F70" i="1" s="1"/>
  <c r="G70" i="1" s="1"/>
  <c r="D71" i="1"/>
  <c r="F71" i="1" s="1"/>
  <c r="G71" i="1" s="1"/>
  <c r="F72" i="1"/>
  <c r="G72" i="1" s="1"/>
  <c r="F73" i="1"/>
  <c r="G73" i="1" s="1"/>
  <c r="D74" i="1"/>
  <c r="E74" i="1" s="1"/>
  <c r="F74" i="1" s="1"/>
  <c r="G74" i="1" s="1"/>
  <c r="F75" i="1"/>
  <c r="G75" i="1" s="1"/>
  <c r="D76" i="1"/>
  <c r="F76" i="1" s="1"/>
  <c r="G76" i="1" s="1"/>
  <c r="D7" i="2"/>
  <c r="F7" i="2" s="1"/>
  <c r="D8" i="2"/>
  <c r="F8" i="2" s="1"/>
  <c r="G8" i="2" s="1"/>
  <c r="F21" i="2"/>
  <c r="G21" i="2" s="1"/>
  <c r="D22" i="2"/>
  <c r="F22" i="2" s="1"/>
  <c r="G22" i="2" s="1"/>
  <c r="E23" i="2"/>
  <c r="F23" i="2" s="1"/>
  <c r="G23" i="2" s="1"/>
  <c r="E26" i="2"/>
  <c r="I26" i="2" s="1"/>
  <c r="F26" i="2"/>
  <c r="G26" i="2" s="1"/>
  <c r="E27" i="2"/>
  <c r="F27" i="2" s="1"/>
  <c r="G27" i="2" s="1"/>
  <c r="E28" i="2"/>
  <c r="F28" i="2"/>
  <c r="G28" i="2" s="1"/>
  <c r="E29" i="2"/>
  <c r="F29" i="2" s="1"/>
  <c r="G29" i="2" s="1"/>
  <c r="E30" i="2"/>
  <c r="I30" i="2" s="1"/>
  <c r="F30" i="2"/>
  <c r="G30" i="2" s="1"/>
  <c r="E31" i="2"/>
  <c r="F31" i="2" s="1"/>
  <c r="G31" i="2" s="1"/>
  <c r="E32" i="2"/>
  <c r="F32" i="2"/>
  <c r="E33" i="2"/>
  <c r="F33" i="2"/>
  <c r="E34" i="2"/>
  <c r="I34" i="2" s="1"/>
  <c r="F34" i="2"/>
  <c r="G34" i="2" s="1"/>
  <c r="E35" i="2"/>
  <c r="F35" i="2" s="1"/>
  <c r="G35" i="2" s="1"/>
  <c r="E36" i="2"/>
  <c r="F36" i="2" s="1"/>
  <c r="G36" i="2" s="1"/>
  <c r="E37" i="2"/>
  <c r="F37" i="2"/>
  <c r="G37" i="2" s="1"/>
  <c r="E38" i="2"/>
  <c r="I38" i="2" s="1"/>
  <c r="E39" i="2"/>
  <c r="F39" i="2" s="1"/>
  <c r="G39" i="2" s="1"/>
  <c r="D40" i="2"/>
  <c r="F40" i="2"/>
  <c r="G40" i="2" s="1"/>
  <c r="E41" i="2"/>
  <c r="D41" i="2"/>
  <c r="J41" i="2" s="1"/>
  <c r="E42" i="2"/>
  <c r="F42" i="2" s="1"/>
  <c r="G42" i="2" s="1"/>
  <c r="E44" i="2"/>
  <c r="F44" i="2" s="1"/>
  <c r="G44" i="2" s="1"/>
  <c r="E45" i="2"/>
  <c r="F45" i="2" s="1"/>
  <c r="G45" i="2" s="1"/>
  <c r="E46" i="2"/>
  <c r="F46" i="2" s="1"/>
  <c r="G46" i="2" s="1"/>
  <c r="E47" i="2"/>
  <c r="F47" i="2" s="1"/>
  <c r="G47" i="2" s="1"/>
  <c r="E48" i="2"/>
  <c r="F48" i="2" s="1"/>
  <c r="G48" i="2" s="1"/>
  <c r="E49" i="2"/>
  <c r="F49" i="2" s="1"/>
  <c r="G49" i="2" s="1"/>
  <c r="E50" i="2"/>
  <c r="F50" i="2" s="1"/>
  <c r="G50" i="2" s="1"/>
  <c r="E51" i="2"/>
  <c r="F51" i="2" s="1"/>
  <c r="G51" i="2" s="1"/>
  <c r="E52" i="2"/>
  <c r="F52" i="2" s="1"/>
  <c r="G52" i="2" s="1"/>
  <c r="F54" i="2"/>
  <c r="G54" i="2" s="1"/>
  <c r="D55" i="2"/>
  <c r="J55" i="2" s="1"/>
  <c r="F55" i="2"/>
  <c r="G55" i="2" s="1"/>
  <c r="F56" i="2"/>
  <c r="F58" i="2"/>
  <c r="G58" i="2" s="1"/>
  <c r="F59" i="2"/>
  <c r="F60" i="2"/>
  <c r="G60" i="2" s="1"/>
  <c r="F61" i="2"/>
  <c r="G61" i="2" s="1"/>
  <c r="F62" i="2"/>
  <c r="G62" i="2" s="1"/>
  <c r="F63" i="2"/>
  <c r="G63" i="2" s="1"/>
  <c r="F64" i="2"/>
  <c r="G64" i="2" s="1"/>
  <c r="F65" i="2"/>
  <c r="D66" i="2"/>
  <c r="F66" i="2" s="1"/>
  <c r="G66" i="2" s="1"/>
  <c r="F67" i="2"/>
  <c r="F68" i="2"/>
  <c r="G68" i="2" s="1"/>
  <c r="F69" i="2"/>
  <c r="G69" i="2" s="1"/>
  <c r="D70" i="2"/>
  <c r="F70" i="2" s="1"/>
  <c r="G70" i="2" s="1"/>
  <c r="G8" i="1"/>
  <c r="G14" i="1"/>
  <c r="G39" i="1"/>
  <c r="G63" i="1"/>
  <c r="G32" i="2"/>
  <c r="G33" i="2"/>
  <c r="G56" i="2"/>
  <c r="G59" i="2"/>
  <c r="G65" i="2"/>
  <c r="G67" i="2"/>
  <c r="A27" i="2"/>
  <c r="A28" i="2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58" i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48" i="1"/>
  <c r="A49" i="1" s="1"/>
  <c r="A50" i="1" s="1"/>
  <c r="A51" i="1" s="1"/>
  <c r="A52" i="1" s="1"/>
  <c r="A53" i="1" s="1"/>
  <c r="A54" i="1" s="1"/>
  <c r="A55" i="1" s="1"/>
  <c r="A8" i="1"/>
  <c r="A9" i="1" s="1"/>
  <c r="A10" i="1" s="1"/>
  <c r="A11" i="1" s="1"/>
  <c r="A12" i="1" s="1"/>
  <c r="A13" i="1" s="1"/>
  <c r="A14" i="1" s="1"/>
  <c r="A15" i="1" s="1"/>
  <c r="A16" i="1" s="1"/>
  <c r="A18" i="1" s="1"/>
  <c r="A19" i="1" s="1"/>
  <c r="A20" i="1" s="1"/>
  <c r="A55" i="2"/>
  <c r="A59" i="2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40" i="1"/>
  <c r="A41" i="1" s="1"/>
  <c r="A42" i="1" s="1"/>
  <c r="A43" i="1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45" i="2"/>
  <c r="A46" i="2" s="1"/>
  <c r="A47" i="2" s="1"/>
  <c r="A48" i="2" s="1"/>
  <c r="A49" i="2" s="1"/>
  <c r="A50" i="2" s="1"/>
  <c r="A51" i="2" s="1"/>
  <c r="A52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D77" i="5" l="1"/>
  <c r="D78" i="5" s="1"/>
  <c r="K73" i="1"/>
  <c r="F73" i="5"/>
  <c r="G73" i="5" s="1"/>
  <c r="K25" i="1"/>
  <c r="F25" i="5"/>
  <c r="G25" i="5" s="1"/>
  <c r="K26" i="1"/>
  <c r="F26" i="5"/>
  <c r="G26" i="5" s="1"/>
  <c r="J78" i="1"/>
  <c r="J33" i="1"/>
  <c r="E27" i="5"/>
  <c r="F27" i="5"/>
  <c r="G27" i="5" s="1"/>
  <c r="F9" i="5"/>
  <c r="G9" i="5" s="1"/>
  <c r="J20" i="1"/>
  <c r="F20" i="5" s="1"/>
  <c r="G20" i="5" s="1"/>
  <c r="J71" i="1"/>
  <c r="J79" i="1"/>
  <c r="J34" i="1"/>
  <c r="E75" i="5"/>
  <c r="E42" i="5"/>
  <c r="E26" i="5"/>
  <c r="E9" i="5"/>
  <c r="F75" i="5"/>
  <c r="G75" i="5" s="1"/>
  <c r="F42" i="5"/>
  <c r="G42" i="5" s="1"/>
  <c r="F8" i="5"/>
  <c r="G8" i="5" s="1"/>
  <c r="J10" i="1"/>
  <c r="J7" i="1"/>
  <c r="E73" i="5"/>
  <c r="E57" i="5"/>
  <c r="F57" i="5"/>
  <c r="G57" i="5" s="1"/>
  <c r="I16" i="1"/>
  <c r="J29" i="1"/>
  <c r="J37" i="1"/>
  <c r="I49" i="1"/>
  <c r="I58" i="1"/>
  <c r="J66" i="1"/>
  <c r="I74" i="1"/>
  <c r="J12" i="1"/>
  <c r="J64" i="1"/>
  <c r="E72" i="5"/>
  <c r="E39" i="5"/>
  <c r="E14" i="5"/>
  <c r="F72" i="5"/>
  <c r="F39" i="5"/>
  <c r="G39" i="5" s="1"/>
  <c r="F13" i="5"/>
  <c r="J19" i="1"/>
  <c r="J35" i="1"/>
  <c r="J55" i="1"/>
  <c r="J80" i="1"/>
  <c r="J65" i="1"/>
  <c r="J54" i="1"/>
  <c r="I15" i="1"/>
  <c r="J22" i="1"/>
  <c r="J50" i="1"/>
  <c r="J59" i="1"/>
  <c r="J11" i="1"/>
  <c r="E79" i="5"/>
  <c r="E71" i="5"/>
  <c r="E63" i="5"/>
  <c r="E55" i="5"/>
  <c r="E47" i="5"/>
  <c r="E30" i="5"/>
  <c r="E22" i="5"/>
  <c r="E13" i="5"/>
  <c r="F63" i="5"/>
  <c r="G63" i="5" s="1"/>
  <c r="F47" i="5"/>
  <c r="F30" i="5"/>
  <c r="A17" i="1"/>
  <c r="E25" i="5"/>
  <c r="I48" i="1"/>
  <c r="J23" i="1"/>
  <c r="J31" i="1"/>
  <c r="J51" i="1"/>
  <c r="J76" i="1"/>
  <c r="E78" i="5"/>
  <c r="E70" i="5"/>
  <c r="E62" i="5"/>
  <c r="E37" i="5"/>
  <c r="E29" i="5"/>
  <c r="F70" i="5"/>
  <c r="G70" i="5" s="1"/>
  <c r="F62" i="5"/>
  <c r="D80" i="1"/>
  <c r="J32" i="1"/>
  <c r="J41" i="1"/>
  <c r="I52" i="1"/>
  <c r="J61" i="1"/>
  <c r="J69" i="1"/>
  <c r="E77" i="5"/>
  <c r="E69" i="5"/>
  <c r="E61" i="5"/>
  <c r="E53" i="5"/>
  <c r="E36" i="5"/>
  <c r="E28" i="5"/>
  <c r="E20" i="5"/>
  <c r="F53" i="5"/>
  <c r="F36" i="5"/>
  <c r="G36" i="5" s="1"/>
  <c r="F28" i="5"/>
  <c r="G28" i="5" s="1"/>
  <c r="E26" i="6"/>
  <c r="J26" i="2"/>
  <c r="F65" i="6"/>
  <c r="G65" i="6" s="1"/>
  <c r="K65" i="2"/>
  <c r="K57" i="2"/>
  <c r="F57" i="6"/>
  <c r="G57" i="6" s="1"/>
  <c r="F41" i="6"/>
  <c r="G41" i="6" s="1"/>
  <c r="K41" i="2"/>
  <c r="F49" i="6"/>
  <c r="G49" i="6" s="1"/>
  <c r="K49" i="2"/>
  <c r="E34" i="6"/>
  <c r="J34" i="2"/>
  <c r="F44" i="6"/>
  <c r="G44" i="6" s="1"/>
  <c r="K44" i="2"/>
  <c r="F28" i="6"/>
  <c r="G28" i="6" s="1"/>
  <c r="K28" i="2"/>
  <c r="F33" i="6"/>
  <c r="G33" i="6" s="1"/>
  <c r="K33" i="2"/>
  <c r="F43" i="6"/>
  <c r="G43" i="6" s="1"/>
  <c r="K43" i="2"/>
  <c r="F27" i="6"/>
  <c r="G27" i="6" s="1"/>
  <c r="K27" i="2"/>
  <c r="F55" i="6"/>
  <c r="G55" i="6" s="1"/>
  <c r="K55" i="2"/>
  <c r="G62" i="6"/>
  <c r="K25" i="2"/>
  <c r="F25" i="6"/>
  <c r="G25" i="6" s="1"/>
  <c r="F59" i="6"/>
  <c r="G59" i="6" s="1"/>
  <c r="K59" i="2"/>
  <c r="E30" i="6"/>
  <c r="J30" i="2"/>
  <c r="E38" i="6"/>
  <c r="J38" i="2"/>
  <c r="F60" i="6"/>
  <c r="G60" i="6" s="1"/>
  <c r="K60" i="2"/>
  <c r="I35" i="2"/>
  <c r="J70" i="2"/>
  <c r="F38" i="2"/>
  <c r="G38" i="2" s="1"/>
  <c r="I50" i="2"/>
  <c r="I42" i="2"/>
  <c r="J69" i="2"/>
  <c r="J61" i="2"/>
  <c r="J53" i="2"/>
  <c r="J45" i="2"/>
  <c r="J37" i="2"/>
  <c r="J29" i="2"/>
  <c r="J8" i="2"/>
  <c r="I36" i="2"/>
  <c r="J68" i="2"/>
  <c r="J52" i="2"/>
  <c r="K7" i="2"/>
  <c r="I48" i="2"/>
  <c r="I23" i="2"/>
  <c r="J67" i="2"/>
  <c r="J51" i="2"/>
  <c r="K54" i="2"/>
  <c r="E60" i="6"/>
  <c r="E44" i="6"/>
  <c r="E28" i="6"/>
  <c r="F56" i="6"/>
  <c r="F32" i="6"/>
  <c r="G32" i="6" s="1"/>
  <c r="I47" i="2"/>
  <c r="I39" i="2"/>
  <c r="I31" i="2"/>
  <c r="J66" i="2"/>
  <c r="K22" i="2"/>
  <c r="K63" i="2"/>
  <c r="E59" i="6"/>
  <c r="E43" i="6"/>
  <c r="E27" i="6"/>
  <c r="K62" i="2"/>
  <c r="F64" i="6"/>
  <c r="G64" i="6" s="1"/>
  <c r="F40" i="6"/>
  <c r="G40" i="6" s="1"/>
  <c r="F41" i="2"/>
  <c r="G41" i="2" s="1"/>
  <c r="I46" i="2"/>
  <c r="F21" i="6"/>
  <c r="G21" i="6" s="1"/>
  <c r="A21" i="2"/>
  <c r="A22" i="2" s="1"/>
  <c r="A23" i="2" s="1"/>
  <c r="F17" i="6"/>
  <c r="G17" i="6" s="1"/>
  <c r="F9" i="6"/>
  <c r="G9" i="6" s="1"/>
  <c r="K9" i="2"/>
  <c r="F16" i="6"/>
  <c r="G16" i="6" s="1"/>
  <c r="F18" i="5"/>
  <c r="G18" i="5" s="1"/>
  <c r="D80" i="5"/>
  <c r="G62" i="5"/>
  <c r="G30" i="5"/>
  <c r="G13" i="5"/>
  <c r="G56" i="6"/>
  <c r="G7" i="6"/>
  <c r="G72" i="5"/>
  <c r="G40" i="5"/>
  <c r="G24" i="5"/>
  <c r="D67" i="5"/>
  <c r="D79" i="5"/>
  <c r="K20" i="1"/>
  <c r="G7" i="2"/>
  <c r="G71" i="2" s="1"/>
  <c r="G5" i="3" s="1"/>
  <c r="G7" i="3" s="1"/>
  <c r="F71" i="2"/>
  <c r="D5" i="3" s="1"/>
  <c r="D7" i="3" s="1"/>
  <c r="D68" i="1"/>
  <c r="J68" i="1" s="1"/>
  <c r="A70" i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D77" i="1"/>
  <c r="D78" i="1" s="1"/>
  <c r="F78" i="1" s="1"/>
  <c r="G78" i="1" s="1"/>
  <c r="D79" i="1"/>
  <c r="D55" i="1"/>
  <c r="F55" i="1" s="1"/>
  <c r="G55" i="1" s="1"/>
  <c r="F79" i="1"/>
  <c r="G79" i="1" s="1"/>
  <c r="F80" i="1"/>
  <c r="G80" i="1" s="1"/>
  <c r="F59" i="1"/>
  <c r="G59" i="1" s="1"/>
  <c r="F60" i="1"/>
  <c r="G60" i="1" s="1"/>
  <c r="G7" i="1"/>
  <c r="F65" i="1"/>
  <c r="G65" i="1" s="1"/>
  <c r="F57" i="1"/>
  <c r="G57" i="1" s="1"/>
  <c r="D67" i="1"/>
  <c r="J67" i="1" s="1"/>
  <c r="F43" i="1"/>
  <c r="G43" i="1" s="1"/>
  <c r="G47" i="5" l="1"/>
  <c r="K68" i="1"/>
  <c r="F68" i="5"/>
  <c r="G68" i="5" s="1"/>
  <c r="K67" i="1"/>
  <c r="F67" i="5"/>
  <c r="G67" i="5" s="1"/>
  <c r="F77" i="1"/>
  <c r="G77" i="1" s="1"/>
  <c r="K65" i="1"/>
  <c r="F65" i="5"/>
  <c r="G65" i="5" s="1"/>
  <c r="K61" i="1"/>
  <c r="F61" i="5"/>
  <c r="K23" i="1"/>
  <c r="F23" i="5"/>
  <c r="G23" i="5" s="1"/>
  <c r="K55" i="1"/>
  <c r="F55" i="5"/>
  <c r="G55" i="5" s="1"/>
  <c r="K29" i="1"/>
  <c r="F29" i="5"/>
  <c r="G29" i="5" s="1"/>
  <c r="K71" i="1"/>
  <c r="F71" i="5"/>
  <c r="G71" i="5" s="1"/>
  <c r="K34" i="1"/>
  <c r="F34" i="5"/>
  <c r="G34" i="5" s="1"/>
  <c r="J52" i="1"/>
  <c r="E52" i="5"/>
  <c r="J48" i="1"/>
  <c r="E48" i="5"/>
  <c r="K59" i="1"/>
  <c r="F59" i="5"/>
  <c r="G59" i="5" s="1"/>
  <c r="K35" i="1"/>
  <c r="F35" i="5"/>
  <c r="G35" i="5" s="1"/>
  <c r="K64" i="1"/>
  <c r="F64" i="5"/>
  <c r="G64" i="5" s="1"/>
  <c r="J16" i="1"/>
  <c r="E16" i="5"/>
  <c r="K10" i="1"/>
  <c r="F10" i="5"/>
  <c r="G10" i="5" s="1"/>
  <c r="K69" i="1"/>
  <c r="F69" i="5"/>
  <c r="K80" i="1"/>
  <c r="F80" i="5"/>
  <c r="G80" i="5" s="1"/>
  <c r="K37" i="1"/>
  <c r="F37" i="5"/>
  <c r="G37" i="5" s="1"/>
  <c r="G53" i="5"/>
  <c r="K41" i="1"/>
  <c r="F41" i="5"/>
  <c r="G41" i="5" s="1"/>
  <c r="K50" i="1"/>
  <c r="F50" i="5"/>
  <c r="G50" i="5" s="1"/>
  <c r="K19" i="1"/>
  <c r="F19" i="5"/>
  <c r="G19" i="5" s="1"/>
  <c r="K12" i="1"/>
  <c r="F12" i="5"/>
  <c r="G12" i="5" s="1"/>
  <c r="G61" i="5"/>
  <c r="K32" i="1"/>
  <c r="F32" i="5"/>
  <c r="G32" i="5" s="1"/>
  <c r="K22" i="1"/>
  <c r="F22" i="5"/>
  <c r="G22" i="5" s="1"/>
  <c r="J74" i="1"/>
  <c r="E74" i="5"/>
  <c r="J77" i="1"/>
  <c r="K51" i="1"/>
  <c r="F51" i="5"/>
  <c r="G51" i="5" s="1"/>
  <c r="J49" i="1"/>
  <c r="E49" i="5"/>
  <c r="K33" i="1"/>
  <c r="F33" i="5"/>
  <c r="G33" i="5" s="1"/>
  <c r="K31" i="1"/>
  <c r="F31" i="5"/>
  <c r="G31" i="5" s="1"/>
  <c r="K11" i="1"/>
  <c r="F11" i="5"/>
  <c r="G11" i="5" s="1"/>
  <c r="K79" i="1"/>
  <c r="F79" i="5"/>
  <c r="G79" i="5" s="1"/>
  <c r="G69" i="5"/>
  <c r="K76" i="1"/>
  <c r="F76" i="5"/>
  <c r="G76" i="5" s="1"/>
  <c r="J15" i="1"/>
  <c r="E15" i="5"/>
  <c r="K66" i="1"/>
  <c r="F66" i="5"/>
  <c r="G66" i="5" s="1"/>
  <c r="K78" i="1"/>
  <c r="F78" i="5"/>
  <c r="G78" i="5" s="1"/>
  <c r="K54" i="1"/>
  <c r="F54" i="5"/>
  <c r="G54" i="5" s="1"/>
  <c r="J58" i="1"/>
  <c r="E58" i="5"/>
  <c r="K7" i="1"/>
  <c r="F7" i="5"/>
  <c r="G7" i="5" s="1"/>
  <c r="F51" i="6"/>
  <c r="G51" i="6" s="1"/>
  <c r="K51" i="2"/>
  <c r="E50" i="6"/>
  <c r="J50" i="2"/>
  <c r="E47" i="6"/>
  <c r="J47" i="2"/>
  <c r="F67" i="6"/>
  <c r="G67" i="6" s="1"/>
  <c r="K67" i="2"/>
  <c r="F29" i="6"/>
  <c r="G29" i="6" s="1"/>
  <c r="K29" i="2"/>
  <c r="E48" i="6"/>
  <c r="J48" i="2"/>
  <c r="F45" i="6"/>
  <c r="G45" i="6" s="1"/>
  <c r="K45" i="2"/>
  <c r="E35" i="6"/>
  <c r="J35" i="2"/>
  <c r="J39" i="2"/>
  <c r="E39" i="6"/>
  <c r="F30" i="6"/>
  <c r="G30" i="6" s="1"/>
  <c r="K30" i="2"/>
  <c r="J23" i="2"/>
  <c r="F70" i="6"/>
  <c r="G70" i="6" s="1"/>
  <c r="K70" i="2"/>
  <c r="E46" i="6"/>
  <c r="J46" i="2"/>
  <c r="F53" i="6"/>
  <c r="G53" i="6" s="1"/>
  <c r="K53" i="2"/>
  <c r="K34" i="2"/>
  <c r="F34" i="6"/>
  <c r="G34" i="6" s="1"/>
  <c r="F37" i="6"/>
  <c r="G37" i="6" s="1"/>
  <c r="K37" i="2"/>
  <c r="F52" i="6"/>
  <c r="G52" i="6" s="1"/>
  <c r="K52" i="2"/>
  <c r="F8" i="6"/>
  <c r="G8" i="6" s="1"/>
  <c r="K8" i="2"/>
  <c r="F61" i="6"/>
  <c r="G61" i="6" s="1"/>
  <c r="K61" i="2"/>
  <c r="F66" i="6"/>
  <c r="G66" i="6" s="1"/>
  <c r="K66" i="2"/>
  <c r="K68" i="2"/>
  <c r="F68" i="6"/>
  <c r="G68" i="6" s="1"/>
  <c r="F69" i="6"/>
  <c r="G69" i="6" s="1"/>
  <c r="K69" i="2"/>
  <c r="F38" i="6"/>
  <c r="K38" i="2"/>
  <c r="F26" i="6"/>
  <c r="G26" i="6" s="1"/>
  <c r="K26" i="2"/>
  <c r="E31" i="6"/>
  <c r="J31" i="2"/>
  <c r="E36" i="6"/>
  <c r="J36" i="2"/>
  <c r="E42" i="6"/>
  <c r="J42" i="2"/>
  <c r="G38" i="6"/>
  <c r="F15" i="6"/>
  <c r="G15" i="6" s="1"/>
  <c r="F11" i="6"/>
  <c r="G11" i="6" s="1"/>
  <c r="F12" i="6"/>
  <c r="G12" i="6" s="1"/>
  <c r="F20" i="6"/>
  <c r="G20" i="6" s="1"/>
  <c r="F14" i="6"/>
  <c r="G14" i="6" s="1"/>
  <c r="F13" i="6"/>
  <c r="G13" i="6" s="1"/>
  <c r="F19" i="6"/>
  <c r="G19" i="6" s="1"/>
  <c r="F10" i="6"/>
  <c r="F18" i="6"/>
  <c r="G18" i="6" s="1"/>
  <c r="F67" i="1"/>
  <c r="G67" i="1" s="1"/>
  <c r="F68" i="1"/>
  <c r="G68" i="1" s="1"/>
  <c r="K15" i="1" l="1"/>
  <c r="F15" i="5"/>
  <c r="G15" i="5" s="1"/>
  <c r="K48" i="1"/>
  <c r="F48" i="5"/>
  <c r="G48" i="5" s="1"/>
  <c r="K52" i="1"/>
  <c r="F52" i="5"/>
  <c r="G52" i="5" s="1"/>
  <c r="K77" i="1"/>
  <c r="F77" i="5"/>
  <c r="G77" i="5" s="1"/>
  <c r="K16" i="1"/>
  <c r="F16" i="5"/>
  <c r="G16" i="5" s="1"/>
  <c r="F49" i="5"/>
  <c r="G49" i="5" s="1"/>
  <c r="K49" i="1"/>
  <c r="K74" i="1"/>
  <c r="F74" i="5"/>
  <c r="G74" i="5" s="1"/>
  <c r="K58" i="1"/>
  <c r="F58" i="5"/>
  <c r="G58" i="5" s="1"/>
  <c r="K23" i="2"/>
  <c r="F23" i="6"/>
  <c r="G23" i="6" s="1"/>
  <c r="K36" i="2"/>
  <c r="F36" i="6"/>
  <c r="G36" i="6" s="1"/>
  <c r="K48" i="2"/>
  <c r="F48" i="6"/>
  <c r="G48" i="6" s="1"/>
  <c r="K50" i="2"/>
  <c r="F50" i="6"/>
  <c r="G50" i="6" s="1"/>
  <c r="F47" i="6"/>
  <c r="G47" i="6" s="1"/>
  <c r="K47" i="2"/>
  <c r="F31" i="6"/>
  <c r="G31" i="6" s="1"/>
  <c r="K31" i="2"/>
  <c r="F46" i="6"/>
  <c r="K46" i="2"/>
  <c r="G46" i="6"/>
  <c r="F39" i="6"/>
  <c r="G39" i="6" s="1"/>
  <c r="K39" i="2"/>
  <c r="F42" i="6"/>
  <c r="K42" i="2"/>
  <c r="G42" i="6"/>
  <c r="J71" i="2"/>
  <c r="F35" i="6"/>
  <c r="G35" i="6" s="1"/>
  <c r="K35" i="2"/>
  <c r="K71" i="2"/>
  <c r="J5" i="3" s="1"/>
  <c r="J7" i="3" s="1"/>
  <c r="G10" i="6"/>
  <c r="G81" i="1"/>
  <c r="F5" i="3" s="1"/>
  <c r="F81" i="1"/>
  <c r="C5" i="3" s="1"/>
  <c r="F71" i="6" l="1"/>
  <c r="G71" i="6"/>
  <c r="D5" i="4"/>
  <c r="D7" i="4" s="1"/>
  <c r="G9" i="3"/>
  <c r="G10" i="3"/>
  <c r="C7" i="3"/>
  <c r="E5" i="3"/>
  <c r="H5" i="3"/>
  <c r="F7" i="3"/>
  <c r="E7" i="3" l="1"/>
  <c r="F83" i="1"/>
  <c r="F84" i="1" s="1"/>
  <c r="I83" i="1"/>
  <c r="H7" i="3"/>
  <c r="J83" i="1" l="1"/>
  <c r="F82" i="5" s="1"/>
  <c r="G82" i="5" s="1"/>
  <c r="E82" i="5"/>
  <c r="G83" i="1"/>
  <c r="G84" i="1" s="1"/>
  <c r="K83" i="1" l="1"/>
  <c r="K6" i="3" l="1"/>
  <c r="E6" i="4" l="1"/>
  <c r="E7" i="4" s="1"/>
  <c r="J45" i="1" l="1"/>
  <c r="F45" i="5" s="1"/>
  <c r="G45" i="5" s="1"/>
  <c r="G81" i="5" s="1"/>
  <c r="G83" i="5" s="1"/>
  <c r="E45" i="5"/>
  <c r="J81" i="1" l="1"/>
  <c r="K45" i="1"/>
  <c r="K81" i="1" s="1"/>
  <c r="K84" i="1" l="1"/>
  <c r="I5" i="3"/>
  <c r="J84" i="1"/>
  <c r="F83" i="5" s="1"/>
  <c r="F81" i="5"/>
  <c r="K5" i="3" l="1"/>
  <c r="K7" i="3" s="1"/>
  <c r="I7" i="3"/>
  <c r="C5" i="4"/>
  <c r="C7" i="4" s="1"/>
  <c r="F9" i="3" l="1"/>
  <c r="F10" i="3"/>
  <c r="H10" i="3"/>
  <c r="H9" i="3"/>
</calcChain>
</file>

<file path=xl/sharedStrings.xml><?xml version="1.0" encoding="utf-8"?>
<sst xmlns="http://schemas.openxmlformats.org/spreadsheetml/2006/main" count="590" uniqueCount="141">
  <si>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</si>
  <si>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</si>
  <si>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</si>
  <si>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</si>
  <si>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</si>
  <si>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</si>
  <si>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</si>
  <si>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</si>
  <si>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Доработка грунта вручную</t>
  </si>
  <si>
    <t>Работа на отвале</t>
  </si>
  <si>
    <t>м2</t>
  </si>
  <si>
    <t>Обратная засыпка местным грунтом механизированным способом</t>
  </si>
  <si>
    <t>Устройство оснований  из песка</t>
  </si>
  <si>
    <t>м</t>
  </si>
  <si>
    <t>Устройство водоотводных лотков</t>
  </si>
  <si>
    <t>шт.</t>
  </si>
  <si>
    <t>Итого</t>
  </si>
  <si>
    <t>Цена за единицу</t>
  </si>
  <si>
    <t>Стоимость  без НДС  итого</t>
  </si>
  <si>
    <t>Песок природный  средний</t>
  </si>
  <si>
    <t>Труба d273x8 L=2490 (2 шт.)</t>
  </si>
  <si>
    <t>Щебень М 600</t>
  </si>
  <si>
    <t>Итого:</t>
  </si>
  <si>
    <t>Водоотведение с путей</t>
  </si>
  <si>
    <t>Планировка площадей ручным способом (дно корыта)</t>
  </si>
  <si>
    <t>Уплотнение грунта пневматическими трамбовками (дно корыта)</t>
  </si>
  <si>
    <t>Укладка трубопроводов дренажный для водостока</t>
  </si>
  <si>
    <t>Устройство водоотводных лотков, жб ((L)=1,5м, h=0,8 м, 0,7м (шир), 152шт.)</t>
  </si>
  <si>
    <t>Устройство крышек лотков, жб ((L)=0,75м, h=0,8 м, 0,7м (шир), 304шт.)</t>
  </si>
  <si>
    <t>Рулонная изоляция (оборачивание геотекстилем, Sлоток=5,7м2)</t>
  </si>
  <si>
    <t xml:space="preserve">Геотекстиль </t>
  </si>
  <si>
    <t>Засыпка вручную пазух щебнем</t>
  </si>
  <si>
    <t>Строительство 4 путей длиной 114 м каждый</t>
  </si>
  <si>
    <t>Укладка пути отдельными элементами на железобетонных шпалах тип рельсов: Р65</t>
  </si>
  <si>
    <t>Рельсы Р-65</t>
  </si>
  <si>
    <t>Накладки Р-65</t>
  </si>
  <si>
    <t>Шпaлa жeлeзoбeтoннaяе (160х230х2750) Ш1</t>
  </si>
  <si>
    <t>Гaйкa для бoлтoв клeммныx и зaклaдныx М22</t>
  </si>
  <si>
    <t>Шaйбa двуxвиткoвaя М25</t>
  </si>
  <si>
    <t>Kлeммa пpoмeжутoчнaя ПК</t>
  </si>
  <si>
    <t>Бoлт клeммный  cвoбoдный М22х75</t>
  </si>
  <si>
    <t>Втулкa изoлиpующaя ЦП-142 (КБ-65)</t>
  </si>
  <si>
    <t>Шaйбa-cкoбa плocкaя ЦП-138</t>
  </si>
  <si>
    <t xml:space="preserve">Бoлт зaклaднoй cвoбoдный M22x175 </t>
  </si>
  <si>
    <t>Пpoклaдкa пoдpeльcoвaя (P65) ЦП</t>
  </si>
  <si>
    <t>Пoдклaдкa KБ-65</t>
  </si>
  <si>
    <t xml:space="preserve">Пpoклaдкa нaшпaльнaя (KБ-65) ЦП-328 </t>
  </si>
  <si>
    <t xml:space="preserve">Разработка сухого техногенного грунта механизированным способом </t>
  </si>
  <si>
    <t xml:space="preserve">Планировка площадей механизированным способом (полотно под корыто) </t>
  </si>
  <si>
    <t>Устройство насыпи из дренирующего грунта (песка)</t>
  </si>
  <si>
    <t>Укладка геотекстиля</t>
  </si>
  <si>
    <t>Засыпка балластным щебнем h=0,35</t>
  </si>
  <si>
    <t>Балластировка пути h=0,2</t>
  </si>
  <si>
    <t>Щебень балластный кат.2</t>
  </si>
  <si>
    <t>Планировка территории</t>
  </si>
  <si>
    <t>Разработка сухого техногенного грунта механизированным способом (срезка грунта)</t>
  </si>
  <si>
    <t xml:space="preserve">Планировка площадей механизированным способом  </t>
  </si>
  <si>
    <t>Железнодорожный тупиковый упор</t>
  </si>
  <si>
    <t xml:space="preserve">Установка тупиковых упоров </t>
  </si>
  <si>
    <t>шт</t>
  </si>
  <si>
    <t>Рельс Р50 L=2100 мм</t>
  </si>
  <si>
    <t>Брус деревянный 2750х200х180 мм</t>
  </si>
  <si>
    <t>Брус деревянный 477х200х180 мм</t>
  </si>
  <si>
    <t xml:space="preserve">Шпилька с резьбой  </t>
  </si>
  <si>
    <t xml:space="preserve">Гайка </t>
  </si>
  <si>
    <t xml:space="preserve">Шайба </t>
  </si>
  <si>
    <t>Знак "Путевое ограждение"</t>
  </si>
  <si>
    <t>Разработка РД</t>
  </si>
  <si>
    <t>комплекс</t>
  </si>
  <si>
    <t>Переустройство теплосети</t>
  </si>
  <si>
    <t xml:space="preserve">Демонтаж опор теплосети </t>
  </si>
  <si>
    <t xml:space="preserve">Монтаж опор теплосети </t>
  </si>
  <si>
    <t>Разработка грунта вручную (котлованы)</t>
  </si>
  <si>
    <t>Демонтаж фундаментов опор теплосети (1,8м3/шт.)</t>
  </si>
  <si>
    <t>Монтаж фундаментов опор теплосети (1,8м3/шт.)</t>
  </si>
  <si>
    <t>Переустройство канализации</t>
  </si>
  <si>
    <t>Труба стальная электросварная 530х10мм (футляр)</t>
  </si>
  <si>
    <t xml:space="preserve">Труба КОРСИС PRODN/OD 315/271P SN 16 </t>
  </si>
  <si>
    <t>Прокладка труб КОРСИС PRODN/OD 315/271P SN 16</t>
  </si>
  <si>
    <t>Демонтаж существующих колодцев</t>
  </si>
  <si>
    <t>Устройство круглых сборных железобетонных канализационных колодцев  в мокрых грунтах</t>
  </si>
  <si>
    <t>Уплотнение грунта пневматическими трамбовками</t>
  </si>
  <si>
    <t>Опора тепловой сети</t>
  </si>
  <si>
    <t>Прокладка труб стальных электросварных 530*10 мм (футляр)</t>
  </si>
  <si>
    <t>Плита днища ПН 10</t>
  </si>
  <si>
    <t>Плита перекрытия ПП 10-2</t>
  </si>
  <si>
    <t>Кольцо стеновое КС 10.9</t>
  </si>
  <si>
    <t xml:space="preserve">Кольцо опорное КО6 </t>
  </si>
  <si>
    <t>1</t>
  </si>
  <si>
    <t xml:space="preserve">Кольцо стеновое КС7.3 </t>
  </si>
  <si>
    <t>Люк чугунный тяжелый Т(С250)</t>
  </si>
  <si>
    <t>Муфта защитная полиэтиленовая D=669 мм L=450 мм для прохода труб сквозь бетонную стенку колодца (для труб ø500 мм)</t>
  </si>
  <si>
    <t>Лестница-стремянка из угловой оцинкованной стали 50×5 мм (С1-03)</t>
  </si>
  <si>
    <t>кг</t>
  </si>
  <si>
    <t>16,2</t>
  </si>
  <si>
    <t>Праймер Технониколь №1</t>
  </si>
  <si>
    <t>л</t>
  </si>
  <si>
    <t>Битумная мастика Технониколь №24</t>
  </si>
  <si>
    <t>36,43</t>
  </si>
  <si>
    <t>2</t>
  </si>
  <si>
    <t>Установка муфт защитных полиэтиленовых D=550 мм L=270,0 мм для прохода труб сквозь бетонную стенку колодца (для труб ø315 мм)</t>
  </si>
  <si>
    <t>Разработка грунта вручную для устройства колодца</t>
  </si>
  <si>
    <t>Устройство присыпки  из песка</t>
  </si>
  <si>
    <t>ООО "ЭлектроЭнергетика"</t>
  </si>
  <si>
    <t>Обратная засыпка местным грунтом механизированным способом (пазух)</t>
  </si>
  <si>
    <t>Погрузка лишнего грунта в автосамосвалы</t>
  </si>
  <si>
    <t>т</t>
  </si>
  <si>
    <t>Разработка грунта вручную для демонтажа существ. колодца</t>
  </si>
  <si>
    <t>Разработка грунта в траншее вручную для переустройства сетей канализации</t>
  </si>
  <si>
    <t xml:space="preserve">Уплотнение грунта катками 16т (4-5 проходов по каждому следу) </t>
  </si>
  <si>
    <t>Уплотнение грунта катками 16т (4-5 проходов по каждому следу)</t>
  </si>
  <si>
    <t>Заделка пространства прохода труб бетоном В20</t>
  </si>
  <si>
    <t>Заделка концов футляра 530х10мм</t>
  </si>
  <si>
    <t>футляр</t>
  </si>
  <si>
    <t>Металлопрокат (арматура, анкерные шпильки, проволка и пр)</t>
  </si>
  <si>
    <t>компл.</t>
  </si>
  <si>
    <t>Демонтаж труб чугунных Ду 300мм</t>
  </si>
  <si>
    <t>Болт стыковой 27х160 с шайбой и гайкой</t>
  </si>
  <si>
    <t>Выправочно-отделочные работы и окончательная выправка пути на железобетонных шпалах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</si>
  <si>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</si>
  <si>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</si>
  <si>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</si>
  <si>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</si>
  <si>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</si>
  <si>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</si>
  <si>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</si>
  <si>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</si>
  <si>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Итого СМР</t>
  </si>
  <si>
    <t>Вывоз лишнего грунта с утилизацией</t>
  </si>
  <si>
    <t>К</t>
  </si>
  <si>
    <t>КиКГЕОСТРОЙ</t>
  </si>
  <si>
    <t>ООО "КиКГЕОСТРОЙ"</t>
  </si>
  <si>
    <t>ВП</t>
  </si>
  <si>
    <t>Рентабельность %</t>
  </si>
  <si>
    <t>ИТОГО</t>
  </si>
  <si>
    <t>Наименование работ</t>
  </si>
  <si>
    <t>Лоток мпл 0,75д 1500х700х850</t>
  </si>
  <si>
    <t>Крышка лотка КР-3 750х700х70</t>
  </si>
  <si>
    <t xml:space="preserve">Гидроизоляция боковая обмазочная битумная в 2 слоя </t>
  </si>
  <si>
    <t>Мастика битумная</t>
  </si>
  <si>
    <t>Крышка лотка КР-3 750х700х70   0,028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</si>
</sst>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_-* #,##0.00\ _₽_-;\-* #,##0.0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165" fontId="0" fillId="0" borderId="0" xfId="1" applyNumberFormat="1" applyFont="1"/>
    <xf numFmtId="4" fontId="3" fillId="0" borderId="3" xfId="0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vertical="center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6" fontId="3" fillId="2" borderId="3" xfId="0" applyNumberFormat="1" applyFont="1" applyFill="1" applyBorder="1" applyAlignment="1">
      <alignment horizontal="left" vertical="center" wrapText="1"/>
    </xf>
    <xf numFmtId="165" fontId="3" fillId="2" borderId="3" xfId="1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166" fontId="3" fillId="0" borderId="3" xfId="0" applyNumberFormat="1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1" fontId="7" fillId="0" borderId="3" xfId="0" applyNumberFormat="1" applyFont="1" applyBorder="1" applyAlignment="1">
      <alignment vertical="center" wrapText="1"/>
    </xf>
    <xf numFmtId="164" fontId="8" fillId="0" borderId="3" xfId="1" applyFont="1" applyFill="1" applyBorder="1" applyAlignment="1">
      <alignment horizontal="center" vertical="center" wrapText="1"/>
    </xf>
    <xf numFmtId="164" fontId="6" fillId="0" borderId="3" xfId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64" fontId="9" fillId="0" borderId="3" xfId="1" applyFont="1" applyBorder="1" applyAlignment="1">
      <alignment horizontal="center" vertical="center"/>
    </xf>
    <xf numFmtId="2" fontId="7" fillId="0" borderId="3" xfId="0" applyNumberFormat="1" applyFont="1" applyBorder="1" applyAlignment="1">
      <alignment vertical="center" wrapText="1"/>
    </xf>
    <xf numFmtId="167" fontId="7" fillId="0" borderId="3" xfId="0" applyNumberFormat="1" applyFont="1" applyBorder="1" applyAlignment="1">
      <alignment vertical="center" wrapText="1"/>
    </xf>
    <xf numFmtId="0" fontId="7" fillId="3" borderId="3" xfId="3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vertical="center"/>
    </xf>
    <xf numFmtId="1" fontId="7" fillId="3" borderId="3" xfId="0" applyNumberFormat="1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wrapText="1"/>
    </xf>
    <xf numFmtId="164" fontId="4" fillId="0" borderId="3" xfId="1" applyFont="1" applyBorder="1"/>
    <xf numFmtId="165" fontId="3" fillId="0" borderId="3" xfId="1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5" fontId="0" fillId="0" borderId="3" xfId="1" applyNumberFormat="1" applyFont="1" applyBorder="1"/>
    <xf numFmtId="164" fontId="3" fillId="0" borderId="3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65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8" fontId="6" fillId="3" borderId="3" xfId="1" applyNumberFormat="1" applyFont="1" applyFill="1" applyBorder="1" applyAlignment="1">
      <alignment horizontal="center" vertical="center" wrapText="1"/>
    </xf>
    <xf numFmtId="165" fontId="7" fillId="3" borderId="3" xfId="1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4" fontId="6" fillId="0" borderId="3" xfId="1" applyFont="1" applyFill="1" applyBorder="1" applyAlignment="1">
      <alignment vertical="center"/>
    </xf>
    <xf numFmtId="49" fontId="7" fillId="3" borderId="3" xfId="2" applyNumberFormat="1" applyFont="1" applyFill="1" applyBorder="1" applyAlignment="1">
      <alignment horizontal="right" vertical="center"/>
    </xf>
    <xf numFmtId="0" fontId="7" fillId="3" borderId="3" xfId="2" applyFont="1" applyFill="1" applyBorder="1" applyAlignment="1">
      <alignment horizontal="right" vertical="center"/>
    </xf>
    <xf numFmtId="164" fontId="9" fillId="3" borderId="3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11" fillId="0" borderId="0" xfId="0" applyFont="1"/>
    <xf numFmtId="0" fontId="4" fillId="4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164" fontId="6" fillId="4" borderId="3" xfId="1" applyFont="1" applyFill="1" applyBorder="1" applyAlignment="1">
      <alignment vertical="center"/>
    </xf>
    <xf numFmtId="164" fontId="6" fillId="4" borderId="3" xfId="1" applyFont="1" applyFill="1" applyBorder="1" applyAlignment="1">
      <alignment horizontal="right" vertical="center"/>
    </xf>
    <xf numFmtId="164" fontId="4" fillId="4" borderId="3" xfId="1" applyFont="1" applyFill="1" applyBorder="1" applyAlignment="1">
      <alignment horizontal="center" vertical="center"/>
    </xf>
    <xf numFmtId="164" fontId="6" fillId="5" borderId="3" xfId="1" applyFont="1" applyFill="1" applyBorder="1" applyAlignment="1">
      <alignment vertical="center"/>
    </xf>
    <xf numFmtId="164" fontId="6" fillId="5" borderId="3" xfId="1" applyFont="1" applyFill="1" applyBorder="1" applyAlignment="1">
      <alignment horizontal="right" vertical="center"/>
    </xf>
    <xf numFmtId="164" fontId="4" fillId="5" borderId="3" xfId="1" applyFont="1" applyFill="1" applyBorder="1" applyAlignment="1">
      <alignment horizontal="center" vertical="center"/>
    </xf>
    <xf numFmtId="169" fontId="0" fillId="0" borderId="0" xfId="0" applyNumberFormat="1"/>
    <xf numFmtId="0" fontId="6" fillId="0" borderId="3" xfId="0" applyFont="1" applyBorder="1"/>
    <xf numFmtId="0" fontId="4" fillId="0" borderId="3" xfId="0" applyFont="1" applyBorder="1"/>
    <xf numFmtId="164" fontId="4" fillId="4" borderId="3" xfId="1" applyFont="1" applyFill="1" applyBorder="1"/>
    <xf numFmtId="164" fontId="4" fillId="5" borderId="3" xfId="1" applyFont="1" applyFill="1" applyBorder="1"/>
    <xf numFmtId="0" fontId="6" fillId="0" borderId="0" xfId="0" applyFont="1"/>
    <xf numFmtId="0" fontId="10" fillId="3" borderId="3" xfId="0" applyFont="1" applyFill="1" applyBorder="1" applyAlignment="1">
      <alignment horizontal="center" vertical="center" wrapText="1"/>
    </xf>
    <xf numFmtId="0" fontId="10" fillId="0" borderId="3" xfId="3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vertical="center" wrapText="1"/>
    </xf>
    <xf numFmtId="164" fontId="13" fillId="3" borderId="3" xfId="1" applyFont="1" applyFill="1" applyBorder="1" applyAlignment="1">
      <alignment horizontal="center" vertical="center" wrapText="1"/>
    </xf>
    <xf numFmtId="164" fontId="10" fillId="0" borderId="3" xfId="1" applyFont="1" applyBorder="1" applyAlignment="1">
      <alignment vertical="center"/>
    </xf>
    <xf numFmtId="0" fontId="2" fillId="0" borderId="0" xfId="0" applyFont="1"/>
    <xf numFmtId="165" fontId="4" fillId="0" borderId="9" xfId="1" applyNumberFormat="1" applyFont="1" applyBorder="1" applyAlignment="1">
      <alignment vertical="center"/>
    </xf>
    <xf numFmtId="0" fontId="3" fillId="0" borderId="9" xfId="2" applyFont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left" vertical="center" wrapText="1"/>
    </xf>
    <xf numFmtId="165" fontId="6" fillId="0" borderId="9" xfId="1" applyNumberFormat="1" applyFont="1" applyBorder="1"/>
    <xf numFmtId="164" fontId="6" fillId="0" borderId="9" xfId="1" applyFont="1" applyBorder="1" applyAlignment="1">
      <alignment vertical="center"/>
    </xf>
    <xf numFmtId="164" fontId="6" fillId="3" borderId="9" xfId="1" applyFont="1" applyFill="1" applyBorder="1" applyAlignment="1">
      <alignment vertical="center"/>
    </xf>
    <xf numFmtId="164" fontId="10" fillId="0" borderId="9" xfId="1" applyFont="1" applyBorder="1" applyAlignment="1">
      <alignment vertical="center"/>
    </xf>
    <xf numFmtId="164" fontId="6" fillId="0" borderId="9" xfId="1" applyFont="1" applyFill="1" applyBorder="1" applyAlignment="1">
      <alignment vertical="center"/>
    </xf>
    <xf numFmtId="164" fontId="4" fillId="0" borderId="9" xfId="1" applyFont="1" applyBorder="1"/>
    <xf numFmtId="165" fontId="0" fillId="0" borderId="3" xfId="1" applyNumberFormat="1" applyFont="1" applyBorder="1" applyAlignment="1">
      <alignment horizontal="center" vertical="center"/>
    </xf>
    <xf numFmtId="0" fontId="0" fillId="0" borderId="3" xfId="0" applyBorder="1"/>
    <xf numFmtId="168" fontId="0" fillId="0" borderId="3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9" fontId="0" fillId="0" borderId="3" xfId="0" applyNumberFormat="1" applyBorder="1"/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164" fontId="4" fillId="6" borderId="3" xfId="1" applyFont="1" applyFill="1" applyBorder="1" applyAlignment="1">
      <alignment horizontal="center" vertical="center"/>
    </xf>
    <xf numFmtId="169" fontId="0" fillId="6" borderId="3" xfId="0" applyNumberFormat="1" applyFill="1" applyBorder="1"/>
    <xf numFmtId="164" fontId="0" fillId="6" borderId="3" xfId="0" applyNumberFormat="1" applyFill="1" applyBorder="1"/>
    <xf numFmtId="0" fontId="0" fillId="6" borderId="3" xfId="0" applyFill="1" applyBorder="1"/>
    <xf numFmtId="169" fontId="12" fillId="0" borderId="0" xfId="0" applyNumberFormat="1" applyFont="1"/>
    <xf numFmtId="9" fontId="12" fillId="0" borderId="0" xfId="4" applyFont="1"/>
    <xf numFmtId="169" fontId="2" fillId="0" borderId="0" xfId="0" applyNumberFormat="1" applyFont="1"/>
    <xf numFmtId="164" fontId="7" fillId="0" borderId="3" xfId="1" applyFont="1" applyFill="1" applyBorder="1" applyAlignment="1">
      <alignment horizontal="center" vertical="center" wrapText="1"/>
    </xf>
    <xf numFmtId="164" fontId="6" fillId="0" borderId="3" xfId="1" applyFont="1" applyBorder="1" applyAlignment="1">
      <alignment horizontal="center" vertical="center"/>
    </xf>
    <xf numFmtId="165" fontId="3" fillId="0" borderId="3" xfId="1" applyNumberFormat="1" applyFont="1" applyBorder="1" applyAlignment="1">
      <alignment vertical="center"/>
    </xf>
    <xf numFmtId="0" fontId="11" fillId="0" borderId="3" xfId="0" applyFont="1" applyBorder="1"/>
    <xf numFmtId="164" fontId="7" fillId="3" borderId="3" xfId="1" applyFont="1" applyFill="1" applyBorder="1" applyAlignment="1">
      <alignment horizontal="center" vertical="center" wrapText="1"/>
    </xf>
    <xf numFmtId="168" fontId="7" fillId="3" borderId="3" xfId="1" applyNumberFormat="1" applyFont="1" applyFill="1" applyBorder="1" applyAlignment="1">
      <alignment horizontal="center" vertical="center" wrapText="1"/>
    </xf>
    <xf numFmtId="164" fontId="3" fillId="0" borderId="3" xfId="1" applyFont="1" applyBorder="1"/>
    <xf numFmtId="0" fontId="3" fillId="0" borderId="3" xfId="3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8" fillId="7" borderId="3" xfId="1" applyFont="1" applyFill="1" applyBorder="1" applyAlignment="1">
      <alignment horizontal="center" vertical="center" wrapText="1"/>
    </xf>
    <xf numFmtId="0" fontId="7" fillId="7" borderId="3" xfId="3" applyFont="1" applyFill="1" applyBorder="1" applyAlignment="1">
      <alignment horizontal="left" vertical="center" wrapText="1"/>
    </xf>
    <xf numFmtId="168" fontId="0" fillId="7" borderId="3" xfId="1" applyNumberFormat="1" applyFont="1" applyFill="1" applyBorder="1" applyAlignment="1">
      <alignment horizontal="center" vertical="center"/>
    </xf>
    <xf numFmtId="164" fontId="6" fillId="7" borderId="3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center" vertical="center" wrapText="1"/>
    </xf>
    <xf numFmtId="1" fontId="7" fillId="7" borderId="3" xfId="0" applyNumberFormat="1" applyFont="1" applyFill="1" applyBorder="1" applyAlignment="1">
      <alignment vertical="center" wrapText="1"/>
    </xf>
    <xf numFmtId="164" fontId="8" fillId="7" borderId="3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center" wrapText="1"/>
    </xf>
    <xf numFmtId="164" fontId="6" fillId="7" borderId="3" xfId="1" applyFont="1" applyFill="1" applyBorder="1" applyAlignment="1">
      <alignment vertical="center"/>
    </xf>
    <xf numFmtId="169" fontId="0" fillId="7" borderId="3" xfId="0" applyNumberFormat="1" applyFill="1" applyBorder="1"/>
    <xf numFmtId="2" fontId="7" fillId="7" borderId="3" xfId="0" applyNumberFormat="1" applyFont="1" applyFill="1" applyBorder="1" applyAlignment="1">
      <alignment vertical="center" wrapText="1"/>
    </xf>
    <xf numFmtId="164" fontId="6" fillId="7" borderId="9" xfId="1" applyFont="1" applyFill="1" applyBorder="1" applyAlignment="1">
      <alignment vertical="center"/>
    </xf>
    <xf numFmtId="164" fontId="7" fillId="7" borderId="3" xfId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165" fontId="7" fillId="7" borderId="3" xfId="1" applyNumberFormat="1" applyFont="1" applyFill="1" applyBorder="1" applyAlignment="1">
      <alignment horizontal="center" vertical="center" wrapText="1"/>
    </xf>
    <xf numFmtId="164" fontId="6" fillId="7" borderId="3" xfId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horizontal="center" vertical="center"/>
    </xf>
    <xf numFmtId="165" fontId="6" fillId="7" borderId="10" xfId="1" applyNumberFormat="1" applyFont="1" applyFill="1" applyBorder="1" applyAlignment="1">
      <alignment vertical="center"/>
    </xf>
    <xf numFmtId="0" fontId="0" fillId="7" borderId="0" xfId="0" applyFill="1"/>
    <xf numFmtId="0" fontId="6" fillId="7" borderId="7" xfId="0" applyFont="1" applyFill="1" applyBorder="1" applyAlignment="1">
      <alignment horizontal="center" vertical="center"/>
    </xf>
    <xf numFmtId="0" fontId="7" fillId="7" borderId="3" xfId="3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6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3" fillId="0" borderId="9" xfId="3" applyFont="1" applyBorder="1" applyAlignment="1">
      <alignment horizontal="right" vertical="center" wrapText="1"/>
    </xf>
    <xf numFmtId="0" fontId="3" fillId="0" borderId="10" xfId="3" applyFont="1" applyBorder="1" applyAlignment="1">
      <alignment horizontal="right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/>
    </xf>
  </cellXfs>
  <cellStyles count="5">
    <cellStyle name="ЛокСмМТСН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zoomScaleSheetLayoutView="100" workbookViewId="0">
      <selection activeCell="K5" sqref="K5"/>
    </sheetView>
  </sheetViews>
  <sheetFormatPr defaultRowHeight="15" x14ac:dyDescent="0.25"/>
  <cols>
    <col min="1" max="1" width="6.5703125" customWidth="1"/>
    <col min="2" max="2" width="30.7109375" customWidth="1"/>
    <col min="3" max="5" width="14.140625" bestFit="1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F1" s="133" t="s">
        <v>103</v>
      </c>
      <c r="G1" s="134"/>
      <c r="H1" s="134"/>
      <c r="I1" s="133" t="s">
        <v>131</v>
      </c>
      <c r="J1" s="134"/>
      <c r="K1" s="134"/>
    </row>
    <row r="2" spans="1:11" ht="14.45" customHeight="1" x14ac:dyDescent="0.25">
      <c r="F2" s="133"/>
      <c r="G2" s="134"/>
      <c r="H2" s="134"/>
      <c r="I2" s="133"/>
      <c r="J2" s="134"/>
      <c r="K2" s="134"/>
    </row>
    <row r="3" spans="1:11" x14ac:dyDescent="0.25">
      <c r="A3" s="136" t="s">
        <v>0</v>
      </c>
      <c r="B3" s="136" t="s">
        <v>119</v>
      </c>
      <c r="C3" s="137" t="s">
        <v>120</v>
      </c>
      <c r="D3" s="137"/>
      <c r="E3" s="137"/>
      <c r="F3" s="138" t="s">
        <v>121</v>
      </c>
      <c r="G3" s="139"/>
      <c r="H3" s="140"/>
      <c r="I3" s="135" t="s">
        <v>121</v>
      </c>
      <c r="J3" s="135"/>
      <c r="K3" s="135"/>
    </row>
    <row r="4" spans="1:11" ht="28.5" x14ac:dyDescent="0.25">
      <c r="A4" s="136"/>
      <c r="B4" s="136"/>
      <c r="C4" s="53" t="s">
        <v>122</v>
      </c>
      <c r="D4" s="54" t="s">
        <v>123</v>
      </c>
      <c r="E4" s="54" t="s">
        <v>124</v>
      </c>
      <c r="F4" s="55" t="s">
        <v>122</v>
      </c>
      <c r="G4" s="56" t="s">
        <v>123</v>
      </c>
      <c r="H4" s="56" t="s">
        <v>124</v>
      </c>
      <c r="I4" s="92" t="s">
        <v>122</v>
      </c>
      <c r="J4" s="92" t="s">
        <v>123</v>
      </c>
      <c r="K4" s="92" t="s">
        <v>124</v>
      </c>
    </row>
    <row r="5" spans="1:11" x14ac:dyDescent="0.25">
      <c r="A5" s="37">
        <v>1</v>
      </c>
      <c r="B5" s="57" t="s">
        <v>126</v>
      </c>
      <c r="C5" s="58">
        <f>'СМР '!F81</f>
        <v>17199600.910000004</v>
      </c>
      <c r="D5" s="59">
        <f>материалы!F71</f>
        <v>24878194.499999996</v>
      </c>
      <c r="E5" s="60">
        <f t="shared" ref="E5" si="0">C5+D5</f>
        <v>42077795.409999996</v>
      </c>
      <c r="F5" s="61">
        <f>'СМР '!G81</f>
        <v>20639520.909999996</v>
      </c>
      <c r="G5" s="62">
        <f>материалы!G71</f>
        <v>29853833.389999989</v>
      </c>
      <c r="H5" s="63">
        <f t="shared" ref="H5" si="1">F5+G5</f>
        <v>50493354.299999982</v>
      </c>
      <c r="I5" s="94">
        <f>'СМР '!K81</f>
        <v>28895319.459999993</v>
      </c>
      <c r="J5" s="95">
        <f>материалы!K71</f>
        <v>38809983.399999984</v>
      </c>
      <c r="K5" s="93">
        <f t="shared" ref="K5" si="2">I5+J5</f>
        <v>67705302.859999985</v>
      </c>
    </row>
    <row r="6" spans="1:11" x14ac:dyDescent="0.25">
      <c r="A6" s="37">
        <v>2</v>
      </c>
      <c r="B6" s="57" t="s">
        <v>67</v>
      </c>
      <c r="C6" s="58"/>
      <c r="D6" s="59"/>
      <c r="E6" s="60">
        <f>'СМР '!F83</f>
        <v>2262840</v>
      </c>
      <c r="F6" s="61"/>
      <c r="G6" s="62"/>
      <c r="H6" s="63">
        <f>E6*1.2</f>
        <v>2715408</v>
      </c>
      <c r="I6" s="94"/>
      <c r="J6" s="96"/>
      <c r="K6" s="93">
        <f>'СМР '!K83</f>
        <v>3801571.2</v>
      </c>
    </row>
    <row r="7" spans="1:11" x14ac:dyDescent="0.25">
      <c r="A7" s="65"/>
      <c r="B7" s="66" t="s">
        <v>125</v>
      </c>
      <c r="C7" s="67">
        <f>SUM(C5:C5)</f>
        <v>17199600.910000004</v>
      </c>
      <c r="D7" s="67">
        <f>SUM(D5:D5)</f>
        <v>24878194.499999996</v>
      </c>
      <c r="E7" s="67">
        <f>SUM(E5:E6)</f>
        <v>44340635.409999996</v>
      </c>
      <c r="F7" s="68">
        <f>SUM(F5:F5)</f>
        <v>20639520.909999996</v>
      </c>
      <c r="G7" s="68">
        <f>SUM(G5:G5)</f>
        <v>29853833.389999989</v>
      </c>
      <c r="H7" s="68">
        <f>SUM(H5:H6)</f>
        <v>53208762.299999982</v>
      </c>
      <c r="I7" s="68">
        <f>SUM(I5:I5)</f>
        <v>28895319.459999993</v>
      </c>
      <c r="J7" s="68">
        <f>SUM(J5:J5)</f>
        <v>38809983.399999984</v>
      </c>
      <c r="K7" s="68">
        <f>SUM(K5:K6)</f>
        <v>71506874.059999987</v>
      </c>
    </row>
    <row r="8" spans="1:11" x14ac:dyDescent="0.25">
      <c r="A8" s="69"/>
      <c r="B8" s="69"/>
      <c r="C8" s="69"/>
      <c r="D8" s="69"/>
      <c r="E8" s="69"/>
      <c r="H8">
        <v>0</v>
      </c>
      <c r="I8" s="64"/>
    </row>
    <row r="9" spans="1:11" x14ac:dyDescent="0.25">
      <c r="A9" s="69"/>
      <c r="B9" s="69" t="s">
        <v>132</v>
      </c>
      <c r="C9" s="69"/>
      <c r="D9" s="69"/>
      <c r="E9" s="69"/>
      <c r="F9" s="97">
        <f>I7-F7</f>
        <v>8255798.549999997</v>
      </c>
      <c r="G9" s="97">
        <f t="shared" ref="G9:H9" si="3">J7-G7</f>
        <v>8956150.0099999942</v>
      </c>
      <c r="H9" s="97">
        <f t="shared" si="3"/>
        <v>18298111.760000005</v>
      </c>
    </row>
    <row r="10" spans="1:11" x14ac:dyDescent="0.25">
      <c r="A10" s="69"/>
      <c r="B10" s="69" t="s">
        <v>133</v>
      </c>
      <c r="C10" s="69"/>
      <c r="D10" s="69"/>
      <c r="E10" s="69"/>
      <c r="F10" s="98">
        <f>1-F7/I7</f>
        <v>0.28571404311444148</v>
      </c>
      <c r="G10" s="98">
        <f>1-G7/J7</f>
        <v>0.23076923063048771</v>
      </c>
      <c r="H10" s="98">
        <f>1-H7/K7</f>
        <v>0.25589304525668999</v>
      </c>
    </row>
    <row r="11" spans="1:11" x14ac:dyDescent="0.25">
      <c r="A11" s="69"/>
      <c r="B11" s="69"/>
      <c r="C11" s="69"/>
      <c r="D11" s="69"/>
      <c r="E11" s="69"/>
      <c r="F11" s="64"/>
    </row>
    <row r="12" spans="1:11" x14ac:dyDescent="0.25">
      <c r="A12" s="69"/>
      <c r="B12" s="69"/>
      <c r="C12" s="69"/>
      <c r="D12" s="69"/>
      <c r="E12" s="69"/>
    </row>
    <row r="13" spans="1:11" x14ac:dyDescent="0.25">
      <c r="A13" s="69"/>
      <c r="B13" s="69"/>
      <c r="C13" s="69"/>
      <c r="D13" s="69"/>
      <c r="E13" s="69"/>
    </row>
    <row r="14" spans="1:11" x14ac:dyDescent="0.25">
      <c r="A14" s="69"/>
      <c r="B14" s="69"/>
      <c r="C14" s="69"/>
      <c r="D14" s="69"/>
      <c r="E14" s="69"/>
    </row>
    <row r="15" spans="1:11" x14ac:dyDescent="0.25">
      <c r="A15" s="69"/>
      <c r="B15" s="69"/>
      <c r="C15" s="69"/>
      <c r="D15" s="69"/>
      <c r="E15" s="69"/>
    </row>
  </sheetData>
  <mergeCells count="7">
    <mergeCell ref="F1:H2"/>
    <mergeCell ref="I1:K2"/>
    <mergeCell ref="I3:K3"/>
    <mergeCell ref="A3:A4"/>
    <mergeCell ref="B3:B4"/>
    <mergeCell ref="C3:E3"/>
    <mergeCell ref="F3:H3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73" zoomScaleNormal="100" zoomScaleSheetLayoutView="100" workbookViewId="0">
      <selection activeCell="G83" sqref="G83"/>
    </sheetView>
  </sheetViews>
  <sheetFormatPr defaultColWidth="8.85546875" defaultRowHeight="15" x14ac:dyDescent="0.25"/>
  <cols>
    <col min="1" max="1" width="11.7109375" bestFit="1" customWidth="1"/>
    <col min="2" max="2" width="65.140625" customWidth="1"/>
    <col min="3" max="3" width="9.28515625" customWidth="1"/>
    <col min="5" max="5" width="15.28515625" customWidth="1"/>
    <col min="6" max="6" width="16" customWidth="1"/>
    <col min="7" max="7" width="17" style="1" customWidth="1"/>
    <col min="8" max="8" width="4.7109375" style="1" bestFit="1" customWidth="1"/>
    <col min="9" max="10" width="14.28515625" bestFit="1" customWidth="1"/>
    <col min="11" max="11" width="15.85546875" bestFit="1" customWidth="1"/>
    <col min="13" max="13" width="9.28515625" bestFit="1" customWidth="1"/>
  </cols>
  <sheetData>
    <row r="1" spans="1:11" ht="14.45" customHeight="1" x14ac:dyDescent="0.25">
      <c r="A1" s="147" t="s">
        <v>0</v>
      </c>
      <c r="B1" s="150" t="s">
        <v>1</v>
      </c>
      <c r="C1" s="153" t="s">
        <v>2</v>
      </c>
      <c r="D1" s="153" t="s">
        <v>3</v>
      </c>
      <c r="E1" s="133" t="s">
        <v>103</v>
      </c>
      <c r="F1" s="134"/>
      <c r="G1" s="134"/>
      <c r="H1" s="86"/>
      <c r="I1" s="141" t="s">
        <v>130</v>
      </c>
      <c r="J1" s="141"/>
      <c r="K1" s="141"/>
    </row>
    <row r="2" spans="1:11" ht="14.45" customHeight="1" x14ac:dyDescent="0.25">
      <c r="A2" s="148"/>
      <c r="B2" s="151"/>
      <c r="C2" s="153"/>
      <c r="D2" s="153"/>
      <c r="E2" s="133"/>
      <c r="F2" s="134"/>
      <c r="G2" s="134"/>
      <c r="H2" s="88"/>
      <c r="I2" s="141"/>
      <c r="J2" s="141"/>
      <c r="K2" s="141"/>
    </row>
    <row r="3" spans="1:11" ht="56.1" customHeight="1" x14ac:dyDescent="0.25">
      <c r="A3" s="149"/>
      <c r="B3" s="152"/>
      <c r="C3" s="153"/>
      <c r="D3" s="153"/>
      <c r="E3" s="2" t="s">
        <v>4</v>
      </c>
      <c r="F3" s="2" t="s">
        <v>5</v>
      </c>
      <c r="G3" s="77" t="s">
        <v>6</v>
      </c>
      <c r="H3" s="86" t="s">
        <v>129</v>
      </c>
      <c r="I3" s="2" t="s">
        <v>4</v>
      </c>
      <c r="J3" s="2" t="s">
        <v>5</v>
      </c>
      <c r="K3" s="3" t="s">
        <v>6</v>
      </c>
    </row>
    <row r="4" spans="1:11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78">
        <v>7</v>
      </c>
      <c r="H4" s="89"/>
      <c r="I4" s="87"/>
      <c r="J4" s="87"/>
      <c r="K4" s="87"/>
    </row>
    <row r="5" spans="1:11" ht="20.25" customHeight="1" x14ac:dyDescent="0.25">
      <c r="A5" s="6"/>
      <c r="B5" s="145" t="s">
        <v>23</v>
      </c>
      <c r="C5" s="146"/>
      <c r="D5" s="146"/>
      <c r="E5" s="7"/>
      <c r="F5" s="8"/>
      <c r="G5" s="79"/>
      <c r="H5" s="86"/>
      <c r="I5" s="87"/>
      <c r="J5" s="87"/>
      <c r="K5" s="87"/>
    </row>
    <row r="6" spans="1:11" ht="20.25" customHeight="1" x14ac:dyDescent="0.25">
      <c r="A6" s="10"/>
      <c r="B6" s="11" t="s">
        <v>14</v>
      </c>
      <c r="C6" s="12"/>
      <c r="D6" s="12"/>
      <c r="E6" s="13"/>
      <c r="F6" s="14"/>
      <c r="G6" s="80"/>
      <c r="H6" s="86"/>
      <c r="I6" s="87"/>
      <c r="J6" s="87"/>
      <c r="K6" s="87"/>
    </row>
    <row r="7" spans="1:11" ht="18" customHeight="1" x14ac:dyDescent="0.25">
      <c r="A7" s="25">
        <v>1</v>
      </c>
      <c r="B7" s="15" t="s">
        <v>47</v>
      </c>
      <c r="C7" s="20" t="s">
        <v>7</v>
      </c>
      <c r="D7" s="22">
        <f>164.16-16.4</f>
        <v>147.76</v>
      </c>
      <c r="E7" s="18">
        <v>630</v>
      </c>
      <c r="F7" s="19">
        <f t="shared" ref="F7:F12" si="0">ROUND(E7*D7,2)</f>
        <v>93088.8</v>
      </c>
      <c r="G7" s="81">
        <f t="shared" ref="G7:G12" si="1">ROUND(F7*1.2,2)</f>
        <v>111706.56</v>
      </c>
      <c r="H7" s="88">
        <v>1.4</v>
      </c>
      <c r="I7" s="90">
        <f>E7*H7</f>
        <v>882</v>
      </c>
      <c r="J7" s="90">
        <f>I7*D7</f>
        <v>130324.31999999999</v>
      </c>
      <c r="K7" s="90">
        <f t="shared" ref="K7:K71" si="2">ROUND(J7*1.2,2)</f>
        <v>156389.18</v>
      </c>
    </row>
    <row r="8" spans="1:11" ht="18" customHeight="1" x14ac:dyDescent="0.25">
      <c r="A8" s="25">
        <f>A7+1</f>
        <v>2</v>
      </c>
      <c r="B8" s="15" t="s">
        <v>8</v>
      </c>
      <c r="C8" s="16" t="s">
        <v>7</v>
      </c>
      <c r="D8" s="22">
        <v>16.399999999999999</v>
      </c>
      <c r="E8" s="18">
        <v>1777</v>
      </c>
      <c r="F8" s="19">
        <f t="shared" si="0"/>
        <v>29142.799999999999</v>
      </c>
      <c r="G8" s="81">
        <f t="shared" si="1"/>
        <v>34971.360000000001</v>
      </c>
      <c r="H8" s="88">
        <v>1.4</v>
      </c>
      <c r="I8" s="90">
        <f t="shared" ref="I8:I72" si="3">E8*H8</f>
        <v>2487.7999999999997</v>
      </c>
      <c r="J8" s="90">
        <f t="shared" ref="J8:J72" si="4">I8*D8</f>
        <v>40799.919999999991</v>
      </c>
      <c r="K8" s="90">
        <f t="shared" si="2"/>
        <v>48959.9</v>
      </c>
    </row>
    <row r="9" spans="1:11" ht="18" customHeight="1" x14ac:dyDescent="0.25">
      <c r="A9" s="25">
        <f t="shared" ref="A9:A20" si="5">A8+1</f>
        <v>3</v>
      </c>
      <c r="B9" s="15" t="s">
        <v>9</v>
      </c>
      <c r="C9" s="20" t="s">
        <v>7</v>
      </c>
      <c r="D9" s="22">
        <v>164.16</v>
      </c>
      <c r="E9" s="18">
        <v>50</v>
      </c>
      <c r="F9" s="19">
        <f t="shared" si="0"/>
        <v>8208</v>
      </c>
      <c r="G9" s="81">
        <f t="shared" si="1"/>
        <v>9849.6</v>
      </c>
      <c r="H9" s="88">
        <v>1.4</v>
      </c>
      <c r="I9" s="90">
        <f t="shared" si="3"/>
        <v>70</v>
      </c>
      <c r="J9" s="90">
        <f t="shared" si="4"/>
        <v>11491.199999999999</v>
      </c>
      <c r="K9" s="90">
        <f t="shared" si="2"/>
        <v>13789.44</v>
      </c>
    </row>
    <row r="10" spans="1:11" ht="18" customHeight="1" x14ac:dyDescent="0.25">
      <c r="A10" s="25">
        <f t="shared" si="5"/>
        <v>4</v>
      </c>
      <c r="B10" s="15" t="s">
        <v>24</v>
      </c>
      <c r="C10" s="20" t="s">
        <v>10</v>
      </c>
      <c r="D10" s="22">
        <f>228*0.8</f>
        <v>182.4</v>
      </c>
      <c r="E10" s="18">
        <v>899</v>
      </c>
      <c r="F10" s="19">
        <f t="shared" si="0"/>
        <v>163977.60000000001</v>
      </c>
      <c r="G10" s="81">
        <f t="shared" si="1"/>
        <v>196773.12</v>
      </c>
      <c r="H10" s="88">
        <v>1.4</v>
      </c>
      <c r="I10" s="90">
        <f t="shared" si="3"/>
        <v>1258.5999999999999</v>
      </c>
      <c r="J10" s="90">
        <f t="shared" si="4"/>
        <v>229568.63999999998</v>
      </c>
      <c r="K10" s="90">
        <f t="shared" si="2"/>
        <v>275482.37</v>
      </c>
    </row>
    <row r="11" spans="1:11" ht="18" customHeight="1" x14ac:dyDescent="0.25">
      <c r="A11" s="25">
        <f t="shared" si="5"/>
        <v>5</v>
      </c>
      <c r="B11" s="15" t="s">
        <v>25</v>
      </c>
      <c r="C11" s="20" t="s">
        <v>7</v>
      </c>
      <c r="D11" s="22">
        <f>228*0.8*0.1</f>
        <v>18.240000000000002</v>
      </c>
      <c r="E11" s="18">
        <v>203</v>
      </c>
      <c r="F11" s="19">
        <f t="shared" si="0"/>
        <v>3702.72</v>
      </c>
      <c r="G11" s="81">
        <f t="shared" si="1"/>
        <v>4443.26</v>
      </c>
      <c r="H11" s="88">
        <v>1.4</v>
      </c>
      <c r="I11" s="90">
        <f t="shared" si="3"/>
        <v>284.2</v>
      </c>
      <c r="J11" s="90">
        <f t="shared" si="4"/>
        <v>5183.808</v>
      </c>
      <c r="K11" s="90">
        <f t="shared" si="2"/>
        <v>6220.57</v>
      </c>
    </row>
    <row r="12" spans="1:11" ht="18" customHeight="1" x14ac:dyDescent="0.25">
      <c r="A12" s="25">
        <f t="shared" si="5"/>
        <v>6</v>
      </c>
      <c r="B12" s="15" t="s">
        <v>12</v>
      </c>
      <c r="C12" s="20" t="s">
        <v>7</v>
      </c>
      <c r="D12" s="22">
        <v>18.239999999999998</v>
      </c>
      <c r="E12" s="18">
        <v>1111</v>
      </c>
      <c r="F12" s="19">
        <f t="shared" si="0"/>
        <v>20264.64</v>
      </c>
      <c r="G12" s="81">
        <f t="shared" si="1"/>
        <v>24317.57</v>
      </c>
      <c r="H12" s="88">
        <v>1.4</v>
      </c>
      <c r="I12" s="90">
        <f t="shared" si="3"/>
        <v>1555.3999999999999</v>
      </c>
      <c r="J12" s="90">
        <f t="shared" si="4"/>
        <v>28370.495999999996</v>
      </c>
      <c r="K12" s="90">
        <f t="shared" si="2"/>
        <v>34044.6</v>
      </c>
    </row>
    <row r="13" spans="1:11" ht="30" x14ac:dyDescent="0.25">
      <c r="A13" s="25">
        <f t="shared" si="5"/>
        <v>7</v>
      </c>
      <c r="B13" s="15" t="s">
        <v>27</v>
      </c>
      <c r="C13" s="20" t="s">
        <v>13</v>
      </c>
      <c r="D13" s="17">
        <v>228</v>
      </c>
      <c r="E13" s="18">
        <v>1670</v>
      </c>
      <c r="F13" s="19">
        <f>ROUND(E13*D13,2)</f>
        <v>380760</v>
      </c>
      <c r="G13" s="81">
        <f>ROUND(F13*1.2,2)</f>
        <v>456912</v>
      </c>
      <c r="H13" s="88">
        <v>1.4</v>
      </c>
      <c r="I13" s="90">
        <f t="shared" si="3"/>
        <v>2338</v>
      </c>
      <c r="J13" s="90">
        <f t="shared" si="4"/>
        <v>533064</v>
      </c>
      <c r="K13" s="90">
        <f t="shared" si="2"/>
        <v>639676.80000000005</v>
      </c>
    </row>
    <row r="14" spans="1:11" ht="18" customHeight="1" x14ac:dyDescent="0.25">
      <c r="A14" s="25">
        <f t="shared" si="5"/>
        <v>8</v>
      </c>
      <c r="B14" s="15" t="s">
        <v>26</v>
      </c>
      <c r="C14" s="16" t="s">
        <v>13</v>
      </c>
      <c r="D14" s="23">
        <v>40</v>
      </c>
      <c r="E14" s="18">
        <v>1999</v>
      </c>
      <c r="F14" s="19">
        <f>ROUND(E14*D14,2)</f>
        <v>79960</v>
      </c>
      <c r="G14" s="81">
        <f>ROUND(F14*1.2,2)</f>
        <v>95952</v>
      </c>
      <c r="H14" s="88">
        <v>1.4</v>
      </c>
      <c r="I14" s="90">
        <f t="shared" si="3"/>
        <v>2798.6</v>
      </c>
      <c r="J14" s="90">
        <f t="shared" si="4"/>
        <v>111944</v>
      </c>
      <c r="K14" s="90">
        <f t="shared" si="2"/>
        <v>134332.79999999999</v>
      </c>
    </row>
    <row r="15" spans="1:11" ht="30" x14ac:dyDescent="0.25">
      <c r="A15" s="25">
        <f t="shared" si="5"/>
        <v>9</v>
      </c>
      <c r="B15" s="15" t="s">
        <v>28</v>
      </c>
      <c r="C15" s="20" t="s">
        <v>13</v>
      </c>
      <c r="D15" s="17">
        <v>228</v>
      </c>
      <c r="E15" s="18">
        <f>1670*0.5</f>
        <v>835</v>
      </c>
      <c r="F15" s="19">
        <f>ROUND(E15*D15,2)</f>
        <v>190380</v>
      </c>
      <c r="G15" s="81">
        <f>ROUND(F15*1.2,2)</f>
        <v>228456</v>
      </c>
      <c r="H15" s="88">
        <v>1.4</v>
      </c>
      <c r="I15" s="90">
        <f t="shared" si="3"/>
        <v>1169</v>
      </c>
      <c r="J15" s="90">
        <f t="shared" si="4"/>
        <v>266532</v>
      </c>
      <c r="K15" s="90">
        <f t="shared" si="2"/>
        <v>319838.40000000002</v>
      </c>
    </row>
    <row r="16" spans="1:11" s="36" customFormat="1" ht="18" customHeight="1" x14ac:dyDescent="0.25">
      <c r="A16" s="25">
        <f t="shared" si="5"/>
        <v>10</v>
      </c>
      <c r="B16" s="24" t="s">
        <v>29</v>
      </c>
      <c r="C16" s="29" t="s">
        <v>10</v>
      </c>
      <c r="D16" s="28">
        <v>1300</v>
      </c>
      <c r="E16" s="26">
        <f>305.96/2</f>
        <v>152.97999999999999</v>
      </c>
      <c r="F16" s="27">
        <f t="shared" ref="F16:F17" si="6">ROUND(E16*D16,2)</f>
        <v>198874</v>
      </c>
      <c r="G16" s="82">
        <f t="shared" ref="G16:G17" si="7">ROUND(F16*1.2,2)</f>
        <v>238648.8</v>
      </c>
      <c r="H16" s="88">
        <v>1.4</v>
      </c>
      <c r="I16" s="90">
        <f t="shared" si="3"/>
        <v>214.17199999999997</v>
      </c>
      <c r="J16" s="90">
        <f t="shared" si="4"/>
        <v>278423.59999999998</v>
      </c>
      <c r="K16" s="90">
        <f t="shared" si="2"/>
        <v>334108.32</v>
      </c>
    </row>
    <row r="17" spans="1:13" s="36" customFormat="1" ht="18" customHeight="1" x14ac:dyDescent="0.25">
      <c r="A17" s="25">
        <f t="shared" si="5"/>
        <v>11</v>
      </c>
      <c r="B17" s="110" t="s">
        <v>138</v>
      </c>
      <c r="C17" s="118" t="s">
        <v>10</v>
      </c>
      <c r="D17" s="115">
        <v>524</v>
      </c>
      <c r="E17" s="109">
        <v>315</v>
      </c>
      <c r="F17" s="119">
        <f t="shared" si="6"/>
        <v>165060</v>
      </c>
      <c r="G17" s="119">
        <f t="shared" si="7"/>
        <v>198072</v>
      </c>
      <c r="H17" s="111">
        <v>1.4</v>
      </c>
      <c r="I17" s="120">
        <f t="shared" ref="I17" si="8">E17*H17</f>
        <v>441</v>
      </c>
      <c r="J17" s="120">
        <f t="shared" ref="J17" si="9">I17*D17</f>
        <v>231084</v>
      </c>
      <c r="K17" s="120">
        <f t="shared" ref="K17" si="10">ROUND(J17*1.2,2)</f>
        <v>277300.8</v>
      </c>
    </row>
    <row r="18" spans="1:13" ht="18" customHeight="1" x14ac:dyDescent="0.25">
      <c r="A18" s="25">
        <f>A16+1</f>
        <v>11</v>
      </c>
      <c r="B18" s="110" t="s">
        <v>31</v>
      </c>
      <c r="C18" s="114" t="s">
        <v>7</v>
      </c>
      <c r="D18" s="121">
        <v>36.479999999999997</v>
      </c>
      <c r="E18" s="109">
        <v>2100</v>
      </c>
      <c r="F18" s="119">
        <f>ROUND(E18*D18,2)</f>
        <v>76608</v>
      </c>
      <c r="G18" s="122">
        <f>ROUND(F18*1.2,2)</f>
        <v>91929.600000000006</v>
      </c>
      <c r="H18" s="111">
        <v>1.4</v>
      </c>
      <c r="I18" s="120">
        <f>E18*H18</f>
        <v>2940</v>
      </c>
      <c r="J18" s="120">
        <f t="shared" si="4"/>
        <v>107251.2</v>
      </c>
      <c r="K18" s="120">
        <f t="shared" si="2"/>
        <v>128701.44</v>
      </c>
    </row>
    <row r="19" spans="1:13" ht="15.75" x14ac:dyDescent="0.25">
      <c r="A19" s="25">
        <f t="shared" si="5"/>
        <v>12</v>
      </c>
      <c r="B19" s="15" t="s">
        <v>105</v>
      </c>
      <c r="C19" s="20" t="s">
        <v>106</v>
      </c>
      <c r="D19" s="23">
        <f>109.44*1.75</f>
        <v>191.51999999999998</v>
      </c>
      <c r="E19" s="26">
        <v>325</v>
      </c>
      <c r="F19" s="19">
        <f t="shared" ref="F19:F20" si="11">ROUND(E19*D19,2)</f>
        <v>62244</v>
      </c>
      <c r="G19" s="81">
        <f t="shared" ref="G19:G20" si="12">ROUND(F19*1.2,2)</f>
        <v>74692.800000000003</v>
      </c>
      <c r="H19" s="88">
        <v>1.4</v>
      </c>
      <c r="I19" s="90">
        <f t="shared" si="3"/>
        <v>454.99999999999994</v>
      </c>
      <c r="J19" s="90">
        <f t="shared" si="4"/>
        <v>87141.599999999977</v>
      </c>
      <c r="K19" s="90">
        <f t="shared" si="2"/>
        <v>104569.92</v>
      </c>
    </row>
    <row r="20" spans="1:13" s="76" customFormat="1" ht="15.75" x14ac:dyDescent="0.25">
      <c r="A20" s="70">
        <f t="shared" si="5"/>
        <v>13</v>
      </c>
      <c r="B20" s="71" t="s">
        <v>128</v>
      </c>
      <c r="C20" s="72" t="s">
        <v>7</v>
      </c>
      <c r="D20" s="73">
        <f>109.44</f>
        <v>109.44</v>
      </c>
      <c r="E20" s="74">
        <v>964.28571428571433</v>
      </c>
      <c r="F20" s="75">
        <f t="shared" si="11"/>
        <v>105531.43</v>
      </c>
      <c r="G20" s="83">
        <f t="shared" si="12"/>
        <v>126637.72</v>
      </c>
      <c r="H20" s="88">
        <v>1.4</v>
      </c>
      <c r="I20" s="90">
        <f t="shared" si="3"/>
        <v>1350</v>
      </c>
      <c r="J20" s="90">
        <f t="shared" si="4"/>
        <v>147744</v>
      </c>
      <c r="K20" s="90">
        <f t="shared" si="2"/>
        <v>177292.79999999999</v>
      </c>
      <c r="M20" s="99"/>
    </row>
    <row r="21" spans="1:13" ht="20.25" customHeight="1" x14ac:dyDescent="0.25">
      <c r="A21" s="6"/>
      <c r="B21" s="145" t="s">
        <v>32</v>
      </c>
      <c r="C21" s="146"/>
      <c r="D21" s="146"/>
      <c r="E21" s="7"/>
      <c r="F21" s="8"/>
      <c r="G21" s="79"/>
      <c r="H21" s="88">
        <v>1.4</v>
      </c>
      <c r="I21" s="87"/>
      <c r="J21" s="87"/>
      <c r="K21" s="87"/>
    </row>
    <row r="22" spans="1:13" ht="18" customHeight="1" x14ac:dyDescent="0.25">
      <c r="A22" s="25">
        <v>1</v>
      </c>
      <c r="B22" s="15" t="s">
        <v>47</v>
      </c>
      <c r="C22" s="20" t="s">
        <v>7</v>
      </c>
      <c r="D22" s="23">
        <f>1003.2-100.32</f>
        <v>902.88000000000011</v>
      </c>
      <c r="E22" s="21">
        <v>630</v>
      </c>
      <c r="F22" s="19">
        <f t="shared" ref="F22" si="13">ROUND(E22*D22,2)</f>
        <v>568814.4</v>
      </c>
      <c r="G22" s="81">
        <f t="shared" ref="G22" si="14">ROUND(F22*1.2,2)</f>
        <v>682577.28</v>
      </c>
      <c r="H22" s="88">
        <v>1.4</v>
      </c>
      <c r="I22" s="90">
        <f t="shared" si="3"/>
        <v>882</v>
      </c>
      <c r="J22" s="90">
        <f t="shared" si="4"/>
        <v>796340.16000000015</v>
      </c>
      <c r="K22" s="90">
        <f t="shared" si="2"/>
        <v>955608.19</v>
      </c>
    </row>
    <row r="23" spans="1:13" ht="18" customHeight="1" x14ac:dyDescent="0.25">
      <c r="A23" s="25">
        <f>A22+1</f>
        <v>2</v>
      </c>
      <c r="B23" s="15" t="s">
        <v>8</v>
      </c>
      <c r="C23" s="16" t="s">
        <v>7</v>
      </c>
      <c r="D23" s="22">
        <f>1003.2*10%</f>
        <v>100.32000000000001</v>
      </c>
      <c r="E23" s="18">
        <v>1777</v>
      </c>
      <c r="F23" s="19">
        <f t="shared" ref="F23:F28" si="15">ROUND(E23*D23,2)</f>
        <v>178268.64</v>
      </c>
      <c r="G23" s="81">
        <f t="shared" ref="G23:G28" si="16">ROUND(F23*1.2,2)</f>
        <v>213922.37</v>
      </c>
      <c r="H23" s="88">
        <v>1.4</v>
      </c>
      <c r="I23" s="90">
        <f t="shared" si="3"/>
        <v>2487.7999999999997</v>
      </c>
      <c r="J23" s="90">
        <f t="shared" si="4"/>
        <v>249576.09599999999</v>
      </c>
      <c r="K23" s="90">
        <f t="shared" si="2"/>
        <v>299491.32</v>
      </c>
    </row>
    <row r="24" spans="1:13" ht="18" customHeight="1" x14ac:dyDescent="0.25">
      <c r="A24" s="25">
        <f t="shared" ref="A24:A37" si="17">A23+1</f>
        <v>3</v>
      </c>
      <c r="B24" s="15" t="s">
        <v>9</v>
      </c>
      <c r="C24" s="20" t="s">
        <v>7</v>
      </c>
      <c r="D24" s="22">
        <v>1003.2</v>
      </c>
      <c r="E24" s="18">
        <v>50</v>
      </c>
      <c r="F24" s="19">
        <f t="shared" si="15"/>
        <v>50160</v>
      </c>
      <c r="G24" s="81">
        <f t="shared" si="16"/>
        <v>60192</v>
      </c>
      <c r="H24" s="88">
        <v>1.4</v>
      </c>
      <c r="I24" s="90">
        <f t="shared" si="3"/>
        <v>70</v>
      </c>
      <c r="J24" s="90">
        <f t="shared" si="4"/>
        <v>70224</v>
      </c>
      <c r="K24" s="90">
        <f t="shared" si="2"/>
        <v>84268.800000000003</v>
      </c>
    </row>
    <row r="25" spans="1:13" ht="30" x14ac:dyDescent="0.25">
      <c r="A25" s="25">
        <f t="shared" si="17"/>
        <v>4</v>
      </c>
      <c r="B25" s="15" t="s">
        <v>48</v>
      </c>
      <c r="C25" s="20" t="s">
        <v>10</v>
      </c>
      <c r="D25" s="22">
        <f>456*4</f>
        <v>1824</v>
      </c>
      <c r="E25" s="18">
        <v>325</v>
      </c>
      <c r="F25" s="19">
        <f t="shared" si="15"/>
        <v>592800</v>
      </c>
      <c r="G25" s="81">
        <f t="shared" si="16"/>
        <v>711360</v>
      </c>
      <c r="H25" s="88">
        <v>1.4</v>
      </c>
      <c r="I25" s="90">
        <f t="shared" si="3"/>
        <v>454.99999999999994</v>
      </c>
      <c r="J25" s="90">
        <f t="shared" si="4"/>
        <v>829919.99999999988</v>
      </c>
      <c r="K25" s="90">
        <f t="shared" si="2"/>
        <v>995904</v>
      </c>
    </row>
    <row r="26" spans="1:13" ht="15.75" x14ac:dyDescent="0.25">
      <c r="A26" s="25">
        <f t="shared" si="17"/>
        <v>5</v>
      </c>
      <c r="B26" s="15" t="s">
        <v>109</v>
      </c>
      <c r="C26" s="20" t="s">
        <v>7</v>
      </c>
      <c r="D26" s="22">
        <f>456*4*0.1</f>
        <v>182.4</v>
      </c>
      <c r="E26" s="18">
        <v>203</v>
      </c>
      <c r="F26" s="19">
        <f t="shared" si="15"/>
        <v>37027.199999999997</v>
      </c>
      <c r="G26" s="81">
        <f t="shared" si="16"/>
        <v>44432.639999999999</v>
      </c>
      <c r="H26" s="88">
        <v>1.4</v>
      </c>
      <c r="I26" s="90">
        <f t="shared" si="3"/>
        <v>284.2</v>
      </c>
      <c r="J26" s="90">
        <f t="shared" si="4"/>
        <v>51838.080000000002</v>
      </c>
      <c r="K26" s="90">
        <f t="shared" si="2"/>
        <v>62205.7</v>
      </c>
    </row>
    <row r="27" spans="1:13" ht="18" customHeight="1" x14ac:dyDescent="0.25">
      <c r="A27" s="25">
        <f t="shared" si="17"/>
        <v>6</v>
      </c>
      <c r="B27" s="15" t="s">
        <v>50</v>
      </c>
      <c r="C27" s="20" t="s">
        <v>10</v>
      </c>
      <c r="D27" s="23">
        <v>1641.6</v>
      </c>
      <c r="E27" s="43">
        <v>152.97999999999999</v>
      </c>
      <c r="F27" s="19">
        <f>ROUND(E27*D27,2)</f>
        <v>251131.97</v>
      </c>
      <c r="G27" s="81">
        <f>ROUND(F27*1.2,2)</f>
        <v>301358.36</v>
      </c>
      <c r="H27" s="88">
        <v>1.4</v>
      </c>
      <c r="I27" s="90">
        <f t="shared" si="3"/>
        <v>214.17199999999997</v>
      </c>
      <c r="J27" s="90">
        <f t="shared" si="4"/>
        <v>351584.75519999996</v>
      </c>
      <c r="K27" s="90">
        <f t="shared" si="2"/>
        <v>421901.71</v>
      </c>
    </row>
    <row r="28" spans="1:13" ht="18" customHeight="1" x14ac:dyDescent="0.25">
      <c r="A28" s="25">
        <f t="shared" si="17"/>
        <v>7</v>
      </c>
      <c r="B28" s="15" t="s">
        <v>49</v>
      </c>
      <c r="C28" s="20" t="s">
        <v>7</v>
      </c>
      <c r="D28" s="22">
        <v>364.8</v>
      </c>
      <c r="E28" s="18">
        <v>1242</v>
      </c>
      <c r="F28" s="19">
        <f t="shared" si="15"/>
        <v>453081.59999999998</v>
      </c>
      <c r="G28" s="81">
        <f t="shared" si="16"/>
        <v>543697.92000000004</v>
      </c>
      <c r="H28" s="88">
        <v>1.4</v>
      </c>
      <c r="I28" s="90">
        <f t="shared" si="3"/>
        <v>1738.8</v>
      </c>
      <c r="J28" s="90">
        <f t="shared" si="4"/>
        <v>634314.23999999999</v>
      </c>
      <c r="K28" s="90">
        <f t="shared" si="2"/>
        <v>761177.09</v>
      </c>
    </row>
    <row r="29" spans="1:13" ht="15.75" x14ac:dyDescent="0.25">
      <c r="A29" s="25">
        <f t="shared" si="17"/>
        <v>8</v>
      </c>
      <c r="B29" s="15" t="s">
        <v>110</v>
      </c>
      <c r="C29" s="20" t="s">
        <v>7</v>
      </c>
      <c r="D29" s="22">
        <f>D28</f>
        <v>364.8</v>
      </c>
      <c r="E29" s="18">
        <v>203</v>
      </c>
      <c r="F29" s="19">
        <f t="shared" ref="F29" si="18">ROUND(E29*D29,2)</f>
        <v>74054.399999999994</v>
      </c>
      <c r="G29" s="81">
        <f t="shared" ref="G29" si="19">ROUND(F29*1.2,2)</f>
        <v>88865.279999999999</v>
      </c>
      <c r="H29" s="88">
        <v>1.4</v>
      </c>
      <c r="I29" s="90">
        <f t="shared" si="3"/>
        <v>284.2</v>
      </c>
      <c r="J29" s="90">
        <f t="shared" si="4"/>
        <v>103676.16</v>
      </c>
      <c r="K29" s="90">
        <f t="shared" si="2"/>
        <v>124411.39</v>
      </c>
    </row>
    <row r="30" spans="1:13" ht="18" customHeight="1" x14ac:dyDescent="0.25">
      <c r="A30" s="25">
        <f t="shared" si="17"/>
        <v>9</v>
      </c>
      <c r="B30" s="15" t="s">
        <v>51</v>
      </c>
      <c r="C30" s="20" t="s">
        <v>7</v>
      </c>
      <c r="D30" s="22">
        <v>574.55999999999995</v>
      </c>
      <c r="E30" s="18">
        <v>1422</v>
      </c>
      <c r="F30" s="19">
        <f>ROUND(E30*D30,2)</f>
        <v>817024.32</v>
      </c>
      <c r="G30" s="81">
        <f>ROUND(F30*1.2,2)</f>
        <v>980429.18</v>
      </c>
      <c r="H30" s="88">
        <v>1.4</v>
      </c>
      <c r="I30" s="90">
        <f t="shared" si="3"/>
        <v>1990.8</v>
      </c>
      <c r="J30" s="90">
        <f t="shared" si="4"/>
        <v>1143834.048</v>
      </c>
      <c r="K30" s="90">
        <f t="shared" si="2"/>
        <v>1372600.86</v>
      </c>
    </row>
    <row r="31" spans="1:13" ht="15.75" x14ac:dyDescent="0.25">
      <c r="A31" s="25">
        <f t="shared" si="17"/>
        <v>10</v>
      </c>
      <c r="B31" s="15" t="s">
        <v>110</v>
      </c>
      <c r="C31" s="20" t="s">
        <v>7</v>
      </c>
      <c r="D31" s="22">
        <f>D30</f>
        <v>574.55999999999995</v>
      </c>
      <c r="E31" s="18">
        <v>203</v>
      </c>
      <c r="F31" s="19">
        <f t="shared" ref="F31" si="20">ROUND(E31*D31,2)</f>
        <v>116635.68</v>
      </c>
      <c r="G31" s="81">
        <f t="shared" ref="G31" si="21">ROUND(F31*1.2,2)</f>
        <v>139962.82</v>
      </c>
      <c r="H31" s="88">
        <v>1.4</v>
      </c>
      <c r="I31" s="90">
        <f t="shared" si="3"/>
        <v>284.2</v>
      </c>
      <c r="J31" s="90">
        <f t="shared" si="4"/>
        <v>163289.95199999999</v>
      </c>
      <c r="K31" s="90">
        <f t="shared" si="2"/>
        <v>195947.94</v>
      </c>
    </row>
    <row r="32" spans="1:13" ht="30" x14ac:dyDescent="0.25">
      <c r="A32" s="25">
        <f t="shared" si="17"/>
        <v>11</v>
      </c>
      <c r="B32" s="15" t="s">
        <v>33</v>
      </c>
      <c r="C32" s="20" t="s">
        <v>13</v>
      </c>
      <c r="D32" s="17">
        <f>114*4</f>
        <v>456</v>
      </c>
      <c r="E32" s="18">
        <v>2348</v>
      </c>
      <c r="F32" s="19">
        <f t="shared" ref="F32" si="22">ROUND(E32*D32,2)</f>
        <v>1070688</v>
      </c>
      <c r="G32" s="81">
        <f t="shared" ref="G32" si="23">ROUND(F32*1.2,2)</f>
        <v>1284825.6000000001</v>
      </c>
      <c r="H32" s="88">
        <v>1.4</v>
      </c>
      <c r="I32" s="90">
        <f t="shared" si="3"/>
        <v>3287.2</v>
      </c>
      <c r="J32" s="90">
        <f t="shared" si="4"/>
        <v>1498963.2</v>
      </c>
      <c r="K32" s="90">
        <f t="shared" si="2"/>
        <v>1798755.84</v>
      </c>
    </row>
    <row r="33" spans="1:11" ht="18" customHeight="1" x14ac:dyDescent="0.25">
      <c r="A33" s="25">
        <f t="shared" si="17"/>
        <v>12</v>
      </c>
      <c r="B33" s="40" t="s">
        <v>52</v>
      </c>
      <c r="C33" s="41" t="s">
        <v>7</v>
      </c>
      <c r="D33" s="42">
        <v>201.12</v>
      </c>
      <c r="E33" s="42">
        <f>ROUND(1662*0.9,2)</f>
        <v>1495.8</v>
      </c>
      <c r="F33" s="19">
        <f t="shared" ref="F33" si="24">ROUND(E33*D33,2)</f>
        <v>300835.3</v>
      </c>
      <c r="G33" s="81">
        <f t="shared" ref="G33" si="25">ROUND(F33*1.2,2)</f>
        <v>361002.36</v>
      </c>
      <c r="H33" s="88">
        <v>1.4</v>
      </c>
      <c r="I33" s="90">
        <f t="shared" si="3"/>
        <v>2094.12</v>
      </c>
      <c r="J33" s="90">
        <f t="shared" si="4"/>
        <v>421169.41440000001</v>
      </c>
      <c r="K33" s="90">
        <f t="shared" si="2"/>
        <v>505403.3</v>
      </c>
    </row>
    <row r="34" spans="1:11" ht="30" customHeight="1" x14ac:dyDescent="0.25">
      <c r="A34" s="25">
        <f t="shared" si="17"/>
        <v>13</v>
      </c>
      <c r="B34" s="15" t="s">
        <v>104</v>
      </c>
      <c r="C34" s="20" t="s">
        <v>7</v>
      </c>
      <c r="D34" s="22">
        <v>63.84</v>
      </c>
      <c r="E34" s="18">
        <v>325</v>
      </c>
      <c r="F34" s="19">
        <f>ROUND(E34*D34,2)</f>
        <v>20748</v>
      </c>
      <c r="G34" s="81">
        <f>ROUND(F34*1.2,2)</f>
        <v>24897.599999999999</v>
      </c>
      <c r="H34" s="88">
        <v>1.4</v>
      </c>
      <c r="I34" s="90">
        <f t="shared" si="3"/>
        <v>454.99999999999994</v>
      </c>
      <c r="J34" s="90">
        <f t="shared" si="4"/>
        <v>29047.199999999997</v>
      </c>
      <c r="K34" s="90">
        <f t="shared" si="2"/>
        <v>34856.639999999999</v>
      </c>
    </row>
    <row r="35" spans="1:11" ht="15.75" x14ac:dyDescent="0.25">
      <c r="A35" s="25">
        <f t="shared" si="17"/>
        <v>14</v>
      </c>
      <c r="B35" s="15" t="s">
        <v>105</v>
      </c>
      <c r="C35" s="20" t="s">
        <v>106</v>
      </c>
      <c r="D35" s="23">
        <f>939.36*1.75</f>
        <v>1643.88</v>
      </c>
      <c r="E35" s="26">
        <v>325</v>
      </c>
      <c r="F35" s="19">
        <f t="shared" ref="F35:F36" si="26">ROUND(E35*D35,2)</f>
        <v>534261</v>
      </c>
      <c r="G35" s="81">
        <f t="shared" ref="G35:G36" si="27">ROUND(F35*1.2,2)</f>
        <v>641113.19999999995</v>
      </c>
      <c r="H35" s="88">
        <v>1.4</v>
      </c>
      <c r="I35" s="90">
        <f t="shared" si="3"/>
        <v>454.99999999999994</v>
      </c>
      <c r="J35" s="90">
        <f t="shared" si="4"/>
        <v>747965.39999999991</v>
      </c>
      <c r="K35" s="90">
        <f t="shared" si="2"/>
        <v>897558.48</v>
      </c>
    </row>
    <row r="36" spans="1:11" s="76" customFormat="1" ht="15.75" x14ac:dyDescent="0.25">
      <c r="A36" s="70">
        <f t="shared" si="17"/>
        <v>15</v>
      </c>
      <c r="B36" s="71" t="s">
        <v>128</v>
      </c>
      <c r="C36" s="72" t="s">
        <v>7</v>
      </c>
      <c r="D36" s="73">
        <v>939.36</v>
      </c>
      <c r="E36" s="74">
        <v>964.28571428571433</v>
      </c>
      <c r="F36" s="75">
        <f t="shared" si="26"/>
        <v>905811.43</v>
      </c>
      <c r="G36" s="83">
        <f t="shared" si="27"/>
        <v>1086973.72</v>
      </c>
      <c r="H36" s="88">
        <v>1.4</v>
      </c>
      <c r="I36" s="90">
        <f t="shared" si="3"/>
        <v>1350</v>
      </c>
      <c r="J36" s="90">
        <f t="shared" si="4"/>
        <v>1268136</v>
      </c>
      <c r="K36" s="90">
        <f t="shared" si="2"/>
        <v>1521763.2</v>
      </c>
    </row>
    <row r="37" spans="1:11" ht="31.5" customHeight="1" x14ac:dyDescent="0.25">
      <c r="A37" s="25">
        <f t="shared" si="17"/>
        <v>16</v>
      </c>
      <c r="B37" s="51" t="s">
        <v>118</v>
      </c>
      <c r="C37" s="41" t="s">
        <v>7</v>
      </c>
      <c r="D37" s="44">
        <f>437.94/1211*446</f>
        <v>161.28921552436003</v>
      </c>
      <c r="E37" s="42">
        <v>1449.9</v>
      </c>
      <c r="F37" s="19">
        <f t="shared" ref="F37" si="28">ROUND(E37*D37,2)</f>
        <v>233853.23</v>
      </c>
      <c r="G37" s="81">
        <f t="shared" ref="G37" si="29">ROUND(F37*1.2,2)</f>
        <v>280623.88</v>
      </c>
      <c r="H37" s="88">
        <v>1.4</v>
      </c>
      <c r="I37" s="90">
        <f t="shared" si="3"/>
        <v>2029.86</v>
      </c>
      <c r="J37" s="90">
        <f t="shared" si="4"/>
        <v>327394.52702427743</v>
      </c>
      <c r="K37" s="90">
        <f t="shared" si="2"/>
        <v>392873.43</v>
      </c>
    </row>
    <row r="38" spans="1:11" ht="20.25" customHeight="1" x14ac:dyDescent="0.25">
      <c r="A38" s="6"/>
      <c r="B38" s="145" t="s">
        <v>54</v>
      </c>
      <c r="C38" s="146"/>
      <c r="D38" s="146"/>
      <c r="E38" s="7"/>
      <c r="F38" s="8"/>
      <c r="G38" s="79"/>
      <c r="H38" s="88">
        <v>1.4</v>
      </c>
      <c r="I38" s="87"/>
      <c r="J38" s="87"/>
      <c r="K38" s="87"/>
    </row>
    <row r="39" spans="1:11" ht="30" x14ac:dyDescent="0.25">
      <c r="A39" s="25">
        <v>1</v>
      </c>
      <c r="B39" s="15" t="s">
        <v>55</v>
      </c>
      <c r="C39" s="20" t="s">
        <v>7</v>
      </c>
      <c r="D39" s="23">
        <v>3200</v>
      </c>
      <c r="E39" s="21">
        <v>630</v>
      </c>
      <c r="F39" s="19">
        <f t="shared" ref="F39:F43" si="30">ROUND(E39*D39,2)</f>
        <v>2016000</v>
      </c>
      <c r="G39" s="81">
        <f t="shared" ref="G39:G43" si="31">ROUND(F39*1.2,2)</f>
        <v>2419200</v>
      </c>
      <c r="H39" s="88">
        <v>1.4</v>
      </c>
      <c r="I39" s="90">
        <f t="shared" si="3"/>
        <v>882</v>
      </c>
      <c r="J39" s="90">
        <f t="shared" si="4"/>
        <v>2822400</v>
      </c>
      <c r="K39" s="90">
        <f t="shared" si="2"/>
        <v>3386880</v>
      </c>
    </row>
    <row r="40" spans="1:11" ht="15.75" x14ac:dyDescent="0.25">
      <c r="A40" s="25">
        <f t="shared" ref="A40:A43" si="32">A39+1</f>
        <v>2</v>
      </c>
      <c r="B40" s="15" t="s">
        <v>56</v>
      </c>
      <c r="C40" s="20" t="s">
        <v>10</v>
      </c>
      <c r="D40" s="22">
        <v>3600</v>
      </c>
      <c r="E40" s="18">
        <v>325</v>
      </c>
      <c r="F40" s="19">
        <f t="shared" si="30"/>
        <v>1170000</v>
      </c>
      <c r="G40" s="81">
        <f t="shared" si="31"/>
        <v>1404000</v>
      </c>
      <c r="H40" s="88">
        <v>1.4</v>
      </c>
      <c r="I40" s="90">
        <f t="shared" si="3"/>
        <v>454.99999999999994</v>
      </c>
      <c r="J40" s="90">
        <f t="shared" si="4"/>
        <v>1637999.9999999998</v>
      </c>
      <c r="K40" s="90">
        <f t="shared" si="2"/>
        <v>1965600</v>
      </c>
    </row>
    <row r="41" spans="1:11" ht="15.75" x14ac:dyDescent="0.25">
      <c r="A41" s="25">
        <f t="shared" si="32"/>
        <v>3</v>
      </c>
      <c r="B41" s="15" t="s">
        <v>110</v>
      </c>
      <c r="C41" s="20" t="s">
        <v>7</v>
      </c>
      <c r="D41" s="22">
        <f>3600*0.1</f>
        <v>360</v>
      </c>
      <c r="E41" s="18">
        <v>203</v>
      </c>
      <c r="F41" s="19">
        <f t="shared" si="30"/>
        <v>73080</v>
      </c>
      <c r="G41" s="81">
        <f t="shared" si="31"/>
        <v>87696</v>
      </c>
      <c r="H41" s="88">
        <v>1.4</v>
      </c>
      <c r="I41" s="90">
        <f t="shared" si="3"/>
        <v>284.2</v>
      </c>
      <c r="J41" s="90">
        <f t="shared" si="4"/>
        <v>102312</v>
      </c>
      <c r="K41" s="90">
        <f t="shared" si="2"/>
        <v>122774.39999999999</v>
      </c>
    </row>
    <row r="42" spans="1:11" ht="15.75" x14ac:dyDescent="0.25">
      <c r="A42" s="25">
        <f t="shared" si="32"/>
        <v>4</v>
      </c>
      <c r="B42" s="15" t="s">
        <v>105</v>
      </c>
      <c r="C42" s="20" t="s">
        <v>106</v>
      </c>
      <c r="D42" s="23">
        <f>3200*1.75</f>
        <v>5600</v>
      </c>
      <c r="E42" s="26">
        <v>325</v>
      </c>
      <c r="F42" s="19">
        <f t="shared" si="30"/>
        <v>1820000</v>
      </c>
      <c r="G42" s="81">
        <f t="shared" si="31"/>
        <v>2184000</v>
      </c>
      <c r="H42" s="88">
        <v>1.4</v>
      </c>
      <c r="I42" s="90">
        <f t="shared" si="3"/>
        <v>454.99999999999994</v>
      </c>
      <c r="J42" s="90">
        <f t="shared" si="4"/>
        <v>2547999.9999999995</v>
      </c>
      <c r="K42" s="90">
        <f t="shared" si="2"/>
        <v>3057600</v>
      </c>
    </row>
    <row r="43" spans="1:11" s="76" customFormat="1" ht="15.75" x14ac:dyDescent="0.25">
      <c r="A43" s="70">
        <f t="shared" si="32"/>
        <v>5</v>
      </c>
      <c r="B43" s="71" t="s">
        <v>128</v>
      </c>
      <c r="C43" s="72" t="s">
        <v>7</v>
      </c>
      <c r="D43" s="73">
        <v>3200</v>
      </c>
      <c r="E43" s="74">
        <v>964.28571428571433</v>
      </c>
      <c r="F43" s="75">
        <f t="shared" si="30"/>
        <v>3085714.29</v>
      </c>
      <c r="G43" s="83">
        <f t="shared" si="31"/>
        <v>3702857.15</v>
      </c>
      <c r="H43" s="88">
        <v>1.4</v>
      </c>
      <c r="I43" s="90">
        <f t="shared" si="3"/>
        <v>1350</v>
      </c>
      <c r="J43" s="90">
        <f t="shared" si="4"/>
        <v>4320000</v>
      </c>
      <c r="K43" s="90">
        <f t="shared" si="2"/>
        <v>5184000</v>
      </c>
    </row>
    <row r="44" spans="1:11" ht="20.25" customHeight="1" x14ac:dyDescent="0.25">
      <c r="A44" s="6"/>
      <c r="B44" s="145" t="s">
        <v>57</v>
      </c>
      <c r="C44" s="146"/>
      <c r="D44" s="146"/>
      <c r="E44" s="7"/>
      <c r="F44" s="8"/>
      <c r="G44" s="79"/>
      <c r="H44" s="88">
        <v>1.4</v>
      </c>
      <c r="I44" s="87"/>
      <c r="J44" s="87"/>
      <c r="K44" s="87"/>
    </row>
    <row r="45" spans="1:11" x14ac:dyDescent="0.25">
      <c r="A45" s="25">
        <v>1</v>
      </c>
      <c r="B45" s="113" t="s">
        <v>58</v>
      </c>
      <c r="C45" s="41" t="s">
        <v>59</v>
      </c>
      <c r="D45" s="45">
        <v>4</v>
      </c>
      <c r="E45" s="112">
        <v>96000</v>
      </c>
      <c r="F45" s="19">
        <f t="shared" ref="F45" si="33">ROUND(E45*D45,2)</f>
        <v>384000</v>
      </c>
      <c r="G45" s="81">
        <f t="shared" ref="G45" si="34">ROUND(F45*1.2,2)</f>
        <v>460800</v>
      </c>
      <c r="H45" s="88">
        <v>1.4</v>
      </c>
      <c r="I45" s="90">
        <f>E45*H45</f>
        <v>134400</v>
      </c>
      <c r="J45" s="90">
        <f t="shared" si="4"/>
        <v>537600</v>
      </c>
      <c r="K45" s="90">
        <f t="shared" si="2"/>
        <v>645120</v>
      </c>
    </row>
    <row r="46" spans="1:11" ht="20.25" customHeight="1" x14ac:dyDescent="0.25">
      <c r="A46" s="6"/>
      <c r="B46" s="145" t="s">
        <v>69</v>
      </c>
      <c r="C46" s="146"/>
      <c r="D46" s="146"/>
      <c r="E46" s="7"/>
      <c r="F46" s="8"/>
      <c r="G46" s="79"/>
      <c r="H46" s="88">
        <v>1.4</v>
      </c>
      <c r="I46" s="87"/>
      <c r="J46" s="87"/>
      <c r="K46" s="87"/>
    </row>
    <row r="47" spans="1:11" ht="18" customHeight="1" x14ac:dyDescent="0.25">
      <c r="A47" s="25">
        <v>1</v>
      </c>
      <c r="B47" s="15" t="s">
        <v>72</v>
      </c>
      <c r="C47" s="20" t="s">
        <v>7</v>
      </c>
      <c r="D47" s="22">
        <f>(1.5*1.4*1.4)*3</f>
        <v>8.8199999999999985</v>
      </c>
      <c r="E47" s="21">
        <v>1777</v>
      </c>
      <c r="F47" s="19">
        <f t="shared" ref="F47:F51" si="35">ROUND(E47*D47,2)</f>
        <v>15673.14</v>
      </c>
      <c r="G47" s="81">
        <f t="shared" ref="G47:G51" si="36">ROUND(F47*1.2,2)</f>
        <v>18807.77</v>
      </c>
      <c r="H47" s="88">
        <v>1.4</v>
      </c>
      <c r="I47" s="90">
        <f t="shared" si="3"/>
        <v>2487.7999999999997</v>
      </c>
      <c r="J47" s="90">
        <f t="shared" si="4"/>
        <v>21942.395999999993</v>
      </c>
      <c r="K47" s="90">
        <f t="shared" si="2"/>
        <v>26330.880000000001</v>
      </c>
    </row>
    <row r="48" spans="1:11" ht="18" customHeight="1" x14ac:dyDescent="0.25">
      <c r="A48" s="25">
        <f>A47+1</f>
        <v>2</v>
      </c>
      <c r="B48" s="40" t="s">
        <v>70</v>
      </c>
      <c r="C48" s="41" t="s">
        <v>59</v>
      </c>
      <c r="D48" s="17">
        <v>3</v>
      </c>
      <c r="E48" s="18">
        <f>150291/2*0.7</f>
        <v>52601.85</v>
      </c>
      <c r="F48" s="19">
        <f>ROUND(E48*D48,2)</f>
        <v>157805.54999999999</v>
      </c>
      <c r="G48" s="81">
        <f>ROUND(F48*1.2,2)</f>
        <v>189366.66</v>
      </c>
      <c r="H48" s="88">
        <v>1.4</v>
      </c>
      <c r="I48" s="90">
        <f t="shared" si="3"/>
        <v>73642.59</v>
      </c>
      <c r="J48" s="90">
        <f t="shared" si="4"/>
        <v>220927.77</v>
      </c>
      <c r="K48" s="90">
        <f t="shared" si="2"/>
        <v>265113.32</v>
      </c>
    </row>
    <row r="49" spans="1:11" ht="18" customHeight="1" x14ac:dyDescent="0.25">
      <c r="A49" s="25">
        <f t="shared" ref="A49:A55" si="37">A48+1</f>
        <v>3</v>
      </c>
      <c r="B49" s="40" t="s">
        <v>73</v>
      </c>
      <c r="C49" s="41" t="s">
        <v>59</v>
      </c>
      <c r="D49" s="17">
        <v>3</v>
      </c>
      <c r="E49" s="18">
        <f>8423*1.8*0.8</f>
        <v>12129.12</v>
      </c>
      <c r="F49" s="19">
        <f>ROUND(E49*D49,2)</f>
        <v>36387.360000000001</v>
      </c>
      <c r="G49" s="81">
        <f>ROUND(F49*1.2,2)</f>
        <v>43664.83</v>
      </c>
      <c r="H49" s="88">
        <v>1.4</v>
      </c>
      <c r="I49" s="90">
        <f t="shared" si="3"/>
        <v>16980.768</v>
      </c>
      <c r="J49" s="90">
        <f t="shared" si="4"/>
        <v>50942.304000000004</v>
      </c>
      <c r="K49" s="90">
        <f t="shared" si="2"/>
        <v>61130.76</v>
      </c>
    </row>
    <row r="50" spans="1:11" ht="18" customHeight="1" x14ac:dyDescent="0.25">
      <c r="A50" s="25">
        <f t="shared" si="37"/>
        <v>4</v>
      </c>
      <c r="B50" s="15" t="s">
        <v>72</v>
      </c>
      <c r="C50" s="20" t="s">
        <v>7</v>
      </c>
      <c r="D50" s="22">
        <f>(1.5*1.4*1.4)*3</f>
        <v>8.8199999999999985</v>
      </c>
      <c r="E50" s="21">
        <v>1777</v>
      </c>
      <c r="F50" s="19">
        <f t="shared" ref="F50" si="38">ROUND(E50*D50,2)</f>
        <v>15673.14</v>
      </c>
      <c r="G50" s="81">
        <f t="shared" ref="G50" si="39">ROUND(F50*1.2,2)</f>
        <v>18807.77</v>
      </c>
      <c r="H50" s="88">
        <v>1.4</v>
      </c>
      <c r="I50" s="90">
        <f t="shared" si="3"/>
        <v>2487.7999999999997</v>
      </c>
      <c r="J50" s="90">
        <f t="shared" si="4"/>
        <v>21942.395999999993</v>
      </c>
      <c r="K50" s="90">
        <f t="shared" si="2"/>
        <v>26330.880000000001</v>
      </c>
    </row>
    <row r="51" spans="1:11" ht="18" customHeight="1" x14ac:dyDescent="0.25">
      <c r="A51" s="25">
        <f t="shared" si="37"/>
        <v>5</v>
      </c>
      <c r="B51" s="15" t="s">
        <v>12</v>
      </c>
      <c r="C51" s="20" t="s">
        <v>7</v>
      </c>
      <c r="D51" s="22">
        <f>0.48*3</f>
        <v>1.44</v>
      </c>
      <c r="E51" s="18">
        <v>1111</v>
      </c>
      <c r="F51" s="19">
        <f t="shared" si="35"/>
        <v>1599.84</v>
      </c>
      <c r="G51" s="81">
        <f t="shared" si="36"/>
        <v>1919.81</v>
      </c>
      <c r="H51" s="88">
        <v>1.4</v>
      </c>
      <c r="I51" s="90">
        <f t="shared" si="3"/>
        <v>1555.3999999999999</v>
      </c>
      <c r="J51" s="90">
        <f t="shared" si="4"/>
        <v>2239.7759999999998</v>
      </c>
      <c r="K51" s="90">
        <f t="shared" si="2"/>
        <v>2687.73</v>
      </c>
    </row>
    <row r="52" spans="1:11" ht="18" customHeight="1" x14ac:dyDescent="0.25">
      <c r="A52" s="25">
        <f t="shared" si="37"/>
        <v>6</v>
      </c>
      <c r="B52" s="40" t="s">
        <v>74</v>
      </c>
      <c r="C52" s="41" t="s">
        <v>59</v>
      </c>
      <c r="D52" s="17">
        <v>3</v>
      </c>
      <c r="E52" s="18">
        <f>8423*1.8</f>
        <v>15161.4</v>
      </c>
      <c r="F52" s="19">
        <f>ROUND(E52*D52,2)</f>
        <v>45484.2</v>
      </c>
      <c r="G52" s="81">
        <f>ROUND(F52*1.2,2)</f>
        <v>54581.04</v>
      </c>
      <c r="H52" s="88">
        <v>1.4</v>
      </c>
      <c r="I52" s="90">
        <f t="shared" si="3"/>
        <v>21225.96</v>
      </c>
      <c r="J52" s="90">
        <f t="shared" si="4"/>
        <v>63677.88</v>
      </c>
      <c r="K52" s="90">
        <f t="shared" si="2"/>
        <v>76413.460000000006</v>
      </c>
    </row>
    <row r="53" spans="1:11" ht="18" customHeight="1" x14ac:dyDescent="0.25">
      <c r="A53" s="25">
        <f t="shared" si="37"/>
        <v>7</v>
      </c>
      <c r="B53" s="40" t="s">
        <v>71</v>
      </c>
      <c r="C53" s="41" t="s">
        <v>59</v>
      </c>
      <c r="D53" s="17">
        <v>3</v>
      </c>
      <c r="E53" s="18">
        <f>150291/2</f>
        <v>75145.5</v>
      </c>
      <c r="F53" s="19">
        <f>ROUND(E53*D53,2)</f>
        <v>225436.5</v>
      </c>
      <c r="G53" s="81">
        <f>ROUND(F53*1.2,2)</f>
        <v>270523.8</v>
      </c>
      <c r="H53" s="88">
        <v>1.4</v>
      </c>
      <c r="I53" s="90">
        <f t="shared" si="3"/>
        <v>105203.7</v>
      </c>
      <c r="J53" s="90">
        <f t="shared" si="4"/>
        <v>315611.09999999998</v>
      </c>
      <c r="K53" s="90">
        <f t="shared" si="2"/>
        <v>378733.32</v>
      </c>
    </row>
    <row r="54" spans="1:11" ht="18" customHeight="1" x14ac:dyDescent="0.25">
      <c r="A54" s="25">
        <f t="shared" si="37"/>
        <v>8</v>
      </c>
      <c r="B54" s="15" t="s">
        <v>11</v>
      </c>
      <c r="C54" s="20" t="s">
        <v>7</v>
      </c>
      <c r="D54" s="22">
        <f>8.82-1.44-1.8*3</f>
        <v>1.9800000000000004</v>
      </c>
      <c r="E54" s="18">
        <v>325</v>
      </c>
      <c r="F54" s="19">
        <f>ROUND(E54*D54,2)</f>
        <v>643.5</v>
      </c>
      <c r="G54" s="81">
        <f>ROUND(F54*1.2,2)</f>
        <v>772.2</v>
      </c>
      <c r="H54" s="88">
        <v>1.4</v>
      </c>
      <c r="I54" s="90">
        <f t="shared" si="3"/>
        <v>454.99999999999994</v>
      </c>
      <c r="J54" s="90">
        <f t="shared" si="4"/>
        <v>900.90000000000009</v>
      </c>
      <c r="K54" s="90">
        <f t="shared" si="2"/>
        <v>1081.08</v>
      </c>
    </row>
    <row r="55" spans="1:11" ht="18" customHeight="1" x14ac:dyDescent="0.25">
      <c r="A55" s="25">
        <f t="shared" si="37"/>
        <v>9</v>
      </c>
      <c r="B55" s="15" t="s">
        <v>81</v>
      </c>
      <c r="C55" s="20" t="s">
        <v>7</v>
      </c>
      <c r="D55" s="22">
        <f>D54</f>
        <v>1.9800000000000004</v>
      </c>
      <c r="E55" s="18">
        <v>203</v>
      </c>
      <c r="F55" s="19">
        <f t="shared" ref="F55" si="40">ROUND(E55*D55,2)</f>
        <v>401.94</v>
      </c>
      <c r="G55" s="81">
        <f t="shared" ref="G55" si="41">ROUND(F55*1.2,2)</f>
        <v>482.33</v>
      </c>
      <c r="H55" s="88">
        <v>1.4</v>
      </c>
      <c r="I55" s="90">
        <f t="shared" si="3"/>
        <v>284.2</v>
      </c>
      <c r="J55" s="90">
        <f t="shared" si="4"/>
        <v>562.71600000000012</v>
      </c>
      <c r="K55" s="90">
        <f t="shared" si="2"/>
        <v>675.26</v>
      </c>
    </row>
    <row r="56" spans="1:11" ht="20.25" customHeight="1" x14ac:dyDescent="0.25">
      <c r="A56" s="6"/>
      <c r="B56" s="145" t="s">
        <v>75</v>
      </c>
      <c r="C56" s="146"/>
      <c r="D56" s="146"/>
      <c r="E56" s="7"/>
      <c r="F56" s="8"/>
      <c r="G56" s="79"/>
      <c r="H56" s="88">
        <v>1.4</v>
      </c>
      <c r="I56" s="87"/>
      <c r="J56" s="87"/>
      <c r="K56" s="87"/>
    </row>
    <row r="57" spans="1:11" ht="17.25" customHeight="1" x14ac:dyDescent="0.25">
      <c r="A57" s="25">
        <v>1</v>
      </c>
      <c r="B57" s="15" t="s">
        <v>107</v>
      </c>
      <c r="C57" s="20" t="s">
        <v>7</v>
      </c>
      <c r="D57" s="22">
        <f>1.4*1.4*3.14*2</f>
        <v>12.3088</v>
      </c>
      <c r="E57" s="21">
        <v>1777</v>
      </c>
      <c r="F57" s="19">
        <f t="shared" ref="F57" si="42">ROUND(E57*D57,2)</f>
        <v>21872.74</v>
      </c>
      <c r="G57" s="81">
        <f t="shared" ref="G57" si="43">ROUND(F57*1.2,2)</f>
        <v>26247.29</v>
      </c>
      <c r="H57" s="88">
        <v>1.4</v>
      </c>
      <c r="I57" s="90">
        <f t="shared" si="3"/>
        <v>2487.7999999999997</v>
      </c>
      <c r="J57" s="90">
        <f t="shared" si="4"/>
        <v>30621.832639999997</v>
      </c>
      <c r="K57" s="90">
        <f t="shared" si="2"/>
        <v>36746.199999999997</v>
      </c>
    </row>
    <row r="58" spans="1:11" ht="17.25" customHeight="1" x14ac:dyDescent="0.25">
      <c r="A58" s="25">
        <f>A57+1</f>
        <v>2</v>
      </c>
      <c r="B58" s="15" t="s">
        <v>79</v>
      </c>
      <c r="C58" s="20" t="s">
        <v>15</v>
      </c>
      <c r="D58" s="17">
        <v>1</v>
      </c>
      <c r="E58" s="18">
        <f>14540</f>
        <v>14540</v>
      </c>
      <c r="F58" s="47">
        <f t="shared" ref="F58:F71" si="44">ROUND(E58*D58,2)</f>
        <v>14540</v>
      </c>
      <c r="G58" s="84">
        <f t="shared" ref="G58:G71" si="45">ROUND(F58*1.2,2)</f>
        <v>17448</v>
      </c>
      <c r="H58" s="88">
        <v>1.4</v>
      </c>
      <c r="I58" s="90">
        <f t="shared" si="3"/>
        <v>20356</v>
      </c>
      <c r="J58" s="90">
        <f t="shared" si="4"/>
        <v>20356</v>
      </c>
      <c r="K58" s="90">
        <f t="shared" si="2"/>
        <v>24427.200000000001</v>
      </c>
    </row>
    <row r="59" spans="1:11" ht="15.75" x14ac:dyDescent="0.25">
      <c r="A59" s="25">
        <f t="shared" ref="A59:A69" si="46">A58+1</f>
        <v>3</v>
      </c>
      <c r="B59" s="15" t="s">
        <v>105</v>
      </c>
      <c r="C59" s="20" t="s">
        <v>106</v>
      </c>
      <c r="D59" s="23">
        <f>D57*1.75</f>
        <v>21.540399999999998</v>
      </c>
      <c r="E59" s="26">
        <v>325</v>
      </c>
      <c r="F59" s="19">
        <f t="shared" si="44"/>
        <v>7000.63</v>
      </c>
      <c r="G59" s="81">
        <f t="shared" si="45"/>
        <v>8400.76</v>
      </c>
      <c r="H59" s="88">
        <v>1.4</v>
      </c>
      <c r="I59" s="90">
        <f t="shared" si="3"/>
        <v>454.99999999999994</v>
      </c>
      <c r="J59" s="90">
        <f t="shared" si="4"/>
        <v>9800.8819999999978</v>
      </c>
      <c r="K59" s="90">
        <f t="shared" si="2"/>
        <v>11761.06</v>
      </c>
    </row>
    <row r="60" spans="1:11" s="76" customFormat="1" ht="15.75" x14ac:dyDescent="0.25">
      <c r="A60" s="70">
        <f t="shared" si="46"/>
        <v>4</v>
      </c>
      <c r="B60" s="71" t="s">
        <v>128</v>
      </c>
      <c r="C60" s="72" t="s">
        <v>7</v>
      </c>
      <c r="D60" s="73">
        <v>12.31</v>
      </c>
      <c r="E60" s="74">
        <v>964.28571428571433</v>
      </c>
      <c r="F60" s="75">
        <f t="shared" si="44"/>
        <v>11870.36</v>
      </c>
      <c r="G60" s="83">
        <f t="shared" si="45"/>
        <v>14244.43</v>
      </c>
      <c r="H60" s="88">
        <v>1.4</v>
      </c>
      <c r="I60" s="90">
        <f t="shared" si="3"/>
        <v>1350</v>
      </c>
      <c r="J60" s="90">
        <f t="shared" si="4"/>
        <v>16618.5</v>
      </c>
      <c r="K60" s="90">
        <f t="shared" si="2"/>
        <v>19942.2</v>
      </c>
    </row>
    <row r="61" spans="1:11" ht="17.25" customHeight="1" x14ac:dyDescent="0.25">
      <c r="A61" s="25">
        <f t="shared" si="46"/>
        <v>5</v>
      </c>
      <c r="B61" s="15" t="s">
        <v>101</v>
      </c>
      <c r="C61" s="20" t="s">
        <v>7</v>
      </c>
      <c r="D61" s="22">
        <f>1.6*1.6*3.14*2.1</f>
        <v>16.880640000000003</v>
      </c>
      <c r="E61" s="21">
        <v>1777</v>
      </c>
      <c r="F61" s="19">
        <f t="shared" ref="F61:F62" si="47">ROUND(E61*D61,2)</f>
        <v>29996.9</v>
      </c>
      <c r="G61" s="81">
        <f t="shared" ref="G61:G62" si="48">ROUND(F61*1.2,2)</f>
        <v>35996.28</v>
      </c>
      <c r="H61" s="88">
        <v>1.4</v>
      </c>
      <c r="I61" s="90">
        <f t="shared" si="3"/>
        <v>2487.7999999999997</v>
      </c>
      <c r="J61" s="90">
        <f t="shared" si="4"/>
        <v>41995.656192000002</v>
      </c>
      <c r="K61" s="90">
        <f t="shared" si="2"/>
        <v>50394.79</v>
      </c>
    </row>
    <row r="62" spans="1:11" ht="17.25" customHeight="1" x14ac:dyDescent="0.25">
      <c r="A62" s="25">
        <f t="shared" si="46"/>
        <v>6</v>
      </c>
      <c r="B62" s="15" t="s">
        <v>12</v>
      </c>
      <c r="C62" s="20" t="s">
        <v>7</v>
      </c>
      <c r="D62" s="22">
        <f>1.4*1.4*3.14*0.1</f>
        <v>0.61543999999999999</v>
      </c>
      <c r="E62" s="18">
        <v>1111</v>
      </c>
      <c r="F62" s="19">
        <f t="shared" si="47"/>
        <v>683.75</v>
      </c>
      <c r="G62" s="81">
        <f t="shared" si="48"/>
        <v>820.5</v>
      </c>
      <c r="H62" s="88">
        <v>1.4</v>
      </c>
      <c r="I62" s="90">
        <f t="shared" si="3"/>
        <v>1555.3999999999999</v>
      </c>
      <c r="J62" s="90">
        <f t="shared" si="4"/>
        <v>957.25537599999984</v>
      </c>
      <c r="K62" s="90">
        <f t="shared" si="2"/>
        <v>1148.71</v>
      </c>
    </row>
    <row r="63" spans="1:11" ht="30" x14ac:dyDescent="0.25">
      <c r="A63" s="25">
        <f t="shared" si="46"/>
        <v>7</v>
      </c>
      <c r="B63" s="24" t="s">
        <v>80</v>
      </c>
      <c r="C63" s="25" t="s">
        <v>7</v>
      </c>
      <c r="D63" s="28">
        <v>1</v>
      </c>
      <c r="E63" s="26">
        <v>18174.398148148146</v>
      </c>
      <c r="F63" s="27">
        <f t="shared" si="44"/>
        <v>18174.400000000001</v>
      </c>
      <c r="G63" s="82">
        <f t="shared" si="45"/>
        <v>21809.279999999999</v>
      </c>
      <c r="H63" s="88">
        <v>1.4</v>
      </c>
      <c r="I63" s="90">
        <f t="shared" si="3"/>
        <v>25444.157407407401</v>
      </c>
      <c r="J63" s="90">
        <f t="shared" si="4"/>
        <v>25444.157407407401</v>
      </c>
      <c r="K63" s="90">
        <f t="shared" si="2"/>
        <v>30532.99</v>
      </c>
    </row>
    <row r="64" spans="1:11" ht="30.75" customHeight="1" x14ac:dyDescent="0.25">
      <c r="A64" s="25">
        <f t="shared" si="46"/>
        <v>8</v>
      </c>
      <c r="B64" s="24" t="s">
        <v>100</v>
      </c>
      <c r="C64" s="25" t="s">
        <v>15</v>
      </c>
      <c r="D64" s="28">
        <v>2</v>
      </c>
      <c r="E64" s="26">
        <v>8927</v>
      </c>
      <c r="F64" s="27">
        <f t="shared" si="44"/>
        <v>17854</v>
      </c>
      <c r="G64" s="82">
        <f t="shared" si="45"/>
        <v>21424.799999999999</v>
      </c>
      <c r="H64" s="88">
        <v>1.4</v>
      </c>
      <c r="I64" s="90">
        <f t="shared" si="3"/>
        <v>12497.8</v>
      </c>
      <c r="J64" s="90">
        <f t="shared" si="4"/>
        <v>24995.599999999999</v>
      </c>
      <c r="K64" s="90">
        <f t="shared" si="2"/>
        <v>29994.720000000001</v>
      </c>
    </row>
    <row r="65" spans="1:11" ht="17.25" customHeight="1" x14ac:dyDescent="0.25">
      <c r="A65" s="25">
        <f t="shared" si="46"/>
        <v>9</v>
      </c>
      <c r="B65" s="15" t="s">
        <v>11</v>
      </c>
      <c r="C65" s="20" t="s">
        <v>7</v>
      </c>
      <c r="D65" s="22">
        <f>(1.6*1.6*3.14*2.1)-(3.14*1.1*1.1*2)</f>
        <v>9.2818400000000025</v>
      </c>
      <c r="E65" s="18">
        <v>325</v>
      </c>
      <c r="F65" s="19">
        <f>ROUND(E65*D65,2)</f>
        <v>3016.6</v>
      </c>
      <c r="G65" s="81">
        <f>ROUND(F65*1.2,2)</f>
        <v>3619.92</v>
      </c>
      <c r="H65" s="88">
        <v>1.4</v>
      </c>
      <c r="I65" s="90">
        <f t="shared" si="3"/>
        <v>454.99999999999994</v>
      </c>
      <c r="J65" s="90">
        <f t="shared" si="4"/>
        <v>4223.2372000000005</v>
      </c>
      <c r="K65" s="90">
        <f t="shared" si="2"/>
        <v>5067.88</v>
      </c>
    </row>
    <row r="66" spans="1:11" ht="17.25" customHeight="1" x14ac:dyDescent="0.25">
      <c r="A66" s="25">
        <f t="shared" si="46"/>
        <v>10</v>
      </c>
      <c r="B66" s="15" t="s">
        <v>81</v>
      </c>
      <c r="C66" s="20" t="s">
        <v>7</v>
      </c>
      <c r="D66" s="22">
        <f>D65</f>
        <v>9.2818400000000025</v>
      </c>
      <c r="E66" s="18">
        <v>203</v>
      </c>
      <c r="F66" s="19">
        <f t="shared" ref="F66:F68" si="49">ROUND(E66*D66,2)</f>
        <v>1884.21</v>
      </c>
      <c r="G66" s="81">
        <f t="shared" ref="G66:G68" si="50">ROUND(F66*1.2,2)</f>
        <v>2261.0500000000002</v>
      </c>
      <c r="H66" s="88">
        <v>1.4</v>
      </c>
      <c r="I66" s="90">
        <f t="shared" si="3"/>
        <v>284.2</v>
      </c>
      <c r="J66" s="90">
        <f t="shared" si="4"/>
        <v>2637.8989280000005</v>
      </c>
      <c r="K66" s="90">
        <f t="shared" si="2"/>
        <v>3165.48</v>
      </c>
    </row>
    <row r="67" spans="1:11" ht="15.75" x14ac:dyDescent="0.25">
      <c r="A67" s="25">
        <f t="shared" si="46"/>
        <v>11</v>
      </c>
      <c r="B67" s="15" t="s">
        <v>105</v>
      </c>
      <c r="C67" s="20" t="s">
        <v>106</v>
      </c>
      <c r="D67" s="23">
        <f>(D61-D62-D65)*1.75</f>
        <v>12.220880000000001</v>
      </c>
      <c r="E67" s="26">
        <v>325</v>
      </c>
      <c r="F67" s="19">
        <f t="shared" si="49"/>
        <v>3971.79</v>
      </c>
      <c r="G67" s="81">
        <f t="shared" si="50"/>
        <v>4766.1499999999996</v>
      </c>
      <c r="H67" s="88">
        <v>1.4</v>
      </c>
      <c r="I67" s="90">
        <f t="shared" si="3"/>
        <v>454.99999999999994</v>
      </c>
      <c r="J67" s="90">
        <f t="shared" si="4"/>
        <v>5560.5003999999999</v>
      </c>
      <c r="K67" s="90">
        <f t="shared" si="2"/>
        <v>6672.6</v>
      </c>
    </row>
    <row r="68" spans="1:11" s="76" customFormat="1" ht="15.75" x14ac:dyDescent="0.25">
      <c r="A68" s="70">
        <f t="shared" si="46"/>
        <v>12</v>
      </c>
      <c r="B68" s="71" t="s">
        <v>128</v>
      </c>
      <c r="C68" s="72" t="s">
        <v>7</v>
      </c>
      <c r="D68" s="73">
        <f>D61-D62-D65</f>
        <v>6.9833600000000011</v>
      </c>
      <c r="E68" s="74">
        <v>964.28571428571433</v>
      </c>
      <c r="F68" s="75">
        <f t="shared" si="49"/>
        <v>6733.95</v>
      </c>
      <c r="G68" s="83">
        <f t="shared" si="50"/>
        <v>8080.74</v>
      </c>
      <c r="H68" s="88">
        <v>1.4</v>
      </c>
      <c r="I68" s="90">
        <f t="shared" si="3"/>
        <v>1350</v>
      </c>
      <c r="J68" s="90">
        <f t="shared" si="4"/>
        <v>9427.5360000000019</v>
      </c>
      <c r="K68" s="90">
        <f t="shared" si="2"/>
        <v>11313.04</v>
      </c>
    </row>
    <row r="69" spans="1:11" ht="28.5" customHeight="1" x14ac:dyDescent="0.25">
      <c r="A69" s="25">
        <f t="shared" si="46"/>
        <v>13</v>
      </c>
      <c r="B69" s="15" t="s">
        <v>108</v>
      </c>
      <c r="C69" s="20" t="s">
        <v>7</v>
      </c>
      <c r="D69" s="22">
        <f>20*0.8*1.8</f>
        <v>28.8</v>
      </c>
      <c r="E69" s="21">
        <v>1777</v>
      </c>
      <c r="F69" s="19">
        <f t="shared" si="44"/>
        <v>51177.599999999999</v>
      </c>
      <c r="G69" s="81">
        <f t="shared" si="45"/>
        <v>61413.120000000003</v>
      </c>
      <c r="H69" s="88">
        <v>1.4</v>
      </c>
      <c r="I69" s="90">
        <f t="shared" si="3"/>
        <v>2487.7999999999997</v>
      </c>
      <c r="J69" s="90">
        <f t="shared" si="4"/>
        <v>71648.639999999999</v>
      </c>
      <c r="K69" s="90">
        <f t="shared" si="2"/>
        <v>85978.37</v>
      </c>
    </row>
    <row r="70" spans="1:11" ht="18" customHeight="1" x14ac:dyDescent="0.25">
      <c r="A70" s="25">
        <f t="shared" ref="A70:A80" si="51">A69+1</f>
        <v>14</v>
      </c>
      <c r="B70" s="24" t="s">
        <v>116</v>
      </c>
      <c r="C70" s="25" t="s">
        <v>13</v>
      </c>
      <c r="D70" s="28">
        <v>20</v>
      </c>
      <c r="E70" s="26">
        <f>1455*0.6</f>
        <v>873</v>
      </c>
      <c r="F70" s="27">
        <f>ROUND(E70*D70,2)</f>
        <v>17460</v>
      </c>
      <c r="G70" s="82">
        <f>ROUND(F70*1.2,2)</f>
        <v>20952</v>
      </c>
      <c r="H70" s="88">
        <v>1.4</v>
      </c>
      <c r="I70" s="90">
        <f t="shared" si="3"/>
        <v>1222.1999999999998</v>
      </c>
      <c r="J70" s="90">
        <f t="shared" si="4"/>
        <v>24443.999999999996</v>
      </c>
      <c r="K70" s="90">
        <f t="shared" si="2"/>
        <v>29332.799999999999</v>
      </c>
    </row>
    <row r="71" spans="1:11" ht="18" customHeight="1" x14ac:dyDescent="0.25">
      <c r="A71" s="25">
        <f t="shared" si="51"/>
        <v>15</v>
      </c>
      <c r="B71" s="15" t="s">
        <v>12</v>
      </c>
      <c r="C71" s="20" t="s">
        <v>7</v>
      </c>
      <c r="D71" s="22">
        <f>20*0.8*0.1</f>
        <v>1.6</v>
      </c>
      <c r="E71" s="18">
        <v>1111</v>
      </c>
      <c r="F71" s="19">
        <f t="shared" si="44"/>
        <v>1777.6</v>
      </c>
      <c r="G71" s="81">
        <f t="shared" si="45"/>
        <v>2133.12</v>
      </c>
      <c r="H71" s="88">
        <v>1.4</v>
      </c>
      <c r="I71" s="90">
        <f t="shared" si="3"/>
        <v>1555.3999999999999</v>
      </c>
      <c r="J71" s="90">
        <f t="shared" si="4"/>
        <v>2488.64</v>
      </c>
      <c r="K71" s="90">
        <f t="shared" si="2"/>
        <v>2986.37</v>
      </c>
    </row>
    <row r="72" spans="1:11" ht="18" customHeight="1" x14ac:dyDescent="0.25">
      <c r="A72" s="25">
        <f t="shared" si="51"/>
        <v>16</v>
      </c>
      <c r="B72" s="24" t="s">
        <v>83</v>
      </c>
      <c r="C72" s="20" t="s">
        <v>13</v>
      </c>
      <c r="D72" s="17">
        <v>19</v>
      </c>
      <c r="E72" s="21">
        <v>4846</v>
      </c>
      <c r="F72" s="19">
        <f t="shared" ref="F72:F76" si="52">ROUND(E72*D72,2)</f>
        <v>92074</v>
      </c>
      <c r="G72" s="81">
        <f t="shared" ref="G72:G76" si="53">ROUND(F72*1.2,2)</f>
        <v>110488.8</v>
      </c>
      <c r="H72" s="88">
        <v>1.4</v>
      </c>
      <c r="I72" s="90">
        <f t="shared" si="3"/>
        <v>6784.4</v>
      </c>
      <c r="J72" s="90">
        <f t="shared" si="4"/>
        <v>128903.59999999999</v>
      </c>
      <c r="K72" s="90">
        <f t="shared" ref="K72:K80" si="54">ROUND(J72*1.2,2)</f>
        <v>154684.32</v>
      </c>
    </row>
    <row r="73" spans="1:11" ht="18" customHeight="1" x14ac:dyDescent="0.25">
      <c r="A73" s="25">
        <f t="shared" si="51"/>
        <v>17</v>
      </c>
      <c r="B73" s="24" t="s">
        <v>78</v>
      </c>
      <c r="C73" s="25" t="s">
        <v>13</v>
      </c>
      <c r="D73" s="28">
        <v>20</v>
      </c>
      <c r="E73" s="26">
        <v>1455</v>
      </c>
      <c r="F73" s="27">
        <f>ROUND(E73*D73,2)</f>
        <v>29100</v>
      </c>
      <c r="G73" s="82">
        <f>ROUND(F73*1.2,2)</f>
        <v>34920</v>
      </c>
      <c r="H73" s="88">
        <v>1.4</v>
      </c>
      <c r="I73" s="90">
        <f t="shared" ref="I73:I80" si="55">E73*H73</f>
        <v>2036.9999999999998</v>
      </c>
      <c r="J73" s="90">
        <f t="shared" ref="J73:J80" si="56">I73*D73</f>
        <v>40739.999999999993</v>
      </c>
      <c r="K73" s="90">
        <f t="shared" si="54"/>
        <v>48888</v>
      </c>
    </row>
    <row r="74" spans="1:11" ht="15.75" x14ac:dyDescent="0.25">
      <c r="A74" s="25">
        <f t="shared" si="51"/>
        <v>18</v>
      </c>
      <c r="B74" s="15" t="s">
        <v>111</v>
      </c>
      <c r="C74" s="20" t="s">
        <v>7</v>
      </c>
      <c r="D74" s="22">
        <f>(3.14*0.265*0.265*20)-(3.14*0.158*0.158*20)</f>
        <v>2.8423908000000004</v>
      </c>
      <c r="E74" s="18">
        <f>1391/D74</f>
        <v>489.37675987411717</v>
      </c>
      <c r="F74" s="47">
        <f t="shared" ref="F74" si="57">ROUND(E74*D74,2)</f>
        <v>1391</v>
      </c>
      <c r="G74" s="84">
        <f t="shared" ref="G74" si="58">ROUND(F74*1.2,2)</f>
        <v>1669.2</v>
      </c>
      <c r="H74" s="88">
        <v>1.4</v>
      </c>
      <c r="I74" s="90">
        <f t="shared" si="55"/>
        <v>685.12746382376395</v>
      </c>
      <c r="J74" s="90">
        <f t="shared" si="56"/>
        <v>1947.3999999999999</v>
      </c>
      <c r="K74" s="90">
        <f t="shared" si="54"/>
        <v>2336.88</v>
      </c>
    </row>
    <row r="75" spans="1:11" ht="18" customHeight="1" x14ac:dyDescent="0.25">
      <c r="A75" s="25">
        <f t="shared" si="51"/>
        <v>19</v>
      </c>
      <c r="B75" s="15" t="s">
        <v>112</v>
      </c>
      <c r="C75" s="20" t="s">
        <v>113</v>
      </c>
      <c r="D75" s="17">
        <v>1</v>
      </c>
      <c r="E75" s="26">
        <v>6715</v>
      </c>
      <c r="F75" s="27">
        <f>ROUND(E75*D75,2)</f>
        <v>6715</v>
      </c>
      <c r="G75" s="82">
        <f>ROUND(F75*1.2,2)</f>
        <v>8058</v>
      </c>
      <c r="H75" s="88">
        <v>1.4</v>
      </c>
      <c r="I75" s="90">
        <f t="shared" si="55"/>
        <v>9401</v>
      </c>
      <c r="J75" s="90">
        <f t="shared" si="56"/>
        <v>9401</v>
      </c>
      <c r="K75" s="90">
        <f t="shared" si="54"/>
        <v>11281.2</v>
      </c>
    </row>
    <row r="76" spans="1:11" ht="18" customHeight="1" x14ac:dyDescent="0.25">
      <c r="A76" s="25">
        <f t="shared" si="51"/>
        <v>20</v>
      </c>
      <c r="B76" s="15" t="s">
        <v>102</v>
      </c>
      <c r="C76" s="20" t="s">
        <v>7</v>
      </c>
      <c r="D76" s="22">
        <f>20*0.8*0.3</f>
        <v>4.8</v>
      </c>
      <c r="E76" s="18">
        <v>1111</v>
      </c>
      <c r="F76" s="19">
        <f t="shared" si="52"/>
        <v>5332.8</v>
      </c>
      <c r="G76" s="81">
        <f t="shared" si="53"/>
        <v>6399.36</v>
      </c>
      <c r="H76" s="88">
        <v>1.4</v>
      </c>
      <c r="I76" s="90">
        <f t="shared" si="55"/>
        <v>1555.3999999999999</v>
      </c>
      <c r="J76" s="90">
        <f t="shared" si="56"/>
        <v>7465.9199999999992</v>
      </c>
      <c r="K76" s="90">
        <f t="shared" si="54"/>
        <v>8959.1</v>
      </c>
    </row>
    <row r="77" spans="1:11" ht="18" customHeight="1" x14ac:dyDescent="0.25">
      <c r="A77" s="25">
        <f t="shared" si="51"/>
        <v>21</v>
      </c>
      <c r="B77" s="15" t="s">
        <v>11</v>
      </c>
      <c r="C77" s="20" t="s">
        <v>7</v>
      </c>
      <c r="D77" s="22">
        <f>D69-D71-D76-0.265*0.265*3.14*20</f>
        <v>17.989869999999996</v>
      </c>
      <c r="E77" s="18">
        <v>325</v>
      </c>
      <c r="F77" s="19">
        <f>ROUND(E77*D77,2)</f>
        <v>5846.71</v>
      </c>
      <c r="G77" s="81">
        <f>ROUND(F77*1.2,2)</f>
        <v>7016.05</v>
      </c>
      <c r="H77" s="88">
        <v>1.4</v>
      </c>
      <c r="I77" s="90">
        <f t="shared" si="55"/>
        <v>454.99999999999994</v>
      </c>
      <c r="J77" s="90">
        <f t="shared" si="56"/>
        <v>8185.390849999997</v>
      </c>
      <c r="K77" s="90">
        <f t="shared" si="54"/>
        <v>9822.4699999999993</v>
      </c>
    </row>
    <row r="78" spans="1:11" ht="18" customHeight="1" x14ac:dyDescent="0.25">
      <c r="A78" s="25">
        <f t="shared" si="51"/>
        <v>22</v>
      </c>
      <c r="B78" s="15" t="s">
        <v>81</v>
      </c>
      <c r="C78" s="20" t="s">
        <v>7</v>
      </c>
      <c r="D78" s="22">
        <f>D77</f>
        <v>17.989869999999996</v>
      </c>
      <c r="E78" s="18">
        <v>203</v>
      </c>
      <c r="F78" s="19">
        <f t="shared" ref="F78:F80" si="59">ROUND(E78*D78,2)</f>
        <v>3651.94</v>
      </c>
      <c r="G78" s="81">
        <f t="shared" ref="G78:G80" si="60">ROUND(F78*1.2,2)</f>
        <v>4382.33</v>
      </c>
      <c r="H78" s="88">
        <v>1.4</v>
      </c>
      <c r="I78" s="90">
        <f t="shared" si="55"/>
        <v>284.2</v>
      </c>
      <c r="J78" s="90">
        <f t="shared" si="56"/>
        <v>5112.7210539999987</v>
      </c>
      <c r="K78" s="90">
        <f t="shared" si="54"/>
        <v>6135.27</v>
      </c>
    </row>
    <row r="79" spans="1:11" ht="15.75" x14ac:dyDescent="0.25">
      <c r="A79" s="25">
        <f t="shared" si="51"/>
        <v>23</v>
      </c>
      <c r="B79" s="15" t="s">
        <v>105</v>
      </c>
      <c r="C79" s="20" t="s">
        <v>106</v>
      </c>
      <c r="D79" s="23">
        <f>(D71+D76+0.265*0.265*3.14*20)*1.75</f>
        <v>18.917727500000002</v>
      </c>
      <c r="E79" s="26">
        <v>325</v>
      </c>
      <c r="F79" s="19">
        <f t="shared" si="59"/>
        <v>6148.26</v>
      </c>
      <c r="G79" s="81">
        <f t="shared" si="60"/>
        <v>7377.91</v>
      </c>
      <c r="H79" s="88">
        <v>1.4</v>
      </c>
      <c r="I79" s="90">
        <f t="shared" si="55"/>
        <v>454.99999999999994</v>
      </c>
      <c r="J79" s="90">
        <f t="shared" si="56"/>
        <v>8607.5660124999995</v>
      </c>
      <c r="K79" s="90">
        <f t="shared" si="54"/>
        <v>10329.08</v>
      </c>
    </row>
    <row r="80" spans="1:11" s="76" customFormat="1" ht="15.75" x14ac:dyDescent="0.25">
      <c r="A80" s="70">
        <f t="shared" si="51"/>
        <v>24</v>
      </c>
      <c r="B80" s="71" t="s">
        <v>128</v>
      </c>
      <c r="C80" s="72" t="s">
        <v>7</v>
      </c>
      <c r="D80" s="73">
        <f>D71+D76+0.265*0.265*3.14*20</f>
        <v>10.810130000000001</v>
      </c>
      <c r="E80" s="74">
        <v>964.28571428571433</v>
      </c>
      <c r="F80" s="75">
        <f t="shared" si="59"/>
        <v>10424.049999999999</v>
      </c>
      <c r="G80" s="83">
        <f t="shared" si="60"/>
        <v>12508.86</v>
      </c>
      <c r="H80" s="88">
        <v>1.4</v>
      </c>
      <c r="I80" s="90">
        <f t="shared" si="55"/>
        <v>1350</v>
      </c>
      <c r="J80" s="90">
        <f t="shared" si="56"/>
        <v>14593.675500000001</v>
      </c>
      <c r="K80" s="90">
        <f t="shared" si="54"/>
        <v>17512.41</v>
      </c>
    </row>
    <row r="81" spans="1:11" x14ac:dyDescent="0.25">
      <c r="A81" s="142" t="s">
        <v>127</v>
      </c>
      <c r="B81" s="143"/>
      <c r="C81" s="143"/>
      <c r="D81" s="143"/>
      <c r="E81" s="144"/>
      <c r="F81" s="30">
        <f>SUM(F4:F80)</f>
        <v>17199600.910000004</v>
      </c>
      <c r="G81" s="85">
        <f>SUM(G4:G80)</f>
        <v>20639520.909999996</v>
      </c>
      <c r="H81" s="88"/>
      <c r="I81" s="30"/>
      <c r="J81" s="30">
        <f>SUM(J4:J80)</f>
        <v>24079432.86418419</v>
      </c>
      <c r="K81" s="30">
        <f>SUM(K4:K80)</f>
        <v>28895319.459999993</v>
      </c>
    </row>
    <row r="82" spans="1:11" x14ac:dyDescent="0.25">
      <c r="A82" s="6"/>
      <c r="B82" s="145" t="s">
        <v>67</v>
      </c>
      <c r="C82" s="146"/>
      <c r="D82" s="146"/>
      <c r="E82" s="7"/>
      <c r="F82" s="8"/>
      <c r="G82" s="79"/>
      <c r="H82" s="88"/>
      <c r="I82" s="87"/>
      <c r="J82" s="87"/>
      <c r="K82" s="87"/>
    </row>
    <row r="83" spans="1:11" ht="30" x14ac:dyDescent="0.25">
      <c r="A83" s="25">
        <v>1</v>
      </c>
      <c r="B83" s="46" t="s">
        <v>67</v>
      </c>
      <c r="C83" s="41" t="s">
        <v>68</v>
      </c>
      <c r="D83" s="45">
        <v>1</v>
      </c>
      <c r="E83" s="42">
        <v>2262840</v>
      </c>
      <c r="F83" s="19">
        <f t="shared" ref="F83" si="61">ROUND(E83*D83,2)</f>
        <v>2262840</v>
      </c>
      <c r="G83" s="81">
        <f t="shared" ref="G83" si="62">ROUND(F83*1.2,2)</f>
        <v>2715408</v>
      </c>
      <c r="H83" s="88">
        <v>1.4</v>
      </c>
      <c r="I83" s="90">
        <f t="shared" ref="I83" si="63">E83*H83</f>
        <v>3167976</v>
      </c>
      <c r="J83" s="90">
        <f t="shared" ref="J83" si="64">I83*D83</f>
        <v>3167976</v>
      </c>
      <c r="K83" s="90">
        <f t="shared" ref="K83" si="65">ROUND(J83*1.2,2)</f>
        <v>3801571.2</v>
      </c>
    </row>
    <row r="84" spans="1:11" x14ac:dyDescent="0.25">
      <c r="A84" s="142" t="s">
        <v>16</v>
      </c>
      <c r="B84" s="143"/>
      <c r="C84" s="143"/>
      <c r="D84" s="143"/>
      <c r="E84" s="144"/>
      <c r="F84" s="30">
        <f>F81+F83</f>
        <v>19462440.910000004</v>
      </c>
      <c r="G84" s="85">
        <f>G81+G83</f>
        <v>23354928.909999996</v>
      </c>
      <c r="H84" s="86"/>
      <c r="I84" s="30"/>
      <c r="J84" s="30">
        <f>J81+J83</f>
        <v>27247408.86418419</v>
      </c>
      <c r="K84" s="30">
        <f>K81+K83</f>
        <v>32696890.659999993</v>
      </c>
    </row>
  </sheetData>
  <mergeCells count="15">
    <mergeCell ref="I1:K2"/>
    <mergeCell ref="A84:E84"/>
    <mergeCell ref="B46:D46"/>
    <mergeCell ref="B56:D56"/>
    <mergeCell ref="A1:A3"/>
    <mergeCell ref="B1:B3"/>
    <mergeCell ref="C1:C3"/>
    <mergeCell ref="D1:D3"/>
    <mergeCell ref="E1:G2"/>
    <mergeCell ref="B5:D5"/>
    <mergeCell ref="B21:D21"/>
    <mergeCell ref="B38:D38"/>
    <mergeCell ref="B44:D44"/>
    <mergeCell ref="B82:D82"/>
    <mergeCell ref="A81:E81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69" zoomScaleNormal="100" zoomScaleSheetLayoutView="80" workbookViewId="0">
      <selection activeCell="K69" sqref="K1:K1048576"/>
    </sheetView>
  </sheetViews>
  <sheetFormatPr defaultColWidth="8.85546875" defaultRowHeight="15" x14ac:dyDescent="0.25"/>
  <cols>
    <col min="1" max="1" width="6.28515625" customWidth="1"/>
    <col min="2" max="2" width="61.42578125" style="35" customWidth="1"/>
    <col min="3" max="3" width="7" bestFit="1" customWidth="1"/>
    <col min="4" max="4" width="12.28515625" customWidth="1"/>
    <col min="5" max="5" width="15.85546875" bestFit="1" customWidth="1"/>
    <col min="6" max="6" width="16.28515625" customWidth="1"/>
    <col min="7" max="7" width="19.28515625" style="1" customWidth="1"/>
    <col min="8" max="8" width="4" bestFit="1" customWidth="1"/>
    <col min="9" max="9" width="12.7109375" bestFit="1" customWidth="1"/>
    <col min="10" max="10" width="16" customWidth="1"/>
    <col min="11" max="11" width="15.28515625" bestFit="1" customWidth="1"/>
  </cols>
  <sheetData>
    <row r="1" spans="1:11" ht="14.45" customHeight="1" x14ac:dyDescent="0.25">
      <c r="A1" s="147" t="s">
        <v>0</v>
      </c>
      <c r="B1" s="150" t="s">
        <v>1</v>
      </c>
      <c r="C1" s="153" t="s">
        <v>2</v>
      </c>
      <c r="D1" s="153" t="s">
        <v>3</v>
      </c>
      <c r="E1" s="133" t="s">
        <v>103</v>
      </c>
      <c r="F1" s="134"/>
      <c r="G1" s="134"/>
      <c r="I1" s="154" t="s">
        <v>130</v>
      </c>
      <c r="J1" s="154"/>
      <c r="K1" s="154"/>
    </row>
    <row r="2" spans="1:11" ht="14.45" customHeight="1" x14ac:dyDescent="0.25">
      <c r="A2" s="148"/>
      <c r="B2" s="151"/>
      <c r="C2" s="153"/>
      <c r="D2" s="153"/>
      <c r="E2" s="133"/>
      <c r="F2" s="134"/>
      <c r="G2" s="134"/>
      <c r="I2" s="154"/>
      <c r="J2" s="154"/>
      <c r="K2" s="154"/>
    </row>
    <row r="3" spans="1:11" ht="42.75" x14ac:dyDescent="0.25">
      <c r="A3" s="149"/>
      <c r="B3" s="152"/>
      <c r="C3" s="153"/>
      <c r="D3" s="153"/>
      <c r="E3" s="2" t="s">
        <v>17</v>
      </c>
      <c r="F3" s="2" t="s">
        <v>18</v>
      </c>
      <c r="G3" s="31" t="s">
        <v>6</v>
      </c>
      <c r="H3" s="91" t="s">
        <v>129</v>
      </c>
      <c r="I3" s="2" t="s">
        <v>17</v>
      </c>
      <c r="J3" s="2" t="s">
        <v>18</v>
      </c>
      <c r="K3" s="31" t="s">
        <v>6</v>
      </c>
    </row>
    <row r="4" spans="1:11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I4" s="87"/>
      <c r="J4" s="87"/>
      <c r="K4" s="87"/>
    </row>
    <row r="5" spans="1:11" ht="20.25" customHeight="1" x14ac:dyDescent="0.25">
      <c r="A5" s="6"/>
      <c r="B5" s="145" t="s">
        <v>23</v>
      </c>
      <c r="C5" s="146"/>
      <c r="D5" s="146"/>
      <c r="E5" s="7"/>
      <c r="F5" s="8"/>
      <c r="G5" s="32"/>
      <c r="I5" s="87"/>
      <c r="J5" s="87"/>
      <c r="K5" s="87"/>
    </row>
    <row r="6" spans="1:11" x14ac:dyDescent="0.25">
      <c r="A6" s="10"/>
      <c r="B6" s="11" t="s">
        <v>14</v>
      </c>
      <c r="C6" s="12"/>
      <c r="D6" s="12"/>
      <c r="E6" s="13"/>
      <c r="F6" s="14"/>
      <c r="G6" s="33"/>
      <c r="I6" s="87"/>
      <c r="J6" s="87"/>
      <c r="K6" s="87"/>
    </row>
    <row r="7" spans="1:11" ht="15.75" x14ac:dyDescent="0.25">
      <c r="A7" s="25">
        <v>1</v>
      </c>
      <c r="B7" s="15" t="s">
        <v>19</v>
      </c>
      <c r="C7" s="20" t="s">
        <v>7</v>
      </c>
      <c r="D7" s="22">
        <f>18.24*1.2</f>
        <v>21.887999999999998</v>
      </c>
      <c r="E7" s="21">
        <v>1320</v>
      </c>
      <c r="F7" s="19">
        <f t="shared" ref="F7:F49" si="0">ROUND(E7*D7,2)</f>
        <v>28892.16</v>
      </c>
      <c r="G7" s="19">
        <f t="shared" ref="G7:G49" si="1">ROUND(F7*1.2,2)</f>
        <v>34670.589999999997</v>
      </c>
      <c r="H7">
        <v>1.3</v>
      </c>
      <c r="I7" s="90">
        <f>E7*H7</f>
        <v>1716</v>
      </c>
      <c r="J7" s="90">
        <f>D7*I7</f>
        <v>37559.807999999997</v>
      </c>
      <c r="K7" s="90">
        <f t="shared" ref="K7:K70" si="2">ROUND(J7*1.2,2)</f>
        <v>45071.77</v>
      </c>
    </row>
    <row r="8" spans="1:11" ht="15.75" x14ac:dyDescent="0.25">
      <c r="A8" s="25">
        <f>A7+1</f>
        <v>2</v>
      </c>
      <c r="B8" s="15" t="s">
        <v>21</v>
      </c>
      <c r="C8" s="20" t="s">
        <v>7</v>
      </c>
      <c r="D8" s="22">
        <f>36.48*1.26</f>
        <v>45.964799999999997</v>
      </c>
      <c r="E8" s="21">
        <v>2950</v>
      </c>
      <c r="F8" s="19">
        <f t="shared" ref="F8" si="3">ROUND(E8*D8,2)</f>
        <v>135596.16</v>
      </c>
      <c r="G8" s="19">
        <f t="shared" ref="G8" si="4">ROUND(F8*1.2,2)</f>
        <v>162715.39000000001</v>
      </c>
      <c r="H8">
        <v>1.3</v>
      </c>
      <c r="I8" s="90">
        <f t="shared" ref="I8:I70" si="5">E8*H8</f>
        <v>3835</v>
      </c>
      <c r="J8" s="90">
        <f t="shared" ref="J8:J70" si="6">D8*I8</f>
        <v>176275.008</v>
      </c>
      <c r="K8" s="90">
        <f t="shared" si="2"/>
        <v>211530.01</v>
      </c>
    </row>
    <row r="9" spans="1:11" ht="15.75" x14ac:dyDescent="0.25">
      <c r="A9" s="25">
        <f>A8+1</f>
        <v>3</v>
      </c>
      <c r="B9" s="110" t="s">
        <v>136</v>
      </c>
      <c r="C9" s="114" t="s">
        <v>15</v>
      </c>
      <c r="D9" s="115">
        <v>152</v>
      </c>
      <c r="E9" s="116">
        <v>6088.2465000000002</v>
      </c>
      <c r="F9" s="119">
        <f t="shared" ref="F9:F20" si="7">ROUND(E9*D9,2)</f>
        <v>925413.47</v>
      </c>
      <c r="G9" s="119">
        <f t="shared" ref="G9:G20" si="8">ROUND(F9*1.2,2)</f>
        <v>1110496.1599999999</v>
      </c>
      <c r="H9" s="130">
        <v>1.3</v>
      </c>
      <c r="I9" s="120">
        <f>E9*H9</f>
        <v>7914.7204500000007</v>
      </c>
      <c r="J9" s="120">
        <f>I9*D9</f>
        <v>1203037.5084000002</v>
      </c>
      <c r="K9" s="120">
        <f t="shared" si="2"/>
        <v>1443645.01</v>
      </c>
    </row>
    <row r="10" spans="1:11" ht="15.75" hidden="1" x14ac:dyDescent="0.25">
      <c r="A10" s="25">
        <f>A9+1</f>
        <v>4</v>
      </c>
      <c r="B10" s="15"/>
      <c r="C10" s="20"/>
      <c r="D10" s="17"/>
      <c r="E10" s="18"/>
      <c r="F10" s="119">
        <f t="shared" si="7"/>
        <v>0</v>
      </c>
      <c r="G10" s="119">
        <f t="shared" si="8"/>
        <v>0</v>
      </c>
      <c r="H10" s="130">
        <v>1.3</v>
      </c>
      <c r="I10" s="120"/>
      <c r="J10" s="120"/>
      <c r="K10" s="120"/>
    </row>
    <row r="11" spans="1:11" ht="15.75" hidden="1" x14ac:dyDescent="0.25">
      <c r="A11" s="25">
        <f>A10+1</f>
        <v>5</v>
      </c>
      <c r="B11" s="15"/>
      <c r="C11" s="20"/>
      <c r="D11" s="17"/>
      <c r="E11" s="18"/>
      <c r="F11" s="119">
        <f t="shared" si="7"/>
        <v>0</v>
      </c>
      <c r="G11" s="119">
        <f t="shared" si="8"/>
        <v>0</v>
      </c>
      <c r="H11" s="130">
        <v>1.3</v>
      </c>
      <c r="I11" s="120"/>
      <c r="J11" s="120"/>
      <c r="K11" s="120"/>
    </row>
    <row r="12" spans="1:11" ht="15.75" hidden="1" x14ac:dyDescent="0.25">
      <c r="A12" s="25">
        <f>A11+1</f>
        <v>6</v>
      </c>
      <c r="B12" s="15"/>
      <c r="C12" s="20"/>
      <c r="D12" s="17"/>
      <c r="E12" s="18"/>
      <c r="F12" s="119">
        <f t="shared" si="7"/>
        <v>0</v>
      </c>
      <c r="G12" s="119">
        <f t="shared" si="8"/>
        <v>0</v>
      </c>
      <c r="H12" s="130">
        <v>1.3</v>
      </c>
      <c r="I12" s="120"/>
      <c r="J12" s="120"/>
      <c r="K12" s="120"/>
    </row>
    <row r="13" spans="1:11" ht="15.75" hidden="1" x14ac:dyDescent="0.25">
      <c r="A13" s="25">
        <f t="shared" ref="A13:A22" si="9">A12+1</f>
        <v>7</v>
      </c>
      <c r="B13" s="15"/>
      <c r="C13" s="20"/>
      <c r="D13" s="17"/>
      <c r="E13" s="18"/>
      <c r="F13" s="119">
        <f t="shared" si="7"/>
        <v>0</v>
      </c>
      <c r="G13" s="119">
        <f t="shared" si="8"/>
        <v>0</v>
      </c>
      <c r="H13" s="130">
        <v>1.3</v>
      </c>
      <c r="I13" s="120"/>
      <c r="J13" s="120"/>
      <c r="K13" s="120"/>
    </row>
    <row r="14" spans="1:11" ht="15.75" hidden="1" x14ac:dyDescent="0.25">
      <c r="A14" s="25">
        <f t="shared" si="9"/>
        <v>8</v>
      </c>
      <c r="B14" s="15"/>
      <c r="C14" s="20"/>
      <c r="D14" s="17"/>
      <c r="E14" s="18"/>
      <c r="F14" s="119">
        <f t="shared" si="7"/>
        <v>0</v>
      </c>
      <c r="G14" s="119">
        <f t="shared" si="8"/>
        <v>0</v>
      </c>
      <c r="H14" s="130">
        <v>1.3</v>
      </c>
      <c r="I14" s="120"/>
      <c r="J14" s="120"/>
      <c r="K14" s="120"/>
    </row>
    <row r="15" spans="1:11" ht="15.75" hidden="1" x14ac:dyDescent="0.25">
      <c r="A15" s="25">
        <f t="shared" si="9"/>
        <v>9</v>
      </c>
      <c r="B15" s="15"/>
      <c r="C15" s="20"/>
      <c r="D15" s="17"/>
      <c r="E15" s="18"/>
      <c r="F15" s="119">
        <f t="shared" si="7"/>
        <v>0</v>
      </c>
      <c r="G15" s="119">
        <f t="shared" si="8"/>
        <v>0</v>
      </c>
      <c r="H15" s="130">
        <v>1.3</v>
      </c>
      <c r="I15" s="120"/>
      <c r="J15" s="120"/>
      <c r="K15" s="120"/>
    </row>
    <row r="16" spans="1:11" ht="15.75" hidden="1" x14ac:dyDescent="0.25">
      <c r="A16" s="25">
        <f t="shared" si="9"/>
        <v>10</v>
      </c>
      <c r="B16" s="15"/>
      <c r="C16" s="20"/>
      <c r="D16" s="17"/>
      <c r="E16" s="18"/>
      <c r="F16" s="119">
        <f t="shared" si="7"/>
        <v>0</v>
      </c>
      <c r="G16" s="119">
        <f t="shared" si="8"/>
        <v>0</v>
      </c>
      <c r="H16" s="130">
        <v>1.3</v>
      </c>
      <c r="I16" s="120"/>
      <c r="J16" s="120"/>
      <c r="K16" s="120"/>
    </row>
    <row r="17" spans="1:11" ht="15.75" hidden="1" x14ac:dyDescent="0.25">
      <c r="A17" s="25">
        <f t="shared" si="9"/>
        <v>11</v>
      </c>
      <c r="B17" s="15"/>
      <c r="C17" s="20"/>
      <c r="D17" s="17"/>
      <c r="E17" s="18"/>
      <c r="F17" s="119">
        <f t="shared" si="7"/>
        <v>0</v>
      </c>
      <c r="G17" s="119">
        <f t="shared" si="8"/>
        <v>0</v>
      </c>
      <c r="H17" s="130">
        <v>1.3</v>
      </c>
      <c r="I17" s="120"/>
      <c r="J17" s="120"/>
      <c r="K17" s="120"/>
    </row>
    <row r="18" spans="1:11" ht="15.75" hidden="1" x14ac:dyDescent="0.25">
      <c r="A18" s="25">
        <f t="shared" si="9"/>
        <v>12</v>
      </c>
      <c r="B18" s="15"/>
      <c r="C18" s="20"/>
      <c r="D18" s="17"/>
      <c r="E18" s="18"/>
      <c r="F18" s="119">
        <f t="shared" si="7"/>
        <v>0</v>
      </c>
      <c r="G18" s="119">
        <f t="shared" si="8"/>
        <v>0</v>
      </c>
      <c r="H18" s="130">
        <v>1.3</v>
      </c>
      <c r="I18" s="120"/>
      <c r="J18" s="120"/>
      <c r="K18" s="120"/>
    </row>
    <row r="19" spans="1:11" ht="15.75" hidden="1" x14ac:dyDescent="0.25">
      <c r="A19" s="25">
        <f t="shared" si="9"/>
        <v>13</v>
      </c>
      <c r="B19" s="15"/>
      <c r="C19" s="20"/>
      <c r="D19" s="17"/>
      <c r="E19" s="18"/>
      <c r="F19" s="119">
        <f t="shared" si="7"/>
        <v>0</v>
      </c>
      <c r="G19" s="119">
        <f t="shared" si="8"/>
        <v>0</v>
      </c>
      <c r="H19" s="130">
        <v>1.3</v>
      </c>
      <c r="I19" s="120"/>
      <c r="J19" s="120"/>
      <c r="K19" s="120"/>
    </row>
    <row r="20" spans="1:11" ht="15.75" hidden="1" x14ac:dyDescent="0.25">
      <c r="A20" s="25">
        <f t="shared" si="9"/>
        <v>14</v>
      </c>
      <c r="B20" s="15"/>
      <c r="C20" s="20"/>
      <c r="D20" s="17"/>
      <c r="E20" s="18"/>
      <c r="F20" s="119">
        <f t="shared" si="7"/>
        <v>0</v>
      </c>
      <c r="G20" s="119">
        <f t="shared" si="8"/>
        <v>0</v>
      </c>
      <c r="H20" s="130">
        <v>1.3</v>
      </c>
      <c r="I20" s="120"/>
      <c r="J20" s="120"/>
      <c r="K20" s="120"/>
    </row>
    <row r="21" spans="1:11" ht="15.75" x14ac:dyDescent="0.25">
      <c r="A21" s="25">
        <f t="shared" si="9"/>
        <v>15</v>
      </c>
      <c r="B21" s="110" t="s">
        <v>137</v>
      </c>
      <c r="C21" s="114" t="s">
        <v>15</v>
      </c>
      <c r="D21" s="115">
        <v>304</v>
      </c>
      <c r="E21" s="109">
        <v>728.88</v>
      </c>
      <c r="F21" s="119">
        <f t="shared" ref="F21" si="10">ROUND(E21*D21,2)</f>
        <v>221579.51999999999</v>
      </c>
      <c r="G21" s="119">
        <f t="shared" ref="G21" si="11">ROUND(F21*1.2,2)</f>
        <v>265895.42</v>
      </c>
      <c r="H21" s="130">
        <v>1.3</v>
      </c>
      <c r="I21" s="120">
        <f>E21*H21</f>
        <v>947.54399999999998</v>
      </c>
      <c r="J21" s="120">
        <f>I21*D21</f>
        <v>288053.37599999999</v>
      </c>
      <c r="K21" s="120">
        <f t="shared" si="2"/>
        <v>345664.05</v>
      </c>
    </row>
    <row r="22" spans="1:11" ht="15.75" x14ac:dyDescent="0.25">
      <c r="A22" s="25">
        <f t="shared" si="9"/>
        <v>16</v>
      </c>
      <c r="B22" s="15" t="s">
        <v>20</v>
      </c>
      <c r="C22" s="20" t="s">
        <v>13</v>
      </c>
      <c r="D22" s="22">
        <f>40*1.02</f>
        <v>40.799999999999997</v>
      </c>
      <c r="E22" s="18">
        <v>5470</v>
      </c>
      <c r="F22" s="19">
        <f t="shared" ref="F22:F23" si="12">ROUND(E22*D22,2)</f>
        <v>223176</v>
      </c>
      <c r="G22" s="19">
        <f t="shared" ref="G22:G23" si="13">ROUND(F22*1.2,2)</f>
        <v>267811.20000000001</v>
      </c>
      <c r="H22">
        <v>1.3</v>
      </c>
      <c r="I22" s="90">
        <f t="shared" si="5"/>
        <v>7111</v>
      </c>
      <c r="J22" s="90">
        <f t="shared" si="6"/>
        <v>290128.8</v>
      </c>
      <c r="K22" s="90">
        <f t="shared" si="2"/>
        <v>348154.56</v>
      </c>
    </row>
    <row r="23" spans="1:11" x14ac:dyDescent="0.25">
      <c r="A23" s="37">
        <f>A22+1</f>
        <v>17</v>
      </c>
      <c r="B23" s="38" t="s">
        <v>30</v>
      </c>
      <c r="C23" s="37" t="s">
        <v>10</v>
      </c>
      <c r="D23" s="39">
        <v>1300</v>
      </c>
      <c r="E23" s="19">
        <f>ROUND(184/1.2,2)</f>
        <v>153.33000000000001</v>
      </c>
      <c r="F23" s="19">
        <f t="shared" si="12"/>
        <v>199329</v>
      </c>
      <c r="G23" s="19">
        <f t="shared" si="13"/>
        <v>239194.8</v>
      </c>
      <c r="H23">
        <v>1.3</v>
      </c>
      <c r="I23" s="90">
        <f t="shared" si="5"/>
        <v>199.32900000000004</v>
      </c>
      <c r="J23" s="90">
        <f t="shared" si="6"/>
        <v>259127.70000000004</v>
      </c>
      <c r="K23" s="90">
        <f t="shared" si="2"/>
        <v>310953.24</v>
      </c>
    </row>
    <row r="24" spans="1:11" x14ac:dyDescent="0.25">
      <c r="A24" s="117"/>
      <c r="B24" s="127" t="s">
        <v>139</v>
      </c>
      <c r="C24" s="128" t="s">
        <v>93</v>
      </c>
      <c r="D24" s="129">
        <v>1258</v>
      </c>
      <c r="E24" s="119">
        <v>41</v>
      </c>
      <c r="F24" s="119">
        <f>D24*E24</f>
        <v>51578</v>
      </c>
      <c r="G24" s="119">
        <f>F24*1.2</f>
        <v>61893.599999999999</v>
      </c>
      <c r="H24" s="130">
        <v>1.3</v>
      </c>
      <c r="I24" s="120">
        <f>E24*H24</f>
        <v>53.300000000000004</v>
      </c>
      <c r="J24" s="120">
        <f>I24*D24</f>
        <v>67051.400000000009</v>
      </c>
      <c r="K24" s="120">
        <f>J24*1.2</f>
        <v>80461.680000000008</v>
      </c>
    </row>
    <row r="25" spans="1:11" x14ac:dyDescent="0.25">
      <c r="A25" s="6"/>
      <c r="B25" s="145" t="s">
        <v>32</v>
      </c>
      <c r="C25" s="146"/>
      <c r="D25" s="146"/>
      <c r="E25" s="7"/>
      <c r="F25" s="8"/>
      <c r="G25" s="9"/>
      <c r="H25">
        <v>1.3</v>
      </c>
      <c r="I25" s="90">
        <f t="shared" si="5"/>
        <v>0</v>
      </c>
      <c r="J25" s="90">
        <f t="shared" si="6"/>
        <v>0</v>
      </c>
      <c r="K25" s="90">
        <f t="shared" si="2"/>
        <v>0</v>
      </c>
    </row>
    <row r="26" spans="1:11" ht="15.75" x14ac:dyDescent="0.25">
      <c r="A26" s="25">
        <v>1</v>
      </c>
      <c r="B26" s="15" t="s">
        <v>34</v>
      </c>
      <c r="C26" s="20" t="s">
        <v>13</v>
      </c>
      <c r="D26" s="17">
        <v>912</v>
      </c>
      <c r="E26" s="21">
        <f>100625/12.5*1.0095</f>
        <v>8126.4750000000004</v>
      </c>
      <c r="F26" s="19">
        <f t="shared" ref="F26:F42" si="14">ROUND(E26*D26,2)</f>
        <v>7411345.2000000002</v>
      </c>
      <c r="G26" s="19">
        <f t="shared" ref="G26:G42" si="15">ROUND(F26*1.2,2)</f>
        <v>8893614.2400000002</v>
      </c>
      <c r="H26">
        <v>1.3</v>
      </c>
      <c r="I26" s="90">
        <f t="shared" si="5"/>
        <v>10564.417500000001</v>
      </c>
      <c r="J26" s="90">
        <f t="shared" si="6"/>
        <v>9634748.7600000016</v>
      </c>
      <c r="K26" s="90">
        <f t="shared" si="2"/>
        <v>11561698.51</v>
      </c>
    </row>
    <row r="27" spans="1:11" ht="15.75" x14ac:dyDescent="0.25">
      <c r="A27" s="25">
        <f>A26+1</f>
        <v>2</v>
      </c>
      <c r="B27" s="15" t="s">
        <v>35</v>
      </c>
      <c r="C27" s="20" t="s">
        <v>15</v>
      </c>
      <c r="D27" s="17">
        <v>160</v>
      </c>
      <c r="E27" s="21">
        <f>7612.5*1.0095</f>
        <v>7684.8187500000004</v>
      </c>
      <c r="F27" s="19">
        <f t="shared" si="14"/>
        <v>1229571</v>
      </c>
      <c r="G27" s="19">
        <f t="shared" si="15"/>
        <v>1475485.2</v>
      </c>
      <c r="H27">
        <v>1.3</v>
      </c>
      <c r="I27" s="90">
        <f t="shared" si="5"/>
        <v>9990.2643750000007</v>
      </c>
      <c r="J27" s="90">
        <f t="shared" si="6"/>
        <v>1598442.3</v>
      </c>
      <c r="K27" s="90">
        <f t="shared" si="2"/>
        <v>1918130.76</v>
      </c>
    </row>
    <row r="28" spans="1:11" ht="15.75" x14ac:dyDescent="0.25">
      <c r="A28" s="25">
        <f t="shared" ref="A28:A34" si="16">A27+1</f>
        <v>3</v>
      </c>
      <c r="B28" s="15" t="s">
        <v>117</v>
      </c>
      <c r="C28" s="20" t="s">
        <v>15</v>
      </c>
      <c r="D28" s="17">
        <v>480</v>
      </c>
      <c r="E28" s="21">
        <f>192.5*1.0095</f>
        <v>194.32875000000001</v>
      </c>
      <c r="F28" s="19">
        <f t="shared" si="14"/>
        <v>93277.8</v>
      </c>
      <c r="G28" s="19">
        <f t="shared" si="15"/>
        <v>111933.36</v>
      </c>
      <c r="H28">
        <v>1.3</v>
      </c>
      <c r="I28" s="90">
        <f t="shared" si="5"/>
        <v>252.62737500000003</v>
      </c>
      <c r="J28" s="90">
        <f t="shared" si="6"/>
        <v>121261.14000000001</v>
      </c>
      <c r="K28" s="90">
        <f t="shared" si="2"/>
        <v>145513.37</v>
      </c>
    </row>
    <row r="29" spans="1:11" ht="15.75" x14ac:dyDescent="0.25">
      <c r="A29" s="25">
        <f t="shared" si="16"/>
        <v>4</v>
      </c>
      <c r="B29" s="15" t="s">
        <v>36</v>
      </c>
      <c r="C29" s="20" t="s">
        <v>15</v>
      </c>
      <c r="D29" s="17">
        <v>840</v>
      </c>
      <c r="E29" s="21">
        <f>4025*1.0095</f>
        <v>4063.2375000000002</v>
      </c>
      <c r="F29" s="19">
        <f t="shared" si="14"/>
        <v>3413119.5</v>
      </c>
      <c r="G29" s="19">
        <f t="shared" si="15"/>
        <v>4095743.4</v>
      </c>
      <c r="H29">
        <v>1.3</v>
      </c>
      <c r="I29" s="90">
        <f t="shared" si="5"/>
        <v>5282.2087500000007</v>
      </c>
      <c r="J29" s="90">
        <f t="shared" si="6"/>
        <v>4437055.3500000006</v>
      </c>
      <c r="K29" s="90">
        <f t="shared" si="2"/>
        <v>5324466.42</v>
      </c>
    </row>
    <row r="30" spans="1:11" ht="15.75" x14ac:dyDescent="0.25">
      <c r="A30" s="25">
        <f t="shared" si="16"/>
        <v>5</v>
      </c>
      <c r="B30" s="15" t="s">
        <v>37</v>
      </c>
      <c r="C30" s="20" t="s">
        <v>15</v>
      </c>
      <c r="D30" s="17">
        <v>6720</v>
      </c>
      <c r="E30" s="21">
        <f>174125*0.000126*1.0095</f>
        <v>22.148177625000002</v>
      </c>
      <c r="F30" s="19">
        <f t="shared" si="14"/>
        <v>148835.75</v>
      </c>
      <c r="G30" s="19">
        <f t="shared" si="15"/>
        <v>178602.9</v>
      </c>
      <c r="H30">
        <v>1.3</v>
      </c>
      <c r="I30" s="90">
        <f t="shared" si="5"/>
        <v>28.792630912500005</v>
      </c>
      <c r="J30" s="90">
        <f t="shared" si="6"/>
        <v>193486.47973200004</v>
      </c>
      <c r="K30" s="90">
        <f t="shared" si="2"/>
        <v>232183.78</v>
      </c>
    </row>
    <row r="31" spans="1:11" ht="15.75" x14ac:dyDescent="0.25">
      <c r="A31" s="25">
        <f t="shared" si="16"/>
        <v>6</v>
      </c>
      <c r="B31" s="15" t="s">
        <v>38</v>
      </c>
      <c r="C31" s="20" t="s">
        <v>15</v>
      </c>
      <c r="D31" s="17">
        <v>6720</v>
      </c>
      <c r="E31" s="21">
        <f>174125*0.000121*1.0095</f>
        <v>21.269281687500001</v>
      </c>
      <c r="F31" s="19">
        <f t="shared" si="14"/>
        <v>142929.57</v>
      </c>
      <c r="G31" s="19">
        <f t="shared" si="15"/>
        <v>171515.48</v>
      </c>
      <c r="H31">
        <v>1.3</v>
      </c>
      <c r="I31" s="90">
        <f t="shared" si="5"/>
        <v>27.650066193750003</v>
      </c>
      <c r="J31" s="90">
        <f t="shared" si="6"/>
        <v>185808.44482200002</v>
      </c>
      <c r="K31" s="90">
        <f t="shared" si="2"/>
        <v>222970.13</v>
      </c>
    </row>
    <row r="32" spans="1:11" ht="15.75" x14ac:dyDescent="0.25">
      <c r="A32" s="25">
        <f t="shared" si="16"/>
        <v>7</v>
      </c>
      <c r="B32" s="15" t="s">
        <v>39</v>
      </c>
      <c r="C32" s="20" t="s">
        <v>15</v>
      </c>
      <c r="D32" s="17">
        <v>3360</v>
      </c>
      <c r="E32" s="21">
        <f>192500*0.000682*1.0095</f>
        <v>132.5322075</v>
      </c>
      <c r="F32" s="19">
        <f t="shared" si="14"/>
        <v>445308.22</v>
      </c>
      <c r="G32" s="19">
        <f t="shared" si="15"/>
        <v>534369.86</v>
      </c>
      <c r="H32">
        <v>1.3</v>
      </c>
      <c r="I32" s="90">
        <f t="shared" si="5"/>
        <v>172.29186975000002</v>
      </c>
      <c r="J32" s="90">
        <f t="shared" si="6"/>
        <v>578900.68236000009</v>
      </c>
      <c r="K32" s="90">
        <f t="shared" si="2"/>
        <v>694680.82</v>
      </c>
    </row>
    <row r="33" spans="1:11" ht="15.75" x14ac:dyDescent="0.25">
      <c r="A33" s="25">
        <f t="shared" si="16"/>
        <v>8</v>
      </c>
      <c r="B33" s="15" t="s">
        <v>40</v>
      </c>
      <c r="C33" s="20" t="s">
        <v>15</v>
      </c>
      <c r="D33" s="17">
        <v>3360</v>
      </c>
      <c r="E33" s="21">
        <f>144988*0.000354*1.0095</f>
        <v>51.813346644000006</v>
      </c>
      <c r="F33" s="19">
        <f t="shared" si="14"/>
        <v>174092.84</v>
      </c>
      <c r="G33" s="19">
        <f t="shared" si="15"/>
        <v>208911.41</v>
      </c>
      <c r="H33">
        <v>1.3</v>
      </c>
      <c r="I33" s="90">
        <f t="shared" si="5"/>
        <v>67.357350637200014</v>
      </c>
      <c r="J33" s="90">
        <f t="shared" si="6"/>
        <v>226320.69814099206</v>
      </c>
      <c r="K33" s="90">
        <f t="shared" si="2"/>
        <v>271584.84000000003</v>
      </c>
    </row>
    <row r="34" spans="1:11" ht="15.75" x14ac:dyDescent="0.25">
      <c r="A34" s="25">
        <f t="shared" si="16"/>
        <v>9</v>
      </c>
      <c r="B34" s="15" t="s">
        <v>42</v>
      </c>
      <c r="C34" s="20" t="s">
        <v>15</v>
      </c>
      <c r="D34" s="17">
        <v>3360</v>
      </c>
      <c r="E34" s="21">
        <f>15.75*1.0095</f>
        <v>15.899625</v>
      </c>
      <c r="F34" s="19">
        <f t="shared" si="14"/>
        <v>53422.74</v>
      </c>
      <c r="G34" s="19">
        <f t="shared" si="15"/>
        <v>64107.29</v>
      </c>
      <c r="H34">
        <v>1.3</v>
      </c>
      <c r="I34" s="90">
        <f t="shared" si="5"/>
        <v>20.6695125</v>
      </c>
      <c r="J34" s="90">
        <f t="shared" si="6"/>
        <v>69449.562000000005</v>
      </c>
      <c r="K34" s="90">
        <f t="shared" si="2"/>
        <v>83339.47</v>
      </c>
    </row>
    <row r="35" spans="1:11" ht="15.75" x14ac:dyDescent="0.25">
      <c r="A35" s="25">
        <f t="shared" ref="A35:A42" si="17">A34+1</f>
        <v>10</v>
      </c>
      <c r="B35" s="15" t="s">
        <v>41</v>
      </c>
      <c r="C35" s="20" t="s">
        <v>15</v>
      </c>
      <c r="D35" s="17">
        <v>3360</v>
      </c>
      <c r="E35" s="21">
        <f>8.67*1.0095</f>
        <v>8.7523650000000011</v>
      </c>
      <c r="F35" s="19">
        <f t="shared" si="14"/>
        <v>29407.95</v>
      </c>
      <c r="G35" s="19">
        <f t="shared" si="15"/>
        <v>35289.54</v>
      </c>
      <c r="H35">
        <v>1.3</v>
      </c>
      <c r="I35" s="90">
        <f t="shared" si="5"/>
        <v>11.378074500000002</v>
      </c>
      <c r="J35" s="90">
        <f t="shared" si="6"/>
        <v>38230.330320000008</v>
      </c>
      <c r="K35" s="90">
        <f t="shared" si="2"/>
        <v>45876.4</v>
      </c>
    </row>
    <row r="36" spans="1:11" ht="15.75" x14ac:dyDescent="0.25">
      <c r="A36" s="25">
        <f t="shared" si="17"/>
        <v>11</v>
      </c>
      <c r="B36" s="15" t="s">
        <v>43</v>
      </c>
      <c r="C36" s="20" t="s">
        <v>15</v>
      </c>
      <c r="D36" s="17">
        <v>3360</v>
      </c>
      <c r="E36" s="21">
        <f>138775*0.000696*1.0095</f>
        <v>97.504980300000014</v>
      </c>
      <c r="F36" s="19">
        <f t="shared" si="14"/>
        <v>327616.73</v>
      </c>
      <c r="G36" s="19">
        <f t="shared" si="15"/>
        <v>393140.08</v>
      </c>
      <c r="H36">
        <v>1.3</v>
      </c>
      <c r="I36" s="90">
        <f t="shared" si="5"/>
        <v>126.75647439000002</v>
      </c>
      <c r="J36" s="90">
        <f t="shared" si="6"/>
        <v>425901.7539504001</v>
      </c>
      <c r="K36" s="90">
        <f t="shared" si="2"/>
        <v>511082.1</v>
      </c>
    </row>
    <row r="37" spans="1:11" ht="15.75" x14ac:dyDescent="0.25">
      <c r="A37" s="25">
        <f t="shared" si="17"/>
        <v>12</v>
      </c>
      <c r="B37" s="15" t="s">
        <v>44</v>
      </c>
      <c r="C37" s="20" t="s">
        <v>15</v>
      </c>
      <c r="D37" s="17">
        <v>1680</v>
      </c>
      <c r="E37" s="21">
        <f>43.75*1.0095</f>
        <v>44.165625000000006</v>
      </c>
      <c r="F37" s="19">
        <f t="shared" si="14"/>
        <v>74198.25</v>
      </c>
      <c r="G37" s="19">
        <f t="shared" si="15"/>
        <v>89037.9</v>
      </c>
      <c r="H37">
        <v>1.3</v>
      </c>
      <c r="I37" s="90">
        <f t="shared" si="5"/>
        <v>57.415312500000006</v>
      </c>
      <c r="J37" s="90">
        <f t="shared" si="6"/>
        <v>96457.725000000006</v>
      </c>
      <c r="K37" s="90">
        <f t="shared" si="2"/>
        <v>115749.27</v>
      </c>
    </row>
    <row r="38" spans="1:11" ht="15.75" x14ac:dyDescent="0.25">
      <c r="A38" s="25">
        <f t="shared" si="17"/>
        <v>13</v>
      </c>
      <c r="B38" s="15" t="s">
        <v>45</v>
      </c>
      <c r="C38" s="20" t="s">
        <v>15</v>
      </c>
      <c r="D38" s="17">
        <v>1680</v>
      </c>
      <c r="E38" s="21">
        <f>1575*1.0095</f>
        <v>1589.9625000000001</v>
      </c>
      <c r="F38" s="19">
        <f t="shared" si="14"/>
        <v>2671137</v>
      </c>
      <c r="G38" s="19">
        <f t="shared" si="15"/>
        <v>3205364.4</v>
      </c>
      <c r="H38">
        <v>1.3</v>
      </c>
      <c r="I38" s="90">
        <f t="shared" si="5"/>
        <v>2066.9512500000001</v>
      </c>
      <c r="J38" s="90">
        <f t="shared" si="6"/>
        <v>3472478.1</v>
      </c>
      <c r="K38" s="90">
        <f t="shared" si="2"/>
        <v>4166973.72</v>
      </c>
    </row>
    <row r="39" spans="1:11" ht="15.75" x14ac:dyDescent="0.25">
      <c r="A39" s="25">
        <f t="shared" si="17"/>
        <v>14</v>
      </c>
      <c r="B39" s="15" t="s">
        <v>46</v>
      </c>
      <c r="C39" s="20" t="s">
        <v>15</v>
      </c>
      <c r="D39" s="17">
        <v>1680</v>
      </c>
      <c r="E39" s="21">
        <f>78.75*1.0095</f>
        <v>79.498125000000002</v>
      </c>
      <c r="F39" s="19">
        <f t="shared" si="14"/>
        <v>133556.85</v>
      </c>
      <c r="G39" s="19">
        <f t="shared" si="15"/>
        <v>160268.22</v>
      </c>
      <c r="H39">
        <v>1.3</v>
      </c>
      <c r="I39" s="90">
        <f t="shared" si="5"/>
        <v>103.34756250000001</v>
      </c>
      <c r="J39" s="90">
        <f t="shared" si="6"/>
        <v>173623.90500000003</v>
      </c>
      <c r="K39" s="90">
        <f t="shared" si="2"/>
        <v>208348.69</v>
      </c>
    </row>
    <row r="40" spans="1:11" ht="15.75" x14ac:dyDescent="0.25">
      <c r="A40" s="25">
        <f t="shared" si="17"/>
        <v>15</v>
      </c>
      <c r="B40" s="15" t="s">
        <v>19</v>
      </c>
      <c r="C40" s="20" t="s">
        <v>7</v>
      </c>
      <c r="D40" s="22">
        <f>364.8*1.2</f>
        <v>437.76</v>
      </c>
      <c r="E40" s="21">
        <v>1320</v>
      </c>
      <c r="F40" s="19">
        <f t="shared" si="14"/>
        <v>577843.19999999995</v>
      </c>
      <c r="G40" s="19">
        <f t="shared" si="15"/>
        <v>693411.83999999997</v>
      </c>
      <c r="H40">
        <v>1.3</v>
      </c>
      <c r="I40" s="90">
        <f t="shared" si="5"/>
        <v>1716</v>
      </c>
      <c r="J40" s="90">
        <f t="shared" si="6"/>
        <v>751196.16000000003</v>
      </c>
      <c r="K40" s="90">
        <f t="shared" si="2"/>
        <v>901435.39</v>
      </c>
    </row>
    <row r="41" spans="1:11" x14ac:dyDescent="0.25">
      <c r="A41" s="25">
        <f t="shared" si="17"/>
        <v>16</v>
      </c>
      <c r="B41" s="38" t="s">
        <v>53</v>
      </c>
      <c r="C41" s="37" t="s">
        <v>7</v>
      </c>
      <c r="D41" s="19">
        <f>(574.56+201.12)*1.26</f>
        <v>977.35679999999991</v>
      </c>
      <c r="E41" s="19">
        <f>ROUND(5300/1.2,2)</f>
        <v>4416.67</v>
      </c>
      <c r="F41" s="19">
        <f t="shared" si="14"/>
        <v>4316662.46</v>
      </c>
      <c r="G41" s="19">
        <f t="shared" si="15"/>
        <v>5179994.95</v>
      </c>
      <c r="H41">
        <v>1.3</v>
      </c>
      <c r="I41" s="90">
        <f t="shared" si="5"/>
        <v>5741.6710000000003</v>
      </c>
      <c r="J41" s="90">
        <f t="shared" si="6"/>
        <v>5611661.1952128001</v>
      </c>
      <c r="K41" s="90">
        <f t="shared" si="2"/>
        <v>6733993.4299999997</v>
      </c>
    </row>
    <row r="42" spans="1:11" x14ac:dyDescent="0.25">
      <c r="A42" s="25">
        <f t="shared" si="17"/>
        <v>17</v>
      </c>
      <c r="B42" s="38" t="s">
        <v>30</v>
      </c>
      <c r="C42" s="37" t="s">
        <v>10</v>
      </c>
      <c r="D42" s="39">
        <v>1641.6</v>
      </c>
      <c r="E42" s="19">
        <f>ROUND(184/1.2,2)</f>
        <v>153.33000000000001</v>
      </c>
      <c r="F42" s="19">
        <f t="shared" si="14"/>
        <v>251706.53</v>
      </c>
      <c r="G42" s="19">
        <f t="shared" si="15"/>
        <v>302047.84000000003</v>
      </c>
      <c r="H42">
        <v>1.3</v>
      </c>
      <c r="I42" s="90">
        <f t="shared" si="5"/>
        <v>199.32900000000004</v>
      </c>
      <c r="J42" s="90">
        <f t="shared" si="6"/>
        <v>327218.48640000005</v>
      </c>
      <c r="K42" s="90">
        <f t="shared" si="2"/>
        <v>392662.18</v>
      </c>
    </row>
    <row r="43" spans="1:11" x14ac:dyDescent="0.25">
      <c r="A43" s="6"/>
      <c r="B43" s="145" t="s">
        <v>57</v>
      </c>
      <c r="C43" s="146"/>
      <c r="D43" s="146"/>
      <c r="E43" s="7"/>
      <c r="F43" s="8"/>
      <c r="G43" s="9"/>
      <c r="H43">
        <v>1.3</v>
      </c>
      <c r="I43" s="90">
        <f t="shared" si="5"/>
        <v>0</v>
      </c>
      <c r="J43" s="90">
        <f t="shared" si="6"/>
        <v>0</v>
      </c>
      <c r="K43" s="90">
        <f t="shared" si="2"/>
        <v>0</v>
      </c>
    </row>
    <row r="44" spans="1:11" ht="15.75" x14ac:dyDescent="0.25">
      <c r="A44" s="25">
        <v>1</v>
      </c>
      <c r="B44" s="15" t="s">
        <v>60</v>
      </c>
      <c r="C44" s="20" t="s">
        <v>15</v>
      </c>
      <c r="D44" s="17">
        <v>8</v>
      </c>
      <c r="E44" s="21">
        <f>20781.67*1.0095</f>
        <v>20979.095864999999</v>
      </c>
      <c r="F44" s="19">
        <f t="shared" ref="F44" si="18">ROUND(E44*D44,2)</f>
        <v>167832.77</v>
      </c>
      <c r="G44" s="19">
        <f t="shared" ref="G44" si="19">ROUND(F44*1.2,2)</f>
        <v>201399.32</v>
      </c>
      <c r="H44">
        <v>1.3</v>
      </c>
      <c r="I44" s="90">
        <f t="shared" si="5"/>
        <v>27272.824624500001</v>
      </c>
      <c r="J44" s="90">
        <f t="shared" si="6"/>
        <v>218182.59699600001</v>
      </c>
      <c r="K44" s="90">
        <f t="shared" si="2"/>
        <v>261819.12</v>
      </c>
    </row>
    <row r="45" spans="1:11" ht="15.75" x14ac:dyDescent="0.25">
      <c r="A45" s="25">
        <f>A44+1</f>
        <v>2</v>
      </c>
      <c r="B45" s="15" t="s">
        <v>60</v>
      </c>
      <c r="C45" s="20" t="s">
        <v>15</v>
      </c>
      <c r="D45" s="17">
        <v>8</v>
      </c>
      <c r="E45" s="21">
        <f>20781.67*1.0095</f>
        <v>20979.095864999999</v>
      </c>
      <c r="F45" s="19">
        <f t="shared" si="0"/>
        <v>167832.77</v>
      </c>
      <c r="G45" s="19">
        <f t="shared" si="1"/>
        <v>201399.32</v>
      </c>
      <c r="H45">
        <v>1.3</v>
      </c>
      <c r="I45" s="90">
        <f t="shared" si="5"/>
        <v>27272.824624500001</v>
      </c>
      <c r="J45" s="90">
        <f t="shared" si="6"/>
        <v>218182.59699600001</v>
      </c>
      <c r="K45" s="90">
        <f t="shared" si="2"/>
        <v>261819.12</v>
      </c>
    </row>
    <row r="46" spans="1:11" ht="15.75" x14ac:dyDescent="0.25">
      <c r="A46" s="25">
        <f>A45+1</f>
        <v>3</v>
      </c>
      <c r="B46" s="15" t="s">
        <v>61</v>
      </c>
      <c r="C46" s="20" t="s">
        <v>15</v>
      </c>
      <c r="D46" s="17">
        <v>16</v>
      </c>
      <c r="E46" s="21">
        <f>2887.5*1.0095</f>
        <v>2914.9312500000001</v>
      </c>
      <c r="F46" s="19">
        <f t="shared" si="0"/>
        <v>46638.9</v>
      </c>
      <c r="G46" s="19">
        <f t="shared" si="1"/>
        <v>55966.68</v>
      </c>
      <c r="H46">
        <v>1.3</v>
      </c>
      <c r="I46" s="90">
        <f t="shared" si="5"/>
        <v>3789.4106250000004</v>
      </c>
      <c r="J46" s="90">
        <f t="shared" si="6"/>
        <v>60630.570000000007</v>
      </c>
      <c r="K46" s="90">
        <f t="shared" si="2"/>
        <v>72756.679999999993</v>
      </c>
    </row>
    <row r="47" spans="1:11" ht="15.75" x14ac:dyDescent="0.25">
      <c r="A47" s="25">
        <f t="shared" ref="A47:A52" si="20">A46+1</f>
        <v>4</v>
      </c>
      <c r="B47" s="15" t="s">
        <v>61</v>
      </c>
      <c r="C47" s="20" t="s">
        <v>15</v>
      </c>
      <c r="D47" s="17">
        <v>6</v>
      </c>
      <c r="E47" s="21">
        <f>2887.5*1.0095</f>
        <v>2914.9312500000001</v>
      </c>
      <c r="F47" s="19">
        <f t="shared" si="0"/>
        <v>17489.59</v>
      </c>
      <c r="G47" s="19">
        <f t="shared" si="1"/>
        <v>20987.51</v>
      </c>
      <c r="H47">
        <v>1.3</v>
      </c>
      <c r="I47" s="90">
        <f t="shared" si="5"/>
        <v>3789.4106250000004</v>
      </c>
      <c r="J47" s="90">
        <f t="shared" si="6"/>
        <v>22736.463750000003</v>
      </c>
      <c r="K47" s="90">
        <f t="shared" si="2"/>
        <v>27283.759999999998</v>
      </c>
    </row>
    <row r="48" spans="1:11" ht="15.75" x14ac:dyDescent="0.25">
      <c r="A48" s="25">
        <f t="shared" si="20"/>
        <v>5</v>
      </c>
      <c r="B48" s="15" t="s">
        <v>62</v>
      </c>
      <c r="C48" s="20" t="s">
        <v>15</v>
      </c>
      <c r="D48" s="17">
        <v>16</v>
      </c>
      <c r="E48" s="21">
        <f>5775*1.0095</f>
        <v>5829.8625000000002</v>
      </c>
      <c r="F48" s="19">
        <f t="shared" si="0"/>
        <v>93277.8</v>
      </c>
      <c r="G48" s="19">
        <f t="shared" si="1"/>
        <v>111933.36</v>
      </c>
      <c r="H48">
        <v>1.3</v>
      </c>
      <c r="I48" s="90">
        <f t="shared" si="5"/>
        <v>7578.8212500000009</v>
      </c>
      <c r="J48" s="90">
        <f t="shared" si="6"/>
        <v>121261.14000000001</v>
      </c>
      <c r="K48" s="90">
        <f t="shared" si="2"/>
        <v>145513.37</v>
      </c>
    </row>
    <row r="49" spans="1:11" ht="15.75" x14ac:dyDescent="0.25">
      <c r="A49" s="25">
        <f t="shared" si="20"/>
        <v>6</v>
      </c>
      <c r="B49" s="15" t="s">
        <v>63</v>
      </c>
      <c r="C49" s="20" t="s">
        <v>15</v>
      </c>
      <c r="D49" s="17">
        <v>16</v>
      </c>
      <c r="E49" s="21">
        <f>2625*1.0095</f>
        <v>2649.9375</v>
      </c>
      <c r="F49" s="19">
        <f t="shared" si="0"/>
        <v>42399</v>
      </c>
      <c r="G49" s="19">
        <f t="shared" si="1"/>
        <v>50878.8</v>
      </c>
      <c r="H49">
        <v>1.3</v>
      </c>
      <c r="I49" s="90">
        <f t="shared" si="5"/>
        <v>3444.9187500000003</v>
      </c>
      <c r="J49" s="90">
        <f t="shared" si="6"/>
        <v>55118.700000000004</v>
      </c>
      <c r="K49" s="90">
        <f t="shared" si="2"/>
        <v>66142.44</v>
      </c>
    </row>
    <row r="50" spans="1:11" ht="15.75" x14ac:dyDescent="0.25">
      <c r="A50" s="25">
        <f t="shared" si="20"/>
        <v>7</v>
      </c>
      <c r="B50" s="15" t="s">
        <v>64</v>
      </c>
      <c r="C50" s="20" t="s">
        <v>15</v>
      </c>
      <c r="D50" s="17">
        <v>16</v>
      </c>
      <c r="E50" s="21">
        <f>30.63*1.0095</f>
        <v>30.920985000000002</v>
      </c>
      <c r="F50" s="19">
        <f t="shared" ref="F50:F52" si="21">ROUND(E50*D50,2)</f>
        <v>494.74</v>
      </c>
      <c r="G50" s="19">
        <f t="shared" ref="G50:G52" si="22">ROUND(F50*1.2,2)</f>
        <v>593.69000000000005</v>
      </c>
      <c r="H50">
        <v>1.3</v>
      </c>
      <c r="I50" s="90">
        <f t="shared" si="5"/>
        <v>40.197280500000005</v>
      </c>
      <c r="J50" s="90">
        <f t="shared" si="6"/>
        <v>643.15648800000008</v>
      </c>
      <c r="K50" s="90">
        <f t="shared" si="2"/>
        <v>771.79</v>
      </c>
    </row>
    <row r="51" spans="1:11" ht="15.75" x14ac:dyDescent="0.25">
      <c r="A51" s="25">
        <f t="shared" si="20"/>
        <v>8</v>
      </c>
      <c r="B51" s="15" t="s">
        <v>65</v>
      </c>
      <c r="C51" s="20" t="s">
        <v>15</v>
      </c>
      <c r="D51" s="17">
        <v>8</v>
      </c>
      <c r="E51" s="21">
        <f>43.75*1.0095</f>
        <v>44.165625000000006</v>
      </c>
      <c r="F51" s="19">
        <f t="shared" si="21"/>
        <v>353.33</v>
      </c>
      <c r="G51" s="19">
        <f t="shared" si="22"/>
        <v>424</v>
      </c>
      <c r="H51">
        <v>1.3</v>
      </c>
      <c r="I51" s="90">
        <f t="shared" si="5"/>
        <v>57.415312500000006</v>
      </c>
      <c r="J51" s="90">
        <f t="shared" si="6"/>
        <v>459.32250000000005</v>
      </c>
      <c r="K51" s="90">
        <f t="shared" si="2"/>
        <v>551.19000000000005</v>
      </c>
    </row>
    <row r="52" spans="1:11" ht="15.75" x14ac:dyDescent="0.25">
      <c r="A52" s="25">
        <f t="shared" si="20"/>
        <v>9</v>
      </c>
      <c r="B52" s="15" t="s">
        <v>66</v>
      </c>
      <c r="C52" s="20" t="s">
        <v>15</v>
      </c>
      <c r="D52" s="17">
        <v>8</v>
      </c>
      <c r="E52" s="21">
        <f>1312.5*1.0095</f>
        <v>1324.96875</v>
      </c>
      <c r="F52" s="19">
        <f t="shared" si="21"/>
        <v>10599.75</v>
      </c>
      <c r="G52" s="19">
        <f t="shared" si="22"/>
        <v>12719.7</v>
      </c>
      <c r="H52">
        <v>1.3</v>
      </c>
      <c r="I52" s="90">
        <f t="shared" si="5"/>
        <v>1722.4593750000001</v>
      </c>
      <c r="J52" s="90">
        <f t="shared" si="6"/>
        <v>13779.675000000001</v>
      </c>
      <c r="K52" s="90">
        <f t="shared" si="2"/>
        <v>16535.61</v>
      </c>
    </row>
    <row r="53" spans="1:11" ht="20.25" customHeight="1" x14ac:dyDescent="0.25">
      <c r="A53" s="6"/>
      <c r="B53" s="145" t="s">
        <v>69</v>
      </c>
      <c r="C53" s="146"/>
      <c r="D53" s="146"/>
      <c r="E53" s="7"/>
      <c r="F53" s="8"/>
      <c r="G53" s="9"/>
      <c r="H53">
        <v>1.3</v>
      </c>
      <c r="I53" s="90">
        <f t="shared" si="5"/>
        <v>0</v>
      </c>
      <c r="J53" s="90">
        <f t="shared" si="6"/>
        <v>0</v>
      </c>
      <c r="K53" s="90">
        <f t="shared" si="2"/>
        <v>0</v>
      </c>
    </row>
    <row r="54" spans="1:11" ht="20.25" customHeight="1" x14ac:dyDescent="0.25">
      <c r="A54" s="25">
        <v>1</v>
      </c>
      <c r="B54" s="24" t="s">
        <v>82</v>
      </c>
      <c r="C54" s="20" t="s">
        <v>15</v>
      </c>
      <c r="D54" s="28">
        <v>3</v>
      </c>
      <c r="E54" s="27">
        <v>150000</v>
      </c>
      <c r="F54" s="27">
        <f t="shared" ref="F54:F56" si="23">ROUND(E54*D54,2)</f>
        <v>450000</v>
      </c>
      <c r="G54" s="27">
        <f t="shared" ref="G54:G56" si="24">ROUND(F54*1.2,2)</f>
        <v>540000</v>
      </c>
      <c r="H54">
        <v>1.3</v>
      </c>
      <c r="I54" s="90">
        <f t="shared" si="5"/>
        <v>195000</v>
      </c>
      <c r="J54" s="90">
        <f t="shared" si="6"/>
        <v>585000</v>
      </c>
      <c r="K54" s="90">
        <f t="shared" si="2"/>
        <v>702000</v>
      </c>
    </row>
    <row r="55" spans="1:11" ht="15.75" x14ac:dyDescent="0.25">
      <c r="A55" s="25">
        <f t="shared" ref="A55" si="25">A54+1</f>
        <v>2</v>
      </c>
      <c r="B55" s="15" t="s">
        <v>19</v>
      </c>
      <c r="C55" s="20" t="s">
        <v>7</v>
      </c>
      <c r="D55" s="22">
        <f>1.44*1.2</f>
        <v>1.728</v>
      </c>
      <c r="E55" s="21">
        <v>1320</v>
      </c>
      <c r="F55" s="19">
        <f t="shared" si="23"/>
        <v>2280.96</v>
      </c>
      <c r="G55" s="19">
        <f t="shared" si="24"/>
        <v>2737.15</v>
      </c>
      <c r="H55">
        <v>1.3</v>
      </c>
      <c r="I55" s="90">
        <f t="shared" si="5"/>
        <v>1716</v>
      </c>
      <c r="J55" s="90">
        <f t="shared" si="6"/>
        <v>2965.248</v>
      </c>
      <c r="K55" s="90">
        <f t="shared" si="2"/>
        <v>3558.3</v>
      </c>
    </row>
    <row r="56" spans="1:11" s="36" customFormat="1" ht="15.75" x14ac:dyDescent="0.25">
      <c r="A56" s="25">
        <v>3</v>
      </c>
      <c r="B56" s="24" t="s">
        <v>114</v>
      </c>
      <c r="C56" s="25" t="s">
        <v>115</v>
      </c>
      <c r="D56" s="28">
        <v>1</v>
      </c>
      <c r="E56" s="50">
        <v>86000</v>
      </c>
      <c r="F56" s="27">
        <f t="shared" si="23"/>
        <v>86000</v>
      </c>
      <c r="G56" s="27">
        <f t="shared" si="24"/>
        <v>103200</v>
      </c>
      <c r="H56">
        <v>1.3</v>
      </c>
      <c r="I56" s="90">
        <f t="shared" si="5"/>
        <v>111800</v>
      </c>
      <c r="J56" s="90">
        <f t="shared" si="6"/>
        <v>111800</v>
      </c>
      <c r="K56" s="90">
        <f t="shared" si="2"/>
        <v>134160</v>
      </c>
    </row>
    <row r="57" spans="1:11" ht="20.25" customHeight="1" x14ac:dyDescent="0.25">
      <c r="A57" s="6"/>
      <c r="B57" s="145" t="s">
        <v>75</v>
      </c>
      <c r="C57" s="146"/>
      <c r="D57" s="146"/>
      <c r="E57" s="7"/>
      <c r="F57" s="8"/>
      <c r="G57" s="9"/>
      <c r="H57">
        <v>1.3</v>
      </c>
      <c r="I57" s="90">
        <f t="shared" si="5"/>
        <v>0</v>
      </c>
      <c r="J57" s="90">
        <f t="shared" si="6"/>
        <v>0</v>
      </c>
      <c r="K57" s="90">
        <f t="shared" si="2"/>
        <v>0</v>
      </c>
    </row>
    <row r="58" spans="1:11" ht="20.25" customHeight="1" x14ac:dyDescent="0.25">
      <c r="A58" s="25">
        <v>1</v>
      </c>
      <c r="B58" s="24" t="s">
        <v>84</v>
      </c>
      <c r="C58" s="25" t="s">
        <v>15</v>
      </c>
      <c r="D58" s="28">
        <v>1</v>
      </c>
      <c r="E58" s="27">
        <v>6745</v>
      </c>
      <c r="F58" s="27">
        <f t="shared" ref="F58:F67" si="26">ROUND(E58*D58,2)</f>
        <v>6745</v>
      </c>
      <c r="G58" s="27">
        <f t="shared" ref="G58:G67" si="27">ROUND(F58*1.2,2)</f>
        <v>8094</v>
      </c>
      <c r="H58">
        <v>1.3</v>
      </c>
      <c r="I58" s="90">
        <f t="shared" si="5"/>
        <v>8768.5</v>
      </c>
      <c r="J58" s="90">
        <f t="shared" si="6"/>
        <v>8768.5</v>
      </c>
      <c r="K58" s="90">
        <f t="shared" si="2"/>
        <v>10522.2</v>
      </c>
    </row>
    <row r="59" spans="1:11" ht="20.25" customHeight="1" x14ac:dyDescent="0.25">
      <c r="A59" s="25">
        <f>A58+1</f>
        <v>2</v>
      </c>
      <c r="B59" s="24" t="s">
        <v>85</v>
      </c>
      <c r="C59" s="25" t="s">
        <v>15</v>
      </c>
      <c r="D59" s="28">
        <v>1</v>
      </c>
      <c r="E59" s="27">
        <v>6503</v>
      </c>
      <c r="F59" s="27">
        <f t="shared" si="26"/>
        <v>6503</v>
      </c>
      <c r="G59" s="27">
        <f t="shared" si="27"/>
        <v>7803.6</v>
      </c>
      <c r="H59">
        <v>1.3</v>
      </c>
      <c r="I59" s="90">
        <f t="shared" si="5"/>
        <v>8453.9</v>
      </c>
      <c r="J59" s="90">
        <f t="shared" si="6"/>
        <v>8453.9</v>
      </c>
      <c r="K59" s="90">
        <f t="shared" si="2"/>
        <v>10144.68</v>
      </c>
    </row>
    <row r="60" spans="1:11" ht="20.25" customHeight="1" x14ac:dyDescent="0.25">
      <c r="A60" s="25">
        <f>A59+1</f>
        <v>3</v>
      </c>
      <c r="B60" s="24" t="s">
        <v>86</v>
      </c>
      <c r="C60" s="25" t="s">
        <v>15</v>
      </c>
      <c r="D60" s="28">
        <v>2</v>
      </c>
      <c r="E60" s="27">
        <v>7632</v>
      </c>
      <c r="F60" s="27">
        <f t="shared" si="26"/>
        <v>15264</v>
      </c>
      <c r="G60" s="27">
        <f t="shared" si="27"/>
        <v>18316.8</v>
      </c>
      <c r="H60">
        <v>1.3</v>
      </c>
      <c r="I60" s="90">
        <f t="shared" si="5"/>
        <v>9921.6</v>
      </c>
      <c r="J60" s="90">
        <f t="shared" si="6"/>
        <v>19843.2</v>
      </c>
      <c r="K60" s="90">
        <f t="shared" si="2"/>
        <v>23811.84</v>
      </c>
    </row>
    <row r="61" spans="1:11" ht="20.25" customHeight="1" x14ac:dyDescent="0.25">
      <c r="A61" s="25">
        <f t="shared" ref="A61:A62" si="28">A60+1</f>
        <v>4</v>
      </c>
      <c r="B61" s="24" t="s">
        <v>87</v>
      </c>
      <c r="C61" s="25" t="s">
        <v>15</v>
      </c>
      <c r="D61" s="48" t="s">
        <v>88</v>
      </c>
      <c r="E61" s="27">
        <v>3791</v>
      </c>
      <c r="F61" s="27">
        <f t="shared" si="26"/>
        <v>3791</v>
      </c>
      <c r="G61" s="27">
        <f t="shared" si="27"/>
        <v>4549.2</v>
      </c>
      <c r="H61">
        <v>1.3</v>
      </c>
      <c r="I61" s="90">
        <f t="shared" si="5"/>
        <v>4928.3</v>
      </c>
      <c r="J61" s="90">
        <f t="shared" si="6"/>
        <v>4928.3</v>
      </c>
      <c r="K61" s="90">
        <f t="shared" si="2"/>
        <v>5913.96</v>
      </c>
    </row>
    <row r="62" spans="1:11" ht="20.25" customHeight="1" x14ac:dyDescent="0.25">
      <c r="A62" s="25">
        <f t="shared" si="28"/>
        <v>5</v>
      </c>
      <c r="B62" s="24" t="s">
        <v>89</v>
      </c>
      <c r="C62" s="25" t="s">
        <v>15</v>
      </c>
      <c r="D62" s="48" t="s">
        <v>88</v>
      </c>
      <c r="E62" s="27">
        <v>4452</v>
      </c>
      <c r="F62" s="27">
        <f t="shared" si="26"/>
        <v>4452</v>
      </c>
      <c r="G62" s="27">
        <f t="shared" si="27"/>
        <v>5342.4</v>
      </c>
      <c r="H62">
        <v>1.3</v>
      </c>
      <c r="I62" s="90">
        <f t="shared" si="5"/>
        <v>5787.6</v>
      </c>
      <c r="J62" s="90">
        <f t="shared" si="6"/>
        <v>5787.6</v>
      </c>
      <c r="K62" s="90">
        <f t="shared" si="2"/>
        <v>6945.12</v>
      </c>
    </row>
    <row r="63" spans="1:11" ht="20.25" customHeight="1" x14ac:dyDescent="0.25">
      <c r="A63" s="25">
        <f t="shared" ref="A63:A70" si="29">A62+1</f>
        <v>6</v>
      </c>
      <c r="B63" s="24" t="s">
        <v>90</v>
      </c>
      <c r="C63" s="25" t="s">
        <v>15</v>
      </c>
      <c r="D63" s="48" t="s">
        <v>88</v>
      </c>
      <c r="E63" s="27">
        <v>15180.000000000002</v>
      </c>
      <c r="F63" s="27">
        <f t="shared" si="26"/>
        <v>15180</v>
      </c>
      <c r="G63" s="27">
        <f t="shared" si="27"/>
        <v>18216</v>
      </c>
      <c r="H63">
        <v>1.3</v>
      </c>
      <c r="I63" s="90">
        <f t="shared" si="5"/>
        <v>19734.000000000004</v>
      </c>
      <c r="J63" s="90">
        <f t="shared" si="6"/>
        <v>19734.000000000004</v>
      </c>
      <c r="K63" s="90">
        <f t="shared" si="2"/>
        <v>23680.799999999999</v>
      </c>
    </row>
    <row r="64" spans="1:11" s="36" customFormat="1" ht="45.75" customHeight="1" x14ac:dyDescent="0.25">
      <c r="A64" s="25">
        <f t="shared" si="29"/>
        <v>7</v>
      </c>
      <c r="B64" s="24" t="s">
        <v>91</v>
      </c>
      <c r="C64" s="25" t="s">
        <v>15</v>
      </c>
      <c r="D64" s="48" t="s">
        <v>99</v>
      </c>
      <c r="E64" s="27">
        <v>14313</v>
      </c>
      <c r="F64" s="27">
        <f t="shared" si="26"/>
        <v>28626</v>
      </c>
      <c r="G64" s="27">
        <f t="shared" si="27"/>
        <v>34351.199999999997</v>
      </c>
      <c r="H64">
        <v>1.3</v>
      </c>
      <c r="I64" s="90">
        <f t="shared" si="5"/>
        <v>18606.900000000001</v>
      </c>
      <c r="J64" s="90">
        <f t="shared" si="6"/>
        <v>37213.800000000003</v>
      </c>
      <c r="K64" s="90">
        <f t="shared" si="2"/>
        <v>44656.56</v>
      </c>
    </row>
    <row r="65" spans="1:11" ht="27.75" customHeight="1" x14ac:dyDescent="0.25">
      <c r="A65" s="25">
        <f t="shared" si="29"/>
        <v>8</v>
      </c>
      <c r="B65" s="24" t="s">
        <v>92</v>
      </c>
      <c r="C65" s="25" t="s">
        <v>93</v>
      </c>
      <c r="D65" s="48" t="s">
        <v>94</v>
      </c>
      <c r="E65" s="27">
        <v>702</v>
      </c>
      <c r="F65" s="27">
        <f t="shared" si="26"/>
        <v>11372.4</v>
      </c>
      <c r="G65" s="27">
        <f t="shared" si="27"/>
        <v>13646.88</v>
      </c>
      <c r="H65">
        <v>1.3</v>
      </c>
      <c r="I65" s="90">
        <f t="shared" si="5"/>
        <v>912.6</v>
      </c>
      <c r="J65" s="90">
        <f t="shared" si="6"/>
        <v>14784.119999999999</v>
      </c>
      <c r="K65" s="90">
        <f t="shared" si="2"/>
        <v>17740.939999999999</v>
      </c>
    </row>
    <row r="66" spans="1:11" ht="20.25" customHeight="1" x14ac:dyDescent="0.25">
      <c r="A66" s="25">
        <f t="shared" si="29"/>
        <v>9</v>
      </c>
      <c r="B66" s="24" t="s">
        <v>95</v>
      </c>
      <c r="C66" s="25" t="s">
        <v>96</v>
      </c>
      <c r="D66" s="49">
        <f>6.38*20/16</f>
        <v>7.9749999999999996</v>
      </c>
      <c r="E66" s="27">
        <v>250</v>
      </c>
      <c r="F66" s="27">
        <f t="shared" si="26"/>
        <v>1993.75</v>
      </c>
      <c r="G66" s="27">
        <f t="shared" si="27"/>
        <v>2392.5</v>
      </c>
      <c r="H66">
        <v>1.3</v>
      </c>
      <c r="I66" s="90">
        <f t="shared" si="5"/>
        <v>325</v>
      </c>
      <c r="J66" s="90">
        <f t="shared" si="6"/>
        <v>2591.875</v>
      </c>
      <c r="K66" s="90">
        <f t="shared" si="2"/>
        <v>3110.25</v>
      </c>
    </row>
    <row r="67" spans="1:11" ht="20.25" customHeight="1" x14ac:dyDescent="0.25">
      <c r="A67" s="25">
        <f t="shared" si="29"/>
        <v>10</v>
      </c>
      <c r="B67" s="24" t="s">
        <v>97</v>
      </c>
      <c r="C67" s="25" t="s">
        <v>93</v>
      </c>
      <c r="D67" s="48" t="s">
        <v>98</v>
      </c>
      <c r="E67" s="27">
        <v>312</v>
      </c>
      <c r="F67" s="27">
        <f t="shared" si="26"/>
        <v>11366.16</v>
      </c>
      <c r="G67" s="27">
        <f t="shared" si="27"/>
        <v>13639.39</v>
      </c>
      <c r="H67">
        <v>1.3</v>
      </c>
      <c r="I67" s="90">
        <f t="shared" si="5"/>
        <v>405.6</v>
      </c>
      <c r="J67" s="90">
        <f t="shared" si="6"/>
        <v>14776.008</v>
      </c>
      <c r="K67" s="90">
        <f t="shared" si="2"/>
        <v>17731.21</v>
      </c>
    </row>
    <row r="68" spans="1:11" ht="20.25" customHeight="1" x14ac:dyDescent="0.25">
      <c r="A68" s="25">
        <f t="shared" si="29"/>
        <v>11</v>
      </c>
      <c r="B68" s="24" t="s">
        <v>76</v>
      </c>
      <c r="C68" s="29" t="s">
        <v>13</v>
      </c>
      <c r="D68" s="28">
        <v>19</v>
      </c>
      <c r="E68" s="27">
        <v>16220</v>
      </c>
      <c r="F68" s="27">
        <f t="shared" ref="F68:F70" si="30">ROUND(E68*D68,2)</f>
        <v>308180</v>
      </c>
      <c r="G68" s="27">
        <f t="shared" ref="G68:G70" si="31">ROUND(F68*1.2,2)</f>
        <v>369816</v>
      </c>
      <c r="H68">
        <v>1.3</v>
      </c>
      <c r="I68" s="90">
        <f t="shared" si="5"/>
        <v>21086</v>
      </c>
      <c r="J68" s="90">
        <f t="shared" si="6"/>
        <v>400634</v>
      </c>
      <c r="K68" s="90">
        <f t="shared" si="2"/>
        <v>480760.8</v>
      </c>
    </row>
    <row r="69" spans="1:11" ht="20.25" customHeight="1" x14ac:dyDescent="0.25">
      <c r="A69" s="25">
        <f t="shared" si="29"/>
        <v>12</v>
      </c>
      <c r="B69" s="24" t="s">
        <v>77</v>
      </c>
      <c r="C69" s="29" t="s">
        <v>13</v>
      </c>
      <c r="D69" s="28">
        <v>19</v>
      </c>
      <c r="E69" s="27">
        <v>4674</v>
      </c>
      <c r="F69" s="27">
        <f t="shared" si="30"/>
        <v>88806</v>
      </c>
      <c r="G69" s="27">
        <f t="shared" si="31"/>
        <v>106567.2</v>
      </c>
      <c r="H69">
        <v>1.3</v>
      </c>
      <c r="I69" s="90">
        <f t="shared" si="5"/>
        <v>6076.2</v>
      </c>
      <c r="J69" s="90">
        <f t="shared" si="6"/>
        <v>115447.8</v>
      </c>
      <c r="K69" s="90">
        <f t="shared" si="2"/>
        <v>138537.35999999999</v>
      </c>
    </row>
    <row r="70" spans="1:11" ht="15.75" x14ac:dyDescent="0.25">
      <c r="A70" s="25">
        <f t="shared" si="29"/>
        <v>13</v>
      </c>
      <c r="B70" s="15" t="s">
        <v>19</v>
      </c>
      <c r="C70" s="20" t="s">
        <v>7</v>
      </c>
      <c r="D70" s="22">
        <f>7.02*1.2</f>
        <v>8.4239999999999995</v>
      </c>
      <c r="E70" s="21">
        <v>1320</v>
      </c>
      <c r="F70" s="19">
        <f t="shared" si="30"/>
        <v>11119.68</v>
      </c>
      <c r="G70" s="19">
        <f t="shared" si="31"/>
        <v>13343.62</v>
      </c>
      <c r="H70">
        <v>1.3</v>
      </c>
      <c r="I70" s="90">
        <f t="shared" si="5"/>
        <v>1716</v>
      </c>
      <c r="J70" s="90">
        <f t="shared" si="6"/>
        <v>14455.583999999999</v>
      </c>
      <c r="K70" s="90">
        <f t="shared" si="2"/>
        <v>17346.7</v>
      </c>
    </row>
    <row r="71" spans="1:11" ht="22.5" customHeight="1" x14ac:dyDescent="0.25">
      <c r="A71" s="155" t="s">
        <v>22</v>
      </c>
      <c r="B71" s="155"/>
      <c r="C71" s="155"/>
      <c r="D71" s="155"/>
      <c r="E71" s="155"/>
      <c r="F71" s="34">
        <f>SUM(F6:F70)</f>
        <v>24878194.499999996</v>
      </c>
      <c r="G71" s="34">
        <f>SUM(G6:G70)</f>
        <v>29853833.389999989</v>
      </c>
      <c r="I71" s="87"/>
      <c r="J71" s="34">
        <f>SUM(J6:J70)</f>
        <v>32341652.830068205</v>
      </c>
      <c r="K71" s="34">
        <f>SUM(K6:K70)</f>
        <v>38809983.399999984</v>
      </c>
    </row>
  </sheetData>
  <mergeCells count="12">
    <mergeCell ref="I1:K2"/>
    <mergeCell ref="A71:E71"/>
    <mergeCell ref="B25:D25"/>
    <mergeCell ref="B43:D43"/>
    <mergeCell ref="A1:A3"/>
    <mergeCell ref="B1:B3"/>
    <mergeCell ref="C1:C3"/>
    <mergeCell ref="D1:D3"/>
    <mergeCell ref="E1:G2"/>
    <mergeCell ref="B5:D5"/>
    <mergeCell ref="B57:D57"/>
    <mergeCell ref="B53:D5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Layout" zoomScaleNormal="100" workbookViewId="0">
      <selection activeCell="B14" sqref="B14"/>
    </sheetView>
  </sheetViews>
  <sheetFormatPr defaultRowHeight="15" x14ac:dyDescent="0.25"/>
  <cols>
    <col min="1" max="1" width="6.5703125" customWidth="1"/>
    <col min="2" max="2" width="30.7109375" customWidth="1"/>
    <col min="3" max="3" width="16.5703125" bestFit="1" customWidth="1"/>
    <col min="4" max="5" width="14.5703125" bestFit="1" customWidth="1"/>
  </cols>
  <sheetData>
    <row r="1" spans="1:5" x14ac:dyDescent="0.25">
      <c r="C1" s="133" t="s">
        <v>131</v>
      </c>
      <c r="D1" s="134"/>
      <c r="E1" s="134"/>
    </row>
    <row r="2" spans="1:5" x14ac:dyDescent="0.25">
      <c r="C2" s="133"/>
      <c r="D2" s="134"/>
      <c r="E2" s="134"/>
    </row>
    <row r="3" spans="1:5" x14ac:dyDescent="0.25">
      <c r="A3" s="136" t="s">
        <v>0</v>
      </c>
      <c r="B3" s="136" t="s">
        <v>119</v>
      </c>
      <c r="C3" s="135" t="s">
        <v>121</v>
      </c>
      <c r="D3" s="135"/>
      <c r="E3" s="135"/>
    </row>
    <row r="4" spans="1:5" ht="28.5" x14ac:dyDescent="0.25">
      <c r="A4" s="136"/>
      <c r="B4" s="136"/>
      <c r="C4" s="92" t="s">
        <v>122</v>
      </c>
      <c r="D4" s="92" t="s">
        <v>123</v>
      </c>
      <c r="E4" s="92" t="s">
        <v>124</v>
      </c>
    </row>
    <row r="5" spans="1:5" x14ac:dyDescent="0.25">
      <c r="A5" s="37">
        <v>1</v>
      </c>
      <c r="B5" s="57" t="s">
        <v>126</v>
      </c>
      <c r="C5" s="94">
        <f>Свод!I5</f>
        <v>28895319.459999993</v>
      </c>
      <c r="D5" s="95">
        <f>Свод!J5</f>
        <v>38809983.399999984</v>
      </c>
      <c r="E5" s="93">
        <f>C5+D5</f>
        <v>67705302.859999985</v>
      </c>
    </row>
    <row r="6" spans="1:5" x14ac:dyDescent="0.25">
      <c r="A6" s="37">
        <v>2</v>
      </c>
      <c r="B6" s="57" t="s">
        <v>67</v>
      </c>
      <c r="C6" s="94"/>
      <c r="D6" s="96"/>
      <c r="E6" s="93">
        <f>Свод!K6</f>
        <v>3801571.2</v>
      </c>
    </row>
    <row r="7" spans="1:5" x14ac:dyDescent="0.25">
      <c r="A7" s="65"/>
      <c r="B7" s="66" t="s">
        <v>125</v>
      </c>
      <c r="C7" s="68">
        <f>SUM(C5:C5)</f>
        <v>28895319.459999993</v>
      </c>
      <c r="D7" s="68">
        <f>SUM(D5:D5)</f>
        <v>38809983.399999984</v>
      </c>
      <c r="E7" s="68">
        <f>SUM(E5:E6)</f>
        <v>71506874.059999987</v>
      </c>
    </row>
  </sheetData>
  <mergeCells count="4">
    <mergeCell ref="A3:A4"/>
    <mergeCell ref="B3:B4"/>
    <mergeCell ref="C1:E2"/>
    <mergeCell ref="C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C17" sqref="C17:D17"/>
    </sheetView>
  </sheetViews>
  <sheetFormatPr defaultColWidth="8.85546875" defaultRowHeight="15" x14ac:dyDescent="0.25"/>
  <cols>
    <col min="1" max="1" width="11.7109375" style="52" bestFit="1" customWidth="1"/>
    <col min="2" max="2" width="65.140625" style="52" customWidth="1"/>
    <col min="3" max="3" width="9.28515625" style="52" customWidth="1"/>
    <col min="4" max="4" width="8.85546875" style="52"/>
    <col min="5" max="5" width="14.28515625" style="52" bestFit="1" customWidth="1"/>
    <col min="6" max="6" width="15.28515625" style="52" bestFit="1" customWidth="1"/>
    <col min="7" max="7" width="15.85546875" style="52" bestFit="1" customWidth="1"/>
    <col min="8" max="16384" width="8.85546875" style="52"/>
  </cols>
  <sheetData>
    <row r="1" spans="1:7" x14ac:dyDescent="0.25">
      <c r="A1" s="147" t="s">
        <v>0</v>
      </c>
      <c r="B1" s="150" t="s">
        <v>135</v>
      </c>
      <c r="C1" s="153" t="s">
        <v>2</v>
      </c>
      <c r="D1" s="153" t="s">
        <v>3</v>
      </c>
      <c r="E1" s="156" t="s">
        <v>131</v>
      </c>
      <c r="F1" s="156"/>
      <c r="G1" s="156"/>
    </row>
    <row r="2" spans="1:7" x14ac:dyDescent="0.25">
      <c r="A2" s="148"/>
      <c r="B2" s="151"/>
      <c r="C2" s="153"/>
      <c r="D2" s="153"/>
      <c r="E2" s="156"/>
      <c r="F2" s="156"/>
      <c r="G2" s="156"/>
    </row>
    <row r="3" spans="1:7" ht="42.75" x14ac:dyDescent="0.25">
      <c r="A3" s="149"/>
      <c r="B3" s="152"/>
      <c r="C3" s="153"/>
      <c r="D3" s="153"/>
      <c r="E3" s="2" t="s">
        <v>4</v>
      </c>
      <c r="F3" s="2" t="s">
        <v>5</v>
      </c>
      <c r="G3" s="102" t="s">
        <v>6</v>
      </c>
    </row>
    <row r="4" spans="1:7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x14ac:dyDescent="0.25">
      <c r="A5" s="6"/>
      <c r="B5" s="145" t="s">
        <v>23</v>
      </c>
      <c r="C5" s="146"/>
      <c r="D5" s="146"/>
      <c r="E5" s="100"/>
      <c r="F5" s="100"/>
      <c r="G5" s="100"/>
    </row>
    <row r="6" spans="1:7" x14ac:dyDescent="0.25">
      <c r="A6" s="10"/>
      <c r="B6" s="11" t="s">
        <v>14</v>
      </c>
      <c r="C6" s="12"/>
      <c r="D6" s="12"/>
      <c r="E6" s="100"/>
      <c r="F6" s="100"/>
      <c r="G6" s="100"/>
    </row>
    <row r="7" spans="1:7" x14ac:dyDescent="0.25">
      <c r="A7" s="25">
        <v>1</v>
      </c>
      <c r="B7" s="15" t="s">
        <v>47</v>
      </c>
      <c r="C7" s="20" t="s">
        <v>7</v>
      </c>
      <c r="D7" s="22">
        <f>164.16-16.4</f>
        <v>147.76</v>
      </c>
      <c r="E7" s="100">
        <f>'СМР '!I7</f>
        <v>882</v>
      </c>
      <c r="F7" s="100">
        <f>'СМР '!J7</f>
        <v>130324.31999999999</v>
      </c>
      <c r="G7" s="100">
        <f t="shared" ref="G7:G71" si="0">ROUND(F7*1.2,2)</f>
        <v>156389.18</v>
      </c>
    </row>
    <row r="8" spans="1:7" x14ac:dyDescent="0.25">
      <c r="A8" s="25">
        <f>A7+1</f>
        <v>2</v>
      </c>
      <c r="B8" s="15" t="s">
        <v>8</v>
      </c>
      <c r="C8" s="16" t="s">
        <v>7</v>
      </c>
      <c r="D8" s="22">
        <v>16.399999999999999</v>
      </c>
      <c r="E8" s="100">
        <f>'СМР '!I8</f>
        <v>2487.7999999999997</v>
      </c>
      <c r="F8" s="100">
        <f>'СМР '!J8</f>
        <v>40799.919999999991</v>
      </c>
      <c r="G8" s="100">
        <f t="shared" si="0"/>
        <v>48959.9</v>
      </c>
    </row>
    <row r="9" spans="1:7" x14ac:dyDescent="0.25">
      <c r="A9" s="25">
        <f t="shared" ref="A9:A20" si="1">A8+1</f>
        <v>3</v>
      </c>
      <c r="B9" s="15" t="s">
        <v>9</v>
      </c>
      <c r="C9" s="20" t="s">
        <v>7</v>
      </c>
      <c r="D9" s="22">
        <v>164.16</v>
      </c>
      <c r="E9" s="100">
        <f>'СМР '!I9</f>
        <v>70</v>
      </c>
      <c r="F9" s="100">
        <f>'СМР '!J9</f>
        <v>11491.199999999999</v>
      </c>
      <c r="G9" s="100">
        <f t="shared" si="0"/>
        <v>13789.44</v>
      </c>
    </row>
    <row r="10" spans="1:7" x14ac:dyDescent="0.25">
      <c r="A10" s="25">
        <f t="shared" si="1"/>
        <v>4</v>
      </c>
      <c r="B10" s="15" t="s">
        <v>24</v>
      </c>
      <c r="C10" s="20" t="s">
        <v>10</v>
      </c>
      <c r="D10" s="22">
        <f>228*0.8</f>
        <v>182.4</v>
      </c>
      <c r="E10" s="100">
        <f>'СМР '!I10</f>
        <v>1258.5999999999999</v>
      </c>
      <c r="F10" s="100">
        <f>'СМР '!J10</f>
        <v>229568.63999999998</v>
      </c>
      <c r="G10" s="100">
        <f t="shared" si="0"/>
        <v>275482.37</v>
      </c>
    </row>
    <row r="11" spans="1:7" x14ac:dyDescent="0.25">
      <c r="A11" s="25">
        <f t="shared" si="1"/>
        <v>5</v>
      </c>
      <c r="B11" s="15" t="s">
        <v>25</v>
      </c>
      <c r="C11" s="20" t="s">
        <v>7</v>
      </c>
      <c r="D11" s="22">
        <f>228*0.8*0.1</f>
        <v>18.240000000000002</v>
      </c>
      <c r="E11" s="100">
        <f>'СМР '!I11</f>
        <v>284.2</v>
      </c>
      <c r="F11" s="100">
        <f>'СМР '!J11</f>
        <v>5183.808</v>
      </c>
      <c r="G11" s="100">
        <f t="shared" si="0"/>
        <v>6220.57</v>
      </c>
    </row>
    <row r="12" spans="1:7" x14ac:dyDescent="0.25">
      <c r="A12" s="25">
        <f t="shared" si="1"/>
        <v>6</v>
      </c>
      <c r="B12" s="15" t="s">
        <v>12</v>
      </c>
      <c r="C12" s="20" t="s">
        <v>7</v>
      </c>
      <c r="D12" s="22">
        <v>18.239999999999998</v>
      </c>
      <c r="E12" s="100">
        <f>'СМР '!I12</f>
        <v>1555.3999999999999</v>
      </c>
      <c r="F12" s="100">
        <f>'СМР '!J12</f>
        <v>28370.495999999996</v>
      </c>
      <c r="G12" s="100">
        <f t="shared" si="0"/>
        <v>34044.6</v>
      </c>
    </row>
    <row r="13" spans="1:7" ht="30" x14ac:dyDescent="0.25">
      <c r="A13" s="25">
        <f t="shared" si="1"/>
        <v>7</v>
      </c>
      <c r="B13" s="15" t="s">
        <v>27</v>
      </c>
      <c r="C13" s="20" t="s">
        <v>13</v>
      </c>
      <c r="D13" s="17">
        <v>228</v>
      </c>
      <c r="E13" s="100">
        <f>'СМР '!I13</f>
        <v>2338</v>
      </c>
      <c r="F13" s="100">
        <f>'СМР '!J13</f>
        <v>533064</v>
      </c>
      <c r="G13" s="100">
        <f t="shared" si="0"/>
        <v>639676.80000000005</v>
      </c>
    </row>
    <row r="14" spans="1:7" x14ac:dyDescent="0.25">
      <c r="A14" s="25">
        <f t="shared" si="1"/>
        <v>8</v>
      </c>
      <c r="B14" s="15" t="s">
        <v>26</v>
      </c>
      <c r="C14" s="16" t="s">
        <v>13</v>
      </c>
      <c r="D14" s="23">
        <v>40</v>
      </c>
      <c r="E14" s="100">
        <f>'СМР '!I14</f>
        <v>2798.6</v>
      </c>
      <c r="F14" s="100">
        <f>'СМР '!J14</f>
        <v>111944</v>
      </c>
      <c r="G14" s="100">
        <f t="shared" si="0"/>
        <v>134332.79999999999</v>
      </c>
    </row>
    <row r="15" spans="1:7" ht="30" x14ac:dyDescent="0.25">
      <c r="A15" s="25">
        <f t="shared" si="1"/>
        <v>9</v>
      </c>
      <c r="B15" s="15" t="s">
        <v>28</v>
      </c>
      <c r="C15" s="20" t="s">
        <v>13</v>
      </c>
      <c r="D15" s="17">
        <v>228</v>
      </c>
      <c r="E15" s="100">
        <f>'СМР '!I15</f>
        <v>1169</v>
      </c>
      <c r="F15" s="100">
        <f>'СМР '!J15</f>
        <v>266532</v>
      </c>
      <c r="G15" s="100">
        <f t="shared" si="0"/>
        <v>319838.40000000002</v>
      </c>
    </row>
    <row r="16" spans="1:7" x14ac:dyDescent="0.25">
      <c r="A16" s="25">
        <f t="shared" si="1"/>
        <v>10</v>
      </c>
      <c r="B16" s="24" t="s">
        <v>29</v>
      </c>
      <c r="C16" s="29" t="s">
        <v>10</v>
      </c>
      <c r="D16" s="28">
        <v>1300</v>
      </c>
      <c r="E16" s="100">
        <f>'СМР '!I16</f>
        <v>214.17199999999997</v>
      </c>
      <c r="F16" s="100">
        <f>'СМР '!J16</f>
        <v>278423.59999999998</v>
      </c>
      <c r="G16" s="100">
        <f t="shared" si="0"/>
        <v>334108.32</v>
      </c>
    </row>
    <row r="17" spans="1:7" x14ac:dyDescent="0.25">
      <c r="A17" s="25"/>
      <c r="B17" s="110" t="str">
        <f>'СМР '!B17</f>
        <v xml:space="preserve">Гидроизоляция боковая обмазочная битумная в 2 слоя </v>
      </c>
      <c r="C17" s="132" t="str">
        <f>'СМР '!C17</f>
        <v>м2</v>
      </c>
      <c r="D17" s="132">
        <f>'СМР '!D17</f>
        <v>524</v>
      </c>
      <c r="E17" s="123">
        <f>'СМР '!I17</f>
        <v>441</v>
      </c>
      <c r="F17" s="123">
        <f>'СМР '!J17</f>
        <v>231084</v>
      </c>
      <c r="G17" s="123">
        <f t="shared" ref="G17" si="2">ROUND(F17*1.2,2)</f>
        <v>277300.8</v>
      </c>
    </row>
    <row r="18" spans="1:7" x14ac:dyDescent="0.25">
      <c r="A18" s="25">
        <f>A16+1</f>
        <v>11</v>
      </c>
      <c r="B18" s="110" t="s">
        <v>31</v>
      </c>
      <c r="C18" s="114" t="s">
        <v>7</v>
      </c>
      <c r="D18" s="121">
        <v>36.479999999999997</v>
      </c>
      <c r="E18" s="123">
        <f>'СМР '!I18</f>
        <v>2940</v>
      </c>
      <c r="F18" s="123">
        <f>'СМР '!J18</f>
        <v>107251.2</v>
      </c>
      <c r="G18" s="123">
        <f t="shared" si="0"/>
        <v>128701.44</v>
      </c>
    </row>
    <row r="19" spans="1:7" x14ac:dyDescent="0.25">
      <c r="A19" s="25">
        <f t="shared" si="1"/>
        <v>12</v>
      </c>
      <c r="B19" s="15" t="s">
        <v>105</v>
      </c>
      <c r="C19" s="20" t="s">
        <v>106</v>
      </c>
      <c r="D19" s="23">
        <f>109.44*1.75</f>
        <v>191.51999999999998</v>
      </c>
      <c r="E19" s="100">
        <f>'СМР '!I19</f>
        <v>454.99999999999994</v>
      </c>
      <c r="F19" s="100">
        <f>'СМР '!J19</f>
        <v>87141.599999999977</v>
      </c>
      <c r="G19" s="100">
        <f t="shared" si="0"/>
        <v>104569.92</v>
      </c>
    </row>
    <row r="20" spans="1:7" x14ac:dyDescent="0.25">
      <c r="A20" s="25">
        <f t="shared" si="1"/>
        <v>13</v>
      </c>
      <c r="B20" s="15" t="s">
        <v>128</v>
      </c>
      <c r="C20" s="20" t="s">
        <v>7</v>
      </c>
      <c r="D20" s="23">
        <f>109.44</f>
        <v>109.44</v>
      </c>
      <c r="E20" s="100">
        <f>'СМР '!I20</f>
        <v>1350</v>
      </c>
      <c r="F20" s="100">
        <f>'СМР '!J20</f>
        <v>147744</v>
      </c>
      <c r="G20" s="100">
        <f t="shared" si="0"/>
        <v>177292.79999999999</v>
      </c>
    </row>
    <row r="21" spans="1:7" x14ac:dyDescent="0.25">
      <c r="A21" s="6"/>
      <c r="B21" s="145" t="s">
        <v>32</v>
      </c>
      <c r="C21" s="146"/>
      <c r="D21" s="146"/>
      <c r="E21" s="100">
        <f>'СМР '!I21</f>
        <v>0</v>
      </c>
      <c r="F21" s="100">
        <f>'СМР '!J21</f>
        <v>0</v>
      </c>
      <c r="G21" s="100"/>
    </row>
    <row r="22" spans="1:7" x14ac:dyDescent="0.25">
      <c r="A22" s="25">
        <v>1</v>
      </c>
      <c r="B22" s="15" t="s">
        <v>47</v>
      </c>
      <c r="C22" s="20" t="s">
        <v>7</v>
      </c>
      <c r="D22" s="23">
        <f>1003.2-100.32</f>
        <v>902.88000000000011</v>
      </c>
      <c r="E22" s="100">
        <f>'СМР '!I22</f>
        <v>882</v>
      </c>
      <c r="F22" s="100">
        <f>'СМР '!J22</f>
        <v>796340.16000000015</v>
      </c>
      <c r="G22" s="100">
        <f t="shared" si="0"/>
        <v>955608.19</v>
      </c>
    </row>
    <row r="23" spans="1:7" x14ac:dyDescent="0.25">
      <c r="A23" s="25">
        <f>A22+1</f>
        <v>2</v>
      </c>
      <c r="B23" s="15" t="s">
        <v>8</v>
      </c>
      <c r="C23" s="16" t="s">
        <v>7</v>
      </c>
      <c r="D23" s="22">
        <f>1003.2*10%</f>
        <v>100.32000000000001</v>
      </c>
      <c r="E23" s="100">
        <f>'СМР '!I23</f>
        <v>2487.7999999999997</v>
      </c>
      <c r="F23" s="100">
        <f>'СМР '!J23</f>
        <v>249576.09599999999</v>
      </c>
      <c r="G23" s="100">
        <f t="shared" si="0"/>
        <v>299491.32</v>
      </c>
    </row>
    <row r="24" spans="1:7" x14ac:dyDescent="0.25">
      <c r="A24" s="25">
        <f t="shared" ref="A24:A37" si="3">A23+1</f>
        <v>3</v>
      </c>
      <c r="B24" s="15" t="s">
        <v>9</v>
      </c>
      <c r="C24" s="20" t="s">
        <v>7</v>
      </c>
      <c r="D24" s="22">
        <v>1003.2</v>
      </c>
      <c r="E24" s="100">
        <f>'СМР '!I24</f>
        <v>70</v>
      </c>
      <c r="F24" s="100">
        <f>'СМР '!J24</f>
        <v>70224</v>
      </c>
      <c r="G24" s="100">
        <f t="shared" si="0"/>
        <v>84268.800000000003</v>
      </c>
    </row>
    <row r="25" spans="1:7" ht="30" x14ac:dyDescent="0.25">
      <c r="A25" s="25">
        <f t="shared" si="3"/>
        <v>4</v>
      </c>
      <c r="B25" s="15" t="s">
        <v>48</v>
      </c>
      <c r="C25" s="20" t="s">
        <v>10</v>
      </c>
      <c r="D25" s="22">
        <f>456*4</f>
        <v>1824</v>
      </c>
      <c r="E25" s="100">
        <f>'СМР '!I25</f>
        <v>454.99999999999994</v>
      </c>
      <c r="F25" s="100">
        <f>'СМР '!J25</f>
        <v>829919.99999999988</v>
      </c>
      <c r="G25" s="100">
        <f t="shared" si="0"/>
        <v>995904</v>
      </c>
    </row>
    <row r="26" spans="1:7" x14ac:dyDescent="0.25">
      <c r="A26" s="25">
        <f t="shared" si="3"/>
        <v>5</v>
      </c>
      <c r="B26" s="15" t="s">
        <v>109</v>
      </c>
      <c r="C26" s="20" t="s">
        <v>7</v>
      </c>
      <c r="D26" s="22">
        <f>456*4*0.1</f>
        <v>182.4</v>
      </c>
      <c r="E26" s="100">
        <f>'СМР '!I26</f>
        <v>284.2</v>
      </c>
      <c r="F26" s="100">
        <f>'СМР '!J26</f>
        <v>51838.080000000002</v>
      </c>
      <c r="G26" s="100">
        <f t="shared" si="0"/>
        <v>62205.7</v>
      </c>
    </row>
    <row r="27" spans="1:7" x14ac:dyDescent="0.25">
      <c r="A27" s="25">
        <f t="shared" si="3"/>
        <v>6</v>
      </c>
      <c r="B27" s="15" t="s">
        <v>50</v>
      </c>
      <c r="C27" s="20" t="s">
        <v>10</v>
      </c>
      <c r="D27" s="23">
        <v>1641.6</v>
      </c>
      <c r="E27" s="100">
        <f>'СМР '!I27</f>
        <v>214.17199999999997</v>
      </c>
      <c r="F27" s="100">
        <f>'СМР '!J27</f>
        <v>351584.75519999996</v>
      </c>
      <c r="G27" s="100">
        <f t="shared" si="0"/>
        <v>421901.71</v>
      </c>
    </row>
    <row r="28" spans="1:7" x14ac:dyDescent="0.25">
      <c r="A28" s="25">
        <f t="shared" si="3"/>
        <v>7</v>
      </c>
      <c r="B28" s="15" t="s">
        <v>49</v>
      </c>
      <c r="C28" s="20" t="s">
        <v>7</v>
      </c>
      <c r="D28" s="22">
        <v>364.8</v>
      </c>
      <c r="E28" s="100">
        <f>'СМР '!I28</f>
        <v>1738.8</v>
      </c>
      <c r="F28" s="100">
        <f>'СМР '!J28</f>
        <v>634314.23999999999</v>
      </c>
      <c r="G28" s="100">
        <f t="shared" si="0"/>
        <v>761177.09</v>
      </c>
    </row>
    <row r="29" spans="1:7" x14ac:dyDescent="0.25">
      <c r="A29" s="25">
        <f t="shared" si="3"/>
        <v>8</v>
      </c>
      <c r="B29" s="15" t="s">
        <v>110</v>
      </c>
      <c r="C29" s="20" t="s">
        <v>7</v>
      </c>
      <c r="D29" s="22">
        <f>D28</f>
        <v>364.8</v>
      </c>
      <c r="E29" s="100">
        <f>'СМР '!I29</f>
        <v>284.2</v>
      </c>
      <c r="F29" s="100">
        <f>'СМР '!J29</f>
        <v>103676.16</v>
      </c>
      <c r="G29" s="100">
        <f t="shared" si="0"/>
        <v>124411.39</v>
      </c>
    </row>
    <row r="30" spans="1:7" x14ac:dyDescent="0.25">
      <c r="A30" s="25">
        <f t="shared" si="3"/>
        <v>9</v>
      </c>
      <c r="B30" s="15" t="s">
        <v>51</v>
      </c>
      <c r="C30" s="20" t="s">
        <v>7</v>
      </c>
      <c r="D30" s="22">
        <v>574.55999999999995</v>
      </c>
      <c r="E30" s="100">
        <f>'СМР '!I30</f>
        <v>1990.8</v>
      </c>
      <c r="F30" s="100">
        <f>'СМР '!J30</f>
        <v>1143834.048</v>
      </c>
      <c r="G30" s="100">
        <f t="shared" si="0"/>
        <v>1372600.86</v>
      </c>
    </row>
    <row r="31" spans="1:7" x14ac:dyDescent="0.25">
      <c r="A31" s="25">
        <f t="shared" si="3"/>
        <v>10</v>
      </c>
      <c r="B31" s="15" t="s">
        <v>110</v>
      </c>
      <c r="C31" s="20" t="s">
        <v>7</v>
      </c>
      <c r="D31" s="22">
        <f>D30</f>
        <v>574.55999999999995</v>
      </c>
      <c r="E31" s="100">
        <f>'СМР '!I31</f>
        <v>284.2</v>
      </c>
      <c r="F31" s="100">
        <f>'СМР '!J31</f>
        <v>163289.95199999999</v>
      </c>
      <c r="G31" s="100">
        <f t="shared" si="0"/>
        <v>195947.94</v>
      </c>
    </row>
    <row r="32" spans="1:7" ht="30" x14ac:dyDescent="0.25">
      <c r="A32" s="25">
        <f t="shared" si="3"/>
        <v>11</v>
      </c>
      <c r="B32" s="15" t="s">
        <v>33</v>
      </c>
      <c r="C32" s="20" t="s">
        <v>13</v>
      </c>
      <c r="D32" s="17">
        <f>114*4</f>
        <v>456</v>
      </c>
      <c r="E32" s="100">
        <f>'СМР '!I32</f>
        <v>3287.2</v>
      </c>
      <c r="F32" s="100">
        <f>'СМР '!J32</f>
        <v>1498963.2</v>
      </c>
      <c r="G32" s="100">
        <f t="shared" si="0"/>
        <v>1798755.84</v>
      </c>
    </row>
    <row r="33" spans="1:7" x14ac:dyDescent="0.25">
      <c r="A33" s="25">
        <f t="shared" si="3"/>
        <v>12</v>
      </c>
      <c r="B33" s="51" t="s">
        <v>52</v>
      </c>
      <c r="C33" s="20" t="s">
        <v>7</v>
      </c>
      <c r="D33" s="104">
        <v>201.12</v>
      </c>
      <c r="E33" s="100">
        <f>'СМР '!I33</f>
        <v>2094.12</v>
      </c>
      <c r="F33" s="100">
        <f>'СМР '!J33</f>
        <v>421169.41440000001</v>
      </c>
      <c r="G33" s="100">
        <f t="shared" si="0"/>
        <v>505403.3</v>
      </c>
    </row>
    <row r="34" spans="1:7" ht="30" x14ac:dyDescent="0.25">
      <c r="A34" s="25">
        <f t="shared" si="3"/>
        <v>13</v>
      </c>
      <c r="B34" s="15" t="s">
        <v>104</v>
      </c>
      <c r="C34" s="20" t="s">
        <v>7</v>
      </c>
      <c r="D34" s="22">
        <v>63.84</v>
      </c>
      <c r="E34" s="100">
        <f>'СМР '!I34</f>
        <v>454.99999999999994</v>
      </c>
      <c r="F34" s="100">
        <f>'СМР '!J34</f>
        <v>29047.199999999997</v>
      </c>
      <c r="G34" s="100">
        <f t="shared" si="0"/>
        <v>34856.639999999999</v>
      </c>
    </row>
    <row r="35" spans="1:7" x14ac:dyDescent="0.25">
      <c r="A35" s="25">
        <f t="shared" si="3"/>
        <v>14</v>
      </c>
      <c r="B35" s="15" t="s">
        <v>105</v>
      </c>
      <c r="C35" s="20" t="s">
        <v>106</v>
      </c>
      <c r="D35" s="23">
        <f>939.36*1.75</f>
        <v>1643.88</v>
      </c>
      <c r="E35" s="100">
        <f>'СМР '!I35</f>
        <v>454.99999999999994</v>
      </c>
      <c r="F35" s="100">
        <f>'СМР '!J35</f>
        <v>747965.39999999991</v>
      </c>
      <c r="G35" s="100">
        <f t="shared" si="0"/>
        <v>897558.48</v>
      </c>
    </row>
    <row r="36" spans="1:7" x14ac:dyDescent="0.25">
      <c r="A36" s="25">
        <f t="shared" si="3"/>
        <v>15</v>
      </c>
      <c r="B36" s="15" t="s">
        <v>128</v>
      </c>
      <c r="C36" s="20" t="s">
        <v>7</v>
      </c>
      <c r="D36" s="23">
        <v>939.36</v>
      </c>
      <c r="E36" s="100">
        <f>'СМР '!I36</f>
        <v>1350</v>
      </c>
      <c r="F36" s="100">
        <f>'СМР '!J36</f>
        <v>1268136</v>
      </c>
      <c r="G36" s="100">
        <f t="shared" si="0"/>
        <v>1521763.2</v>
      </c>
    </row>
    <row r="37" spans="1:7" ht="30" x14ac:dyDescent="0.25">
      <c r="A37" s="25">
        <f t="shared" si="3"/>
        <v>16</v>
      </c>
      <c r="B37" s="51" t="s">
        <v>118</v>
      </c>
      <c r="C37" s="20" t="s">
        <v>7</v>
      </c>
      <c r="D37" s="105">
        <f>437.94/1211*446</f>
        <v>161.28921552436003</v>
      </c>
      <c r="E37" s="100">
        <f>'СМР '!I37</f>
        <v>2029.86</v>
      </c>
      <c r="F37" s="100">
        <f>'СМР '!J37</f>
        <v>327394.52702427743</v>
      </c>
      <c r="G37" s="100">
        <f t="shared" si="0"/>
        <v>392873.43</v>
      </c>
    </row>
    <row r="38" spans="1:7" x14ac:dyDescent="0.25">
      <c r="A38" s="6"/>
      <c r="B38" s="145" t="s">
        <v>54</v>
      </c>
      <c r="C38" s="146"/>
      <c r="D38" s="146"/>
      <c r="E38" s="100">
        <f>'СМР '!I38</f>
        <v>0</v>
      </c>
      <c r="F38" s="100">
        <f>'СМР '!J38</f>
        <v>0</v>
      </c>
      <c r="G38" s="100"/>
    </row>
    <row r="39" spans="1:7" ht="30" x14ac:dyDescent="0.25">
      <c r="A39" s="25">
        <v>1</v>
      </c>
      <c r="B39" s="15" t="s">
        <v>55</v>
      </c>
      <c r="C39" s="20" t="s">
        <v>7</v>
      </c>
      <c r="D39" s="23">
        <v>3200</v>
      </c>
      <c r="E39" s="100">
        <f>'СМР '!I39</f>
        <v>882</v>
      </c>
      <c r="F39" s="100">
        <f>'СМР '!J39</f>
        <v>2822400</v>
      </c>
      <c r="G39" s="100">
        <f t="shared" si="0"/>
        <v>3386880</v>
      </c>
    </row>
    <row r="40" spans="1:7" x14ac:dyDescent="0.25">
      <c r="A40" s="25">
        <f t="shared" ref="A40:A43" si="4">A39+1</f>
        <v>2</v>
      </c>
      <c r="B40" s="15" t="s">
        <v>56</v>
      </c>
      <c r="C40" s="20" t="s">
        <v>10</v>
      </c>
      <c r="D40" s="22">
        <v>3600</v>
      </c>
      <c r="E40" s="100">
        <f>'СМР '!I40</f>
        <v>454.99999999999994</v>
      </c>
      <c r="F40" s="100">
        <f>'СМР '!J40</f>
        <v>1637999.9999999998</v>
      </c>
      <c r="G40" s="100">
        <f t="shared" si="0"/>
        <v>1965600</v>
      </c>
    </row>
    <row r="41" spans="1:7" x14ac:dyDescent="0.25">
      <c r="A41" s="25">
        <f t="shared" si="4"/>
        <v>3</v>
      </c>
      <c r="B41" s="15" t="s">
        <v>110</v>
      </c>
      <c r="C41" s="20" t="s">
        <v>7</v>
      </c>
      <c r="D41" s="22">
        <f>3600*0.1</f>
        <v>360</v>
      </c>
      <c r="E41" s="100">
        <f>'СМР '!I41</f>
        <v>284.2</v>
      </c>
      <c r="F41" s="100">
        <f>'СМР '!J41</f>
        <v>102312</v>
      </c>
      <c r="G41" s="100">
        <f t="shared" si="0"/>
        <v>122774.39999999999</v>
      </c>
    </row>
    <row r="42" spans="1:7" x14ac:dyDescent="0.25">
      <c r="A42" s="25">
        <f t="shared" si="4"/>
        <v>4</v>
      </c>
      <c r="B42" s="15" t="s">
        <v>105</v>
      </c>
      <c r="C42" s="20" t="s">
        <v>106</v>
      </c>
      <c r="D42" s="23">
        <f>3200*1.75</f>
        <v>5600</v>
      </c>
      <c r="E42" s="100">
        <f>'СМР '!I42</f>
        <v>454.99999999999994</v>
      </c>
      <c r="F42" s="100">
        <f>'СМР '!J42</f>
        <v>2547999.9999999995</v>
      </c>
      <c r="G42" s="100">
        <f t="shared" si="0"/>
        <v>3057600</v>
      </c>
    </row>
    <row r="43" spans="1:7" x14ac:dyDescent="0.25">
      <c r="A43" s="25">
        <f t="shared" si="4"/>
        <v>5</v>
      </c>
      <c r="B43" s="15" t="s">
        <v>128</v>
      </c>
      <c r="C43" s="20" t="s">
        <v>7</v>
      </c>
      <c r="D43" s="23">
        <v>3200</v>
      </c>
      <c r="E43" s="100">
        <f>'СМР '!I43</f>
        <v>1350</v>
      </c>
      <c r="F43" s="100">
        <f>'СМР '!J43</f>
        <v>4320000</v>
      </c>
      <c r="G43" s="100">
        <f t="shared" si="0"/>
        <v>5184000</v>
      </c>
    </row>
    <row r="44" spans="1:7" x14ac:dyDescent="0.25">
      <c r="A44" s="6"/>
      <c r="B44" s="145" t="s">
        <v>57</v>
      </c>
      <c r="C44" s="146"/>
      <c r="D44" s="146"/>
      <c r="E44" s="100">
        <f>'СМР '!I44</f>
        <v>0</v>
      </c>
      <c r="F44" s="100">
        <f>'СМР '!J44</f>
        <v>0</v>
      </c>
      <c r="G44" s="100"/>
    </row>
    <row r="45" spans="1:7" x14ac:dyDescent="0.25">
      <c r="A45" s="114">
        <v>1</v>
      </c>
      <c r="B45" s="124" t="s">
        <v>58</v>
      </c>
      <c r="C45" s="114" t="s">
        <v>59</v>
      </c>
      <c r="D45" s="125">
        <v>4</v>
      </c>
      <c r="E45" s="123">
        <f>'СМР '!I45</f>
        <v>134400</v>
      </c>
      <c r="F45" s="123">
        <f>'СМР '!J45</f>
        <v>537600</v>
      </c>
      <c r="G45" s="123">
        <f t="shared" si="0"/>
        <v>645120</v>
      </c>
    </row>
    <row r="46" spans="1:7" x14ac:dyDescent="0.25">
      <c r="A46" s="6"/>
      <c r="B46" s="145" t="s">
        <v>69</v>
      </c>
      <c r="C46" s="146"/>
      <c r="D46" s="146"/>
      <c r="E46" s="100">
        <f>'СМР '!I46</f>
        <v>0</v>
      </c>
      <c r="F46" s="100">
        <f>'СМР '!J46</f>
        <v>0</v>
      </c>
      <c r="G46" s="100"/>
    </row>
    <row r="47" spans="1:7" x14ac:dyDescent="0.25">
      <c r="A47" s="25">
        <v>1</v>
      </c>
      <c r="B47" s="15" t="s">
        <v>72</v>
      </c>
      <c r="C47" s="20" t="s">
        <v>7</v>
      </c>
      <c r="D47" s="22">
        <f>(1.5*1.4*1.4)*3</f>
        <v>8.8199999999999985</v>
      </c>
      <c r="E47" s="100">
        <f>'СМР '!I47</f>
        <v>2487.7999999999997</v>
      </c>
      <c r="F47" s="100">
        <f>'СМР '!J47</f>
        <v>21942.395999999993</v>
      </c>
      <c r="G47" s="100">
        <f t="shared" si="0"/>
        <v>26330.880000000001</v>
      </c>
    </row>
    <row r="48" spans="1:7" x14ac:dyDescent="0.25">
      <c r="A48" s="25">
        <f>A47+1</f>
        <v>2</v>
      </c>
      <c r="B48" s="51" t="s">
        <v>70</v>
      </c>
      <c r="C48" s="20" t="s">
        <v>59</v>
      </c>
      <c r="D48" s="17">
        <v>3</v>
      </c>
      <c r="E48" s="100">
        <f>'СМР '!I48</f>
        <v>73642.59</v>
      </c>
      <c r="F48" s="100">
        <f>'СМР '!J48</f>
        <v>220927.77</v>
      </c>
      <c r="G48" s="100">
        <f t="shared" si="0"/>
        <v>265113.32</v>
      </c>
    </row>
    <row r="49" spans="1:7" x14ac:dyDescent="0.25">
      <c r="A49" s="25">
        <f t="shared" ref="A49:A55" si="5">A48+1</f>
        <v>3</v>
      </c>
      <c r="B49" s="51" t="s">
        <v>73</v>
      </c>
      <c r="C49" s="20" t="s">
        <v>59</v>
      </c>
      <c r="D49" s="17">
        <v>3</v>
      </c>
      <c r="E49" s="100">
        <f>'СМР '!I49</f>
        <v>16980.768</v>
      </c>
      <c r="F49" s="100">
        <f>'СМР '!J49</f>
        <v>50942.304000000004</v>
      </c>
      <c r="G49" s="100">
        <f t="shared" si="0"/>
        <v>61130.76</v>
      </c>
    </row>
    <row r="50" spans="1:7" x14ac:dyDescent="0.25">
      <c r="A50" s="25">
        <f t="shared" si="5"/>
        <v>4</v>
      </c>
      <c r="B50" s="15" t="s">
        <v>72</v>
      </c>
      <c r="C50" s="20" t="s">
        <v>7</v>
      </c>
      <c r="D50" s="22">
        <f>(1.5*1.4*1.4)*3</f>
        <v>8.8199999999999985</v>
      </c>
      <c r="E50" s="100">
        <f>'СМР '!I50</f>
        <v>2487.7999999999997</v>
      </c>
      <c r="F50" s="100">
        <f>'СМР '!J50</f>
        <v>21942.395999999993</v>
      </c>
      <c r="G50" s="100">
        <f t="shared" si="0"/>
        <v>26330.880000000001</v>
      </c>
    </row>
    <row r="51" spans="1:7" x14ac:dyDescent="0.25">
      <c r="A51" s="25">
        <f t="shared" si="5"/>
        <v>5</v>
      </c>
      <c r="B51" s="15" t="s">
        <v>12</v>
      </c>
      <c r="C51" s="20" t="s">
        <v>7</v>
      </c>
      <c r="D51" s="22">
        <f>0.48*3</f>
        <v>1.44</v>
      </c>
      <c r="E51" s="100">
        <f>'СМР '!I51</f>
        <v>1555.3999999999999</v>
      </c>
      <c r="F51" s="100">
        <f>'СМР '!J51</f>
        <v>2239.7759999999998</v>
      </c>
      <c r="G51" s="100">
        <f t="shared" si="0"/>
        <v>2687.73</v>
      </c>
    </row>
    <row r="52" spans="1:7" x14ac:dyDescent="0.25">
      <c r="A52" s="25">
        <f t="shared" si="5"/>
        <v>6</v>
      </c>
      <c r="B52" s="51" t="s">
        <v>74</v>
      </c>
      <c r="C52" s="20" t="s">
        <v>59</v>
      </c>
      <c r="D52" s="17">
        <v>3</v>
      </c>
      <c r="E52" s="100">
        <f>'СМР '!I52</f>
        <v>21225.96</v>
      </c>
      <c r="F52" s="100">
        <f>'СМР '!J52</f>
        <v>63677.88</v>
      </c>
      <c r="G52" s="100">
        <f t="shared" si="0"/>
        <v>76413.460000000006</v>
      </c>
    </row>
    <row r="53" spans="1:7" x14ac:dyDescent="0.25">
      <c r="A53" s="25">
        <f t="shared" si="5"/>
        <v>7</v>
      </c>
      <c r="B53" s="51" t="s">
        <v>71</v>
      </c>
      <c r="C53" s="20" t="s">
        <v>59</v>
      </c>
      <c r="D53" s="17">
        <v>3</v>
      </c>
      <c r="E53" s="100">
        <f>'СМР '!I53</f>
        <v>105203.7</v>
      </c>
      <c r="F53" s="100">
        <f>'СМР '!J53</f>
        <v>315611.09999999998</v>
      </c>
      <c r="G53" s="100">
        <f t="shared" si="0"/>
        <v>378733.32</v>
      </c>
    </row>
    <row r="54" spans="1:7" x14ac:dyDescent="0.25">
      <c r="A54" s="25">
        <f t="shared" si="5"/>
        <v>8</v>
      </c>
      <c r="B54" s="15" t="s">
        <v>11</v>
      </c>
      <c r="C54" s="20" t="s">
        <v>7</v>
      </c>
      <c r="D54" s="22">
        <f>8.82-1.44-1.8*3</f>
        <v>1.9800000000000004</v>
      </c>
      <c r="E54" s="100">
        <f>'СМР '!I54</f>
        <v>454.99999999999994</v>
      </c>
      <c r="F54" s="100">
        <f>'СМР '!J54</f>
        <v>900.90000000000009</v>
      </c>
      <c r="G54" s="100">
        <f t="shared" si="0"/>
        <v>1081.08</v>
      </c>
    </row>
    <row r="55" spans="1:7" x14ac:dyDescent="0.25">
      <c r="A55" s="25">
        <f t="shared" si="5"/>
        <v>9</v>
      </c>
      <c r="B55" s="15" t="s">
        <v>81</v>
      </c>
      <c r="C55" s="20" t="s">
        <v>7</v>
      </c>
      <c r="D55" s="22">
        <f>D54</f>
        <v>1.9800000000000004</v>
      </c>
      <c r="E55" s="100">
        <f>'СМР '!I55</f>
        <v>284.2</v>
      </c>
      <c r="F55" s="100">
        <f>'СМР '!J55</f>
        <v>562.71600000000012</v>
      </c>
      <c r="G55" s="100">
        <f t="shared" si="0"/>
        <v>675.26</v>
      </c>
    </row>
    <row r="56" spans="1:7" x14ac:dyDescent="0.25">
      <c r="A56" s="6"/>
      <c r="B56" s="145" t="s">
        <v>75</v>
      </c>
      <c r="C56" s="146"/>
      <c r="D56" s="146"/>
      <c r="E56" s="100">
        <f>'СМР '!I56</f>
        <v>0</v>
      </c>
      <c r="F56" s="100">
        <f>'СМР '!J56</f>
        <v>0</v>
      </c>
      <c r="G56" s="100"/>
    </row>
    <row r="57" spans="1:7" x14ac:dyDescent="0.25">
      <c r="A57" s="25">
        <v>1</v>
      </c>
      <c r="B57" s="15" t="s">
        <v>107</v>
      </c>
      <c r="C57" s="20" t="s">
        <v>7</v>
      </c>
      <c r="D57" s="22">
        <f>1.4*1.4*3.14*2</f>
        <v>12.3088</v>
      </c>
      <c r="E57" s="100">
        <f>'СМР '!I57</f>
        <v>2487.7999999999997</v>
      </c>
      <c r="F57" s="100">
        <f>'СМР '!J57</f>
        <v>30621.832639999997</v>
      </c>
      <c r="G57" s="100">
        <f t="shared" si="0"/>
        <v>36746.199999999997</v>
      </c>
    </row>
    <row r="58" spans="1:7" x14ac:dyDescent="0.25">
      <c r="A58" s="25">
        <f>A57+1</f>
        <v>2</v>
      </c>
      <c r="B58" s="15" t="s">
        <v>79</v>
      </c>
      <c r="C58" s="20" t="s">
        <v>15</v>
      </c>
      <c r="D58" s="17">
        <v>1</v>
      </c>
      <c r="E58" s="100">
        <f>'СМР '!I58</f>
        <v>20356</v>
      </c>
      <c r="F58" s="100">
        <f>'СМР '!J58</f>
        <v>20356</v>
      </c>
      <c r="G58" s="100">
        <f t="shared" si="0"/>
        <v>24427.200000000001</v>
      </c>
    </row>
    <row r="59" spans="1:7" x14ac:dyDescent="0.25">
      <c r="A59" s="25">
        <f t="shared" ref="A59:A80" si="6">A58+1</f>
        <v>3</v>
      </c>
      <c r="B59" s="15" t="s">
        <v>105</v>
      </c>
      <c r="C59" s="20" t="s">
        <v>106</v>
      </c>
      <c r="D59" s="23">
        <f>D57*1.75</f>
        <v>21.540399999999998</v>
      </c>
      <c r="E59" s="100">
        <f>'СМР '!I59</f>
        <v>454.99999999999994</v>
      </c>
      <c r="F59" s="100">
        <f>'СМР '!J59</f>
        <v>9800.8819999999978</v>
      </c>
      <c r="G59" s="100">
        <f t="shared" si="0"/>
        <v>11761.06</v>
      </c>
    </row>
    <row r="60" spans="1:7" x14ac:dyDescent="0.25">
      <c r="A60" s="25">
        <f t="shared" si="6"/>
        <v>4</v>
      </c>
      <c r="B60" s="15" t="s">
        <v>128</v>
      </c>
      <c r="C60" s="20" t="s">
        <v>7</v>
      </c>
      <c r="D60" s="23">
        <v>12.31</v>
      </c>
      <c r="E60" s="100">
        <f>'СМР '!I60</f>
        <v>1350</v>
      </c>
      <c r="F60" s="100">
        <f>'СМР '!J60</f>
        <v>16618.5</v>
      </c>
      <c r="G60" s="100">
        <f t="shared" si="0"/>
        <v>19942.2</v>
      </c>
    </row>
    <row r="61" spans="1:7" x14ac:dyDescent="0.25">
      <c r="A61" s="25">
        <f t="shared" si="6"/>
        <v>5</v>
      </c>
      <c r="B61" s="15" t="s">
        <v>101</v>
      </c>
      <c r="C61" s="20" t="s">
        <v>7</v>
      </c>
      <c r="D61" s="22">
        <f>1.6*1.6*3.14*2.1</f>
        <v>16.880640000000003</v>
      </c>
      <c r="E61" s="100">
        <f>'СМР '!I61</f>
        <v>2487.7999999999997</v>
      </c>
      <c r="F61" s="100">
        <f>'СМР '!J61</f>
        <v>41995.656192000002</v>
      </c>
      <c r="G61" s="100">
        <f t="shared" si="0"/>
        <v>50394.79</v>
      </c>
    </row>
    <row r="62" spans="1:7" x14ac:dyDescent="0.25">
      <c r="A62" s="25">
        <f t="shared" si="6"/>
        <v>6</v>
      </c>
      <c r="B62" s="15" t="s">
        <v>12</v>
      </c>
      <c r="C62" s="20" t="s">
        <v>7</v>
      </c>
      <c r="D62" s="22">
        <f>1.4*1.4*3.14*0.1</f>
        <v>0.61543999999999999</v>
      </c>
      <c r="E62" s="100">
        <f>'СМР '!I62</f>
        <v>1555.3999999999999</v>
      </c>
      <c r="F62" s="100">
        <f>'СМР '!J62</f>
        <v>957.25537599999984</v>
      </c>
      <c r="G62" s="100">
        <f t="shared" si="0"/>
        <v>1148.71</v>
      </c>
    </row>
    <row r="63" spans="1:7" ht="30" x14ac:dyDescent="0.25">
      <c r="A63" s="25">
        <f t="shared" si="6"/>
        <v>7</v>
      </c>
      <c r="B63" s="24" t="s">
        <v>80</v>
      </c>
      <c r="C63" s="25" t="s">
        <v>7</v>
      </c>
      <c r="D63" s="28">
        <v>1</v>
      </c>
      <c r="E63" s="100">
        <f>'СМР '!I63</f>
        <v>25444.157407407401</v>
      </c>
      <c r="F63" s="100">
        <f>'СМР '!J63</f>
        <v>25444.157407407401</v>
      </c>
      <c r="G63" s="100">
        <f t="shared" si="0"/>
        <v>30532.99</v>
      </c>
    </row>
    <row r="64" spans="1:7" ht="45" x14ac:dyDescent="0.25">
      <c r="A64" s="25">
        <f t="shared" si="6"/>
        <v>8</v>
      </c>
      <c r="B64" s="24" t="s">
        <v>100</v>
      </c>
      <c r="C64" s="25" t="s">
        <v>15</v>
      </c>
      <c r="D64" s="28">
        <v>2</v>
      </c>
      <c r="E64" s="100">
        <f>'СМР '!I64</f>
        <v>12497.8</v>
      </c>
      <c r="F64" s="100">
        <f>'СМР '!J64</f>
        <v>24995.599999999999</v>
      </c>
      <c r="G64" s="100">
        <f t="shared" si="0"/>
        <v>29994.720000000001</v>
      </c>
    </row>
    <row r="65" spans="1:7" x14ac:dyDescent="0.25">
      <c r="A65" s="25">
        <f t="shared" si="6"/>
        <v>9</v>
      </c>
      <c r="B65" s="15" t="s">
        <v>11</v>
      </c>
      <c r="C65" s="20" t="s">
        <v>7</v>
      </c>
      <c r="D65" s="22">
        <f>(1.6*1.6*3.14*2.1)-(3.14*1.1*1.1*2)</f>
        <v>9.2818400000000025</v>
      </c>
      <c r="E65" s="100">
        <f>'СМР '!I65</f>
        <v>454.99999999999994</v>
      </c>
      <c r="F65" s="100">
        <f>'СМР '!J65</f>
        <v>4223.2372000000005</v>
      </c>
      <c r="G65" s="100">
        <f t="shared" si="0"/>
        <v>5067.88</v>
      </c>
    </row>
    <row r="66" spans="1:7" x14ac:dyDescent="0.25">
      <c r="A66" s="25">
        <f t="shared" si="6"/>
        <v>10</v>
      </c>
      <c r="B66" s="15" t="s">
        <v>81</v>
      </c>
      <c r="C66" s="20" t="s">
        <v>7</v>
      </c>
      <c r="D66" s="22">
        <f>D65</f>
        <v>9.2818400000000025</v>
      </c>
      <c r="E66" s="100">
        <f>'СМР '!I66</f>
        <v>284.2</v>
      </c>
      <c r="F66" s="100">
        <f>'СМР '!J66</f>
        <v>2637.8989280000005</v>
      </c>
      <c r="G66" s="100">
        <f t="shared" si="0"/>
        <v>3165.48</v>
      </c>
    </row>
    <row r="67" spans="1:7" x14ac:dyDescent="0.25">
      <c r="A67" s="25">
        <f t="shared" si="6"/>
        <v>11</v>
      </c>
      <c r="B67" s="15" t="s">
        <v>105</v>
      </c>
      <c r="C67" s="20" t="s">
        <v>106</v>
      </c>
      <c r="D67" s="23">
        <f>(D61-D62-D65)*1.75</f>
        <v>12.220880000000001</v>
      </c>
      <c r="E67" s="100">
        <f>'СМР '!I67</f>
        <v>454.99999999999994</v>
      </c>
      <c r="F67" s="100">
        <f>'СМР '!J67</f>
        <v>5560.5003999999999</v>
      </c>
      <c r="G67" s="100">
        <f t="shared" si="0"/>
        <v>6672.6</v>
      </c>
    </row>
    <row r="68" spans="1:7" x14ac:dyDescent="0.25">
      <c r="A68" s="25">
        <f t="shared" si="6"/>
        <v>12</v>
      </c>
      <c r="B68" s="15" t="s">
        <v>128</v>
      </c>
      <c r="C68" s="20" t="s">
        <v>7</v>
      </c>
      <c r="D68" s="23">
        <f>D61-D62-D65</f>
        <v>6.9833600000000011</v>
      </c>
      <c r="E68" s="100">
        <f>'СМР '!I68</f>
        <v>1350</v>
      </c>
      <c r="F68" s="100">
        <f>'СМР '!J68</f>
        <v>9427.5360000000019</v>
      </c>
      <c r="G68" s="100">
        <f t="shared" si="0"/>
        <v>11313.04</v>
      </c>
    </row>
    <row r="69" spans="1:7" ht="30" x14ac:dyDescent="0.25">
      <c r="A69" s="25">
        <f t="shared" si="6"/>
        <v>13</v>
      </c>
      <c r="B69" s="15" t="s">
        <v>108</v>
      </c>
      <c r="C69" s="20" t="s">
        <v>7</v>
      </c>
      <c r="D69" s="22">
        <f>20*0.8*1.8</f>
        <v>28.8</v>
      </c>
      <c r="E69" s="100">
        <f>'СМР '!I69</f>
        <v>2487.7999999999997</v>
      </c>
      <c r="F69" s="100">
        <f>'СМР '!J69</f>
        <v>71648.639999999999</v>
      </c>
      <c r="G69" s="100">
        <f t="shared" si="0"/>
        <v>85978.37</v>
      </c>
    </row>
    <row r="70" spans="1:7" x14ac:dyDescent="0.25">
      <c r="A70" s="25">
        <f t="shared" si="6"/>
        <v>14</v>
      </c>
      <c r="B70" s="24" t="s">
        <v>116</v>
      </c>
      <c r="C70" s="25" t="s">
        <v>13</v>
      </c>
      <c r="D70" s="28">
        <v>20</v>
      </c>
      <c r="E70" s="100">
        <f>'СМР '!I70</f>
        <v>1222.1999999999998</v>
      </c>
      <c r="F70" s="100">
        <f>'СМР '!J70</f>
        <v>24443.999999999996</v>
      </c>
      <c r="G70" s="100">
        <f t="shared" si="0"/>
        <v>29332.799999999999</v>
      </c>
    </row>
    <row r="71" spans="1:7" x14ac:dyDescent="0.25">
      <c r="A71" s="25">
        <f t="shared" si="6"/>
        <v>15</v>
      </c>
      <c r="B71" s="15" t="s">
        <v>12</v>
      </c>
      <c r="C71" s="20" t="s">
        <v>7</v>
      </c>
      <c r="D71" s="22">
        <f>20*0.8*0.1</f>
        <v>1.6</v>
      </c>
      <c r="E71" s="100">
        <f>'СМР '!I71</f>
        <v>1555.3999999999999</v>
      </c>
      <c r="F71" s="100">
        <f>'СМР '!J71</f>
        <v>2488.64</v>
      </c>
      <c r="G71" s="100">
        <f t="shared" si="0"/>
        <v>2986.37</v>
      </c>
    </row>
    <row r="72" spans="1:7" x14ac:dyDescent="0.25">
      <c r="A72" s="25">
        <f t="shared" si="6"/>
        <v>16</v>
      </c>
      <c r="B72" s="24" t="s">
        <v>83</v>
      </c>
      <c r="C72" s="20" t="s">
        <v>13</v>
      </c>
      <c r="D72" s="17">
        <v>19</v>
      </c>
      <c r="E72" s="100">
        <f>'СМР '!I72</f>
        <v>6784.4</v>
      </c>
      <c r="F72" s="100">
        <f>'СМР '!J72</f>
        <v>128903.59999999999</v>
      </c>
      <c r="G72" s="100">
        <f t="shared" ref="G72:G80" si="7">ROUND(F72*1.2,2)</f>
        <v>154684.32</v>
      </c>
    </row>
    <row r="73" spans="1:7" x14ac:dyDescent="0.25">
      <c r="A73" s="25">
        <f t="shared" si="6"/>
        <v>17</v>
      </c>
      <c r="B73" s="24" t="s">
        <v>78</v>
      </c>
      <c r="C73" s="25" t="s">
        <v>13</v>
      </c>
      <c r="D73" s="28">
        <v>20</v>
      </c>
      <c r="E73" s="100">
        <f>'СМР '!I73</f>
        <v>2036.9999999999998</v>
      </c>
      <c r="F73" s="100">
        <f>'СМР '!J73</f>
        <v>40739.999999999993</v>
      </c>
      <c r="G73" s="100">
        <f t="shared" si="7"/>
        <v>48888</v>
      </c>
    </row>
    <row r="74" spans="1:7" x14ac:dyDescent="0.25">
      <c r="A74" s="25">
        <f t="shared" si="6"/>
        <v>18</v>
      </c>
      <c r="B74" s="15" t="s">
        <v>111</v>
      </c>
      <c r="C74" s="20" t="s">
        <v>7</v>
      </c>
      <c r="D74" s="22">
        <f>(3.14*0.265*0.265*20)-(3.14*0.158*0.158*20)</f>
        <v>2.8423908000000004</v>
      </c>
      <c r="E74" s="100">
        <f>'СМР '!I74</f>
        <v>685.12746382376395</v>
      </c>
      <c r="F74" s="100">
        <f>'СМР '!J74</f>
        <v>1947.3999999999999</v>
      </c>
      <c r="G74" s="100">
        <f t="shared" si="7"/>
        <v>2336.88</v>
      </c>
    </row>
    <row r="75" spans="1:7" x14ac:dyDescent="0.25">
      <c r="A75" s="25">
        <f t="shared" si="6"/>
        <v>19</v>
      </c>
      <c r="B75" s="15" t="s">
        <v>112</v>
      </c>
      <c r="C75" s="20" t="s">
        <v>113</v>
      </c>
      <c r="D75" s="17">
        <v>1</v>
      </c>
      <c r="E75" s="100">
        <f>'СМР '!I75</f>
        <v>9401</v>
      </c>
      <c r="F75" s="100">
        <f>'СМР '!J75</f>
        <v>9401</v>
      </c>
      <c r="G75" s="100">
        <f t="shared" si="7"/>
        <v>11281.2</v>
      </c>
    </row>
    <row r="76" spans="1:7" x14ac:dyDescent="0.25">
      <c r="A76" s="25">
        <f t="shared" si="6"/>
        <v>20</v>
      </c>
      <c r="B76" s="15" t="s">
        <v>102</v>
      </c>
      <c r="C76" s="20" t="s">
        <v>7</v>
      </c>
      <c r="D76" s="22">
        <f>20*0.8*0.3</f>
        <v>4.8</v>
      </c>
      <c r="E76" s="100">
        <f>'СМР '!I76</f>
        <v>1555.3999999999999</v>
      </c>
      <c r="F76" s="100">
        <f>'СМР '!J76</f>
        <v>7465.9199999999992</v>
      </c>
      <c r="G76" s="100">
        <f t="shared" si="7"/>
        <v>8959.1</v>
      </c>
    </row>
    <row r="77" spans="1:7" x14ac:dyDescent="0.25">
      <c r="A77" s="25">
        <f t="shared" si="6"/>
        <v>21</v>
      </c>
      <c r="B77" s="15" t="s">
        <v>11</v>
      </c>
      <c r="C77" s="20" t="s">
        <v>7</v>
      </c>
      <c r="D77" s="22">
        <f>D69-D71-D76-0.265*0.265*3.14*20</f>
        <v>17.989869999999996</v>
      </c>
      <c r="E77" s="100">
        <f>'СМР '!I77</f>
        <v>454.99999999999994</v>
      </c>
      <c r="F77" s="100">
        <f>'СМР '!J77</f>
        <v>8185.390849999997</v>
      </c>
      <c r="G77" s="100">
        <f t="shared" si="7"/>
        <v>9822.4699999999993</v>
      </c>
    </row>
    <row r="78" spans="1:7" x14ac:dyDescent="0.25">
      <c r="A78" s="25">
        <f t="shared" si="6"/>
        <v>22</v>
      </c>
      <c r="B78" s="15" t="s">
        <v>81</v>
      </c>
      <c r="C78" s="20" t="s">
        <v>7</v>
      </c>
      <c r="D78" s="22">
        <f>D77</f>
        <v>17.989869999999996</v>
      </c>
      <c r="E78" s="100">
        <f>'СМР '!I78</f>
        <v>284.2</v>
      </c>
      <c r="F78" s="100">
        <f>'СМР '!J78</f>
        <v>5112.7210539999987</v>
      </c>
      <c r="G78" s="100">
        <f t="shared" si="7"/>
        <v>6135.27</v>
      </c>
    </row>
    <row r="79" spans="1:7" x14ac:dyDescent="0.25">
      <c r="A79" s="25">
        <f t="shared" si="6"/>
        <v>23</v>
      </c>
      <c r="B79" s="15" t="s">
        <v>105</v>
      </c>
      <c r="C79" s="20" t="s">
        <v>106</v>
      </c>
      <c r="D79" s="23">
        <f>(D71+D76+0.265*0.265*3.14*20)*1.75</f>
        <v>18.917727500000002</v>
      </c>
      <c r="E79" s="100">
        <f>'СМР '!I79</f>
        <v>454.99999999999994</v>
      </c>
      <c r="F79" s="100">
        <f>'СМР '!J79</f>
        <v>8607.5660124999995</v>
      </c>
      <c r="G79" s="100">
        <f t="shared" si="7"/>
        <v>10329.08</v>
      </c>
    </row>
    <row r="80" spans="1:7" x14ac:dyDescent="0.25">
      <c r="A80" s="25">
        <f t="shared" si="6"/>
        <v>24</v>
      </c>
      <c r="B80" s="15" t="s">
        <v>128</v>
      </c>
      <c r="C80" s="20" t="s">
        <v>7</v>
      </c>
      <c r="D80" s="23">
        <f>D71+D76+0.265*0.265*3.14*20</f>
        <v>10.810130000000001</v>
      </c>
      <c r="E80" s="100">
        <f>'СМР '!I80</f>
        <v>1350</v>
      </c>
      <c r="F80" s="100">
        <f>'СМР '!J80</f>
        <v>14593.675500000001</v>
      </c>
      <c r="G80" s="100">
        <f t="shared" si="7"/>
        <v>17512.41</v>
      </c>
    </row>
    <row r="81" spans="1:7" x14ac:dyDescent="0.25">
      <c r="A81" s="6"/>
      <c r="B81" s="145" t="s">
        <v>67</v>
      </c>
      <c r="C81" s="146"/>
      <c r="D81" s="146"/>
      <c r="E81" s="106"/>
      <c r="F81" s="106">
        <f>'СМР '!J81</f>
        <v>24079432.86418419</v>
      </c>
      <c r="G81" s="106">
        <f>SUM(G4:G80)</f>
        <v>28895326.459999993</v>
      </c>
    </row>
    <row r="82" spans="1:7" ht="30" x14ac:dyDescent="0.25">
      <c r="A82" s="25">
        <v>1</v>
      </c>
      <c r="B82" s="51" t="s">
        <v>67</v>
      </c>
      <c r="C82" s="20" t="s">
        <v>68</v>
      </c>
      <c r="D82" s="45">
        <v>1</v>
      </c>
      <c r="E82" s="100">
        <f>'СМР '!I83</f>
        <v>3167976</v>
      </c>
      <c r="F82" s="100">
        <f>'СМР '!J83</f>
        <v>3167976</v>
      </c>
      <c r="G82" s="100">
        <f t="shared" ref="G82" si="8">ROUND(F82*1.2,2)</f>
        <v>3801571.2</v>
      </c>
    </row>
    <row r="83" spans="1:7" x14ac:dyDescent="0.25">
      <c r="A83" s="103"/>
      <c r="B83" s="108" t="s">
        <v>134</v>
      </c>
      <c r="C83" s="103"/>
      <c r="D83" s="103"/>
      <c r="E83" s="106"/>
      <c r="F83" s="106">
        <f>'СМР '!J84</f>
        <v>27247408.86418419</v>
      </c>
      <c r="G83" s="106">
        <f>G81+G82</f>
        <v>32696897.659999993</v>
      </c>
    </row>
  </sheetData>
  <mergeCells count="12">
    <mergeCell ref="B44:D44"/>
    <mergeCell ref="B46:D46"/>
    <mergeCell ref="B56:D56"/>
    <mergeCell ref="B81:D81"/>
    <mergeCell ref="E1:G2"/>
    <mergeCell ref="B21:D21"/>
    <mergeCell ref="B38:D38"/>
    <mergeCell ref="A1:A3"/>
    <mergeCell ref="B1:B3"/>
    <mergeCell ref="C1:C3"/>
    <mergeCell ref="D1:D3"/>
    <mergeCell ref="B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B25" sqref="B25:D25"/>
    </sheetView>
  </sheetViews>
  <sheetFormatPr defaultRowHeight="15" x14ac:dyDescent="0.25"/>
  <cols>
    <col min="1" max="1" width="6.28515625" customWidth="1"/>
    <col min="2" max="2" width="61.42578125" customWidth="1"/>
    <col min="3" max="3" width="7" bestFit="1" customWidth="1"/>
    <col min="4" max="4" width="12.28515625" customWidth="1"/>
    <col min="5" max="5" width="12.7109375" bestFit="1" customWidth="1"/>
    <col min="6" max="6" width="14.28515625" bestFit="1" customWidth="1"/>
    <col min="7" max="7" width="15.28515625" bestFit="1" customWidth="1"/>
  </cols>
  <sheetData>
    <row r="1" spans="1:7" x14ac:dyDescent="0.25">
      <c r="A1" s="147" t="s">
        <v>0</v>
      </c>
      <c r="B1" s="150" t="s">
        <v>1</v>
      </c>
      <c r="C1" s="153" t="s">
        <v>2</v>
      </c>
      <c r="D1" s="153" t="s">
        <v>3</v>
      </c>
      <c r="E1" s="154" t="s">
        <v>130</v>
      </c>
      <c r="F1" s="154"/>
      <c r="G1" s="154"/>
    </row>
    <row r="2" spans="1:7" x14ac:dyDescent="0.25">
      <c r="A2" s="148"/>
      <c r="B2" s="151"/>
      <c r="C2" s="153"/>
      <c r="D2" s="153"/>
      <c r="E2" s="154"/>
      <c r="F2" s="154"/>
      <c r="G2" s="154"/>
    </row>
    <row r="3" spans="1:7" ht="42.75" x14ac:dyDescent="0.25">
      <c r="A3" s="149"/>
      <c r="B3" s="152"/>
      <c r="C3" s="153"/>
      <c r="D3" s="153"/>
      <c r="E3" s="2" t="s">
        <v>17</v>
      </c>
      <c r="F3" s="2" t="s">
        <v>18</v>
      </c>
      <c r="G3" s="31" t="s">
        <v>6</v>
      </c>
    </row>
    <row r="4" spans="1:7" x14ac:dyDescent="0.25">
      <c r="A4" s="4">
        <v>1</v>
      </c>
      <c r="B4" s="5">
        <v>2</v>
      </c>
      <c r="C4" s="5">
        <v>3</v>
      </c>
      <c r="D4" s="5">
        <v>4</v>
      </c>
      <c r="E4" s="4">
        <v>5</v>
      </c>
      <c r="F4" s="5">
        <v>6</v>
      </c>
      <c r="G4" s="5">
        <v>7</v>
      </c>
    </row>
    <row r="5" spans="1:7" x14ac:dyDescent="0.25">
      <c r="A5" s="6"/>
      <c r="B5" s="145" t="s">
        <v>23</v>
      </c>
      <c r="C5" s="146"/>
      <c r="D5" s="146"/>
      <c r="E5" s="87"/>
      <c r="F5" s="87"/>
      <c r="G5" s="87"/>
    </row>
    <row r="6" spans="1:7" x14ac:dyDescent="0.25">
      <c r="A6" s="10"/>
      <c r="B6" s="11" t="s">
        <v>14</v>
      </c>
      <c r="C6" s="12"/>
      <c r="D6" s="12"/>
      <c r="E6" s="87"/>
      <c r="F6" s="87"/>
      <c r="G6" s="87"/>
    </row>
    <row r="7" spans="1:7" x14ac:dyDescent="0.25">
      <c r="A7" s="25">
        <v>1</v>
      </c>
      <c r="B7" s="15" t="s">
        <v>19</v>
      </c>
      <c r="C7" s="20" t="s">
        <v>7</v>
      </c>
      <c r="D7" s="22">
        <f>18.24*1.2</f>
        <v>21.887999999999998</v>
      </c>
      <c r="E7" s="101">
        <v>1716</v>
      </c>
      <c r="F7" s="19">
        <f>материалы!J7</f>
        <v>37559.807999999997</v>
      </c>
      <c r="G7" s="19">
        <f t="shared" ref="G7:G70" si="0">ROUND(F7*1.2,2)</f>
        <v>45071.77</v>
      </c>
    </row>
    <row r="8" spans="1:7" x14ac:dyDescent="0.25">
      <c r="A8" s="25">
        <f>A7+1</f>
        <v>2</v>
      </c>
      <c r="B8" s="15" t="s">
        <v>21</v>
      </c>
      <c r="C8" s="20" t="s">
        <v>7</v>
      </c>
      <c r="D8" s="22">
        <f>36.48*1.26</f>
        <v>45.964799999999997</v>
      </c>
      <c r="E8" s="101">
        <v>3835</v>
      </c>
      <c r="F8" s="19">
        <f>материалы!J8</f>
        <v>176275.008</v>
      </c>
      <c r="G8" s="19">
        <f t="shared" si="0"/>
        <v>211530.01</v>
      </c>
    </row>
    <row r="9" spans="1:7" x14ac:dyDescent="0.25">
      <c r="A9" s="114">
        <f>A8+1</f>
        <v>3</v>
      </c>
      <c r="B9" s="110" t="s">
        <v>136</v>
      </c>
      <c r="C9" s="114" t="s">
        <v>15</v>
      </c>
      <c r="D9" s="115">
        <f>материалы!D9</f>
        <v>152</v>
      </c>
      <c r="E9" s="126">
        <v>7914.7204499999998</v>
      </c>
      <c r="F9" s="119">
        <f>материалы!J9</f>
        <v>1203037.5084000002</v>
      </c>
      <c r="G9" s="119">
        <f t="shared" si="0"/>
        <v>1443645.01</v>
      </c>
    </row>
    <row r="10" spans="1:7" hidden="1" x14ac:dyDescent="0.25">
      <c r="A10" s="114">
        <f>A9+1</f>
        <v>4</v>
      </c>
      <c r="B10" s="110"/>
      <c r="C10" s="114"/>
      <c r="D10" s="115"/>
      <c r="E10" s="126">
        <v>0</v>
      </c>
      <c r="F10" s="119">
        <f>материалы!J10</f>
        <v>0</v>
      </c>
      <c r="G10" s="119">
        <f t="shared" si="0"/>
        <v>0</v>
      </c>
    </row>
    <row r="11" spans="1:7" hidden="1" x14ac:dyDescent="0.25">
      <c r="A11" s="114">
        <f>A10+1</f>
        <v>5</v>
      </c>
      <c r="B11" s="110"/>
      <c r="C11" s="114"/>
      <c r="D11" s="115"/>
      <c r="E11" s="126">
        <v>0</v>
      </c>
      <c r="F11" s="119">
        <f>материалы!J11</f>
        <v>0</v>
      </c>
      <c r="G11" s="119">
        <f t="shared" si="0"/>
        <v>0</v>
      </c>
    </row>
    <row r="12" spans="1:7" hidden="1" x14ac:dyDescent="0.25">
      <c r="A12" s="114">
        <f>A11+1</f>
        <v>6</v>
      </c>
      <c r="B12" s="110"/>
      <c r="C12" s="114"/>
      <c r="D12" s="115"/>
      <c r="E12" s="126">
        <v>0</v>
      </c>
      <c r="F12" s="119">
        <f>материалы!J12</f>
        <v>0</v>
      </c>
      <c r="G12" s="119">
        <f t="shared" si="0"/>
        <v>0</v>
      </c>
    </row>
    <row r="13" spans="1:7" hidden="1" x14ac:dyDescent="0.25">
      <c r="A13" s="114">
        <f t="shared" ref="A13:A22" si="1">A12+1</f>
        <v>7</v>
      </c>
      <c r="B13" s="110"/>
      <c r="C13" s="114"/>
      <c r="D13" s="115"/>
      <c r="E13" s="126">
        <v>0</v>
      </c>
      <c r="F13" s="119">
        <f>материалы!J13</f>
        <v>0</v>
      </c>
      <c r="G13" s="119">
        <f t="shared" si="0"/>
        <v>0</v>
      </c>
    </row>
    <row r="14" spans="1:7" hidden="1" x14ac:dyDescent="0.25">
      <c r="A14" s="114">
        <f t="shared" si="1"/>
        <v>8</v>
      </c>
      <c r="B14" s="110"/>
      <c r="C14" s="114"/>
      <c r="D14" s="115"/>
      <c r="E14" s="126">
        <v>0</v>
      </c>
      <c r="F14" s="119">
        <f>материалы!J14</f>
        <v>0</v>
      </c>
      <c r="G14" s="119">
        <f t="shared" si="0"/>
        <v>0</v>
      </c>
    </row>
    <row r="15" spans="1:7" hidden="1" x14ac:dyDescent="0.25">
      <c r="A15" s="114">
        <f t="shared" si="1"/>
        <v>9</v>
      </c>
      <c r="B15" s="110"/>
      <c r="C15" s="114"/>
      <c r="D15" s="115"/>
      <c r="E15" s="126">
        <v>0</v>
      </c>
      <c r="F15" s="119">
        <f>материалы!J15</f>
        <v>0</v>
      </c>
      <c r="G15" s="119">
        <f t="shared" si="0"/>
        <v>0</v>
      </c>
    </row>
    <row r="16" spans="1:7" hidden="1" x14ac:dyDescent="0.25">
      <c r="A16" s="114">
        <f t="shared" si="1"/>
        <v>10</v>
      </c>
      <c r="B16" s="110"/>
      <c r="C16" s="114"/>
      <c r="D16" s="115"/>
      <c r="E16" s="126">
        <v>0</v>
      </c>
      <c r="F16" s="119">
        <f>материалы!J16</f>
        <v>0</v>
      </c>
      <c r="G16" s="119">
        <f t="shared" si="0"/>
        <v>0</v>
      </c>
    </row>
    <row r="17" spans="1:7" hidden="1" x14ac:dyDescent="0.25">
      <c r="A17" s="114">
        <f t="shared" si="1"/>
        <v>11</v>
      </c>
      <c r="B17" s="110"/>
      <c r="C17" s="114"/>
      <c r="D17" s="115"/>
      <c r="E17" s="126">
        <v>0</v>
      </c>
      <c r="F17" s="119">
        <f>материалы!J17</f>
        <v>0</v>
      </c>
      <c r="G17" s="119">
        <f t="shared" si="0"/>
        <v>0</v>
      </c>
    </row>
    <row r="18" spans="1:7" hidden="1" x14ac:dyDescent="0.25">
      <c r="A18" s="114">
        <f t="shared" si="1"/>
        <v>12</v>
      </c>
      <c r="B18" s="110"/>
      <c r="C18" s="114"/>
      <c r="D18" s="115"/>
      <c r="E18" s="126">
        <v>0</v>
      </c>
      <c r="F18" s="119">
        <f>материалы!J18</f>
        <v>0</v>
      </c>
      <c r="G18" s="119">
        <f t="shared" si="0"/>
        <v>0</v>
      </c>
    </row>
    <row r="19" spans="1:7" hidden="1" x14ac:dyDescent="0.25">
      <c r="A19" s="114">
        <f t="shared" si="1"/>
        <v>13</v>
      </c>
      <c r="B19" s="110"/>
      <c r="C19" s="114"/>
      <c r="D19" s="115"/>
      <c r="E19" s="126">
        <v>0</v>
      </c>
      <c r="F19" s="119">
        <f>материалы!J19</f>
        <v>0</v>
      </c>
      <c r="G19" s="119">
        <f t="shared" si="0"/>
        <v>0</v>
      </c>
    </row>
    <row r="20" spans="1:7" hidden="1" x14ac:dyDescent="0.25">
      <c r="A20" s="114">
        <f t="shared" si="1"/>
        <v>14</v>
      </c>
      <c r="B20" s="110"/>
      <c r="C20" s="114"/>
      <c r="D20" s="115"/>
      <c r="E20" s="126">
        <v>0</v>
      </c>
      <c r="F20" s="119">
        <f>материалы!J20</f>
        <v>0</v>
      </c>
      <c r="G20" s="119">
        <f t="shared" si="0"/>
        <v>0</v>
      </c>
    </row>
    <row r="21" spans="1:7" x14ac:dyDescent="0.25">
      <c r="A21" s="114">
        <f t="shared" si="1"/>
        <v>15</v>
      </c>
      <c r="B21" s="110" t="s">
        <v>140</v>
      </c>
      <c r="C21" s="114" t="s">
        <v>15</v>
      </c>
      <c r="D21" s="115">
        <f>материалы!D21</f>
        <v>304</v>
      </c>
      <c r="E21" s="126">
        <v>947.54399999999998</v>
      </c>
      <c r="F21" s="119">
        <f>материалы!J21</f>
        <v>288053.37599999999</v>
      </c>
      <c r="G21" s="119">
        <f t="shared" si="0"/>
        <v>345664.05</v>
      </c>
    </row>
    <row r="22" spans="1:7" x14ac:dyDescent="0.25">
      <c r="A22" s="25">
        <f t="shared" si="1"/>
        <v>16</v>
      </c>
      <c r="B22" s="15" t="s">
        <v>20</v>
      </c>
      <c r="C22" s="20" t="s">
        <v>13</v>
      </c>
      <c r="D22" s="22">
        <f>40*1.02</f>
        <v>40.799999999999997</v>
      </c>
      <c r="E22" s="101">
        <v>7111</v>
      </c>
      <c r="F22" s="19">
        <f>материалы!J22</f>
        <v>290128.8</v>
      </c>
      <c r="G22" s="19">
        <f t="shared" si="0"/>
        <v>348154.56</v>
      </c>
    </row>
    <row r="23" spans="1:7" x14ac:dyDescent="0.25">
      <c r="A23" s="37">
        <f>A22+1</f>
        <v>17</v>
      </c>
      <c r="B23" s="38" t="s">
        <v>30</v>
      </c>
      <c r="C23" s="37" t="s">
        <v>10</v>
      </c>
      <c r="D23" s="39">
        <v>1300</v>
      </c>
      <c r="E23" s="101">
        <v>199.32900000000004</v>
      </c>
      <c r="F23" s="19">
        <f>материалы!J23</f>
        <v>259127.70000000004</v>
      </c>
      <c r="G23" s="19">
        <f t="shared" si="0"/>
        <v>310953.24</v>
      </c>
    </row>
    <row r="24" spans="1:7" x14ac:dyDescent="0.25">
      <c r="A24" s="131"/>
      <c r="B24" s="127" t="str">
        <f>материалы!B24</f>
        <v>Мастика битумная</v>
      </c>
      <c r="C24" s="127" t="str">
        <f>материалы!C24</f>
        <v>кг</v>
      </c>
      <c r="D24" s="127">
        <f>материалы!D24</f>
        <v>1258</v>
      </c>
      <c r="E24" s="126">
        <v>53.300000000000004</v>
      </c>
      <c r="F24" s="126">
        <f>материалы!J24</f>
        <v>67051.400000000009</v>
      </c>
      <c r="G24" s="126">
        <f>материалы!K24</f>
        <v>80461.680000000008</v>
      </c>
    </row>
    <row r="25" spans="1:7" x14ac:dyDescent="0.25">
      <c r="A25" s="6"/>
      <c r="B25" s="145" t="s">
        <v>32</v>
      </c>
      <c r="C25" s="146"/>
      <c r="D25" s="146"/>
      <c r="E25" s="101">
        <f>материалы!I25</f>
        <v>0</v>
      </c>
      <c r="F25" s="19">
        <f>материалы!J25</f>
        <v>0</v>
      </c>
      <c r="G25" s="19">
        <f t="shared" si="0"/>
        <v>0</v>
      </c>
    </row>
    <row r="26" spans="1:7" x14ac:dyDescent="0.25">
      <c r="A26" s="25">
        <v>1</v>
      </c>
      <c r="B26" s="15" t="s">
        <v>34</v>
      </c>
      <c r="C26" s="20" t="s">
        <v>13</v>
      </c>
      <c r="D26" s="17">
        <v>912</v>
      </c>
      <c r="E26" s="101">
        <f>материалы!I26</f>
        <v>10564.417500000001</v>
      </c>
      <c r="F26" s="19">
        <f>материалы!J26</f>
        <v>9634748.7600000016</v>
      </c>
      <c r="G26" s="19">
        <f t="shared" si="0"/>
        <v>11561698.51</v>
      </c>
    </row>
    <row r="27" spans="1:7" x14ac:dyDescent="0.25">
      <c r="A27" s="25">
        <f>A26+1</f>
        <v>2</v>
      </c>
      <c r="B27" s="15" t="s">
        <v>35</v>
      </c>
      <c r="C27" s="20" t="s">
        <v>15</v>
      </c>
      <c r="D27" s="17">
        <v>160</v>
      </c>
      <c r="E27" s="101">
        <f>материалы!I27</f>
        <v>9990.2643750000007</v>
      </c>
      <c r="F27" s="19">
        <f>материалы!J27</f>
        <v>1598442.3</v>
      </c>
      <c r="G27" s="19">
        <f t="shared" si="0"/>
        <v>1918130.76</v>
      </c>
    </row>
    <row r="28" spans="1:7" x14ac:dyDescent="0.25">
      <c r="A28" s="25">
        <f t="shared" ref="A28:A42" si="2">A27+1</f>
        <v>3</v>
      </c>
      <c r="B28" s="15" t="s">
        <v>117</v>
      </c>
      <c r="C28" s="20" t="s">
        <v>15</v>
      </c>
      <c r="D28" s="17">
        <v>480</v>
      </c>
      <c r="E28" s="101">
        <f>материалы!I28</f>
        <v>252.62737500000003</v>
      </c>
      <c r="F28" s="19">
        <f>материалы!J28</f>
        <v>121261.14000000001</v>
      </c>
      <c r="G28" s="19">
        <f t="shared" si="0"/>
        <v>145513.37</v>
      </c>
    </row>
    <row r="29" spans="1:7" x14ac:dyDescent="0.25">
      <c r="A29" s="25">
        <f t="shared" si="2"/>
        <v>4</v>
      </c>
      <c r="B29" s="15" t="s">
        <v>36</v>
      </c>
      <c r="C29" s="20" t="s">
        <v>15</v>
      </c>
      <c r="D29" s="17">
        <v>840</v>
      </c>
      <c r="E29" s="101">
        <f>материалы!I29</f>
        <v>5282.2087500000007</v>
      </c>
      <c r="F29" s="19">
        <f>материалы!J29</f>
        <v>4437055.3500000006</v>
      </c>
      <c r="G29" s="19">
        <f t="shared" si="0"/>
        <v>5324466.42</v>
      </c>
    </row>
    <row r="30" spans="1:7" x14ac:dyDescent="0.25">
      <c r="A30" s="25">
        <f t="shared" si="2"/>
        <v>5</v>
      </c>
      <c r="B30" s="15" t="s">
        <v>37</v>
      </c>
      <c r="C30" s="20" t="s">
        <v>15</v>
      </c>
      <c r="D30" s="17">
        <v>6720</v>
      </c>
      <c r="E30" s="101">
        <f>материалы!I30</f>
        <v>28.792630912500005</v>
      </c>
      <c r="F30" s="19">
        <f>материалы!J30</f>
        <v>193486.47973200004</v>
      </c>
      <c r="G30" s="19">
        <f t="shared" si="0"/>
        <v>232183.78</v>
      </c>
    </row>
    <row r="31" spans="1:7" x14ac:dyDescent="0.25">
      <c r="A31" s="25">
        <f t="shared" si="2"/>
        <v>6</v>
      </c>
      <c r="B31" s="15" t="s">
        <v>38</v>
      </c>
      <c r="C31" s="20" t="s">
        <v>15</v>
      </c>
      <c r="D31" s="17">
        <v>6720</v>
      </c>
      <c r="E31" s="101">
        <f>материалы!I31</f>
        <v>27.650066193750003</v>
      </c>
      <c r="F31" s="19">
        <f>материалы!J31</f>
        <v>185808.44482200002</v>
      </c>
      <c r="G31" s="19">
        <f t="shared" si="0"/>
        <v>222970.13</v>
      </c>
    </row>
    <row r="32" spans="1:7" x14ac:dyDescent="0.25">
      <c r="A32" s="25">
        <f t="shared" si="2"/>
        <v>7</v>
      </c>
      <c r="B32" s="15" t="s">
        <v>39</v>
      </c>
      <c r="C32" s="20" t="s">
        <v>15</v>
      </c>
      <c r="D32" s="17">
        <v>3360</v>
      </c>
      <c r="E32" s="101">
        <f>материалы!I32</f>
        <v>172.29186975000002</v>
      </c>
      <c r="F32" s="19">
        <f>материалы!J32</f>
        <v>578900.68236000009</v>
      </c>
      <c r="G32" s="19">
        <f t="shared" si="0"/>
        <v>694680.82</v>
      </c>
    </row>
    <row r="33" spans="1:7" x14ac:dyDescent="0.25">
      <c r="A33" s="25">
        <f t="shared" si="2"/>
        <v>8</v>
      </c>
      <c r="B33" s="15" t="s">
        <v>40</v>
      </c>
      <c r="C33" s="20" t="s">
        <v>15</v>
      </c>
      <c r="D33" s="17">
        <v>3360</v>
      </c>
      <c r="E33" s="101">
        <f>материалы!I33</f>
        <v>67.357350637200014</v>
      </c>
      <c r="F33" s="19">
        <f>материалы!J33</f>
        <v>226320.69814099206</v>
      </c>
      <c r="G33" s="19">
        <f t="shared" si="0"/>
        <v>271584.84000000003</v>
      </c>
    </row>
    <row r="34" spans="1:7" x14ac:dyDescent="0.25">
      <c r="A34" s="25">
        <f t="shared" si="2"/>
        <v>9</v>
      </c>
      <c r="B34" s="15" t="s">
        <v>42</v>
      </c>
      <c r="C34" s="20" t="s">
        <v>15</v>
      </c>
      <c r="D34" s="17">
        <v>3360</v>
      </c>
      <c r="E34" s="101">
        <f>материалы!I34</f>
        <v>20.6695125</v>
      </c>
      <c r="F34" s="19">
        <f>материалы!J34</f>
        <v>69449.562000000005</v>
      </c>
      <c r="G34" s="19">
        <f t="shared" si="0"/>
        <v>83339.47</v>
      </c>
    </row>
    <row r="35" spans="1:7" x14ac:dyDescent="0.25">
      <c r="A35" s="25">
        <f t="shared" si="2"/>
        <v>10</v>
      </c>
      <c r="B35" s="15" t="s">
        <v>41</v>
      </c>
      <c r="C35" s="20" t="s">
        <v>15</v>
      </c>
      <c r="D35" s="17">
        <v>3360</v>
      </c>
      <c r="E35" s="101">
        <f>материалы!I35</f>
        <v>11.378074500000002</v>
      </c>
      <c r="F35" s="19">
        <f>материалы!J35</f>
        <v>38230.330320000008</v>
      </c>
      <c r="G35" s="19">
        <f t="shared" si="0"/>
        <v>45876.4</v>
      </c>
    </row>
    <row r="36" spans="1:7" x14ac:dyDescent="0.25">
      <c r="A36" s="25">
        <f t="shared" si="2"/>
        <v>11</v>
      </c>
      <c r="B36" s="15" t="s">
        <v>43</v>
      </c>
      <c r="C36" s="20" t="s">
        <v>15</v>
      </c>
      <c r="D36" s="17">
        <v>3360</v>
      </c>
      <c r="E36" s="101">
        <f>материалы!I36</f>
        <v>126.75647439000002</v>
      </c>
      <c r="F36" s="19">
        <f>материалы!J36</f>
        <v>425901.7539504001</v>
      </c>
      <c r="G36" s="19">
        <f t="shared" si="0"/>
        <v>511082.1</v>
      </c>
    </row>
    <row r="37" spans="1:7" x14ac:dyDescent="0.25">
      <c r="A37" s="25">
        <f t="shared" si="2"/>
        <v>12</v>
      </c>
      <c r="B37" s="15" t="s">
        <v>44</v>
      </c>
      <c r="C37" s="20" t="s">
        <v>15</v>
      </c>
      <c r="D37" s="17">
        <v>1680</v>
      </c>
      <c r="E37" s="101">
        <f>материалы!I37</f>
        <v>57.415312500000006</v>
      </c>
      <c r="F37" s="19">
        <f>материалы!J37</f>
        <v>96457.725000000006</v>
      </c>
      <c r="G37" s="19">
        <f t="shared" si="0"/>
        <v>115749.27</v>
      </c>
    </row>
    <row r="38" spans="1:7" x14ac:dyDescent="0.25">
      <c r="A38" s="25">
        <f t="shared" si="2"/>
        <v>13</v>
      </c>
      <c r="B38" s="15" t="s">
        <v>45</v>
      </c>
      <c r="C38" s="20" t="s">
        <v>15</v>
      </c>
      <c r="D38" s="17">
        <v>1680</v>
      </c>
      <c r="E38" s="101">
        <f>материалы!I38</f>
        <v>2066.9512500000001</v>
      </c>
      <c r="F38" s="19">
        <f>материалы!J38</f>
        <v>3472478.1</v>
      </c>
      <c r="G38" s="19">
        <f t="shared" si="0"/>
        <v>4166973.72</v>
      </c>
    </row>
    <row r="39" spans="1:7" x14ac:dyDescent="0.25">
      <c r="A39" s="25">
        <f t="shared" si="2"/>
        <v>14</v>
      </c>
      <c r="B39" s="15" t="s">
        <v>46</v>
      </c>
      <c r="C39" s="20" t="s">
        <v>15</v>
      </c>
      <c r="D39" s="17">
        <v>1680</v>
      </c>
      <c r="E39" s="101">
        <f>материалы!I39</f>
        <v>103.34756250000001</v>
      </c>
      <c r="F39" s="19">
        <f>материалы!J39</f>
        <v>173623.90500000003</v>
      </c>
      <c r="G39" s="19">
        <f t="shared" si="0"/>
        <v>208348.69</v>
      </c>
    </row>
    <row r="40" spans="1:7" x14ac:dyDescent="0.25">
      <c r="A40" s="25">
        <f t="shared" si="2"/>
        <v>15</v>
      </c>
      <c r="B40" s="15" t="s">
        <v>19</v>
      </c>
      <c r="C40" s="20" t="s">
        <v>7</v>
      </c>
      <c r="D40" s="22">
        <f>364.8*1.2</f>
        <v>437.76</v>
      </c>
      <c r="E40" s="101">
        <f>материалы!I40</f>
        <v>1716</v>
      </c>
      <c r="F40" s="19">
        <f>материалы!J40</f>
        <v>751196.16000000003</v>
      </c>
      <c r="G40" s="19">
        <f t="shared" si="0"/>
        <v>901435.39</v>
      </c>
    </row>
    <row r="41" spans="1:7" x14ac:dyDescent="0.25">
      <c r="A41" s="25">
        <f t="shared" si="2"/>
        <v>16</v>
      </c>
      <c r="B41" s="38" t="s">
        <v>53</v>
      </c>
      <c r="C41" s="37" t="s">
        <v>7</v>
      </c>
      <c r="D41" s="19">
        <f>(574.56+201.12)*1.26</f>
        <v>977.35679999999991</v>
      </c>
      <c r="E41" s="101">
        <f>материалы!I41</f>
        <v>5741.6710000000003</v>
      </c>
      <c r="F41" s="19">
        <f>материалы!J41</f>
        <v>5611661.1952128001</v>
      </c>
      <c r="G41" s="19">
        <f t="shared" si="0"/>
        <v>6733993.4299999997</v>
      </c>
    </row>
    <row r="42" spans="1:7" x14ac:dyDescent="0.25">
      <c r="A42" s="25">
        <f t="shared" si="2"/>
        <v>17</v>
      </c>
      <c r="B42" s="38" t="s">
        <v>30</v>
      </c>
      <c r="C42" s="37" t="s">
        <v>10</v>
      </c>
      <c r="D42" s="39">
        <v>1641.6</v>
      </c>
      <c r="E42" s="101">
        <f>материалы!I42</f>
        <v>199.32900000000004</v>
      </c>
      <c r="F42" s="19">
        <f>материалы!J42</f>
        <v>327218.48640000005</v>
      </c>
      <c r="G42" s="19">
        <f t="shared" si="0"/>
        <v>392662.18</v>
      </c>
    </row>
    <row r="43" spans="1:7" x14ac:dyDescent="0.25">
      <c r="A43" s="6"/>
      <c r="B43" s="145" t="s">
        <v>57</v>
      </c>
      <c r="C43" s="146"/>
      <c r="D43" s="146"/>
      <c r="E43" s="101">
        <f>материалы!I43</f>
        <v>0</v>
      </c>
      <c r="F43" s="19">
        <f>материалы!J43</f>
        <v>0</v>
      </c>
      <c r="G43" s="19">
        <f t="shared" si="0"/>
        <v>0</v>
      </c>
    </row>
    <row r="44" spans="1:7" x14ac:dyDescent="0.25">
      <c r="A44" s="25">
        <v>1</v>
      </c>
      <c r="B44" s="15" t="s">
        <v>60</v>
      </c>
      <c r="C44" s="20" t="s">
        <v>15</v>
      </c>
      <c r="D44" s="17">
        <v>8</v>
      </c>
      <c r="E44" s="101">
        <f>материалы!I44</f>
        <v>27272.824624500001</v>
      </c>
      <c r="F44" s="19">
        <f>материалы!J44</f>
        <v>218182.59699600001</v>
      </c>
      <c r="G44" s="19">
        <f t="shared" si="0"/>
        <v>261819.12</v>
      </c>
    </row>
    <row r="45" spans="1:7" x14ac:dyDescent="0.25">
      <c r="A45" s="25">
        <f>A44+1</f>
        <v>2</v>
      </c>
      <c r="B45" s="15" t="s">
        <v>60</v>
      </c>
      <c r="C45" s="20" t="s">
        <v>15</v>
      </c>
      <c r="D45" s="17">
        <v>8</v>
      </c>
      <c r="E45" s="101">
        <f>материалы!I45</f>
        <v>27272.824624500001</v>
      </c>
      <c r="F45" s="19">
        <f>материалы!J45</f>
        <v>218182.59699600001</v>
      </c>
      <c r="G45" s="19">
        <f t="shared" si="0"/>
        <v>261819.12</v>
      </c>
    </row>
    <row r="46" spans="1:7" x14ac:dyDescent="0.25">
      <c r="A46" s="25">
        <f>A45+1</f>
        <v>3</v>
      </c>
      <c r="B46" s="15" t="s">
        <v>61</v>
      </c>
      <c r="C46" s="20" t="s">
        <v>15</v>
      </c>
      <c r="D46" s="17">
        <v>16</v>
      </c>
      <c r="E46" s="101">
        <f>материалы!I46</f>
        <v>3789.4106250000004</v>
      </c>
      <c r="F46" s="19">
        <f>материалы!J46</f>
        <v>60630.570000000007</v>
      </c>
      <c r="G46" s="19">
        <f t="shared" si="0"/>
        <v>72756.679999999993</v>
      </c>
    </row>
    <row r="47" spans="1:7" x14ac:dyDescent="0.25">
      <c r="A47" s="25">
        <f t="shared" ref="A47:A52" si="3">A46+1</f>
        <v>4</v>
      </c>
      <c r="B47" s="15" t="s">
        <v>61</v>
      </c>
      <c r="C47" s="20" t="s">
        <v>15</v>
      </c>
      <c r="D47" s="17">
        <v>6</v>
      </c>
      <c r="E47" s="101">
        <f>материалы!I47</f>
        <v>3789.4106250000004</v>
      </c>
      <c r="F47" s="19">
        <f>материалы!J47</f>
        <v>22736.463750000003</v>
      </c>
      <c r="G47" s="19">
        <f t="shared" si="0"/>
        <v>27283.759999999998</v>
      </c>
    </row>
    <row r="48" spans="1:7" x14ac:dyDescent="0.25">
      <c r="A48" s="25">
        <f t="shared" si="3"/>
        <v>5</v>
      </c>
      <c r="B48" s="15" t="s">
        <v>62</v>
      </c>
      <c r="C48" s="20" t="s">
        <v>15</v>
      </c>
      <c r="D48" s="17">
        <v>16</v>
      </c>
      <c r="E48" s="101">
        <f>материалы!I48</f>
        <v>7578.8212500000009</v>
      </c>
      <c r="F48" s="19">
        <f>материалы!J48</f>
        <v>121261.14000000001</v>
      </c>
      <c r="G48" s="19">
        <f t="shared" si="0"/>
        <v>145513.37</v>
      </c>
    </row>
    <row r="49" spans="1:7" x14ac:dyDescent="0.25">
      <c r="A49" s="25">
        <f t="shared" si="3"/>
        <v>6</v>
      </c>
      <c r="B49" s="15" t="s">
        <v>63</v>
      </c>
      <c r="C49" s="20" t="s">
        <v>15</v>
      </c>
      <c r="D49" s="17">
        <v>16</v>
      </c>
      <c r="E49" s="101">
        <f>материалы!I49</f>
        <v>3444.9187500000003</v>
      </c>
      <c r="F49" s="19">
        <f>материалы!J49</f>
        <v>55118.700000000004</v>
      </c>
      <c r="G49" s="19">
        <f t="shared" si="0"/>
        <v>66142.44</v>
      </c>
    </row>
    <row r="50" spans="1:7" x14ac:dyDescent="0.25">
      <c r="A50" s="25">
        <f t="shared" si="3"/>
        <v>7</v>
      </c>
      <c r="B50" s="15" t="s">
        <v>64</v>
      </c>
      <c r="C50" s="20" t="s">
        <v>15</v>
      </c>
      <c r="D50" s="17">
        <v>16</v>
      </c>
      <c r="E50" s="101">
        <f>материалы!I50</f>
        <v>40.197280500000005</v>
      </c>
      <c r="F50" s="19">
        <f>материалы!J50</f>
        <v>643.15648800000008</v>
      </c>
      <c r="G50" s="19">
        <f t="shared" si="0"/>
        <v>771.79</v>
      </c>
    </row>
    <row r="51" spans="1:7" x14ac:dyDescent="0.25">
      <c r="A51" s="25">
        <f t="shared" si="3"/>
        <v>8</v>
      </c>
      <c r="B51" s="15" t="s">
        <v>65</v>
      </c>
      <c r="C51" s="20" t="s">
        <v>15</v>
      </c>
      <c r="D51" s="17">
        <v>8</v>
      </c>
      <c r="E51" s="101">
        <f>материалы!I51</f>
        <v>57.415312500000006</v>
      </c>
      <c r="F51" s="19">
        <f>материалы!J51</f>
        <v>459.32250000000005</v>
      </c>
      <c r="G51" s="19">
        <f t="shared" si="0"/>
        <v>551.19000000000005</v>
      </c>
    </row>
    <row r="52" spans="1:7" x14ac:dyDescent="0.25">
      <c r="A52" s="25">
        <f t="shared" si="3"/>
        <v>9</v>
      </c>
      <c r="B52" s="15" t="s">
        <v>66</v>
      </c>
      <c r="C52" s="20" t="s">
        <v>15</v>
      </c>
      <c r="D52" s="17">
        <v>8</v>
      </c>
      <c r="E52" s="101">
        <f>материалы!I52</f>
        <v>1722.4593750000001</v>
      </c>
      <c r="F52" s="19">
        <f>материалы!J52</f>
        <v>13779.675000000001</v>
      </c>
      <c r="G52" s="19">
        <f t="shared" si="0"/>
        <v>16535.61</v>
      </c>
    </row>
    <row r="53" spans="1:7" x14ac:dyDescent="0.25">
      <c r="A53" s="6"/>
      <c r="B53" s="145" t="s">
        <v>69</v>
      </c>
      <c r="C53" s="146"/>
      <c r="D53" s="146"/>
      <c r="E53" s="101">
        <f>материалы!I53</f>
        <v>0</v>
      </c>
      <c r="F53" s="19">
        <f>материалы!J53</f>
        <v>0</v>
      </c>
      <c r="G53" s="19">
        <f t="shared" si="0"/>
        <v>0</v>
      </c>
    </row>
    <row r="54" spans="1:7" x14ac:dyDescent="0.25">
      <c r="A54" s="25">
        <v>1</v>
      </c>
      <c r="B54" s="24" t="s">
        <v>82</v>
      </c>
      <c r="C54" s="20" t="s">
        <v>15</v>
      </c>
      <c r="D54" s="28">
        <v>3</v>
      </c>
      <c r="E54" s="101">
        <f>материалы!I54</f>
        <v>195000</v>
      </c>
      <c r="F54" s="19">
        <f>материалы!J54</f>
        <v>585000</v>
      </c>
      <c r="G54" s="19">
        <f t="shared" si="0"/>
        <v>702000</v>
      </c>
    </row>
    <row r="55" spans="1:7" x14ac:dyDescent="0.25">
      <c r="A55" s="25">
        <f t="shared" ref="A55" si="4">A54+1</f>
        <v>2</v>
      </c>
      <c r="B55" s="15" t="s">
        <v>19</v>
      </c>
      <c r="C55" s="20" t="s">
        <v>7</v>
      </c>
      <c r="D55" s="22">
        <f>1.44*1.2</f>
        <v>1.728</v>
      </c>
      <c r="E55" s="101">
        <f>материалы!I55</f>
        <v>1716</v>
      </c>
      <c r="F55" s="19">
        <f>материалы!J55</f>
        <v>2965.248</v>
      </c>
      <c r="G55" s="19">
        <f t="shared" si="0"/>
        <v>3558.3</v>
      </c>
    </row>
    <row r="56" spans="1:7" x14ac:dyDescent="0.25">
      <c r="A56" s="25">
        <v>3</v>
      </c>
      <c r="B56" s="24" t="s">
        <v>114</v>
      </c>
      <c r="C56" s="25" t="s">
        <v>115</v>
      </c>
      <c r="D56" s="28">
        <v>1</v>
      </c>
      <c r="E56" s="101">
        <f>материалы!I56</f>
        <v>111800</v>
      </c>
      <c r="F56" s="19">
        <f>материалы!J56</f>
        <v>111800</v>
      </c>
      <c r="G56" s="19">
        <f t="shared" si="0"/>
        <v>134160</v>
      </c>
    </row>
    <row r="57" spans="1:7" x14ac:dyDescent="0.25">
      <c r="A57" s="6"/>
      <c r="B57" s="145" t="s">
        <v>75</v>
      </c>
      <c r="C57" s="146"/>
      <c r="D57" s="146"/>
      <c r="E57" s="101">
        <f>материалы!I57</f>
        <v>0</v>
      </c>
      <c r="F57" s="19">
        <f>материалы!J57</f>
        <v>0</v>
      </c>
      <c r="G57" s="19">
        <f t="shared" si="0"/>
        <v>0</v>
      </c>
    </row>
    <row r="58" spans="1:7" x14ac:dyDescent="0.25">
      <c r="A58" s="25">
        <v>1</v>
      </c>
      <c r="B58" s="24" t="s">
        <v>84</v>
      </c>
      <c r="C58" s="25" t="s">
        <v>15</v>
      </c>
      <c r="D58" s="28">
        <v>1</v>
      </c>
      <c r="E58" s="101">
        <f>материалы!I58</f>
        <v>8768.5</v>
      </c>
      <c r="F58" s="19">
        <f>материалы!J58</f>
        <v>8768.5</v>
      </c>
      <c r="G58" s="19">
        <f t="shared" si="0"/>
        <v>10522.2</v>
      </c>
    </row>
    <row r="59" spans="1:7" x14ac:dyDescent="0.25">
      <c r="A59" s="25">
        <f>A58+1</f>
        <v>2</v>
      </c>
      <c r="B59" s="24" t="s">
        <v>85</v>
      </c>
      <c r="C59" s="25" t="s">
        <v>15</v>
      </c>
      <c r="D59" s="28">
        <v>1</v>
      </c>
      <c r="E59" s="101">
        <f>материалы!I59</f>
        <v>8453.9</v>
      </c>
      <c r="F59" s="19">
        <f>материалы!J59</f>
        <v>8453.9</v>
      </c>
      <c r="G59" s="19">
        <f t="shared" si="0"/>
        <v>10144.68</v>
      </c>
    </row>
    <row r="60" spans="1:7" x14ac:dyDescent="0.25">
      <c r="A60" s="25">
        <f>A59+1</f>
        <v>3</v>
      </c>
      <c r="B60" s="24" t="s">
        <v>86</v>
      </c>
      <c r="C60" s="25" t="s">
        <v>15</v>
      </c>
      <c r="D60" s="28">
        <v>2</v>
      </c>
      <c r="E60" s="101">
        <f>материалы!I60</f>
        <v>9921.6</v>
      </c>
      <c r="F60" s="19">
        <f>материалы!J60</f>
        <v>19843.2</v>
      </c>
      <c r="G60" s="19">
        <f t="shared" si="0"/>
        <v>23811.84</v>
      </c>
    </row>
    <row r="61" spans="1:7" x14ac:dyDescent="0.25">
      <c r="A61" s="25">
        <f t="shared" ref="A61:A70" si="5">A60+1</f>
        <v>4</v>
      </c>
      <c r="B61" s="24" t="s">
        <v>87</v>
      </c>
      <c r="C61" s="25" t="s">
        <v>15</v>
      </c>
      <c r="D61" s="48" t="s">
        <v>88</v>
      </c>
      <c r="E61" s="101">
        <f>материалы!I61</f>
        <v>4928.3</v>
      </c>
      <c r="F61" s="19">
        <f>материалы!J61</f>
        <v>4928.3</v>
      </c>
      <c r="G61" s="19">
        <f t="shared" si="0"/>
        <v>5913.96</v>
      </c>
    </row>
    <row r="62" spans="1:7" x14ac:dyDescent="0.25">
      <c r="A62" s="25">
        <f t="shared" si="5"/>
        <v>5</v>
      </c>
      <c r="B62" s="24" t="s">
        <v>89</v>
      </c>
      <c r="C62" s="25" t="s">
        <v>15</v>
      </c>
      <c r="D62" s="48" t="s">
        <v>88</v>
      </c>
      <c r="E62" s="101">
        <f>материалы!I62</f>
        <v>5787.6</v>
      </c>
      <c r="F62" s="19">
        <f>материалы!J62</f>
        <v>5787.6</v>
      </c>
      <c r="G62" s="19">
        <f t="shared" si="0"/>
        <v>6945.12</v>
      </c>
    </row>
    <row r="63" spans="1:7" x14ac:dyDescent="0.25">
      <c r="A63" s="25">
        <f t="shared" si="5"/>
        <v>6</v>
      </c>
      <c r="B63" s="24" t="s">
        <v>90</v>
      </c>
      <c r="C63" s="25" t="s">
        <v>15</v>
      </c>
      <c r="D63" s="48" t="s">
        <v>88</v>
      </c>
      <c r="E63" s="101">
        <f>материалы!I63</f>
        <v>19734.000000000004</v>
      </c>
      <c r="F63" s="19">
        <f>материалы!J63</f>
        <v>19734.000000000004</v>
      </c>
      <c r="G63" s="19">
        <f t="shared" si="0"/>
        <v>23680.799999999999</v>
      </c>
    </row>
    <row r="64" spans="1:7" ht="45" x14ac:dyDescent="0.25">
      <c r="A64" s="25">
        <f t="shared" si="5"/>
        <v>7</v>
      </c>
      <c r="B64" s="24" t="s">
        <v>91</v>
      </c>
      <c r="C64" s="25" t="s">
        <v>15</v>
      </c>
      <c r="D64" s="48" t="s">
        <v>99</v>
      </c>
      <c r="E64" s="101">
        <f>материалы!I64</f>
        <v>18606.900000000001</v>
      </c>
      <c r="F64" s="19">
        <f>материалы!J64</f>
        <v>37213.800000000003</v>
      </c>
      <c r="G64" s="19">
        <f t="shared" si="0"/>
        <v>44656.56</v>
      </c>
    </row>
    <row r="65" spans="1:7" ht="30" x14ac:dyDescent="0.25">
      <c r="A65" s="25">
        <f t="shared" si="5"/>
        <v>8</v>
      </c>
      <c r="B65" s="24" t="s">
        <v>92</v>
      </c>
      <c r="C65" s="25" t="s">
        <v>93</v>
      </c>
      <c r="D65" s="48" t="s">
        <v>94</v>
      </c>
      <c r="E65" s="101">
        <f>материалы!I65</f>
        <v>912.6</v>
      </c>
      <c r="F65" s="19">
        <f>материалы!J65</f>
        <v>14784.119999999999</v>
      </c>
      <c r="G65" s="19">
        <f t="shared" si="0"/>
        <v>17740.939999999999</v>
      </c>
    </row>
    <row r="66" spans="1:7" x14ac:dyDescent="0.25">
      <c r="A66" s="25">
        <f t="shared" si="5"/>
        <v>9</v>
      </c>
      <c r="B66" s="24" t="s">
        <v>95</v>
      </c>
      <c r="C66" s="25" t="s">
        <v>96</v>
      </c>
      <c r="D66" s="49">
        <f>6.38*20/16</f>
        <v>7.9749999999999996</v>
      </c>
      <c r="E66" s="101">
        <f>материалы!I66</f>
        <v>325</v>
      </c>
      <c r="F66" s="19">
        <f>материалы!J66</f>
        <v>2591.875</v>
      </c>
      <c r="G66" s="19">
        <f t="shared" si="0"/>
        <v>3110.25</v>
      </c>
    </row>
    <row r="67" spans="1:7" x14ac:dyDescent="0.25">
      <c r="A67" s="25">
        <f t="shared" si="5"/>
        <v>10</v>
      </c>
      <c r="B67" s="24" t="s">
        <v>97</v>
      </c>
      <c r="C67" s="25" t="s">
        <v>93</v>
      </c>
      <c r="D67" s="48" t="s">
        <v>98</v>
      </c>
      <c r="E67" s="101">
        <f>материалы!I67</f>
        <v>405.6</v>
      </c>
      <c r="F67" s="19">
        <f>материалы!J67</f>
        <v>14776.008</v>
      </c>
      <c r="G67" s="19">
        <f t="shared" si="0"/>
        <v>17731.21</v>
      </c>
    </row>
    <row r="68" spans="1:7" x14ac:dyDescent="0.25">
      <c r="A68" s="25">
        <f t="shared" si="5"/>
        <v>11</v>
      </c>
      <c r="B68" s="24" t="s">
        <v>76</v>
      </c>
      <c r="C68" s="29" t="s">
        <v>13</v>
      </c>
      <c r="D68" s="28">
        <v>19</v>
      </c>
      <c r="E68" s="101">
        <f>материалы!I68</f>
        <v>21086</v>
      </c>
      <c r="F68" s="19">
        <f>материалы!J68</f>
        <v>400634</v>
      </c>
      <c r="G68" s="19">
        <f t="shared" si="0"/>
        <v>480760.8</v>
      </c>
    </row>
    <row r="69" spans="1:7" x14ac:dyDescent="0.25">
      <c r="A69" s="25">
        <f t="shared" si="5"/>
        <v>12</v>
      </c>
      <c r="B69" s="24" t="s">
        <v>77</v>
      </c>
      <c r="C69" s="29" t="s">
        <v>13</v>
      </c>
      <c r="D69" s="28">
        <v>19</v>
      </c>
      <c r="E69" s="101">
        <f>материалы!I69</f>
        <v>6076.2</v>
      </c>
      <c r="F69" s="19">
        <f>материалы!J69</f>
        <v>115447.8</v>
      </c>
      <c r="G69" s="19">
        <f t="shared" si="0"/>
        <v>138537.35999999999</v>
      </c>
    </row>
    <row r="70" spans="1:7" x14ac:dyDescent="0.25">
      <c r="A70" s="25">
        <f t="shared" si="5"/>
        <v>13</v>
      </c>
      <c r="B70" s="15" t="s">
        <v>19</v>
      </c>
      <c r="C70" s="20" t="s">
        <v>7</v>
      </c>
      <c r="D70" s="22">
        <f>7.02*1.2</f>
        <v>8.4239999999999995</v>
      </c>
      <c r="E70" s="101">
        <f>материалы!I70</f>
        <v>1716</v>
      </c>
      <c r="F70" s="19">
        <f>материалы!J70</f>
        <v>14455.583999999999</v>
      </c>
      <c r="G70" s="19">
        <f t="shared" si="0"/>
        <v>17346.7</v>
      </c>
    </row>
    <row r="71" spans="1:7" x14ac:dyDescent="0.25">
      <c r="A71" s="87"/>
      <c r="B71" s="107" t="s">
        <v>134</v>
      </c>
      <c r="C71" s="87"/>
      <c r="D71" s="87"/>
      <c r="E71" s="87"/>
      <c r="F71" s="34">
        <f>SUM(F6:F70)</f>
        <v>32341652.830068205</v>
      </c>
      <c r="G71" s="34">
        <f>SUM(G6:G70)</f>
        <v>38809983.399999984</v>
      </c>
    </row>
  </sheetData>
  <mergeCells count="10">
    <mergeCell ref="B43:D43"/>
    <mergeCell ref="B53:D53"/>
    <mergeCell ref="B57:D57"/>
    <mergeCell ref="E1:G2"/>
    <mergeCell ref="A1:A3"/>
    <mergeCell ref="B1:B3"/>
    <mergeCell ref="C1:C3"/>
    <mergeCell ref="D1:D3"/>
    <mergeCell ref="B5:D5"/>
    <mergeCell ref="B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Свод</vt:lpstr>
      <vt:lpstr>СМР </vt:lpstr>
      <vt:lpstr>материалы</vt:lpstr>
      <vt:lpstr>МВМ тупики СВОД</vt:lpstr>
      <vt:lpstr>МВМтупики СМР+ПИР</vt:lpstr>
      <vt:lpstr>МВМ тупики МТР</vt:lpstr>
      <vt:lpstr>материалы!Область_печати</vt:lpstr>
      <vt:lpstr>Свод!Область_печати</vt:lpstr>
      <vt:lpstr>'СМР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2023-10-31T07:58:42Z</dcterms:created>
  <dcterms:modified xsi:type="dcterms:W3CDTF">2023-11-03T21:50:09Z</dcterms:modified>
</cp:coreProperties>
</file>