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ЖД Пути\"/>
    </mc:Choice>
  </mc:AlternateContent>
  <xr:revisionPtr revIDLastSave="0" documentId="13_ncr:1_{F1AF308D-467E-420F-B099-4C6900609EDE}" xr6:coauthVersionLast="47" xr6:coauthVersionMax="47" xr10:uidLastSave="{00000000-0000-0000-0000-000000000000}"/>
  <bookViews>
    <workbookView xWindow="28680" yWindow="-120" windowWidth="29040" windowHeight="15840" activeTab="1" xr2:uid="{87C772D0-3920-4A32-A721-EA232773965F}"/>
  </bookViews>
  <sheets>
    <sheet name="СМР 417 путь" sheetId="1" r:id="rId1"/>
    <sheet name="мат 417 путь" sheetId="2" r:id="rId2"/>
    <sheet name="Спека 417 путь" sheetId="3" r:id="rId3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F29" i="2"/>
  <c r="G29" i="2" s="1"/>
  <c r="F28" i="2"/>
  <c r="G28" i="2" s="1"/>
  <c r="E27" i="2"/>
  <c r="F27" i="2" s="1"/>
  <c r="G27" i="2" s="1"/>
  <c r="E26" i="2"/>
  <c r="F26" i="2" s="1"/>
  <c r="G26" i="2" s="1"/>
  <c r="F25" i="2"/>
  <c r="G25" i="2" s="1"/>
  <c r="E24" i="2"/>
  <c r="F24" i="2" s="1"/>
  <c r="G24" i="2" s="1"/>
  <c r="E23" i="2"/>
  <c r="F23" i="2" s="1"/>
  <c r="G23" i="2" s="1"/>
  <c r="E22" i="2"/>
  <c r="F22" i="2" s="1"/>
  <c r="G22" i="2" s="1"/>
  <c r="E21" i="2"/>
  <c r="F21" i="2" s="1"/>
  <c r="G21" i="2" s="1"/>
  <c r="E20" i="2"/>
  <c r="F20" i="2" s="1"/>
  <c r="G20" i="2" s="1"/>
  <c r="G19" i="2"/>
  <c r="F19" i="2"/>
  <c r="F18" i="2"/>
  <c r="G18" i="2" s="1"/>
  <c r="E17" i="2"/>
  <c r="F17" i="2" s="1"/>
  <c r="G17" i="2" s="1"/>
  <c r="E16" i="2"/>
  <c r="F16" i="2" s="1"/>
  <c r="G16" i="2" s="1"/>
  <c r="E15" i="2"/>
  <c r="F15" i="2" s="1"/>
  <c r="G15" i="2" s="1"/>
  <c r="D15" i="2"/>
  <c r="F14" i="2"/>
  <c r="G14" i="2" s="1"/>
  <c r="E14" i="2"/>
  <c r="F13" i="2"/>
  <c r="G13" i="2" s="1"/>
  <c r="E13" i="2"/>
  <c r="D13" i="2"/>
  <c r="E12" i="2"/>
  <c r="F12" i="2" s="1"/>
  <c r="G12" i="2" s="1"/>
  <c r="D12" i="2"/>
  <c r="E11" i="2"/>
  <c r="F11" i="2" s="1"/>
  <c r="G11" i="2" s="1"/>
  <c r="E10" i="2"/>
  <c r="F10" i="2" s="1"/>
  <c r="G10" i="2" s="1"/>
  <c r="D10" i="2"/>
  <c r="E9" i="2"/>
  <c r="F9" i="2" s="1"/>
  <c r="G9" i="2" s="1"/>
  <c r="E8" i="2"/>
  <c r="F8" i="2" s="1"/>
  <c r="G8" i="2" s="1"/>
  <c r="E7" i="2"/>
  <c r="F7" i="2" s="1"/>
  <c r="G7" i="2" s="1"/>
  <c r="E6" i="2"/>
  <c r="F6" i="2" s="1"/>
  <c r="G6" i="2" s="1"/>
  <c r="E5" i="2"/>
  <c r="F5" i="2" s="1"/>
  <c r="D5" i="2"/>
  <c r="A5" i="2"/>
  <c r="A6" i="2" s="1"/>
  <c r="A7" i="2" s="1"/>
  <c r="A8" i="2" s="1"/>
  <c r="A9" i="2" s="1"/>
  <c r="A10" i="2" s="1"/>
  <c r="A11" i="2" s="1"/>
  <c r="A12" i="2" s="1"/>
  <c r="F4" i="2"/>
  <c r="E4" i="2"/>
  <c r="F34" i="1"/>
  <c r="G34" i="1" s="1"/>
  <c r="F33" i="1"/>
  <c r="G33" i="1" s="1"/>
  <c r="F32" i="1"/>
  <c r="G32" i="1" s="1"/>
  <c r="G31" i="1"/>
  <c r="F31" i="1"/>
  <c r="F30" i="1"/>
  <c r="G30" i="1" s="1"/>
  <c r="F29" i="1"/>
  <c r="G29" i="1" s="1"/>
  <c r="F28" i="1"/>
  <c r="G28" i="1" s="1"/>
  <c r="E27" i="1"/>
  <c r="F27" i="1" s="1"/>
  <c r="G27" i="1" s="1"/>
  <c r="G26" i="1"/>
  <c r="F26" i="1"/>
  <c r="F25" i="1"/>
  <c r="G25" i="1" s="1"/>
  <c r="D25" i="1"/>
  <c r="F24" i="1"/>
  <c r="G24" i="1" s="1"/>
  <c r="F23" i="1"/>
  <c r="G23" i="1" s="1"/>
  <c r="F22" i="1"/>
  <c r="G22" i="1" s="1"/>
  <c r="G21" i="1"/>
  <c r="F21" i="1"/>
  <c r="F20" i="1"/>
  <c r="G20" i="1" s="1"/>
  <c r="E20" i="1"/>
  <c r="D20" i="1"/>
  <c r="G19" i="1"/>
  <c r="F19" i="1"/>
  <c r="F18" i="1"/>
  <c r="G18" i="1" s="1"/>
  <c r="E17" i="1"/>
  <c r="F17" i="1" s="1"/>
  <c r="G17" i="1" s="1"/>
  <c r="E16" i="1"/>
  <c r="F16" i="1" s="1"/>
  <c r="G16" i="1" s="1"/>
  <c r="F14" i="1"/>
  <c r="G14" i="1" s="1"/>
  <c r="G13" i="1"/>
  <c r="F13" i="1"/>
  <c r="G12" i="1"/>
  <c r="F12" i="1"/>
  <c r="F11" i="1"/>
  <c r="G11" i="1" s="1"/>
  <c r="F10" i="1"/>
  <c r="G10" i="1" s="1"/>
  <c r="E8" i="1"/>
  <c r="F8" i="1" s="1"/>
  <c r="G8" i="1" s="1"/>
  <c r="E7" i="1"/>
  <c r="F7" i="1" s="1"/>
  <c r="G7" i="1" s="1"/>
  <c r="A7" i="1"/>
  <c r="A8" i="1" s="1"/>
  <c r="A10" i="1" s="1"/>
  <c r="A11" i="1" s="1"/>
  <c r="A12" i="1" s="1"/>
  <c r="A13" i="1" s="1"/>
  <c r="A14" i="1" s="1"/>
  <c r="A16" i="1" s="1"/>
  <c r="A17" i="1" s="1"/>
  <c r="A18" i="1" s="1"/>
  <c r="A19" i="1" s="1"/>
  <c r="A20" i="1" s="1"/>
  <c r="A21" i="1" s="1"/>
  <c r="G6" i="1"/>
  <c r="F6" i="1"/>
  <c r="A6" i="1"/>
  <c r="G5" i="1"/>
  <c r="G35" i="1" s="1"/>
  <c r="F5" i="1"/>
  <c r="F35" i="1" s="1"/>
  <c r="E5" i="1"/>
  <c r="F30" i="2" l="1"/>
  <c r="A15" i="2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13" i="2"/>
  <c r="A14" i="2" s="1"/>
  <c r="G4" i="2"/>
  <c r="G30" i="2" s="1"/>
  <c r="A25" i="1"/>
  <c r="A26" i="1" s="1"/>
  <c r="A27" i="1" s="1"/>
  <c r="A28" i="1" s="1"/>
  <c r="A29" i="1" s="1"/>
  <c r="A30" i="1" s="1"/>
  <c r="A31" i="1" s="1"/>
  <c r="A32" i="1" s="1"/>
  <c r="A33" i="1" s="1"/>
  <c r="A34" i="1" s="1"/>
  <c r="A22" i="1"/>
  <c r="A23" i="1" s="1"/>
  <c r="A24" i="1" s="1"/>
  <c r="G36" i="1"/>
  <c r="G37" i="1" s="1"/>
  <c r="F36" i="1"/>
  <c r="F37" i="1" s="1"/>
</calcChain>
</file>

<file path=xl/sharedStrings.xml><?xml version="1.0" encoding="utf-8"?>
<sst xmlns="http://schemas.openxmlformats.org/spreadsheetml/2006/main" count="215" uniqueCount="131">
  <si>
    <t>№</t>
  </si>
  <si>
    <t>Наименование работ и затрат</t>
  </si>
  <si>
    <t>Ед.изм.</t>
  </si>
  <si>
    <t>Кол-во</t>
  </si>
  <si>
    <t>ООО "ТЕХРЕСУРС"</t>
  </si>
  <si>
    <t>Цена за ед. без НДС</t>
  </si>
  <si>
    <t>Итого без НДС</t>
  </si>
  <si>
    <t>ИТОГО с НДС</t>
  </si>
  <si>
    <t>Сооружение земляного полотна</t>
  </si>
  <si>
    <t>Выемка техногенного грунта с перевозкой на 30 км и утилизацией</t>
  </si>
  <si>
    <t>м3</t>
  </si>
  <si>
    <t>Устройство насыпи из дренирующего грунта (песка)</t>
  </si>
  <si>
    <t xml:space="preserve">Планировка основной площадки насыпи </t>
  </si>
  <si>
    <t>м2</t>
  </si>
  <si>
    <t>Планировка откосов выемок и насыпей</t>
  </si>
  <si>
    <t>Демонтажные работы</t>
  </si>
  <si>
    <t>Разборка тупиковых упоров</t>
  </si>
  <si>
    <t>шт</t>
  </si>
  <si>
    <t>Разборка существующего звеньевого пути</t>
  </si>
  <si>
    <t>м</t>
  </si>
  <si>
    <t>этих работ нет в ВОР, но необходимо от нулевой точки</t>
  </si>
  <si>
    <t>Разборка стрелочного перевода марки 1/9 на деревянных брусьях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</si>
  <si>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</si>
  <si>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</si>
  <si>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Верхнее строение пути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</si>
  <si>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</si>
  <si>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</si>
  <si>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</si>
  <si>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</si>
  <si>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Сверление стыковых отверстий в новых рельсах</t>
  </si>
  <si>
    <t>шт.</t>
  </si>
  <si>
    <t>этих работ нет в ВОР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</si>
  <si>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</si>
  <si>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этих работ нет в ВОР, но необходимо судя по схеме, вместо демонтируемого СП №16</t>
  </si>
  <si>
    <t>этих работ нет в ВОР, но необходимо под ходы СП №8</t>
  </si>
  <si>
    <t>этих работ нет в ВОР, но необходимо от нулевой точки и чать демонтируемого стрелочного перевода</t>
  </si>
  <si>
    <t>Укладка контррельсовый уголка в комплекте с башмаками и кремплением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</si>
  <si>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</si>
  <si>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комплект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</si>
  <si>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</si>
  <si>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</si>
  <si>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</si>
  <si>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</si>
  <si>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</si>
  <si>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</si>
  <si>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 xml:space="preserve">Установка тупиковых упоров </t>
  </si>
  <si>
    <t>Рихтовка пути</t>
  </si>
  <si>
    <t>Итого</t>
  </si>
  <si>
    <t>Непредвиденные работы (3%)</t>
  </si>
  <si>
    <t>Итого с непредвиденными</t>
  </si>
  <si>
    <t>№ п/п</t>
  </si>
  <si>
    <t>Наименование материалов</t>
  </si>
  <si>
    <t>Ед изм</t>
  </si>
  <si>
    <t>Цена за ед без НДС</t>
  </si>
  <si>
    <t>ВСЕГО без НДС</t>
  </si>
  <si>
    <t xml:space="preserve">ВСЕГО с НДС </t>
  </si>
  <si>
    <t>Песок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</si>
  <si>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</si>
  <si>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</si>
  <si>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</si>
  <si>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</si>
  <si>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</si>
  <si>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Болт стыковой в сборе Р65</t>
  </si>
  <si>
    <t>Накладка 6-дырная Р65</t>
  </si>
  <si>
    <t>Рельсо шпальная решетка Р-50 на деревянной шпале, тип крепления КД-50 в сборе</t>
  </si>
  <si>
    <t>нет в СО, но необходимо судя по схеме, вместо демонтируемого СП №16</t>
  </si>
  <si>
    <t>нет в СО, но необходимо  под ходы СП №8</t>
  </si>
  <si>
    <t>Болт стыковой в сборе Р50</t>
  </si>
  <si>
    <t>Накладка 6-дырная Р50</t>
  </si>
  <si>
    <t>Глухое пересечение угол 45гр типа Р-65 проект 534.06-2007.00.000-01 с комплектом деревянных брусьев и креплений</t>
  </si>
  <si>
    <t>Подкладки с упорами МП372.01.000</t>
  </si>
  <si>
    <t>Необъяснимая вещь</t>
  </si>
  <si>
    <t>Подкладки МП372.00.001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</si>
  <si>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</si>
  <si>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</si>
  <si>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</si>
  <si>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</si>
  <si>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</si>
  <si>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Механизм переводной стрелочного перевода (ручной Флюгарка) </t>
  </si>
  <si>
    <t>нет в СО</t>
  </si>
  <si>
    <t xml:space="preserve">Тупиковые упоры новые </t>
  </si>
  <si>
    <t>Тупиковые упоры старогодние</t>
  </si>
  <si>
    <t>Смесь песчано-гравийная</t>
  </si>
  <si>
    <t>Расходные и прочие сопутствующие материалы</t>
  </si>
  <si>
    <t>комплекс</t>
  </si>
  <si>
    <t>Поз.</t>
  </si>
  <si>
    <t>Наименование и техническая характеристика</t>
  </si>
  <si>
    <t>Тип, марка, обозначение документа, опросного листа</t>
  </si>
  <si>
    <t>Ед. измерения</t>
  </si>
  <si>
    <t>Кол.</t>
  </si>
  <si>
    <t>Масса 1 ед., кг</t>
  </si>
  <si>
    <t>Примечание</t>
  </si>
  <si>
    <t>Рельсы старогодние</t>
  </si>
  <si>
    <t>НТ тип Р-50 длина 12,5 м</t>
  </si>
  <si>
    <t>Рельсы новые и старогодние</t>
  </si>
  <si>
    <t>НТ тип Р-65 длина 12,5 м новые без болтовых отверстий</t>
  </si>
  <si>
    <t>В том числе могут быть использованы старогодние рельсы длиной 32 м - 2 шт., длиной 12,5 м - 36 шт. общей длиной 514 м.</t>
  </si>
  <si>
    <t>Накладки старогодние 1P-50 (по 2 шт. с комплектом крепления)</t>
  </si>
  <si>
    <t>ГОСТ 33184-2014</t>
  </si>
  <si>
    <t>комп- лект</t>
  </si>
  <si>
    <t>Накладки новые и старогодние 1P-65 (по 2 шт. с комплектом крепления)</t>
  </si>
  <si>
    <t>В том числе старогодние накладки в количестве - 16 шт.</t>
  </si>
  <si>
    <t>Деревянные шпалы</t>
  </si>
  <si>
    <t>II тип</t>
  </si>
  <si>
    <t>Железобетонные шпалы</t>
  </si>
  <si>
    <t>Ш-3 для ЖБР</t>
  </si>
  <si>
    <t>Скрепления</t>
  </si>
  <si>
    <t>КД50</t>
  </si>
  <si>
    <t>КД65</t>
  </si>
  <si>
    <t>ЖБР-65</t>
  </si>
  <si>
    <t>Контррельсовый уголок (с комплектом крепления)</t>
  </si>
  <si>
    <t>СП850 длина 9 м МСЗ.8318.00.000-03</t>
  </si>
  <si>
    <t>СП850 длина 9 м МСЗ.8318.00.000-04</t>
  </si>
  <si>
    <t>СП850 длина 9 м МСЗ.8318.00.000-05</t>
  </si>
  <si>
    <t>Подкладки с упорами</t>
  </si>
  <si>
    <t>МП372.01.000</t>
  </si>
  <si>
    <t>Подкладки</t>
  </si>
  <si>
    <t>Глухое пересечение (угол 45°) с комплектом деревянных брусьев и креплений</t>
  </si>
  <si>
    <t>типа Р65, Пр. 534.06-2007.00.000-01</t>
  </si>
  <si>
    <t>Стрелочный перевод с комплектом ж.б. брусьев и креплений</t>
  </si>
  <si>
    <t>типа Р65 марка 1/9 правый Пр. 2769.00.000</t>
  </si>
  <si>
    <t>типа Р65 марка 1/9 левый Пр. 2769.00.000-01</t>
  </si>
  <si>
    <t>Стрелочный перевод с комплектом деревянных брусьев и креплений новый и старогодний</t>
  </si>
  <si>
    <t>типа Р65 марка 1/9 правый Пр. 2766.00.000</t>
  </si>
  <si>
    <t>В том числе старогодний стрелочный перевод в количестве -1 шт.</t>
  </si>
  <si>
    <t>Стрелочный перевод с комплектом деревянных брусьев и креплений</t>
  </si>
  <si>
    <t>типа Р65 марка 1/9 левый Пр. 2766.00.000-01</t>
  </si>
  <si>
    <t>типа Р65 марка 1/7 левый, проект ЛПТП.665121.103М</t>
  </si>
  <si>
    <t>Тупиковые упоры новые и старогодний</t>
  </si>
  <si>
    <t>ТУ 5264-001-83875090-2016</t>
  </si>
  <si>
    <t>В том числе старогодний тупиковый упор в количестве -1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</si>
</sst>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sz val="11"/>
      <name val="Arial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top"/>
    </xf>
    <xf numFmtId="0" fontId="6" fillId="0" borderId="0"/>
    <xf numFmtId="0" fontId="11" fillId="0" borderId="0" applyBorder="0" applyProtection="0"/>
  </cellStyleXfs>
  <cellXfs count="10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164" fontId="4" fillId="0" borderId="1" xfId="1" applyNumberFormat="1" applyFont="1" applyBorder="1" applyAlignment="1">
      <alignment horizontal="center" vertical="center" wrapText="1"/>
    </xf>
    <xf numFmtId="1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8" fillId="0" borderId="1" xfId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164" fontId="8" fillId="3" borderId="1" xfId="1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164" fontId="8" fillId="4" borderId="1" xfId="1" applyNumberFormat="1" applyFont="1" applyFill="1" applyBorder="1" applyAlignment="1">
      <alignment horizontal="center" vertical="center" wrapText="1"/>
    </xf>
    <xf numFmtId="43" fontId="8" fillId="4" borderId="1" xfId="1" applyFont="1" applyFill="1" applyBorder="1" applyAlignment="1">
      <alignment horizontal="center" vertical="center" wrapText="1"/>
    </xf>
    <xf numFmtId="43" fontId="8" fillId="4" borderId="1" xfId="1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164" fontId="10" fillId="3" borderId="1" xfId="1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164" fontId="10" fillId="4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3" fontId="10" fillId="3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10" fillId="4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43" fontId="5" fillId="5" borderId="1" xfId="1" applyFont="1" applyFill="1" applyBorder="1" applyAlignment="1">
      <alignment vertical="center"/>
    </xf>
    <xf numFmtId="43" fontId="4" fillId="0" borderId="1" xfId="1" applyFont="1" applyBorder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65" fontId="8" fillId="0" borderId="1" xfId="1" applyNumberFormat="1" applyFont="1" applyBorder="1" applyAlignment="1">
      <alignment vertical="center"/>
    </xf>
    <xf numFmtId="164" fontId="8" fillId="0" borderId="1" xfId="1" applyNumberFormat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164" fontId="10" fillId="0" borderId="1" xfId="1" applyNumberFormat="1" applyFont="1" applyBorder="1" applyAlignment="1">
      <alignment vertical="center"/>
    </xf>
    <xf numFmtId="43" fontId="8" fillId="3" borderId="1" xfId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/>
    </xf>
    <xf numFmtId="164" fontId="10" fillId="4" borderId="1" xfId="1" applyNumberFormat="1" applyFont="1" applyFill="1" applyBorder="1" applyAlignment="1">
      <alignment vertical="center"/>
    </xf>
    <xf numFmtId="164" fontId="8" fillId="3" borderId="1" xfId="1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164" fontId="8" fillId="4" borderId="1" xfId="1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43" fontId="0" fillId="3" borderId="0" xfId="1" applyFont="1" applyFill="1" applyAlignment="1">
      <alignment horizontal="left" vertical="center" indent="1"/>
    </xf>
    <xf numFmtId="0" fontId="0" fillId="3" borderId="0" xfId="0" applyFill="1"/>
    <xf numFmtId="0" fontId="2" fillId="3" borderId="0" xfId="0" applyFont="1" applyFill="1"/>
    <xf numFmtId="0" fontId="10" fillId="0" borderId="1" xfId="0" applyFont="1" applyBorder="1" applyAlignment="1">
      <alignment horizontal="center" vertical="center"/>
    </xf>
    <xf numFmtId="0" fontId="5" fillId="0" borderId="1" xfId="0" applyFont="1" applyBorder="1"/>
    <xf numFmtId="164" fontId="0" fillId="0" borderId="0" xfId="0" applyNumberFormat="1" applyAlignment="1">
      <alignment wrapText="1"/>
    </xf>
    <xf numFmtId="9" fontId="0" fillId="0" borderId="0" xfId="2" applyFont="1"/>
    <xf numFmtId="0" fontId="0" fillId="0" borderId="0" xfId="0" applyAlignment="1">
      <alignment wrapText="1"/>
    </xf>
    <xf numFmtId="0" fontId="12" fillId="0" borderId="8" xfId="5" applyFont="1" applyBorder="1" applyAlignment="1" applyProtection="1">
      <alignment horizontal="center" vertical="center" wrapText="1"/>
    </xf>
    <xf numFmtId="0" fontId="13" fillId="0" borderId="1" xfId="5" applyFont="1" applyBorder="1" applyAlignment="1" applyProtection="1">
      <alignment horizontal="center" vertical="center"/>
    </xf>
    <xf numFmtId="0" fontId="14" fillId="0" borderId="1" xfId="5" applyFont="1" applyBorder="1" applyAlignment="1" applyProtection="1">
      <alignment horizontal="left" vertical="center" wrapText="1"/>
    </xf>
    <xf numFmtId="0" fontId="14" fillId="0" borderId="1" xfId="5" applyFont="1" applyBorder="1" applyAlignment="1" applyProtection="1">
      <alignment horizontal="center" vertical="top" wrapText="1"/>
    </xf>
    <xf numFmtId="0" fontId="14" fillId="0" borderId="1" xfId="5" applyFont="1" applyBorder="1" applyAlignment="1" applyProtection="1">
      <alignment horizontal="center" vertical="center"/>
    </xf>
    <xf numFmtId="0" fontId="15" fillId="0" borderId="1" xfId="5" applyFont="1" applyBorder="1" applyAlignment="1" applyProtection="1">
      <alignment horizontal="left" vertical="top" indent="3"/>
    </xf>
    <xf numFmtId="0" fontId="15" fillId="0" borderId="1" xfId="5" applyFont="1" applyBorder="1" applyAlignment="1" applyProtection="1">
      <alignment horizontal="left" vertical="top" wrapText="1"/>
    </xf>
    <xf numFmtId="0" fontId="14" fillId="0" borderId="1" xfId="5" applyFont="1" applyBorder="1" applyAlignment="1" applyProtection="1">
      <alignment horizontal="center" vertical="center" wrapText="1"/>
    </xf>
    <xf numFmtId="0" fontId="13" fillId="0" borderId="1" xfId="5" applyFont="1" applyBorder="1" applyAlignment="1" applyProtection="1">
      <alignment horizontal="center" vertical="center" wrapText="1"/>
    </xf>
    <xf numFmtId="0" fontId="14" fillId="0" borderId="1" xfId="5" applyFont="1" applyBorder="1" applyAlignment="1" applyProtection="1">
      <alignment horizontal="left" wrapText="1"/>
    </xf>
    <xf numFmtId="0" fontId="14" fillId="0" borderId="1" xfId="5" applyFont="1" applyBorder="1" applyAlignment="1" applyProtection="1">
      <alignment horizontal="center" wrapText="1"/>
    </xf>
    <xf numFmtId="0" fontId="13" fillId="0" borderId="1" xfId="5" applyFont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4" fillId="0" borderId="2" xfId="4" applyFont="1" applyBorder="1" applyAlignment="1">
      <alignment horizontal="right" vertical="center" wrapText="1"/>
    </xf>
    <xf numFmtId="0" fontId="4" fillId="0" borderId="5" xfId="4" applyFont="1" applyBorder="1" applyAlignment="1">
      <alignment horizontal="right" vertical="center" wrapText="1"/>
    </xf>
    <xf numFmtId="0" fontId="4" fillId="0" borderId="3" xfId="4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 wrapText="1"/>
    </xf>
  </cellXfs>
  <cellStyles count="6">
    <cellStyle name="ЛокСмМТСН" xfId="3" xr:uid="{985E6101-F3A9-41B2-9AED-FB69CABABD97}"/>
    <cellStyle name="Обычный" xfId="0" builtinId="0"/>
    <cellStyle name="Обычный 2" xfId="4" xr:uid="{731E3857-0061-4B1C-B1F2-0D8FD31995AE}"/>
    <cellStyle name="Обычный_Лист1" xfId="5" xr:uid="{68BD51CC-764E-4FBA-B6C5-84D29FD049B9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3A0F0-E93E-4ABB-82CC-C32C86F0AB9F}">
  <dimension ref="A1:H37"/>
  <sheetViews>
    <sheetView topLeftCell="A16" workbookViewId="0">
      <selection activeCell="H18" sqref="H18:H19"/>
    </sheetView>
  </sheetViews>
  <sheetFormatPr defaultRowHeight="14.4" x14ac:dyDescent="0.3"/>
  <cols>
    <col min="1" max="1" width="7.109375" customWidth="1"/>
    <col min="2" max="2" width="61.33203125" customWidth="1"/>
    <col min="3" max="3" width="10.6640625" customWidth="1"/>
    <col min="4" max="4" width="11" customWidth="1"/>
    <col min="5" max="5" width="12.88671875" customWidth="1"/>
    <col min="6" max="6" width="16.5546875" style="38" customWidth="1"/>
    <col min="7" max="7" width="18.5546875" style="39" customWidth="1"/>
    <col min="8" max="8" width="76.44140625" customWidth="1"/>
  </cols>
  <sheetData>
    <row r="1" spans="1:8" s="2" customFormat="1" ht="21.75" customHeight="1" x14ac:dyDescent="0.3">
      <c r="A1" s="92" t="s">
        <v>0</v>
      </c>
      <c r="B1" s="92" t="s">
        <v>1</v>
      </c>
      <c r="C1" s="92" t="s">
        <v>2</v>
      </c>
      <c r="D1" s="92" t="s">
        <v>3</v>
      </c>
      <c r="E1" s="93" t="s">
        <v>4</v>
      </c>
      <c r="F1" s="93"/>
      <c r="G1" s="93"/>
    </row>
    <row r="2" spans="1:8" ht="27.6" x14ac:dyDescent="0.3">
      <c r="A2" s="92"/>
      <c r="B2" s="92"/>
      <c r="C2" s="92"/>
      <c r="D2" s="92"/>
      <c r="E2" s="1" t="s">
        <v>5</v>
      </c>
      <c r="F2" s="3" t="s">
        <v>6</v>
      </c>
      <c r="G2" s="1" t="s">
        <v>7</v>
      </c>
    </row>
    <row r="3" spans="1:8" ht="12.75" customHeight="1" x14ac:dyDescent="0.3">
      <c r="A3" s="4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</row>
    <row r="4" spans="1:8" ht="14.4" customHeight="1" x14ac:dyDescent="0.3">
      <c r="A4" s="83" t="s">
        <v>8</v>
      </c>
      <c r="B4" s="84"/>
      <c r="C4" s="6"/>
      <c r="D4" s="6"/>
      <c r="E4" s="7"/>
      <c r="F4" s="6"/>
      <c r="G4" s="6"/>
    </row>
    <row r="5" spans="1:8" x14ac:dyDescent="0.3">
      <c r="A5" s="8">
        <v>1</v>
      </c>
      <c r="B5" s="9" t="s">
        <v>9</v>
      </c>
      <c r="C5" s="8" t="s">
        <v>10</v>
      </c>
      <c r="D5" s="10">
        <v>7955.76</v>
      </c>
      <c r="E5" s="10">
        <f>ROUND(5165*0.9,2)</f>
        <v>4648.5</v>
      </c>
      <c r="F5" s="11">
        <f>ROUND(E5*D5,2)</f>
        <v>36982350.359999999</v>
      </c>
      <c r="G5" s="11">
        <f>ROUND(F5*1.2,2)</f>
        <v>44378820.43</v>
      </c>
    </row>
    <row r="6" spans="1:8" x14ac:dyDescent="0.3">
      <c r="A6" s="8">
        <f>A5+1</f>
        <v>2</v>
      </c>
      <c r="B6" s="9" t="s">
        <v>11</v>
      </c>
      <c r="C6" s="8" t="s">
        <v>10</v>
      </c>
      <c r="D6" s="10">
        <v>598.14</v>
      </c>
      <c r="E6" s="10">
        <v>1242</v>
      </c>
      <c r="F6" s="11">
        <f t="shared" ref="F6:F8" si="0">ROUND(E6*D6,2)</f>
        <v>742889.88</v>
      </c>
      <c r="G6" s="11">
        <f t="shared" ref="G6:G8" si="1">ROUND(F6*1.2,2)</f>
        <v>891467.86</v>
      </c>
    </row>
    <row r="7" spans="1:8" x14ac:dyDescent="0.3">
      <c r="A7" s="8">
        <f>A6+1</f>
        <v>3</v>
      </c>
      <c r="B7" s="9" t="s">
        <v>12</v>
      </c>
      <c r="C7" s="8" t="s">
        <v>13</v>
      </c>
      <c r="D7" s="10">
        <v>762.75</v>
      </c>
      <c r="E7" s="10">
        <f>ROUND(325*0.9,2)</f>
        <v>292.5</v>
      </c>
      <c r="F7" s="11">
        <f t="shared" si="0"/>
        <v>223104.38</v>
      </c>
      <c r="G7" s="11">
        <f t="shared" si="1"/>
        <v>267725.26</v>
      </c>
    </row>
    <row r="8" spans="1:8" x14ac:dyDescent="0.3">
      <c r="A8" s="8">
        <f>A7+1</f>
        <v>4</v>
      </c>
      <c r="B8" s="9" t="s">
        <v>14</v>
      </c>
      <c r="C8" s="8" t="s">
        <v>13</v>
      </c>
      <c r="D8" s="10">
        <v>12970.93</v>
      </c>
      <c r="E8" s="10">
        <f>ROUND(325*0.9,2)</f>
        <v>292.5</v>
      </c>
      <c r="F8" s="11">
        <f t="shared" si="0"/>
        <v>3793997.03</v>
      </c>
      <c r="G8" s="11">
        <f t="shared" si="1"/>
        <v>4552796.4400000004</v>
      </c>
    </row>
    <row r="9" spans="1:8" x14ac:dyDescent="0.3">
      <c r="A9" s="83" t="s">
        <v>15</v>
      </c>
      <c r="B9" s="84"/>
      <c r="C9" s="6"/>
      <c r="D9" s="6"/>
      <c r="E9" s="7"/>
      <c r="F9" s="6"/>
      <c r="G9" s="6"/>
    </row>
    <row r="10" spans="1:8" x14ac:dyDescent="0.3">
      <c r="A10" s="8">
        <f>A8+1</f>
        <v>5</v>
      </c>
      <c r="B10" s="12" t="s">
        <v>16</v>
      </c>
      <c r="C10" s="8" t="s">
        <v>17</v>
      </c>
      <c r="D10" s="13">
        <v>1</v>
      </c>
      <c r="E10" s="10">
        <v>109572</v>
      </c>
      <c r="F10" s="11">
        <f t="shared" ref="F10:F14" si="2">ROUND(E10*D10,2)</f>
        <v>109572</v>
      </c>
      <c r="G10" s="11">
        <f t="shared" ref="G10:G14" si="3">ROUND(F10*1.2,2)</f>
        <v>131486.39999999999</v>
      </c>
    </row>
    <row r="11" spans="1:8" x14ac:dyDescent="0.3">
      <c r="A11" s="8">
        <f>A10+1</f>
        <v>6</v>
      </c>
      <c r="B11" s="12" t="s">
        <v>18</v>
      </c>
      <c r="C11" s="8" t="s">
        <v>19</v>
      </c>
      <c r="D11" s="13">
        <v>809</v>
      </c>
      <c r="E11" s="10">
        <v>2084</v>
      </c>
      <c r="F11" s="11">
        <f t="shared" si="2"/>
        <v>1685956</v>
      </c>
      <c r="G11" s="11">
        <f t="shared" si="3"/>
        <v>2023147.2</v>
      </c>
    </row>
    <row r="12" spans="1:8" x14ac:dyDescent="0.3">
      <c r="A12" s="14">
        <f>A11+1</f>
        <v>7</v>
      </c>
      <c r="B12" s="15" t="s">
        <v>18</v>
      </c>
      <c r="C12" s="14" t="s">
        <v>19</v>
      </c>
      <c r="D12" s="16">
        <v>6</v>
      </c>
      <c r="E12" s="17">
        <v>2084</v>
      </c>
      <c r="F12" s="18">
        <f t="shared" si="2"/>
        <v>12504</v>
      </c>
      <c r="G12" s="18">
        <f t="shared" si="3"/>
        <v>15004.8</v>
      </c>
      <c r="H12" t="s">
        <v>20</v>
      </c>
    </row>
    <row r="13" spans="1:8" x14ac:dyDescent="0.3">
      <c r="A13" s="8">
        <f>A12+1</f>
        <v>8</v>
      </c>
      <c r="B13" s="12" t="s">
        <v>21</v>
      </c>
      <c r="C13" s="8" t="s">
        <v>17</v>
      </c>
      <c r="D13" s="13">
        <v>3</v>
      </c>
      <c r="E13" s="10">
        <v>86850</v>
      </c>
      <c r="F13" s="11">
        <f t="shared" si="2"/>
        <v>260550</v>
      </c>
      <c r="G13" s="11">
        <f t="shared" si="3"/>
        <v>312660</v>
      </c>
    </row>
    <row r="14" spans="1:8" ht="27.6" x14ac:dyDescent="0.3">
      <c r="A14" s="19">
        <f>A13+1</f>
        <v>9</v>
      </c>
      <c r="B14" s="15" t="s">
        <v>22</v>
      </c>
      <c r="C14" s="14" t="s">
        <v>17</v>
      </c>
      <c r="D14" s="16">
        <v>1</v>
      </c>
      <c r="E14" s="17">
        <v>86850</v>
      </c>
      <c r="F14" s="18">
        <f t="shared" si="2"/>
        <v>86850</v>
      </c>
      <c r="G14" s="18">
        <f t="shared" si="3"/>
        <v>104220</v>
      </c>
      <c r="H14" s="20" t="s">
        <v>23</v>
      </c>
    </row>
    <row r="15" spans="1:8" ht="14.4" customHeight="1" x14ac:dyDescent="0.3">
      <c r="A15" s="83" t="s">
        <v>24</v>
      </c>
      <c r="B15" s="84"/>
      <c r="C15" s="6"/>
      <c r="D15" s="6"/>
      <c r="E15" s="6"/>
      <c r="F15" s="6"/>
      <c r="G15" s="6"/>
      <c r="H15" s="21"/>
    </row>
    <row r="16" spans="1:8" x14ac:dyDescent="0.3">
      <c r="A16" s="8">
        <f>A14+1</f>
        <v>10</v>
      </c>
      <c r="B16" s="12" t="s">
        <v>25</v>
      </c>
      <c r="C16" s="8" t="s">
        <v>10</v>
      </c>
      <c r="D16" s="10">
        <v>5327.17</v>
      </c>
      <c r="E16" s="10">
        <f>ROUND(1662*0.9,2)</f>
        <v>1495.8</v>
      </c>
      <c r="F16" s="11">
        <f t="shared" ref="F16:F34" si="4">ROUND(E16*D16,2)</f>
        <v>7968380.8899999997</v>
      </c>
      <c r="G16" s="11">
        <f t="shared" ref="G16:G34" si="5">ROUND(F16*1.2,2)</f>
        <v>9562057.0700000003</v>
      </c>
    </row>
    <row r="17" spans="1:8" ht="27.6" x14ac:dyDescent="0.3">
      <c r="A17" s="8">
        <f>A16+1</f>
        <v>11</v>
      </c>
      <c r="B17" s="12" t="s">
        <v>26</v>
      </c>
      <c r="C17" s="8" t="s">
        <v>10</v>
      </c>
      <c r="D17" s="10">
        <v>437.94</v>
      </c>
      <c r="E17" s="10">
        <f>ROUND(1611*0.9,2)</f>
        <v>1449.9</v>
      </c>
      <c r="F17" s="11">
        <f t="shared" si="4"/>
        <v>634969.21</v>
      </c>
      <c r="G17" s="11">
        <f t="shared" si="5"/>
        <v>761963.05</v>
      </c>
    </row>
    <row r="18" spans="1:8" ht="41.4" x14ac:dyDescent="0.3">
      <c r="A18" s="8">
        <f t="shared" ref="A18:A34" si="6">A17+1</f>
        <v>12</v>
      </c>
      <c r="B18" s="22" t="s">
        <v>27</v>
      </c>
      <c r="C18" s="23" t="s">
        <v>19</v>
      </c>
      <c r="D18" s="24">
        <v>1211</v>
      </c>
      <c r="E18" s="10">
        <v>2348</v>
      </c>
      <c r="F18" s="11">
        <f t="shared" si="4"/>
        <v>2843428</v>
      </c>
      <c r="G18" s="11">
        <f t="shared" si="5"/>
        <v>3412113.6</v>
      </c>
      <c r="H18" s="85"/>
    </row>
    <row r="19" spans="1:8" ht="41.4" x14ac:dyDescent="0.3">
      <c r="A19" s="8">
        <f t="shared" si="6"/>
        <v>13</v>
      </c>
      <c r="B19" s="22" t="s">
        <v>28</v>
      </c>
      <c r="C19" s="23" t="s">
        <v>19</v>
      </c>
      <c r="D19" s="25">
        <v>688</v>
      </c>
      <c r="E19" s="10">
        <v>1587</v>
      </c>
      <c r="F19" s="11">
        <f t="shared" si="4"/>
        <v>1091856</v>
      </c>
      <c r="G19" s="11">
        <f t="shared" si="5"/>
        <v>1310227.2</v>
      </c>
      <c r="H19" s="85"/>
    </row>
    <row r="20" spans="1:8" x14ac:dyDescent="0.3">
      <c r="A20" s="14">
        <f>A19+1</f>
        <v>14</v>
      </c>
      <c r="B20" s="26" t="s">
        <v>29</v>
      </c>
      <c r="C20" s="27" t="s">
        <v>30</v>
      </c>
      <c r="D20" s="28">
        <f>266*3</f>
        <v>798</v>
      </c>
      <c r="E20" s="17">
        <f>350/1.2</f>
        <v>291.66666666666669</v>
      </c>
      <c r="F20" s="18">
        <f t="shared" si="4"/>
        <v>232750</v>
      </c>
      <c r="G20" s="18">
        <f t="shared" si="5"/>
        <v>279300</v>
      </c>
      <c r="H20" s="29" t="s">
        <v>31</v>
      </c>
    </row>
    <row r="21" spans="1:8" ht="41.4" x14ac:dyDescent="0.3">
      <c r="A21" s="8">
        <f>A20+1</f>
        <v>15</v>
      </c>
      <c r="B21" s="22" t="s">
        <v>32</v>
      </c>
      <c r="C21" s="23" t="s">
        <v>19</v>
      </c>
      <c r="D21" s="30">
        <v>31.12</v>
      </c>
      <c r="E21" s="10">
        <v>2348</v>
      </c>
      <c r="F21" s="11">
        <f t="shared" si="4"/>
        <v>73069.759999999995</v>
      </c>
      <c r="G21" s="11">
        <f t="shared" si="5"/>
        <v>87683.71</v>
      </c>
      <c r="H21" s="31"/>
    </row>
    <row r="22" spans="1:8" ht="41.4" x14ac:dyDescent="0.3">
      <c r="A22" s="14">
        <f>A21+1</f>
        <v>16</v>
      </c>
      <c r="B22" s="15" t="s">
        <v>32</v>
      </c>
      <c r="C22" s="27" t="s">
        <v>19</v>
      </c>
      <c r="D22" s="32">
        <v>31.12</v>
      </c>
      <c r="E22" s="17">
        <v>2348</v>
      </c>
      <c r="F22" s="18">
        <f t="shared" si="4"/>
        <v>73069.759999999995</v>
      </c>
      <c r="G22" s="18">
        <f t="shared" si="5"/>
        <v>87683.71</v>
      </c>
      <c r="H22" s="20" t="s">
        <v>33</v>
      </c>
    </row>
    <row r="23" spans="1:8" ht="41.4" x14ac:dyDescent="0.3">
      <c r="A23" s="14">
        <f t="shared" si="6"/>
        <v>17</v>
      </c>
      <c r="B23" s="15" t="s">
        <v>28</v>
      </c>
      <c r="C23" s="27" t="s">
        <v>19</v>
      </c>
      <c r="D23" s="28">
        <v>25</v>
      </c>
      <c r="E23" s="17">
        <v>1587</v>
      </c>
      <c r="F23" s="18">
        <f t="shared" si="4"/>
        <v>39675</v>
      </c>
      <c r="G23" s="18">
        <f t="shared" si="5"/>
        <v>47610</v>
      </c>
      <c r="H23" s="20" t="s">
        <v>34</v>
      </c>
    </row>
    <row r="24" spans="1:8" ht="41.4" x14ac:dyDescent="0.3">
      <c r="A24" s="14">
        <f t="shared" si="6"/>
        <v>18</v>
      </c>
      <c r="B24" s="15" t="s">
        <v>28</v>
      </c>
      <c r="C24" s="27" t="s">
        <v>19</v>
      </c>
      <c r="D24" s="28">
        <v>25</v>
      </c>
      <c r="E24" s="17">
        <v>1587</v>
      </c>
      <c r="F24" s="18">
        <f t="shared" si="4"/>
        <v>39675</v>
      </c>
      <c r="G24" s="18">
        <f t="shared" si="5"/>
        <v>47610</v>
      </c>
      <c r="H24" s="20" t="s">
        <v>35</v>
      </c>
    </row>
    <row r="25" spans="1:8" ht="27.6" x14ac:dyDescent="0.3">
      <c r="A25" s="8">
        <f>A21+1</f>
        <v>16</v>
      </c>
      <c r="B25" s="22" t="s">
        <v>36</v>
      </c>
      <c r="C25" s="8" t="s">
        <v>19</v>
      </c>
      <c r="D25" s="10">
        <f>9*4</f>
        <v>36</v>
      </c>
      <c r="E25" s="10">
        <v>1587</v>
      </c>
      <c r="F25" s="11">
        <f t="shared" si="4"/>
        <v>57132</v>
      </c>
      <c r="G25" s="11">
        <f t="shared" si="5"/>
        <v>68558.399999999994</v>
      </c>
      <c r="H25" s="21"/>
    </row>
    <row r="26" spans="1:8" ht="41.4" x14ac:dyDescent="0.3">
      <c r="A26" s="8">
        <f t="shared" si="6"/>
        <v>17</v>
      </c>
      <c r="B26" s="12" t="s">
        <v>37</v>
      </c>
      <c r="C26" s="8" t="s">
        <v>38</v>
      </c>
      <c r="D26" s="13">
        <v>1</v>
      </c>
      <c r="E26" s="10">
        <v>189450</v>
      </c>
      <c r="F26" s="11">
        <f t="shared" si="4"/>
        <v>189450</v>
      </c>
      <c r="G26" s="11">
        <f t="shared" si="5"/>
        <v>227340</v>
      </c>
    </row>
    <row r="27" spans="1:8" ht="27.6" x14ac:dyDescent="0.3">
      <c r="A27" s="8">
        <f t="shared" si="6"/>
        <v>18</v>
      </c>
      <c r="B27" s="12" t="s">
        <v>39</v>
      </c>
      <c r="C27" s="8" t="s">
        <v>10</v>
      </c>
      <c r="D27" s="13">
        <v>796</v>
      </c>
      <c r="E27" s="10">
        <f>ROUND(325*0.9,2)</f>
        <v>292.5</v>
      </c>
      <c r="F27" s="11">
        <f t="shared" si="4"/>
        <v>232830</v>
      </c>
      <c r="G27" s="11">
        <f t="shared" si="5"/>
        <v>279396</v>
      </c>
    </row>
    <row r="28" spans="1:8" ht="41.4" x14ac:dyDescent="0.3">
      <c r="A28" s="8">
        <f t="shared" si="6"/>
        <v>19</v>
      </c>
      <c r="B28" s="12" t="s">
        <v>40</v>
      </c>
      <c r="C28" s="8" t="s">
        <v>38</v>
      </c>
      <c r="D28" s="13">
        <v>2</v>
      </c>
      <c r="E28" s="10">
        <v>216000</v>
      </c>
      <c r="F28" s="11">
        <f t="shared" si="4"/>
        <v>432000</v>
      </c>
      <c r="G28" s="11">
        <f t="shared" si="5"/>
        <v>518400</v>
      </c>
    </row>
    <row r="29" spans="1:8" ht="41.4" x14ac:dyDescent="0.3">
      <c r="A29" s="8">
        <f t="shared" si="6"/>
        <v>20</v>
      </c>
      <c r="B29" s="12" t="s">
        <v>41</v>
      </c>
      <c r="C29" s="8" t="s">
        <v>38</v>
      </c>
      <c r="D29" s="13">
        <v>1</v>
      </c>
      <c r="E29" s="10">
        <v>216000</v>
      </c>
      <c r="F29" s="11">
        <f t="shared" si="4"/>
        <v>216000</v>
      </c>
      <c r="G29" s="11">
        <f t="shared" si="5"/>
        <v>259200</v>
      </c>
    </row>
    <row r="30" spans="1:8" ht="41.4" x14ac:dyDescent="0.3">
      <c r="A30" s="8">
        <f t="shared" si="6"/>
        <v>21</v>
      </c>
      <c r="B30" s="12" t="s">
        <v>42</v>
      </c>
      <c r="C30" s="8" t="s">
        <v>38</v>
      </c>
      <c r="D30" s="13">
        <v>2</v>
      </c>
      <c r="E30" s="10">
        <v>173744</v>
      </c>
      <c r="F30" s="11">
        <f t="shared" si="4"/>
        <v>347488</v>
      </c>
      <c r="G30" s="11">
        <f t="shared" si="5"/>
        <v>416985.59999999998</v>
      </c>
    </row>
    <row r="31" spans="1:8" ht="41.4" x14ac:dyDescent="0.3">
      <c r="A31" s="8">
        <f t="shared" si="6"/>
        <v>22</v>
      </c>
      <c r="B31" s="12" t="s">
        <v>43</v>
      </c>
      <c r="C31" s="8" t="s">
        <v>38</v>
      </c>
      <c r="D31" s="13">
        <v>1</v>
      </c>
      <c r="E31" s="10">
        <v>173744</v>
      </c>
      <c r="F31" s="11">
        <f t="shared" si="4"/>
        <v>173744</v>
      </c>
      <c r="G31" s="11">
        <f t="shared" si="5"/>
        <v>208492.79999999999</v>
      </c>
    </row>
    <row r="32" spans="1:8" ht="41.4" x14ac:dyDescent="0.3">
      <c r="A32" s="8">
        <f t="shared" si="6"/>
        <v>23</v>
      </c>
      <c r="B32" s="12" t="s">
        <v>44</v>
      </c>
      <c r="C32" s="8" t="s">
        <v>38</v>
      </c>
      <c r="D32" s="13">
        <v>3</v>
      </c>
      <c r="E32" s="10">
        <v>173744</v>
      </c>
      <c r="F32" s="11">
        <f t="shared" si="4"/>
        <v>521232</v>
      </c>
      <c r="G32" s="11">
        <f t="shared" si="5"/>
        <v>625478.40000000002</v>
      </c>
    </row>
    <row r="33" spans="1:8" x14ac:dyDescent="0.3">
      <c r="A33" s="8">
        <f>A32+1</f>
        <v>24</v>
      </c>
      <c r="B33" s="12" t="s">
        <v>45</v>
      </c>
      <c r="C33" s="8" t="s">
        <v>17</v>
      </c>
      <c r="D33" s="13">
        <v>4</v>
      </c>
      <c r="E33" s="10">
        <v>80000</v>
      </c>
      <c r="F33" s="11">
        <f t="shared" si="4"/>
        <v>320000</v>
      </c>
      <c r="G33" s="11">
        <f t="shared" si="5"/>
        <v>384000</v>
      </c>
    </row>
    <row r="34" spans="1:8" x14ac:dyDescent="0.3">
      <c r="A34" s="8">
        <f t="shared" si="6"/>
        <v>25</v>
      </c>
      <c r="B34" s="12" t="s">
        <v>46</v>
      </c>
      <c r="C34" s="8" t="s">
        <v>19</v>
      </c>
      <c r="D34" s="13">
        <v>28</v>
      </c>
      <c r="E34" s="10">
        <v>4200</v>
      </c>
      <c r="F34" s="11">
        <f t="shared" si="4"/>
        <v>117600</v>
      </c>
      <c r="G34" s="11">
        <f t="shared" si="5"/>
        <v>141120</v>
      </c>
    </row>
    <row r="35" spans="1:8" x14ac:dyDescent="0.3">
      <c r="A35" s="33"/>
      <c r="B35" s="86" t="s">
        <v>47</v>
      </c>
      <c r="C35" s="87"/>
      <c r="D35" s="87"/>
      <c r="E35" s="88"/>
      <c r="F35" s="34">
        <f>SUM(F5:F34)</f>
        <v>59502123.270000003</v>
      </c>
      <c r="G35" s="35">
        <f>SUM(G5:G34)</f>
        <v>71402547.929999977</v>
      </c>
    </row>
    <row r="36" spans="1:8" x14ac:dyDescent="0.3">
      <c r="A36" s="89" t="s">
        <v>48</v>
      </c>
      <c r="B36" s="90"/>
      <c r="C36" s="90"/>
      <c r="D36" s="90"/>
      <c r="E36" s="91"/>
      <c r="F36" s="36">
        <f>ROUND(F35*0.03,2)</f>
        <v>1785063.7</v>
      </c>
      <c r="G36" s="36">
        <f>ROUND(G35*0.03,2)</f>
        <v>2142076.44</v>
      </c>
      <c r="H36" s="37"/>
    </row>
    <row r="37" spans="1:8" x14ac:dyDescent="0.3">
      <c r="A37" s="89" t="s">
        <v>49</v>
      </c>
      <c r="B37" s="90"/>
      <c r="C37" s="90"/>
      <c r="D37" s="90"/>
      <c r="E37" s="91"/>
      <c r="F37" s="36">
        <f>F35+F36</f>
        <v>61287186.970000006</v>
      </c>
      <c r="G37" s="36">
        <f>G35+G36</f>
        <v>73544624.369999975</v>
      </c>
      <c r="H37" s="37"/>
    </row>
  </sheetData>
  <mergeCells count="12">
    <mergeCell ref="A37:E37"/>
    <mergeCell ref="A1:A2"/>
    <mergeCell ref="B1:B2"/>
    <mergeCell ref="C1:C2"/>
    <mergeCell ref="D1:D2"/>
    <mergeCell ref="E1:G1"/>
    <mergeCell ref="A4:B4"/>
    <mergeCell ref="A9:B9"/>
    <mergeCell ref="A15:B15"/>
    <mergeCell ref="H18:H19"/>
    <mergeCell ref="B35:E35"/>
    <mergeCell ref="A36:E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6B4C6-43F0-40DB-A5AA-F0D3DA3851E1}">
  <dimension ref="A1:H33"/>
  <sheetViews>
    <sheetView tabSelected="1" workbookViewId="0">
      <selection activeCell="H8" sqref="H8:H9"/>
    </sheetView>
  </sheetViews>
  <sheetFormatPr defaultRowHeight="14.4" x14ac:dyDescent="0.3"/>
  <cols>
    <col min="1" max="1" width="4.33203125" customWidth="1"/>
    <col min="2" max="2" width="60.88671875" style="69" bestFit="1" customWidth="1"/>
    <col min="4" max="4" width="11.44140625" bestFit="1" customWidth="1"/>
    <col min="5" max="5" width="12.88671875" style="37" customWidth="1"/>
    <col min="6" max="6" width="16.33203125" customWidth="1"/>
    <col min="7" max="7" width="17" customWidth="1"/>
    <col min="8" max="8" width="66.33203125" customWidth="1"/>
  </cols>
  <sheetData>
    <row r="1" spans="1:8" ht="28.95" customHeight="1" x14ac:dyDescent="0.3">
      <c r="A1" s="94" t="s">
        <v>50</v>
      </c>
      <c r="B1" s="96" t="s">
        <v>51</v>
      </c>
      <c r="C1" s="98" t="s">
        <v>52</v>
      </c>
      <c r="D1" s="98" t="s">
        <v>3</v>
      </c>
      <c r="E1" s="100" t="s">
        <v>4</v>
      </c>
      <c r="F1" s="100"/>
      <c r="G1" s="100"/>
    </row>
    <row r="2" spans="1:8" s="42" customFormat="1" ht="27.6" x14ac:dyDescent="0.3">
      <c r="A2" s="95"/>
      <c r="B2" s="97"/>
      <c r="C2" s="99"/>
      <c r="D2" s="99"/>
      <c r="E2" s="40" t="s">
        <v>53</v>
      </c>
      <c r="F2" s="41" t="s">
        <v>54</v>
      </c>
      <c r="G2" s="41" t="s">
        <v>55</v>
      </c>
    </row>
    <row r="3" spans="1:8" ht="12.75" customHeight="1" x14ac:dyDescent="0.3">
      <c r="A3" s="4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</row>
    <row r="4" spans="1:8" x14ac:dyDescent="0.3">
      <c r="A4" s="43">
        <v>1</v>
      </c>
      <c r="B4" s="9" t="s">
        <v>56</v>
      </c>
      <c r="C4" s="44" t="s">
        <v>10</v>
      </c>
      <c r="D4" s="44">
        <v>598.14</v>
      </c>
      <c r="E4" s="11">
        <f>ROUND(1300/1.2,2)</f>
        <v>1083.33</v>
      </c>
      <c r="F4" s="11">
        <f>ROUND(E4*D4,2)</f>
        <v>647983.01</v>
      </c>
      <c r="G4" s="11">
        <f>ROUND(F4*1.2,2)</f>
        <v>777579.61</v>
      </c>
    </row>
    <row r="5" spans="1:8" x14ac:dyDescent="0.3">
      <c r="A5" s="43">
        <f>A4+1</f>
        <v>2</v>
      </c>
      <c r="B5" s="9" t="s">
        <v>57</v>
      </c>
      <c r="C5" s="44" t="s">
        <v>10</v>
      </c>
      <c r="D5" s="45">
        <f>6232.7889+504.9</f>
        <v>6737.6888999999992</v>
      </c>
      <c r="E5" s="11">
        <f>ROUND(5300/1.2,2)</f>
        <v>4416.67</v>
      </c>
      <c r="F5" s="11">
        <f t="shared" ref="F5:F29" si="0">ROUND(E5*D5,2)</f>
        <v>29758148.43</v>
      </c>
      <c r="G5" s="11">
        <f>ROUND(F5*1.2,2)</f>
        <v>35709778.119999997</v>
      </c>
    </row>
    <row r="6" spans="1:8" x14ac:dyDescent="0.3">
      <c r="A6" s="43">
        <f>A5+1</f>
        <v>3</v>
      </c>
      <c r="B6" s="9" t="s">
        <v>58</v>
      </c>
      <c r="C6" s="44" t="s">
        <v>13</v>
      </c>
      <c r="D6" s="46">
        <v>6000</v>
      </c>
      <c r="E6" s="11">
        <f>ROUND(184/1.2,2)</f>
        <v>153.33000000000001</v>
      </c>
      <c r="F6" s="11">
        <f t="shared" si="0"/>
        <v>919980</v>
      </c>
      <c r="G6" s="11">
        <f t="shared" ref="G5:G29" si="1">ROUND(F6*1.2,2)</f>
        <v>1103976</v>
      </c>
    </row>
    <row r="7" spans="1:8" x14ac:dyDescent="0.3">
      <c r="A7" s="43">
        <f t="shared" ref="A7:A29" si="2">A6+1</f>
        <v>4</v>
      </c>
      <c r="B7" s="47" t="s">
        <v>59</v>
      </c>
      <c r="C7" s="48" t="s">
        <v>19</v>
      </c>
      <c r="D7" s="49">
        <v>36</v>
      </c>
      <c r="E7" s="49">
        <f>ROUND(16500/1.2,2)</f>
        <v>13750</v>
      </c>
      <c r="F7" s="49">
        <f t="shared" si="0"/>
        <v>495000</v>
      </c>
      <c r="G7" s="49">
        <f t="shared" si="1"/>
        <v>594000</v>
      </c>
      <c r="H7" s="21"/>
    </row>
    <row r="8" spans="1:8" ht="27.6" x14ac:dyDescent="0.3">
      <c r="A8" s="43">
        <f>A7+1</f>
        <v>5</v>
      </c>
      <c r="B8" s="47" t="s">
        <v>60</v>
      </c>
      <c r="C8" s="48" t="s">
        <v>19</v>
      </c>
      <c r="D8" s="50">
        <v>1211</v>
      </c>
      <c r="E8" s="51">
        <f>ROUND(34100/1.2,2)*0.93</f>
        <v>26427.503099999998</v>
      </c>
      <c r="F8" s="11">
        <f t="shared" si="0"/>
        <v>32003706.25</v>
      </c>
      <c r="G8" s="11">
        <f t="shared" si="1"/>
        <v>38404447.5</v>
      </c>
      <c r="H8" s="85"/>
    </row>
    <row r="9" spans="1:8" ht="27.6" x14ac:dyDescent="0.3">
      <c r="A9" s="43">
        <f t="shared" si="2"/>
        <v>6</v>
      </c>
      <c r="B9" s="47" t="s">
        <v>61</v>
      </c>
      <c r="C9" s="48" t="s">
        <v>19</v>
      </c>
      <c r="D9" s="50">
        <v>688</v>
      </c>
      <c r="E9" s="51">
        <f>ROUND(38500/1.2,2)*0.93</f>
        <v>29837.496900000002</v>
      </c>
      <c r="F9" s="11">
        <f t="shared" si="0"/>
        <v>20528197.870000001</v>
      </c>
      <c r="G9" s="11">
        <f t="shared" si="1"/>
        <v>24633837.440000001</v>
      </c>
      <c r="H9" s="85"/>
    </row>
    <row r="10" spans="1:8" x14ac:dyDescent="0.3">
      <c r="A10" s="43">
        <f t="shared" si="2"/>
        <v>7</v>
      </c>
      <c r="B10" s="9" t="s">
        <v>62</v>
      </c>
      <c r="C10" s="44" t="s">
        <v>17</v>
      </c>
      <c r="D10" s="46">
        <f>620*6</f>
        <v>3720</v>
      </c>
      <c r="E10" s="11">
        <f>ROUND(200/1.2,2)</f>
        <v>166.67</v>
      </c>
      <c r="F10" s="11">
        <f t="shared" si="0"/>
        <v>620012.4</v>
      </c>
      <c r="G10" s="11">
        <f t="shared" si="1"/>
        <v>744014.88</v>
      </c>
    </row>
    <row r="11" spans="1:8" x14ac:dyDescent="0.3">
      <c r="A11" s="43">
        <f t="shared" si="2"/>
        <v>8</v>
      </c>
      <c r="B11" s="9" t="s">
        <v>63</v>
      </c>
      <c r="C11" s="44" t="s">
        <v>17</v>
      </c>
      <c r="D11" s="46">
        <v>620</v>
      </c>
      <c r="E11" s="11">
        <f>ROUND(5841/1.2,2)</f>
        <v>4867.5</v>
      </c>
      <c r="F11" s="11">
        <f t="shared" si="0"/>
        <v>3017850</v>
      </c>
      <c r="G11" s="11">
        <f t="shared" si="1"/>
        <v>3621420</v>
      </c>
      <c r="H11" s="21"/>
    </row>
    <row r="12" spans="1:8" ht="27.6" x14ac:dyDescent="0.3">
      <c r="A12" s="43">
        <f t="shared" si="2"/>
        <v>9</v>
      </c>
      <c r="B12" s="47" t="s">
        <v>64</v>
      </c>
      <c r="C12" s="48" t="s">
        <v>19</v>
      </c>
      <c r="D12" s="48">
        <f>6*12.5/2</f>
        <v>37.5</v>
      </c>
      <c r="E12" s="51">
        <f>ROUND(33000/1.2,2)*0.93</f>
        <v>25575</v>
      </c>
      <c r="F12" s="11">
        <f t="shared" si="0"/>
        <v>959062.5</v>
      </c>
      <c r="G12" s="11">
        <f t="shared" si="1"/>
        <v>1150875</v>
      </c>
      <c r="H12" s="31"/>
    </row>
    <row r="13" spans="1:8" ht="27.6" x14ac:dyDescent="0.3">
      <c r="A13" s="52">
        <f t="shared" si="2"/>
        <v>10</v>
      </c>
      <c r="B13" s="53" t="s">
        <v>64</v>
      </c>
      <c r="C13" s="54" t="s">
        <v>19</v>
      </c>
      <c r="D13" s="54">
        <f>6*12.5/2</f>
        <v>37.5</v>
      </c>
      <c r="E13" s="18">
        <f>ROUND(33000/1.2,2)*0.93</f>
        <v>25575</v>
      </c>
      <c r="F13" s="18">
        <f t="shared" si="0"/>
        <v>959062.5</v>
      </c>
      <c r="G13" s="18">
        <f t="shared" si="1"/>
        <v>1150875</v>
      </c>
      <c r="H13" s="20" t="s">
        <v>65</v>
      </c>
    </row>
    <row r="14" spans="1:8" ht="27.6" x14ac:dyDescent="0.3">
      <c r="A14" s="52">
        <f t="shared" si="2"/>
        <v>11</v>
      </c>
      <c r="B14" s="53" t="s">
        <v>61</v>
      </c>
      <c r="C14" s="54" t="s">
        <v>19</v>
      </c>
      <c r="D14" s="55">
        <v>25</v>
      </c>
      <c r="E14" s="18">
        <f>ROUND(38500/1.2,2)*0.93</f>
        <v>29837.496900000002</v>
      </c>
      <c r="F14" s="18">
        <f t="shared" si="0"/>
        <v>745937.42</v>
      </c>
      <c r="G14" s="18">
        <f t="shared" si="1"/>
        <v>895124.9</v>
      </c>
      <c r="H14" s="20" t="s">
        <v>66</v>
      </c>
    </row>
    <row r="15" spans="1:8" x14ac:dyDescent="0.3">
      <c r="A15" s="43">
        <f>A12+1</f>
        <v>10</v>
      </c>
      <c r="B15" s="47" t="s">
        <v>67</v>
      </c>
      <c r="C15" s="44" t="s">
        <v>17</v>
      </c>
      <c r="D15" s="48">
        <f>14*6</f>
        <v>84</v>
      </c>
      <c r="E15" s="11">
        <f>ROUND(144/1.2,2)</f>
        <v>120</v>
      </c>
      <c r="F15" s="11">
        <f t="shared" si="0"/>
        <v>10080</v>
      </c>
      <c r="G15" s="11">
        <f t="shared" si="1"/>
        <v>12096</v>
      </c>
      <c r="H15" s="85"/>
    </row>
    <row r="16" spans="1:8" x14ac:dyDescent="0.3">
      <c r="A16" s="43">
        <f t="shared" si="2"/>
        <v>11</v>
      </c>
      <c r="B16" s="47" t="s">
        <v>68</v>
      </c>
      <c r="C16" s="44" t="s">
        <v>17</v>
      </c>
      <c r="D16" s="48">
        <v>14</v>
      </c>
      <c r="E16" s="11">
        <f>ROUND(5782/1.2,2)</f>
        <v>4818.33</v>
      </c>
      <c r="F16" s="11">
        <f t="shared" si="0"/>
        <v>67456.62</v>
      </c>
      <c r="G16" s="11">
        <f t="shared" si="1"/>
        <v>80947.94</v>
      </c>
      <c r="H16" s="85"/>
    </row>
    <row r="17" spans="1:8" ht="27.6" x14ac:dyDescent="0.3">
      <c r="A17" s="43">
        <f t="shared" si="2"/>
        <v>12</v>
      </c>
      <c r="B17" s="9" t="s">
        <v>69</v>
      </c>
      <c r="C17" s="44" t="s">
        <v>38</v>
      </c>
      <c r="D17" s="56">
        <v>1</v>
      </c>
      <c r="E17" s="11">
        <f>ROUND(1500000/1.2,2)</f>
        <v>1250000</v>
      </c>
      <c r="F17" s="11">
        <f t="shared" si="0"/>
        <v>1250000</v>
      </c>
      <c r="G17" s="11">
        <f t="shared" si="1"/>
        <v>1500000</v>
      </c>
    </row>
    <row r="18" spans="1:8" x14ac:dyDescent="0.3">
      <c r="A18" s="52">
        <f t="shared" si="2"/>
        <v>13</v>
      </c>
      <c r="B18" s="57" t="s">
        <v>70</v>
      </c>
      <c r="C18" s="58" t="s">
        <v>17</v>
      </c>
      <c r="D18" s="59">
        <v>31</v>
      </c>
      <c r="E18" s="18">
        <v>0</v>
      </c>
      <c r="F18" s="18">
        <f t="shared" si="0"/>
        <v>0</v>
      </c>
      <c r="G18" s="18">
        <f t="shared" si="1"/>
        <v>0</v>
      </c>
      <c r="H18" s="85" t="s">
        <v>71</v>
      </c>
    </row>
    <row r="19" spans="1:8" x14ac:dyDescent="0.3">
      <c r="A19" s="52">
        <f t="shared" si="2"/>
        <v>14</v>
      </c>
      <c r="B19" s="57" t="s">
        <v>72</v>
      </c>
      <c r="C19" s="58" t="s">
        <v>17</v>
      </c>
      <c r="D19" s="59">
        <v>89</v>
      </c>
      <c r="E19" s="18">
        <v>0</v>
      </c>
      <c r="F19" s="18">
        <f t="shared" si="0"/>
        <v>0</v>
      </c>
      <c r="G19" s="18">
        <f t="shared" si="1"/>
        <v>0</v>
      </c>
      <c r="H19" s="85"/>
    </row>
    <row r="20" spans="1:8" s="63" customFormat="1" ht="27.6" x14ac:dyDescent="0.3">
      <c r="A20" s="43">
        <f t="shared" si="2"/>
        <v>15</v>
      </c>
      <c r="B20" s="60" t="s">
        <v>73</v>
      </c>
      <c r="C20" s="61" t="s">
        <v>38</v>
      </c>
      <c r="D20" s="56">
        <v>2</v>
      </c>
      <c r="E20" s="51">
        <f>ROUND(5170000/1.2,2)*0.93</f>
        <v>4006749.9969000001</v>
      </c>
      <c r="F20" s="11">
        <f t="shared" si="0"/>
        <v>8013499.9900000002</v>
      </c>
      <c r="G20" s="11">
        <f t="shared" si="1"/>
        <v>9616199.9900000002</v>
      </c>
      <c r="H20" s="62"/>
    </row>
    <row r="21" spans="1:8" s="63" customFormat="1" ht="27.6" x14ac:dyDescent="0.3">
      <c r="A21" s="43">
        <f t="shared" si="2"/>
        <v>16</v>
      </c>
      <c r="B21" s="60" t="s">
        <v>74</v>
      </c>
      <c r="C21" s="61" t="s">
        <v>38</v>
      </c>
      <c r="D21" s="56">
        <v>1</v>
      </c>
      <c r="E21" s="51">
        <f>ROUND(5170000/1.2,2)*0.93</f>
        <v>4006749.9969000001</v>
      </c>
      <c r="F21" s="11">
        <f t="shared" si="0"/>
        <v>4006750</v>
      </c>
      <c r="G21" s="11">
        <f t="shared" si="1"/>
        <v>4808100</v>
      </c>
      <c r="H21" s="62"/>
    </row>
    <row r="22" spans="1:8" s="63" customFormat="1" ht="27.6" x14ac:dyDescent="0.3">
      <c r="A22" s="43">
        <f t="shared" si="2"/>
        <v>17</v>
      </c>
      <c r="B22" s="60" t="s">
        <v>75</v>
      </c>
      <c r="C22" s="61" t="s">
        <v>38</v>
      </c>
      <c r="D22" s="56">
        <v>2</v>
      </c>
      <c r="E22" s="51">
        <f>ROUND(4180000/1.2,2)*0.93</f>
        <v>3239499.9969000001</v>
      </c>
      <c r="F22" s="11">
        <f t="shared" si="0"/>
        <v>6478999.9900000002</v>
      </c>
      <c r="G22" s="51">
        <f t="shared" si="1"/>
        <v>7774799.9900000002</v>
      </c>
      <c r="H22" s="62"/>
    </row>
    <row r="23" spans="1:8" s="63" customFormat="1" ht="27.6" x14ac:dyDescent="0.3">
      <c r="A23" s="43">
        <f t="shared" si="2"/>
        <v>18</v>
      </c>
      <c r="B23" s="60" t="s">
        <v>76</v>
      </c>
      <c r="C23" s="61" t="s">
        <v>38</v>
      </c>
      <c r="D23" s="56">
        <v>1</v>
      </c>
      <c r="E23" s="51">
        <f>ROUND(4180000/1.2,2)*0.93</f>
        <v>3239499.9969000001</v>
      </c>
      <c r="F23" s="11">
        <f t="shared" si="0"/>
        <v>3239500</v>
      </c>
      <c r="G23" s="11">
        <f t="shared" si="1"/>
        <v>3887400</v>
      </c>
      <c r="H23" s="62"/>
    </row>
    <row r="24" spans="1:8" s="63" customFormat="1" ht="27.6" x14ac:dyDescent="0.3">
      <c r="A24" s="43">
        <f t="shared" si="2"/>
        <v>19</v>
      </c>
      <c r="B24" s="60" t="s">
        <v>77</v>
      </c>
      <c r="C24" s="61" t="s">
        <v>38</v>
      </c>
      <c r="D24" s="56">
        <v>3</v>
      </c>
      <c r="E24" s="51">
        <f>ROUND(2915000/1.2,2)*0.93</f>
        <v>2259125.0030999999</v>
      </c>
      <c r="F24" s="11">
        <f t="shared" si="0"/>
        <v>6777375.0099999998</v>
      </c>
      <c r="G24" s="11">
        <f t="shared" si="1"/>
        <v>8132850.0099999998</v>
      </c>
    </row>
    <row r="25" spans="1:8" s="63" customFormat="1" x14ac:dyDescent="0.3">
      <c r="A25" s="52">
        <f t="shared" si="2"/>
        <v>20</v>
      </c>
      <c r="B25" s="53" t="s">
        <v>78</v>
      </c>
      <c r="C25" s="58" t="s">
        <v>17</v>
      </c>
      <c r="D25" s="59">
        <v>9</v>
      </c>
      <c r="E25" s="18">
        <v>49990</v>
      </c>
      <c r="F25" s="18">
        <f t="shared" si="0"/>
        <v>449910</v>
      </c>
      <c r="G25" s="18">
        <f t="shared" si="1"/>
        <v>539892</v>
      </c>
      <c r="H25" s="64" t="s">
        <v>79</v>
      </c>
    </row>
    <row r="26" spans="1:8" x14ac:dyDescent="0.3">
      <c r="A26" s="43">
        <f t="shared" si="2"/>
        <v>21</v>
      </c>
      <c r="B26" s="9" t="s">
        <v>80</v>
      </c>
      <c r="C26" s="44" t="s">
        <v>17</v>
      </c>
      <c r="D26" s="56">
        <v>3</v>
      </c>
      <c r="E26" s="11">
        <f>ROUND(154000/1.2,2)</f>
        <v>128333.33</v>
      </c>
      <c r="F26" s="11">
        <f t="shared" si="0"/>
        <v>384999.99</v>
      </c>
      <c r="G26" s="11">
        <f t="shared" si="1"/>
        <v>461999.99</v>
      </c>
    </row>
    <row r="27" spans="1:8" x14ac:dyDescent="0.3">
      <c r="A27" s="43">
        <f t="shared" si="2"/>
        <v>22</v>
      </c>
      <c r="B27" s="9" t="s">
        <v>81</v>
      </c>
      <c r="C27" s="44" t="s">
        <v>17</v>
      </c>
      <c r="D27" s="56">
        <v>1</v>
      </c>
      <c r="E27" s="11">
        <f>ROUND(80000/1.2,2)</f>
        <v>66666.67</v>
      </c>
      <c r="F27" s="11">
        <f t="shared" si="0"/>
        <v>66666.67</v>
      </c>
      <c r="G27" s="11">
        <f t="shared" si="1"/>
        <v>80000</v>
      </c>
    </row>
    <row r="28" spans="1:8" x14ac:dyDescent="0.3">
      <c r="A28" s="43">
        <f t="shared" si="2"/>
        <v>23</v>
      </c>
      <c r="B28" s="9" t="s">
        <v>82</v>
      </c>
      <c r="C28" s="44" t="s">
        <v>10</v>
      </c>
      <c r="D28" s="46">
        <v>80</v>
      </c>
      <c r="E28" s="11">
        <v>1581</v>
      </c>
      <c r="F28" s="11">
        <f t="shared" si="0"/>
        <v>126480</v>
      </c>
      <c r="G28" s="11">
        <f t="shared" si="1"/>
        <v>151776</v>
      </c>
    </row>
    <row r="29" spans="1:8" x14ac:dyDescent="0.3">
      <c r="A29" s="65">
        <f t="shared" si="2"/>
        <v>24</v>
      </c>
      <c r="B29" s="47" t="s">
        <v>83</v>
      </c>
      <c r="C29" s="48" t="s">
        <v>84</v>
      </c>
      <c r="D29" s="50">
        <v>1</v>
      </c>
      <c r="E29" s="49">
        <v>330000</v>
      </c>
      <c r="F29" s="49">
        <f t="shared" si="0"/>
        <v>330000</v>
      </c>
      <c r="G29" s="49">
        <f t="shared" si="1"/>
        <v>396000</v>
      </c>
    </row>
    <row r="30" spans="1:8" s="2" customFormat="1" x14ac:dyDescent="0.3">
      <c r="A30" s="66"/>
      <c r="B30" s="86" t="s">
        <v>47</v>
      </c>
      <c r="C30" s="87"/>
      <c r="D30" s="87"/>
      <c r="E30" s="88"/>
      <c r="F30" s="34">
        <f>SUM(F4:F29)</f>
        <v>121856658.65000001</v>
      </c>
      <c r="G30" s="34">
        <f>SUM(G4:G29)</f>
        <v>146227990.36999997</v>
      </c>
    </row>
    <row r="33" spans="2:7" x14ac:dyDescent="0.3">
      <c r="B33" s="67"/>
      <c r="G33" s="68"/>
    </row>
  </sheetData>
  <mergeCells count="9">
    <mergeCell ref="H15:H16"/>
    <mergeCell ref="H18:H19"/>
    <mergeCell ref="B30:E30"/>
    <mergeCell ref="A1:A2"/>
    <mergeCell ref="B1:B2"/>
    <mergeCell ref="C1:C2"/>
    <mergeCell ref="D1:D2"/>
    <mergeCell ref="E1:G1"/>
    <mergeCell ref="H8:H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BD872-13AD-4F19-B41B-AFC153F3BF16}">
  <dimension ref="A1:G22"/>
  <sheetViews>
    <sheetView workbookViewId="0">
      <selection activeCell="M4" sqref="M4"/>
    </sheetView>
  </sheetViews>
  <sheetFormatPr defaultRowHeight="14.4" x14ac:dyDescent="0.3"/>
  <cols>
    <col min="2" max="2" width="34.6640625" style="69" customWidth="1"/>
    <col min="3" max="3" width="25.88671875" style="69" customWidth="1"/>
    <col min="4" max="4" width="8.88671875" style="82"/>
    <col min="7" max="7" width="31.5546875" style="69" customWidth="1"/>
  </cols>
  <sheetData>
    <row r="1" spans="1:7" ht="55.2" x14ac:dyDescent="0.3">
      <c r="A1" s="70" t="s">
        <v>85</v>
      </c>
      <c r="B1" s="70" t="s">
        <v>86</v>
      </c>
      <c r="C1" s="70" t="s">
        <v>87</v>
      </c>
      <c r="D1" s="70" t="s">
        <v>88</v>
      </c>
      <c r="E1" s="70" t="s">
        <v>89</v>
      </c>
      <c r="F1" s="70" t="s">
        <v>90</v>
      </c>
      <c r="G1" s="70" t="s">
        <v>91</v>
      </c>
    </row>
    <row r="2" spans="1:7" ht="15.6" x14ac:dyDescent="0.3">
      <c r="A2" s="71">
        <v>1</v>
      </c>
      <c r="B2" s="72" t="s">
        <v>92</v>
      </c>
      <c r="C2" s="73" t="s">
        <v>93</v>
      </c>
      <c r="D2" s="74" t="s">
        <v>30</v>
      </c>
      <c r="E2" s="74">
        <v>6</v>
      </c>
      <c r="F2" s="75"/>
      <c r="G2" s="76"/>
    </row>
    <row r="3" spans="1:7" ht="52.8" x14ac:dyDescent="0.3">
      <c r="A3" s="71">
        <v>2</v>
      </c>
      <c r="B3" s="72" t="s">
        <v>94</v>
      </c>
      <c r="C3" s="77" t="s">
        <v>95</v>
      </c>
      <c r="D3" s="74" t="s">
        <v>30</v>
      </c>
      <c r="E3" s="74">
        <v>304</v>
      </c>
      <c r="F3" s="75"/>
      <c r="G3" s="78" t="s">
        <v>96</v>
      </c>
    </row>
    <row r="4" spans="1:7" ht="31.2" x14ac:dyDescent="0.3">
      <c r="A4" s="71">
        <v>3</v>
      </c>
      <c r="B4" s="79" t="s">
        <v>97</v>
      </c>
      <c r="C4" s="77" t="s">
        <v>98</v>
      </c>
      <c r="D4" s="80" t="s">
        <v>99</v>
      </c>
      <c r="E4" s="74">
        <v>7</v>
      </c>
      <c r="F4" s="75"/>
      <c r="G4" s="76"/>
    </row>
    <row r="5" spans="1:7" ht="46.8" x14ac:dyDescent="0.3">
      <c r="A5" s="71">
        <v>4</v>
      </c>
      <c r="B5" s="72" t="s">
        <v>100</v>
      </c>
      <c r="C5" s="77" t="s">
        <v>98</v>
      </c>
      <c r="D5" s="80" t="s">
        <v>99</v>
      </c>
      <c r="E5" s="74">
        <v>310</v>
      </c>
      <c r="F5" s="75"/>
      <c r="G5" s="81" t="s">
        <v>101</v>
      </c>
    </row>
    <row r="6" spans="1:7" ht="15.6" x14ac:dyDescent="0.3">
      <c r="A6" s="71">
        <v>5</v>
      </c>
      <c r="B6" s="72" t="s">
        <v>102</v>
      </c>
      <c r="C6" s="77" t="s">
        <v>103</v>
      </c>
      <c r="D6" s="80" t="s">
        <v>30</v>
      </c>
      <c r="E6" s="74">
        <v>2289</v>
      </c>
      <c r="F6" s="75"/>
      <c r="G6" s="76"/>
    </row>
    <row r="7" spans="1:7" ht="15.6" x14ac:dyDescent="0.3">
      <c r="A7" s="71">
        <v>6</v>
      </c>
      <c r="B7" s="72" t="s">
        <v>104</v>
      </c>
      <c r="C7" s="77" t="s">
        <v>105</v>
      </c>
      <c r="D7" s="80" t="s">
        <v>30</v>
      </c>
      <c r="E7" s="74">
        <v>1274</v>
      </c>
      <c r="F7" s="75"/>
      <c r="G7" s="76"/>
    </row>
    <row r="8" spans="1:7" ht="31.2" x14ac:dyDescent="0.3">
      <c r="A8" s="71">
        <v>7</v>
      </c>
      <c r="B8" s="72" t="s">
        <v>106</v>
      </c>
      <c r="C8" s="77" t="s">
        <v>107</v>
      </c>
      <c r="D8" s="80" t="s">
        <v>99</v>
      </c>
      <c r="E8" s="74">
        <v>118</v>
      </c>
      <c r="F8" s="75"/>
      <c r="G8" s="76"/>
    </row>
    <row r="9" spans="1:7" ht="31.2" x14ac:dyDescent="0.3">
      <c r="A9" s="71">
        <v>8</v>
      </c>
      <c r="B9" s="72" t="s">
        <v>106</v>
      </c>
      <c r="C9" s="77" t="s">
        <v>108</v>
      </c>
      <c r="D9" s="80" t="s">
        <v>99</v>
      </c>
      <c r="E9" s="74">
        <v>4460</v>
      </c>
      <c r="F9" s="75"/>
      <c r="G9" s="76"/>
    </row>
    <row r="10" spans="1:7" ht="31.2" x14ac:dyDescent="0.3">
      <c r="A10" s="71">
        <v>9</v>
      </c>
      <c r="B10" s="72" t="s">
        <v>106</v>
      </c>
      <c r="C10" s="77" t="s">
        <v>109</v>
      </c>
      <c r="D10" s="80" t="s">
        <v>99</v>
      </c>
      <c r="E10" s="74">
        <v>2546</v>
      </c>
      <c r="F10" s="75"/>
      <c r="G10" s="76"/>
    </row>
    <row r="11" spans="1:7" ht="31.2" x14ac:dyDescent="0.3">
      <c r="A11" s="71">
        <v>10</v>
      </c>
      <c r="B11" s="72" t="s">
        <v>110</v>
      </c>
      <c r="C11" s="77" t="s">
        <v>111</v>
      </c>
      <c r="D11" s="80" t="s">
        <v>99</v>
      </c>
      <c r="E11" s="74">
        <v>2</v>
      </c>
      <c r="F11" s="75"/>
      <c r="G11" s="76"/>
    </row>
    <row r="12" spans="1:7" ht="31.2" x14ac:dyDescent="0.3">
      <c r="A12" s="71">
        <v>11</v>
      </c>
      <c r="B12" s="72" t="s">
        <v>110</v>
      </c>
      <c r="C12" s="77" t="s">
        <v>112</v>
      </c>
      <c r="D12" s="80" t="s">
        <v>99</v>
      </c>
      <c r="E12" s="74">
        <v>1</v>
      </c>
      <c r="F12" s="75"/>
      <c r="G12" s="76"/>
    </row>
    <row r="13" spans="1:7" ht="31.2" x14ac:dyDescent="0.3">
      <c r="A13" s="71">
        <v>12</v>
      </c>
      <c r="B13" s="72" t="s">
        <v>110</v>
      </c>
      <c r="C13" s="77" t="s">
        <v>113</v>
      </c>
      <c r="D13" s="80" t="s">
        <v>99</v>
      </c>
      <c r="E13" s="74">
        <v>1</v>
      </c>
      <c r="F13" s="75"/>
      <c r="G13" s="76"/>
    </row>
    <row r="14" spans="1:7" ht="15.6" x14ac:dyDescent="0.3">
      <c r="A14" s="71">
        <v>13</v>
      </c>
      <c r="B14" s="72" t="s">
        <v>114</v>
      </c>
      <c r="C14" s="77" t="s">
        <v>115</v>
      </c>
      <c r="D14" s="80" t="s">
        <v>30</v>
      </c>
      <c r="E14" s="74">
        <v>31</v>
      </c>
      <c r="F14" s="75"/>
      <c r="G14" s="76"/>
    </row>
    <row r="15" spans="1:7" ht="15.6" x14ac:dyDescent="0.3">
      <c r="A15" s="71">
        <v>14</v>
      </c>
      <c r="B15" s="72" t="s">
        <v>116</v>
      </c>
      <c r="C15" s="77" t="s">
        <v>115</v>
      </c>
      <c r="D15" s="80" t="s">
        <v>30</v>
      </c>
      <c r="E15" s="74">
        <v>89</v>
      </c>
      <c r="F15" s="75"/>
      <c r="G15" s="76"/>
    </row>
    <row r="16" spans="1:7" ht="46.8" x14ac:dyDescent="0.3">
      <c r="A16" s="71">
        <v>15</v>
      </c>
      <c r="B16" s="72" t="s">
        <v>117</v>
      </c>
      <c r="C16" s="77" t="s">
        <v>118</v>
      </c>
      <c r="D16" s="80" t="s">
        <v>99</v>
      </c>
      <c r="E16" s="74">
        <v>1</v>
      </c>
      <c r="F16" s="75"/>
      <c r="G16" s="76"/>
    </row>
    <row r="17" spans="1:7" ht="46.8" x14ac:dyDescent="0.3">
      <c r="A17" s="71">
        <v>16</v>
      </c>
      <c r="B17" s="72" t="s">
        <v>119</v>
      </c>
      <c r="C17" s="77" t="s">
        <v>120</v>
      </c>
      <c r="D17" s="80" t="s">
        <v>99</v>
      </c>
      <c r="E17" s="74">
        <v>2</v>
      </c>
      <c r="F17" s="75"/>
      <c r="G17" s="76"/>
    </row>
    <row r="18" spans="1:7" ht="46.8" x14ac:dyDescent="0.3">
      <c r="A18" s="71">
        <v>17</v>
      </c>
      <c r="B18" s="72" t="s">
        <v>119</v>
      </c>
      <c r="C18" s="77" t="s">
        <v>121</v>
      </c>
      <c r="D18" s="80" t="s">
        <v>99</v>
      </c>
      <c r="E18" s="74">
        <v>1</v>
      </c>
      <c r="F18" s="75"/>
      <c r="G18" s="76"/>
    </row>
    <row r="19" spans="1:7" ht="46.8" x14ac:dyDescent="0.3">
      <c r="A19" s="71">
        <v>18</v>
      </c>
      <c r="B19" s="72" t="s">
        <v>122</v>
      </c>
      <c r="C19" s="77" t="s">
        <v>123</v>
      </c>
      <c r="D19" s="80" t="s">
        <v>99</v>
      </c>
      <c r="E19" s="74">
        <v>2</v>
      </c>
      <c r="F19" s="75"/>
      <c r="G19" s="76" t="s">
        <v>124</v>
      </c>
    </row>
    <row r="20" spans="1:7" ht="46.8" x14ac:dyDescent="0.3">
      <c r="A20" s="71">
        <v>19</v>
      </c>
      <c r="B20" s="79" t="s">
        <v>125</v>
      </c>
      <c r="C20" s="77" t="s">
        <v>126</v>
      </c>
      <c r="D20" s="80" t="s">
        <v>99</v>
      </c>
      <c r="E20" s="74">
        <v>1</v>
      </c>
      <c r="F20" s="75"/>
      <c r="G20" s="76"/>
    </row>
    <row r="21" spans="1:7" ht="46.8" x14ac:dyDescent="0.3">
      <c r="A21" s="71">
        <v>20</v>
      </c>
      <c r="B21" s="79" t="s">
        <v>125</v>
      </c>
      <c r="C21" s="77" t="s">
        <v>127</v>
      </c>
      <c r="D21" s="80" t="s">
        <v>99</v>
      </c>
      <c r="E21" s="74">
        <v>3</v>
      </c>
      <c r="F21" s="75"/>
      <c r="G21" s="76"/>
    </row>
    <row r="22" spans="1:7" ht="39.6" x14ac:dyDescent="0.3">
      <c r="A22" s="71">
        <v>21</v>
      </c>
      <c r="B22" s="72" t="s">
        <v>128</v>
      </c>
      <c r="C22" s="77" t="s">
        <v>129</v>
      </c>
      <c r="D22" s="80" t="s">
        <v>99</v>
      </c>
      <c r="E22" s="74">
        <v>4</v>
      </c>
      <c r="F22" s="75"/>
      <c r="G22" s="76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СМР 417 путь</vt:lpstr>
      <vt:lpstr>мат 417 путь</vt:lpstr>
      <vt:lpstr>Спека 417 путь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2023-06-26T12:14:27Z</dcterms:created>
  <dcterms:modified xsi:type="dcterms:W3CDTF">2023-07-06T12:15:46Z</dcterms:modified>
</cp:coreProperties>
</file>