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85D41BFB-F120-4D59-A31B-5037A1882A1F}" xr6:coauthVersionLast="47" xr6:coauthVersionMax="47" xr10:uidLastSave="{00000000-0000-0000-0000-000000000000}"/>
  <bookViews>
    <workbookView xWindow="28680" yWindow="-120" windowWidth="29040" windowHeight="15840" tabRatio="50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31" i="1" l="1"/>
  <c r="Z17" i="1"/>
  <c r="H19" i="3"/>
  <c r="F5" i="3"/>
  <c r="G5" i="3" s="1"/>
  <c r="H5" i="3" s="1"/>
  <c r="F6" i="3"/>
  <c r="F7" i="3"/>
  <c r="F8" i="3"/>
  <c r="G8" i="3" s="1"/>
  <c r="H8" i="3" s="1"/>
  <c r="F9" i="3"/>
  <c r="H22" i="3"/>
  <c r="H21" i="3"/>
  <c r="H18" i="3"/>
  <c r="H17" i="3"/>
  <c r="H16" i="3"/>
  <c r="H15" i="3"/>
  <c r="H14" i="3"/>
  <c r="H20" i="3" s="1"/>
  <c r="G9" i="3"/>
  <c r="H9" i="3" s="1"/>
  <c r="G7" i="3"/>
  <c r="H7" i="3" s="1"/>
  <c r="G6" i="3"/>
  <c r="H6" i="3" s="1"/>
  <c r="B5" i="3"/>
  <c r="B6" i="3" s="1"/>
  <c r="B7" i="3" s="1"/>
  <c r="B8" i="3" s="1"/>
  <c r="B9" i="3" s="1"/>
  <c r="J33" i="2"/>
  <c r="Z25" i="1"/>
  <c r="Z31" i="1" s="1"/>
  <c r="Z15" i="1"/>
  <c r="Z16" i="1"/>
  <c r="Z14" i="1"/>
  <c r="O19" i="2"/>
  <c r="F19" i="2"/>
  <c r="Q19" i="2"/>
  <c r="I19" i="2"/>
  <c r="H38" i="2"/>
  <c r="I38" i="2" s="1"/>
  <c r="H37" i="2"/>
  <c r="I37" i="2" s="1"/>
  <c r="G36" i="2"/>
  <c r="H36" i="2" s="1"/>
  <c r="I36" i="2" s="1"/>
  <c r="G35" i="2"/>
  <c r="H35" i="2" s="1"/>
  <c r="I35" i="2" s="1"/>
  <c r="H34" i="2"/>
  <c r="I34" i="2" s="1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H28" i="2"/>
  <c r="I28" i="2" s="1"/>
  <c r="H27" i="2"/>
  <c r="I27" i="2" s="1"/>
  <c r="G26" i="2"/>
  <c r="H26" i="2" s="1"/>
  <c r="I26" i="2" s="1"/>
  <c r="G25" i="2"/>
  <c r="H25" i="2" s="1"/>
  <c r="I25" i="2" s="1"/>
  <c r="G24" i="2"/>
  <c r="F24" i="2"/>
  <c r="G23" i="2"/>
  <c r="H23" i="2" s="1"/>
  <c r="I23" i="2" s="1"/>
  <c r="G22" i="2"/>
  <c r="F22" i="2"/>
  <c r="G21" i="2"/>
  <c r="F21" i="2"/>
  <c r="G13" i="2"/>
  <c r="H13" i="2" s="1"/>
  <c r="I13" i="2" s="1"/>
  <c r="G12" i="2"/>
  <c r="H12" i="2" s="1"/>
  <c r="I12" i="2" s="1"/>
  <c r="F12" i="2"/>
  <c r="G11" i="2"/>
  <c r="H11" i="2" s="1"/>
  <c r="I11" i="2" s="1"/>
  <c r="H10" i="2"/>
  <c r="I10" i="2" s="1"/>
  <c r="G10" i="2"/>
  <c r="G8" i="2"/>
  <c r="H8" i="2" s="1"/>
  <c r="I8" i="2" s="1"/>
  <c r="G7" i="2"/>
  <c r="H7" i="2" s="1"/>
  <c r="I7" i="2" s="1"/>
  <c r="G6" i="2"/>
  <c r="H6" i="2" s="1"/>
  <c r="I6" i="2" s="1"/>
  <c r="F6" i="2"/>
  <c r="C6" i="2"/>
  <c r="C7" i="2" s="1"/>
  <c r="C8" i="2" s="1"/>
  <c r="C10" i="2" s="1"/>
  <c r="C11" i="2" s="1"/>
  <c r="C12" i="2" s="1"/>
  <c r="C13" i="2" s="1"/>
  <c r="C21" i="2" s="1"/>
  <c r="G5" i="2"/>
  <c r="H5" i="2" s="1"/>
  <c r="H23" i="3" l="1"/>
  <c r="H10" i="3"/>
  <c r="H22" i="2"/>
  <c r="I22" i="2" s="1"/>
  <c r="H21" i="2"/>
  <c r="I21" i="2" s="1"/>
  <c r="H24" i="2"/>
  <c r="I24" i="2" s="1"/>
  <c r="C22" i="2"/>
  <c r="C23" i="2" s="1"/>
  <c r="C24" i="2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I5" i="2"/>
  <c r="H39" i="2"/>
  <c r="H24" i="3" l="1"/>
  <c r="I39" i="2"/>
  <c r="P28" i="1" l="1"/>
  <c r="P29" i="1"/>
  <c r="P27" i="1"/>
  <c r="P23" i="1"/>
  <c r="P24" i="1"/>
  <c r="P25" i="1"/>
  <c r="P26" i="1"/>
  <c r="P22" i="1"/>
  <c r="P21" i="1"/>
</calcChain>
</file>

<file path=xl/sharedStrings.xml><?xml version="1.0" encoding="utf-8"?>
<sst xmlns="http://schemas.openxmlformats.org/spreadsheetml/2006/main" count="427" uniqueCount="191">
  <si>
    <t>Поз.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</si>
  <si>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</si>
  <si>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</si>
  <si>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</si>
  <si>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</si>
  <si>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</si>
  <si>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Кол.</t>
  </si>
  <si>
    <t>Масса 1 ед., кг</t>
  </si>
  <si>
    <t>Примечание</t>
  </si>
  <si>
    <t>№</t>
  </si>
  <si>
    <t>Наименование товара</t>
  </si>
  <si>
    <t>Ед изм</t>
  </si>
  <si>
    <t>Кол-во</t>
  </si>
  <si>
    <t>Цена с НДС</t>
  </si>
  <si>
    <t>Сумма с НДС</t>
  </si>
  <si>
    <t>Срок после оплаты</t>
  </si>
  <si>
    <t>поставщик</t>
  </si>
  <si>
    <t>условия оплаты</t>
  </si>
  <si>
    <r>
      <rPr>
        <i/>
        <sz val="10"/>
        <rFont val="Times New Roman"/>
        <family val="1"/>
        <charset val="204"/>
      </rPr>
      <t>'1/</t>
    </r>
    <r>
      <rPr>
        <i/>
        <sz val="10"/>
        <color rgb="FFFF0000"/>
        <rFont val="Times New Roman"/>
        <family val="1"/>
        <charset val="204"/>
      </rPr>
      <t>10</t>
    </r>
  </si>
  <si>
    <t>Рельсы старогодние</t>
  </si>
  <si>
    <t>НТ тип Р-50 длина 12,5 м</t>
  </si>
  <si>
    <t>шт.</t>
  </si>
  <si>
    <t>1</t>
  </si>
  <si>
    <t>Рельсы Р65 НТ260 К76Ф 12,5м с отверстиями ГОСТ51685-2013</t>
  </si>
  <si>
    <t>т</t>
  </si>
  <si>
    <t>1,5-2 мес</t>
  </si>
  <si>
    <t>ООО "ПромПутьСнабжение"</t>
  </si>
  <si>
    <t xml:space="preserve"> 70/30</t>
  </si>
  <si>
    <r>
      <rPr>
        <i/>
        <sz val="10"/>
        <rFont val="Times New Roman"/>
        <family val="1"/>
        <charset val="204"/>
      </rPr>
      <t>'2/</t>
    </r>
    <r>
      <rPr>
        <i/>
        <sz val="10"/>
        <color rgb="FFFF0000"/>
        <rFont val="Times New Roman"/>
        <family val="1"/>
        <charset val="204"/>
      </rPr>
      <t>1</t>
    </r>
  </si>
  <si>
    <t>Рельсы новые и старогодние</t>
  </si>
  <si>
    <t>НТ тип Р-65 длина 12,5 м новые без болтовых отверстий</t>
  </si>
  <si>
    <t>В том числе могут быть использованы старогодние рельсы длиной 32 м - 2 шт., длиной 12,5 м - 36 шт. общей длиной 514 м.</t>
  </si>
  <si>
    <t>2</t>
  </si>
  <si>
    <t>накладка 1 Р 65 новая</t>
  </si>
  <si>
    <r>
      <rPr>
        <i/>
        <sz val="10"/>
        <rFont val="Times New Roman"/>
        <family val="1"/>
        <charset val="204"/>
      </rPr>
      <t>'3/</t>
    </r>
    <r>
      <rPr>
        <i/>
        <sz val="10"/>
        <color rgb="FFFF0000"/>
        <rFont val="Times New Roman"/>
        <family val="1"/>
        <charset val="204"/>
      </rPr>
      <t>11,12</t>
    </r>
  </si>
  <si>
    <t>Накладки старогодние 1P-50 (по 2 шт. с комплектом крепления)</t>
  </si>
  <si>
    <t>ГОСТ 33184-2014</t>
  </si>
  <si>
    <t>комп- лект</t>
  </si>
  <si>
    <t>3</t>
  </si>
  <si>
    <t>Болт стыковой М27х160 с гайкой, новый</t>
  </si>
  <si>
    <t>20 раб.дней</t>
  </si>
  <si>
    <r>
      <rPr>
        <i/>
        <sz val="10"/>
        <rFont val="Times New Roman"/>
        <family val="1"/>
        <charset val="204"/>
      </rPr>
      <t>'4/</t>
    </r>
    <r>
      <rPr>
        <i/>
        <sz val="10"/>
        <color rgb="FFFF0000"/>
        <rFont val="Times New Roman"/>
        <family val="1"/>
        <charset val="204"/>
      </rPr>
      <t>2,3</t>
    </r>
  </si>
  <si>
    <t>Накладки новые и старогодние 1P-65 (по 2 шт. с комплектом крепления)</t>
  </si>
  <si>
    <t>В том числе старогодние накладки в количестве - 16 шт.</t>
  </si>
  <si>
    <t>4</t>
  </si>
  <si>
    <t>Шпала дерев.пропитанная по ГОСТу тип2, новые</t>
  </si>
  <si>
    <t>шт</t>
  </si>
  <si>
    <r>
      <rPr>
        <i/>
        <sz val="10"/>
        <rFont val="Times New Roman"/>
        <family val="1"/>
        <charset val="204"/>
      </rPr>
      <t>'5</t>
    </r>
    <r>
      <rPr>
        <i/>
        <sz val="10"/>
        <color rgb="FFFF0000"/>
        <rFont val="Times New Roman"/>
        <family val="1"/>
        <charset val="204"/>
      </rPr>
      <t>/4</t>
    </r>
  </si>
  <si>
    <t>Деревянные шпалы</t>
  </si>
  <si>
    <t>II тип</t>
  </si>
  <si>
    <t>5</t>
  </si>
  <si>
    <t>Подкладка КД65 , новая</t>
  </si>
  <si>
    <r>
      <rPr>
        <i/>
        <sz val="10"/>
        <rFont val="Times New Roman"/>
        <family val="1"/>
        <charset val="204"/>
      </rPr>
      <t>'6/</t>
    </r>
    <r>
      <rPr>
        <i/>
        <sz val="10"/>
        <color rgb="FFFF0000"/>
        <rFont val="Times New Roman"/>
        <family val="1"/>
        <charset val="204"/>
      </rPr>
      <t>8</t>
    </r>
  </si>
  <si>
    <t>Железобетонные шпалы</t>
  </si>
  <si>
    <t>Ш-3 для ЖБР</t>
  </si>
  <si>
    <t>6</t>
  </si>
  <si>
    <t>Болт клеммный 22х75 в сборе ГОСТ 16016-2014</t>
  </si>
  <si>
    <t>7</t>
  </si>
  <si>
    <t>Скрепления</t>
  </si>
  <si>
    <t>КД50</t>
  </si>
  <si>
    <t>Поставляет завод на прямую</t>
  </si>
  <si>
    <t>Шуруп М 24х170 ГОСТ 809-71 новый</t>
  </si>
  <si>
    <t>КД65</t>
  </si>
  <si>
    <t>8</t>
  </si>
  <si>
    <t>Шпалы железобетонные Ш3</t>
  </si>
  <si>
    <r>
      <rPr>
        <i/>
        <sz val="10"/>
        <rFont val="Times New Roman"/>
        <family val="1"/>
        <charset val="204"/>
      </rPr>
      <t>'9/</t>
    </r>
    <r>
      <rPr>
        <i/>
        <sz val="10"/>
        <color rgb="FFFF0000"/>
        <rFont val="Times New Roman"/>
        <family val="1"/>
        <charset val="204"/>
      </rPr>
      <t>9</t>
    </r>
  </si>
  <si>
    <t>ЖБР-65</t>
  </si>
  <si>
    <t>9</t>
  </si>
  <si>
    <t>Скрепление ЖБР</t>
  </si>
  <si>
    <t>компл</t>
  </si>
  <si>
    <t>Контррельсовый уголок (с комплектом крепления)</t>
  </si>
  <si>
    <t>СП850 длина 9 м МСЗ.8318.00.000-03</t>
  </si>
  <si>
    <t>10</t>
  </si>
  <si>
    <t>Рельсы Р50 НТ260 К76Ф ГОСТ Р51685-2013 12500мм</t>
  </si>
  <si>
    <t>СП850 длина 9 м МСЗ.8318.00.000-04</t>
  </si>
  <si>
    <t>11</t>
  </si>
  <si>
    <t>Накладка Р50 новая ГОСТ 19128-73</t>
  </si>
  <si>
    <t>15 раб.дней</t>
  </si>
  <si>
    <t>СП850 длина 9 м МСЗ.8318.00.000-05</t>
  </si>
  <si>
    <t>12</t>
  </si>
  <si>
    <t>Болт М24х150 в сборе,ГОСТ11530-93 новый</t>
  </si>
  <si>
    <t>'13/нет</t>
  </si>
  <si>
    <t>Подкладки с упорами</t>
  </si>
  <si>
    <t>МП372.01.000</t>
  </si>
  <si>
    <t>31</t>
  </si>
  <si>
    <t>13</t>
  </si>
  <si>
    <t>Стрелочный перевод СП Р65 1/9 пр. 2769 правый, новый</t>
  </si>
  <si>
    <t>'14/нет</t>
  </si>
  <si>
    <t>Подкладки</t>
  </si>
  <si>
    <t>89</t>
  </si>
  <si>
    <t>14</t>
  </si>
  <si>
    <t>Стрелочный перевод СП Р65 1/9 пр2769 левый новый</t>
  </si>
  <si>
    <t>15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</si>
  <si>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</si>
  <si>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</si>
  <si>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Р65 1/9 пр. 2766, правый, новый</t>
  </si>
  <si>
    <r>
      <rPr>
        <i/>
        <sz val="10"/>
        <rFont val="Times New Roman"/>
        <family val="1"/>
        <charset val="204"/>
      </rPr>
      <t>'16</t>
    </r>
    <r>
      <rPr>
        <i/>
        <sz val="10"/>
        <color rgb="FFFF0000"/>
        <rFont val="Times New Roman"/>
        <family val="1"/>
        <charset val="204"/>
      </rPr>
      <t>/13,17</t>
    </r>
  </si>
  <si>
    <t>Стрелочный перевод с комплектом ж.б. брусьев и креплений</t>
  </si>
  <si>
    <t>типа Р65 марка 1/9 правый Пр. 2769.00.000</t>
  </si>
  <si>
    <t>16</t>
  </si>
  <si>
    <t>Стрелочный перевод Р65 1/9 пр.2766, левый, новый</t>
  </si>
  <si>
    <r>
      <rPr>
        <i/>
        <sz val="10"/>
        <rFont val="Times New Roman"/>
        <family val="1"/>
        <charset val="204"/>
      </rPr>
      <t>'17</t>
    </r>
    <r>
      <rPr>
        <i/>
        <sz val="10"/>
        <color rgb="FFFF0000"/>
        <rFont val="Times New Roman"/>
        <family val="1"/>
        <charset val="204"/>
      </rPr>
      <t>/14,17</t>
    </r>
  </si>
  <si>
    <t>типа Р65 марка 1/9 левый Пр. 2769.00.000-01</t>
  </si>
  <si>
    <t>17</t>
  </si>
  <si>
    <t>Брус ж/б для СП пр 2769</t>
  </si>
  <si>
    <r>
      <rPr>
        <i/>
        <sz val="10"/>
        <rFont val="Times New Roman"/>
        <family val="1"/>
        <charset val="204"/>
      </rPr>
      <t>'18/</t>
    </r>
    <r>
      <rPr>
        <i/>
        <sz val="10"/>
        <color rgb="FFFF0000"/>
        <rFont val="Times New Roman"/>
        <family val="1"/>
        <charset val="204"/>
      </rPr>
      <t>15,18</t>
    </r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</si>
  <si>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</si>
  <si>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</si>
  <si>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В том числе старогодний стрелочный перевод в количестве -1 шт.</t>
  </si>
  <si>
    <t>18</t>
  </si>
  <si>
    <t>Брус деревянный пропитанный по ГОСТ Р 58615-2019, А4 тип 2</t>
  </si>
  <si>
    <r>
      <rPr>
        <i/>
        <sz val="10"/>
        <rFont val="Times New Roman"/>
        <family val="1"/>
        <charset val="204"/>
      </rPr>
      <t>'19/</t>
    </r>
    <r>
      <rPr>
        <i/>
        <sz val="10"/>
        <color rgb="FFFF0000"/>
        <rFont val="Times New Roman"/>
        <family val="1"/>
        <charset val="204"/>
      </rPr>
      <t>16,18</t>
    </r>
  </si>
  <si>
    <t>Стрелочный перевод с комплектом деревянных брусьев и креплений</t>
  </si>
  <si>
    <t>типа Р65 марка 1/9 левый Пр. 2766.00.000-01</t>
  </si>
  <si>
    <t>19</t>
  </si>
  <si>
    <t>Тупиковый упор УР-1 ПС 54.00.00 новый внутрицеховой</t>
  </si>
  <si>
    <t>типа Р65 марка 1/7 левый, проект ЛПТП.665121.103М</t>
  </si>
  <si>
    <r>
      <rPr>
        <i/>
        <sz val="10"/>
        <rFont val="Times New Roman"/>
        <family val="1"/>
        <charset val="204"/>
      </rPr>
      <t>'21/</t>
    </r>
    <r>
      <rPr>
        <i/>
        <sz val="10"/>
        <color rgb="FFFF0000"/>
        <rFont val="Times New Roman"/>
        <family val="1"/>
        <charset val="204"/>
      </rPr>
      <t>19</t>
    </r>
  </si>
  <si>
    <t>Тупиковые упоры новые и старогодний</t>
  </si>
  <si>
    <t>ТУ 5264-001-83875090-2016</t>
  </si>
  <si>
    <t>В том числе старогодний тупиковый упор в количестве -1 шт.</t>
  </si>
  <si>
    <t>Контррельсовый уголок СП850 - 9,34м</t>
  </si>
  <si>
    <t>ООО "Желдоркомплект"</t>
  </si>
  <si>
    <t>Глухое пересечение (угол 45°) тип Р65, проект 534.06-2007.00.000-01</t>
  </si>
  <si>
    <t>комп</t>
  </si>
  <si>
    <t>Брус деревянный 160х230х5500</t>
  </si>
  <si>
    <r>
      <t>15</t>
    </r>
    <r>
      <rPr>
        <i/>
        <sz val="10"/>
        <color rgb="FFFF0000"/>
        <rFont val="Times New Roman"/>
        <family val="1"/>
        <charset val="204"/>
      </rPr>
      <t>/21,21</t>
    </r>
  </si>
  <si>
    <r>
      <t>10</t>
    </r>
    <r>
      <rPr>
        <i/>
        <sz val="10"/>
        <color rgb="FFFF0000"/>
        <rFont val="Times New Roman"/>
        <family val="1"/>
        <charset val="204"/>
      </rPr>
      <t>/20</t>
    </r>
  </si>
  <si>
    <r>
      <t>11</t>
    </r>
    <r>
      <rPr>
        <i/>
        <sz val="10"/>
        <color rgb="FFFF0000"/>
        <rFont val="Times New Roman"/>
        <family val="1"/>
        <charset val="204"/>
      </rPr>
      <t>/20</t>
    </r>
  </si>
  <si>
    <r>
      <t>12</t>
    </r>
    <r>
      <rPr>
        <i/>
        <sz val="10"/>
        <color rgb="FFFF0000"/>
        <rFont val="Times New Roman"/>
        <family val="1"/>
        <charset val="204"/>
      </rPr>
      <t>/20</t>
    </r>
  </si>
  <si>
    <t>Стрелочный перевод тип Р65 марка 1/7, левый пр. ЛПТП665121.103</t>
  </si>
  <si>
    <t>Брус деревянный Б3 тип II, пропитка 3-5мм</t>
  </si>
  <si>
    <r>
      <t>20/</t>
    </r>
    <r>
      <rPr>
        <i/>
        <sz val="10"/>
        <color rgb="FFFF0000"/>
        <rFont val="Times New Roman"/>
        <family val="1"/>
        <charset val="204"/>
      </rPr>
      <t>25,27</t>
    </r>
  </si>
  <si>
    <t>Скрепление КД50</t>
  </si>
  <si>
    <r>
      <t>7</t>
    </r>
    <r>
      <rPr>
        <i/>
        <sz val="10"/>
        <color rgb="FFFF0000"/>
        <rFont val="Times New Roman"/>
        <family val="1"/>
        <charset val="204"/>
      </rPr>
      <t>/29</t>
    </r>
  </si>
  <si>
    <r>
      <t>8</t>
    </r>
    <r>
      <rPr>
        <i/>
        <sz val="10"/>
        <color rgb="FFFF0000"/>
        <rFont val="Times New Roman"/>
        <family val="1"/>
        <charset val="204"/>
      </rPr>
      <t>/5</t>
    </r>
  </si>
  <si>
    <t>90 к/д</t>
  </si>
  <si>
    <t>ИТОГО руб. с НДС 131-23-ПЖ</t>
  </si>
  <si>
    <t>№ п/п</t>
  </si>
  <si>
    <t>Наименование материалов</t>
  </si>
  <si>
    <t>ООО "ТЕХРЕСУРС"</t>
  </si>
  <si>
    <t>Цена за ед без НДС</t>
  </si>
  <si>
    <t>ВСЕГО без НДС</t>
  </si>
  <si>
    <t xml:space="preserve">ВСЕГО с НДС </t>
  </si>
  <si>
    <t>Песок</t>
  </si>
  <si>
    <t>м3</t>
  </si>
  <si>
    <t>Щебень балластный кат.2</t>
  </si>
  <si>
    <t>Геотекстиль 3 м</t>
  </si>
  <si>
    <t>м2</t>
  </si>
  <si>
    <t>Контррельсовый уголок в комплекте с башмаками и креплением</t>
  </si>
  <si>
    <t>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</si>
  <si>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</si>
  <si>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</si>
  <si>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Болт стыковой в сборе Р65</t>
  </si>
  <si>
    <t>Накладка 6-дырная Р65</t>
  </si>
  <si>
    <t>Рельсо шпальная решетка Р-50 на деревянной шпале, тип крепления КД-50 в сборе</t>
  </si>
  <si>
    <t>Болт стыковой в сборе Р50</t>
  </si>
  <si>
    <t>Накладка 6-дырная Р50</t>
  </si>
  <si>
    <t>Глухое пересечение угол 45гр типа Р-65 проект 534.06-2007.00.000-01 с комплектом деревянных брусьев и креплений</t>
  </si>
  <si>
    <t>комплект</t>
  </si>
  <si>
    <t>Подкладки с упорами МП372.01.000</t>
  </si>
  <si>
    <t>Подкладки МП372.00.001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</si>
  <si>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</si>
  <si>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</si>
  <si>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</si>
  <si>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</si>
  <si>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</si>
  <si>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Механизм переводной стрелочного перевода (ручной Флюгарка) </t>
  </si>
  <si>
    <t xml:space="preserve">Тупиковые упоры новые </t>
  </si>
  <si>
    <t>Тупиковые упоры старогодние</t>
  </si>
  <si>
    <t>Смесь песчано-гравийная</t>
  </si>
  <si>
    <t>Расходные и прочие сопутствующие материалы</t>
  </si>
  <si>
    <t>комплекс</t>
  </si>
  <si>
    <t>Итого</t>
  </si>
  <si>
    <t>Наименование</t>
  </si>
  <si>
    <t>ЕИ</t>
  </si>
  <si>
    <t>СП Р-65 1/9 правый, проект 2769.00.000</t>
  </si>
  <si>
    <t>СП Р-65 1/9 левый, проект 2769.00.000-01</t>
  </si>
  <si>
    <t>СП Р-65 1/9 правый, проект 2766.00.000</t>
  </si>
  <si>
    <t>СП Р-65 1/9 левый, проект 2766.00.000-01</t>
  </si>
  <si>
    <t>СП Р-65 1/7 левый, проект ЛПТП.665121.103М</t>
  </si>
  <si>
    <t>Цена за ед. изм. С НДС</t>
  </si>
  <si>
    <t>ООО "ТД ТЕХМЕТ"</t>
  </si>
  <si>
    <t>Стоимость руб с НДС</t>
  </si>
  <si>
    <t>Стрелки от Техресурс</t>
  </si>
  <si>
    <t>Взяты из КП ЖелДорПроект</t>
  </si>
  <si>
    <t>Разница руб с Техресурсом</t>
  </si>
  <si>
    <t>без НДС</t>
  </si>
  <si>
    <t>ИТОГО коплект СП руб с НДС</t>
  </si>
  <si>
    <t>Механизм переводной ручной ЛПТП.665131.009 с тягой СП46</t>
  </si>
  <si>
    <t>ИТОГО СП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</si>
</sst>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.00\ _₽_-;\-* #,##0.00\ _₽_-;_-* &quot;-&quot;??\ _₽_-;_-@_-"/>
    <numFmt numFmtId="166" formatCode="_-* #,##0_-;\-* #,##0_-;_-* &quot;-&quot;??_-;_-@_-"/>
    <numFmt numFmtId="167" formatCode="_-* #,##0.0000_-;\-* #,##0.0000_-;_-* &quot;-&quot;??_-;_-@_-"/>
  </numFmts>
  <fonts count="25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9" fillId="0" borderId="0" applyBorder="0" applyProtection="0"/>
    <xf numFmtId="0" fontId="9" fillId="0" borderId="0" applyBorder="0" applyProtection="0"/>
    <xf numFmtId="0" fontId="1" fillId="0" borderId="0" applyNumberFormat="0" applyFont="0" applyFill="0" applyBorder="0" applyAlignment="0" applyProtection="0">
      <alignment vertical="top"/>
    </xf>
    <xf numFmtId="0" fontId="14" fillId="0" borderId="0">
      <alignment vertical="top"/>
    </xf>
    <xf numFmtId="0" fontId="23" fillId="0" borderId="0" applyNumberFormat="0" applyFont="0" applyFill="0" applyBorder="0" applyAlignment="0" applyProtection="0">
      <alignment vertical="top"/>
    </xf>
  </cellStyleXfs>
  <cellXfs count="135">
    <xf numFmtId="0" fontId="0" fillId="0" borderId="0" xfId="0"/>
    <xf numFmtId="0" fontId="2" fillId="0" borderId="1" xfId="2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right" vertical="center"/>
    </xf>
    <xf numFmtId="0" fontId="3" fillId="0" borderId="1" xfId="2" applyFont="1" applyBorder="1" applyAlignment="1" applyProtection="1">
      <alignment horizontal="center" vertical="center"/>
    </xf>
    <xf numFmtId="0" fontId="3" fillId="0" borderId="1" xfId="2" applyFont="1" applyBorder="1" applyAlignment="1" applyProtection="1">
      <alignment horizontal="right" vertical="center"/>
    </xf>
    <xf numFmtId="0" fontId="3" fillId="0" borderId="1" xfId="2" applyFont="1" applyBorder="1" applyAlignment="1" applyProtection="1">
      <alignment horizontal="center" wrapText="1"/>
    </xf>
    <xf numFmtId="0" fontId="3" fillId="0" borderId="2" xfId="2" applyFont="1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left" vertical="center"/>
    </xf>
    <xf numFmtId="0" fontId="6" fillId="0" borderId="1" xfId="2" applyFont="1" applyBorder="1" applyAlignment="1" applyProtection="1">
      <alignment horizontal="center" vertical="top" wrapText="1"/>
    </xf>
    <xf numFmtId="0" fontId="7" fillId="0" borderId="1" xfId="2" applyFont="1" applyBorder="1" applyAlignment="1" applyProtection="1">
      <alignment horizontal="left" vertical="top" indent="3"/>
    </xf>
    <xf numFmtId="0" fontId="6" fillId="0" borderId="1" xfId="2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left" vertical="top"/>
    </xf>
    <xf numFmtId="0" fontId="3" fillId="0" borderId="1" xfId="2" applyFont="1" applyBorder="1" applyAlignment="1" applyProtection="1">
      <alignment horizontal="center"/>
    </xf>
    <xf numFmtId="0" fontId="3" fillId="0" borderId="1" xfId="2" applyFont="1" applyBorder="1" applyAlignment="1" applyProtection="1">
      <alignment horizontal="left" wrapText="1"/>
    </xf>
    <xf numFmtId="164" fontId="3" fillId="0" borderId="1" xfId="1" applyFont="1" applyBorder="1" applyAlignment="1" applyProtection="1">
      <alignment horizontal="center" vertical="center"/>
    </xf>
    <xf numFmtId="164" fontId="3" fillId="0" borderId="1" xfId="1" applyFont="1" applyBorder="1" applyAlignment="1" applyProtection="1">
      <alignment horizontal="justify" vertical="center"/>
    </xf>
    <xf numFmtId="164" fontId="3" fillId="0" borderId="1" xfId="1" applyFont="1" applyBorder="1" applyAlignment="1" applyProtection="1">
      <alignment horizontal="right" vertical="center"/>
    </xf>
    <xf numFmtId="0" fontId="8" fillId="0" borderId="1" xfId="2" applyFont="1" applyBorder="1" applyAlignment="1" applyProtection="1">
      <alignment horizont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horizontal="center"/>
    </xf>
    <xf numFmtId="164" fontId="3" fillId="0" borderId="1" xfId="1" applyFont="1" applyBorder="1" applyAlignment="1" applyProtection="1">
      <alignment horizontal="justify"/>
    </xf>
    <xf numFmtId="164" fontId="3" fillId="0" borderId="1" xfId="1" applyFont="1" applyBorder="1" applyAlignment="1" applyProtection="1">
      <alignment horizontal="right"/>
    </xf>
    <xf numFmtId="0" fontId="6" fillId="0" borderId="1" xfId="2" applyFont="1" applyBorder="1" applyAlignment="1" applyProtection="1">
      <alignment horizontal="left" wrapText="1" indent="1"/>
    </xf>
    <xf numFmtId="0" fontId="6" fillId="0" borderId="1" xfId="2" applyFont="1" applyBorder="1" applyAlignment="1" applyProtection="1">
      <alignment horizontal="left" wrapText="1"/>
    </xf>
    <xf numFmtId="0" fontId="6" fillId="0" borderId="1" xfId="2" applyFont="1" applyBorder="1" applyAlignment="1" applyProtection="1">
      <alignment horizontal="left" vertical="center" wrapText="1" indent="1"/>
    </xf>
    <xf numFmtId="0" fontId="6" fillId="0" borderId="1" xfId="2" applyFont="1" applyBorder="1" applyAlignment="1" applyProtection="1">
      <alignment horizontal="left" vertical="center" wrapText="1"/>
    </xf>
    <xf numFmtId="0" fontId="4" fillId="0" borderId="1" xfId="2" applyFont="1" applyBorder="1" applyAlignment="1" applyProtection="1">
      <alignment horizontal="center" vertical="top" wrapText="1"/>
    </xf>
    <xf numFmtId="0" fontId="3" fillId="0" borderId="1" xfId="2" applyFont="1" applyBorder="1" applyAlignment="1" applyProtection="1">
      <alignment horizontal="center" vertical="top"/>
    </xf>
    <xf numFmtId="0" fontId="4" fillId="0" borderId="1" xfId="2" applyFont="1" applyBorder="1" applyAlignment="1" applyProtection="1">
      <alignment horizontal="center"/>
    </xf>
    <xf numFmtId="0" fontId="4" fillId="2" borderId="1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left" vertical="center"/>
    </xf>
    <xf numFmtId="0" fontId="6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left" vertical="top" indent="3"/>
    </xf>
    <xf numFmtId="0" fontId="7" fillId="2" borderId="1" xfId="2" applyFont="1" applyFill="1" applyBorder="1" applyAlignment="1" applyProtection="1">
      <alignment horizontal="left" vertical="top" indent="4"/>
    </xf>
    <xf numFmtId="0" fontId="6" fillId="2" borderId="1" xfId="2" applyFont="1" applyFill="1" applyBorder="1" applyAlignment="1" applyProtection="1">
      <alignment horizontal="left" vertical="center" wrapText="1"/>
    </xf>
    <xf numFmtId="0" fontId="7" fillId="2" borderId="1" xfId="2" applyFont="1" applyFill="1" applyBorder="1" applyAlignment="1" applyProtection="1">
      <alignment horizontal="left" vertical="top"/>
    </xf>
    <xf numFmtId="0" fontId="6" fillId="0" borderId="1" xfId="2" applyFont="1" applyBorder="1" applyAlignment="1" applyProtection="1">
      <alignment horizontal="center" wrapText="1"/>
    </xf>
    <xf numFmtId="0" fontId="6" fillId="0" borderId="1" xfId="2" applyFont="1" applyBorder="1" applyAlignment="1" applyProtection="1">
      <alignment horizontal="left" vertical="center" indent="1"/>
    </xf>
    <xf numFmtId="0" fontId="7" fillId="0" borderId="1" xfId="2" applyFont="1" applyBorder="1" applyAlignment="1" applyProtection="1">
      <alignment horizontal="left" vertical="top" indent="1"/>
    </xf>
    <xf numFmtId="0" fontId="6" fillId="2" borderId="1" xfId="2" applyFont="1" applyFill="1" applyBorder="1" applyAlignment="1" applyProtection="1">
      <alignment horizontal="left" wrapText="1" indent="1"/>
    </xf>
    <xf numFmtId="0" fontId="6" fillId="2" borderId="1" xfId="2" applyFont="1" applyFill="1" applyBorder="1" applyAlignment="1" applyProtection="1">
      <alignment horizontal="center" wrapText="1"/>
    </xf>
    <xf numFmtId="0" fontId="6" fillId="2" borderId="1" xfId="2" applyFont="1" applyFill="1" applyBorder="1" applyAlignment="1" applyProtection="1">
      <alignment horizontal="left" wrapText="1"/>
    </xf>
    <xf numFmtId="0" fontId="7" fillId="2" borderId="1" xfId="2" applyFont="1" applyFill="1" applyBorder="1" applyAlignment="1" applyProtection="1">
      <alignment horizontal="left" vertical="top" indent="1"/>
    </xf>
    <xf numFmtId="0" fontId="6" fillId="0" borderId="1" xfId="2" applyFont="1" applyBorder="1" applyAlignment="1" applyProtection="1">
      <alignment horizontal="left" vertical="top" wrapText="1"/>
    </xf>
    <xf numFmtId="0" fontId="4" fillId="0" borderId="1" xfId="2" applyFont="1" applyBorder="1" applyAlignment="1" applyProtection="1">
      <alignment horizontal="center" wrapText="1"/>
    </xf>
    <xf numFmtId="164" fontId="11" fillId="0" borderId="0" xfId="0" applyNumberFormat="1" applyFont="1"/>
    <xf numFmtId="0" fontId="10" fillId="0" borderId="1" xfId="3" applyNumberFormat="1" applyFont="1" applyFill="1" applyBorder="1" applyAlignment="1" applyProtection="1">
      <alignment horizontal="left" wrapText="1"/>
    </xf>
    <xf numFmtId="0" fontId="10" fillId="0" borderId="1" xfId="3" applyNumberFormat="1" applyFont="1" applyFill="1" applyBorder="1" applyAlignment="1" applyProtection="1">
      <alignment horizontal="center" vertical="center"/>
    </xf>
    <xf numFmtId="4" fontId="10" fillId="0" borderId="1" xfId="3" applyNumberFormat="1" applyFont="1" applyFill="1" applyBorder="1" applyAlignment="1" applyProtection="1">
      <alignment horizontal="center" vertical="center"/>
    </xf>
    <xf numFmtId="0" fontId="10" fillId="0" borderId="1" xfId="3" applyNumberFormat="1" applyFont="1" applyFill="1" applyBorder="1" applyAlignment="1" applyProtection="1">
      <alignment horizontal="center"/>
    </xf>
    <xf numFmtId="4" fontId="10" fillId="0" borderId="1" xfId="3" applyNumberFormat="1" applyFont="1" applyFill="1" applyBorder="1" applyAlignment="1" applyProtection="1">
      <alignment horizontal="center"/>
    </xf>
    <xf numFmtId="0" fontId="4" fillId="0" borderId="1" xfId="2" quotePrefix="1" applyFont="1" applyBorder="1" applyAlignment="1" applyProtection="1">
      <alignment horizontal="center" vertical="center"/>
    </xf>
    <xf numFmtId="0" fontId="10" fillId="0" borderId="1" xfId="3" applyNumberFormat="1" applyFont="1" applyFill="1" applyBorder="1" applyAlignment="1" applyProtection="1">
      <alignment horizontal="center" vertical="top"/>
    </xf>
    <xf numFmtId="49" fontId="4" fillId="2" borderId="1" xfId="2" applyNumberFormat="1" applyFont="1" applyFill="1" applyBorder="1" applyAlignment="1" applyProtection="1">
      <alignment horizontal="center" vertical="center"/>
    </xf>
    <xf numFmtId="49" fontId="4" fillId="0" borderId="1" xfId="2" applyNumberFormat="1" applyFont="1" applyBorder="1" applyAlignment="1" applyProtection="1">
      <alignment horizontal="center" vertical="center"/>
    </xf>
    <xf numFmtId="0" fontId="3" fillId="0" borderId="1" xfId="2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0" fillId="0" borderId="1" xfId="3" applyNumberFormat="1" applyFont="1" applyFill="1" applyBorder="1" applyAlignment="1" applyProtection="1">
      <alignment horizontal="left" vertical="top" wrapText="1"/>
    </xf>
    <xf numFmtId="0" fontId="4" fillId="3" borderId="1" xfId="2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165" fontId="11" fillId="0" borderId="0" xfId="0" applyNumberFormat="1" applyFont="1"/>
    <xf numFmtId="0" fontId="1" fillId="2" borderId="1" xfId="2" applyFont="1" applyFill="1" applyBorder="1" applyAlignment="1" applyProtection="1">
      <alignment horizontal="left" vertical="top" indent="1"/>
    </xf>
    <xf numFmtId="0" fontId="6" fillId="2" borderId="1" xfId="2" applyFont="1" applyFill="1" applyBorder="1" applyAlignment="1" applyProtection="1">
      <alignment horizontal="center" vertical="center" wrapText="1"/>
    </xf>
    <xf numFmtId="166" fontId="12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3" fillId="0" borderId="1" xfId="4" applyNumberFormat="1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164" fontId="15" fillId="0" borderId="1" xfId="1" applyFont="1" applyBorder="1" applyAlignment="1">
      <alignment vertical="center"/>
    </xf>
    <xf numFmtId="167" fontId="15" fillId="0" borderId="1" xfId="1" applyNumberFormat="1" applyFont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164" fontId="16" fillId="0" borderId="1" xfId="1" applyFont="1" applyBorder="1" applyAlignment="1">
      <alignment vertical="center"/>
    </xf>
    <xf numFmtId="166" fontId="16" fillId="0" borderId="1" xfId="1" applyNumberFormat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/>
    </xf>
    <xf numFmtId="164" fontId="15" fillId="5" borderId="1" xfId="1" applyFont="1" applyFill="1" applyBorder="1" applyAlignment="1">
      <alignment vertical="center"/>
    </xf>
    <xf numFmtId="166" fontId="16" fillId="5" borderId="1" xfId="1" applyNumberFormat="1" applyFont="1" applyFill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/>
    <xf numFmtId="164" fontId="12" fillId="0" borderId="1" xfId="1" applyFont="1" applyBorder="1" applyAlignment="1">
      <alignment vertical="center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164" fontId="0" fillId="0" borderId="0" xfId="0" applyNumberFormat="1"/>
    <xf numFmtId="0" fontId="18" fillId="0" borderId="0" xfId="0" applyFont="1"/>
    <xf numFmtId="166" fontId="18" fillId="0" borderId="0" xfId="0" applyNumberFormat="1" applyFont="1"/>
    <xf numFmtId="164" fontId="9" fillId="0" borderId="1" xfId="1" applyBorder="1" applyProtection="1"/>
    <xf numFmtId="0" fontId="20" fillId="0" borderId="8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164" fontId="9" fillId="0" borderId="5" xfId="1" applyBorder="1" applyProtection="1"/>
    <xf numFmtId="0" fontId="20" fillId="0" borderId="1" xfId="0" applyFont="1" applyBorder="1" applyAlignment="1">
      <alignment vertical="center" wrapText="1"/>
    </xf>
    <xf numFmtId="165" fontId="0" fillId="0" borderId="1" xfId="0" applyNumberFormat="1" applyBorder="1"/>
    <xf numFmtId="164" fontId="21" fillId="0" borderId="0" xfId="0" applyNumberFormat="1" applyFont="1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21" fillId="0" borderId="0" xfId="0" applyNumberFormat="1" applyFont="1"/>
    <xf numFmtId="0" fontId="22" fillId="5" borderId="2" xfId="2" applyFont="1" applyFill="1" applyBorder="1" applyAlignment="1" applyProtection="1">
      <alignment horizontal="left" wrapText="1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165" fontId="18" fillId="0" borderId="0" xfId="0" applyNumberFormat="1" applyFont="1"/>
    <xf numFmtId="166" fontId="15" fillId="4" borderId="1" xfId="1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wrapText="1"/>
    </xf>
    <xf numFmtId="0" fontId="24" fillId="0" borderId="1" xfId="5" applyNumberFormat="1" applyFont="1" applyFill="1" applyBorder="1" applyAlignment="1" applyProtection="1">
      <alignment horizontal="center" vertical="top"/>
    </xf>
    <xf numFmtId="0" fontId="24" fillId="0" borderId="1" xfId="5" applyNumberFormat="1" applyFont="1" applyFill="1" applyBorder="1" applyAlignment="1" applyProtection="1">
      <alignment horizontal="left" vertical="top"/>
    </xf>
    <xf numFmtId="0" fontId="3" fillId="0" borderId="2" xfId="2" applyFont="1" applyBorder="1" applyAlignment="1" applyProtection="1">
      <alignment horizontal="left" wrapText="1"/>
    </xf>
    <xf numFmtId="164" fontId="9" fillId="0" borderId="2" xfId="1" applyBorder="1" applyProtection="1"/>
    <xf numFmtId="165" fontId="0" fillId="0" borderId="2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6" fontId="12" fillId="0" borderId="1" xfId="1" applyNumberFormat="1" applyFont="1" applyBorder="1" applyAlignment="1">
      <alignment horizontal="center" vertical="center" wrapText="1"/>
    </xf>
  </cellXfs>
  <cellStyles count="6">
    <cellStyle name="ЛокСмМТСН" xfId="4" xr:uid="{CA4DA919-1390-4ACC-8B41-B369290D8A0A}"/>
    <cellStyle name="Обычный" xfId="0" builtinId="0"/>
    <cellStyle name="Обычный_131-23-ПЖ" xfId="3" xr:uid="{61F719B3-6ADB-4ED6-8B50-4580180EAC34}"/>
    <cellStyle name="Обычный_Лист1" xfId="2" xr:uid="{00000000-0005-0000-0000-000006000000}"/>
    <cellStyle name="Обычный_Лист3" xfId="5" xr:uid="{83C8486D-4C97-414B-BE9C-9D3287D73DF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topLeftCell="J10" zoomScaleNormal="100" workbookViewId="0">
      <selection activeCell="S41" sqref="S41"/>
    </sheetView>
  </sheetViews>
  <sheetFormatPr defaultColWidth="8.6640625" defaultRowHeight="14.4" x14ac:dyDescent="0.3"/>
  <cols>
    <col min="1" max="1" width="10.5546875" style="62" bestFit="1" customWidth="1"/>
    <col min="2" max="2" width="45.88671875" customWidth="1"/>
    <col min="3" max="3" width="27.44140625" style="59" customWidth="1"/>
    <col min="5" max="5" width="11.21875" customWidth="1"/>
    <col min="9" max="9" width="42.5546875" customWidth="1"/>
    <col min="12" max="12" width="27.5546875" style="59" customWidth="1"/>
    <col min="15" max="16" width="17.5546875" customWidth="1"/>
    <col min="18" max="18" width="14.109375" customWidth="1"/>
    <col min="19" max="19" width="12.77734375" customWidth="1"/>
    <col min="22" max="22" width="29.77734375" customWidth="1"/>
    <col min="25" max="25" width="13.77734375" bestFit="1" customWidth="1"/>
    <col min="26" max="26" width="15.21875" bestFit="1" customWidth="1"/>
  </cols>
  <sheetData>
    <row r="1" spans="1:26" ht="41.4" x14ac:dyDescent="0.3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3" t="s">
        <v>8</v>
      </c>
      <c r="K1" s="4" t="s">
        <v>9</v>
      </c>
      <c r="L1" s="58" t="s">
        <v>10</v>
      </c>
      <c r="M1" s="4" t="s">
        <v>11</v>
      </c>
      <c r="N1" s="4" t="s">
        <v>12</v>
      </c>
      <c r="O1" s="4" t="s">
        <v>13</v>
      </c>
      <c r="P1" s="5" t="s">
        <v>14</v>
      </c>
      <c r="Q1" s="6" t="s">
        <v>15</v>
      </c>
      <c r="R1" s="7" t="s">
        <v>16</v>
      </c>
      <c r="S1" s="7" t="s">
        <v>17</v>
      </c>
    </row>
    <row r="2" spans="1:26" ht="31.8" x14ac:dyDescent="0.3">
      <c r="A2" s="8" t="s">
        <v>18</v>
      </c>
      <c r="B2" s="9" t="s">
        <v>19</v>
      </c>
      <c r="C2" s="10" t="s">
        <v>20</v>
      </c>
      <c r="D2" s="11"/>
      <c r="E2" s="19" t="s">
        <v>26</v>
      </c>
      <c r="F2" s="9" t="s">
        <v>21</v>
      </c>
      <c r="G2" s="12">
        <v>6</v>
      </c>
      <c r="H2" s="11"/>
      <c r="I2" s="13"/>
      <c r="K2" s="14" t="s">
        <v>22</v>
      </c>
      <c r="L2" s="15" t="s">
        <v>23</v>
      </c>
      <c r="M2" s="4" t="s">
        <v>24</v>
      </c>
      <c r="N2" s="16">
        <v>246.54400000000001</v>
      </c>
      <c r="O2" s="17">
        <v>143354.76</v>
      </c>
      <c r="P2" s="18">
        <v>35343256</v>
      </c>
      <c r="Q2" s="4" t="s">
        <v>25</v>
      </c>
      <c r="R2" s="19" t="s">
        <v>26</v>
      </c>
      <c r="S2" s="7" t="s">
        <v>27</v>
      </c>
    </row>
    <row r="3" spans="1:26" ht="46.8" x14ac:dyDescent="0.3">
      <c r="A3" s="8" t="s">
        <v>28</v>
      </c>
      <c r="B3" s="9" t="s">
        <v>29</v>
      </c>
      <c r="C3" s="20" t="s">
        <v>30</v>
      </c>
      <c r="D3" s="11"/>
      <c r="E3" s="19" t="s">
        <v>26</v>
      </c>
      <c r="F3" s="9" t="s">
        <v>21</v>
      </c>
      <c r="G3" s="12">
        <v>304</v>
      </c>
      <c r="H3" s="11"/>
      <c r="I3" s="21" t="s">
        <v>31</v>
      </c>
      <c r="K3" s="14" t="s">
        <v>32</v>
      </c>
      <c r="L3" s="15" t="s">
        <v>33</v>
      </c>
      <c r="M3" s="14" t="s">
        <v>24</v>
      </c>
      <c r="N3" s="22">
        <v>18.29</v>
      </c>
      <c r="O3" s="23">
        <v>170467.47</v>
      </c>
      <c r="P3" s="24">
        <v>3117850</v>
      </c>
      <c r="Q3" s="4" t="s">
        <v>25</v>
      </c>
      <c r="R3" s="19" t="s">
        <v>26</v>
      </c>
      <c r="S3" s="7" t="s">
        <v>27</v>
      </c>
    </row>
    <row r="4" spans="1:26" ht="31.8" x14ac:dyDescent="0.3">
      <c r="A4" s="8" t="s">
        <v>34</v>
      </c>
      <c r="B4" s="25" t="s">
        <v>35</v>
      </c>
      <c r="C4" s="20" t="s">
        <v>36</v>
      </c>
      <c r="D4" s="11"/>
      <c r="E4" s="19" t="s">
        <v>26</v>
      </c>
      <c r="F4" s="26" t="s">
        <v>37</v>
      </c>
      <c r="G4" s="12">
        <v>7</v>
      </c>
      <c r="H4" s="11"/>
      <c r="I4" s="13"/>
      <c r="K4" s="14" t="s">
        <v>38</v>
      </c>
      <c r="L4" s="15" t="s">
        <v>39</v>
      </c>
      <c r="M4" s="14" t="s">
        <v>24</v>
      </c>
      <c r="N4" s="22">
        <v>2.0979999999999999</v>
      </c>
      <c r="O4" s="23">
        <v>173832.22</v>
      </c>
      <c r="P4" s="23">
        <v>364700</v>
      </c>
      <c r="Q4" s="14" t="s">
        <v>40</v>
      </c>
      <c r="R4" s="19" t="s">
        <v>26</v>
      </c>
      <c r="S4" s="7" t="s">
        <v>27</v>
      </c>
    </row>
    <row r="5" spans="1:26" ht="31.8" x14ac:dyDescent="0.3">
      <c r="A5" s="8" t="s">
        <v>41</v>
      </c>
      <c r="B5" s="27" t="s">
        <v>42</v>
      </c>
      <c r="C5" s="20" t="s">
        <v>36</v>
      </c>
      <c r="D5" s="11"/>
      <c r="E5" s="19" t="s">
        <v>26</v>
      </c>
      <c r="F5" s="28" t="s">
        <v>37</v>
      </c>
      <c r="G5" s="12">
        <v>310</v>
      </c>
      <c r="H5" s="11"/>
      <c r="I5" s="29" t="s">
        <v>43</v>
      </c>
      <c r="K5" s="14" t="s">
        <v>44</v>
      </c>
      <c r="L5" s="15" t="s">
        <v>45</v>
      </c>
      <c r="M5" s="4" t="s">
        <v>46</v>
      </c>
      <c r="N5" s="22">
        <v>2289</v>
      </c>
      <c r="O5" s="24">
        <v>2774.75</v>
      </c>
      <c r="P5" s="24">
        <v>6351400</v>
      </c>
      <c r="Q5" s="30" t="s">
        <v>25</v>
      </c>
      <c r="R5" s="19" t="s">
        <v>26</v>
      </c>
      <c r="S5" s="7" t="s">
        <v>27</v>
      </c>
    </row>
    <row r="6" spans="1:26" ht="31.8" x14ac:dyDescent="0.3">
      <c r="A6" s="31" t="s">
        <v>47</v>
      </c>
      <c r="B6" s="9" t="s">
        <v>48</v>
      </c>
      <c r="C6" s="20" t="s">
        <v>49</v>
      </c>
      <c r="D6" s="11"/>
      <c r="E6" s="19" t="s">
        <v>26</v>
      </c>
      <c r="F6" s="9" t="s">
        <v>21</v>
      </c>
      <c r="G6" s="12">
        <v>2289</v>
      </c>
      <c r="H6" s="11"/>
      <c r="I6" s="13"/>
      <c r="K6" s="14" t="s">
        <v>50</v>
      </c>
      <c r="L6" s="15" t="s">
        <v>51</v>
      </c>
      <c r="M6" s="4" t="s">
        <v>24</v>
      </c>
      <c r="N6" s="22">
        <v>42.816000000000003</v>
      </c>
      <c r="O6" s="23">
        <v>250838.94</v>
      </c>
      <c r="P6" s="24">
        <v>10739920</v>
      </c>
      <c r="Q6" s="30" t="s">
        <v>25</v>
      </c>
      <c r="R6" s="19" t="s">
        <v>26</v>
      </c>
      <c r="S6" s="7" t="s">
        <v>27</v>
      </c>
    </row>
    <row r="7" spans="1:26" ht="31.8" x14ac:dyDescent="0.3">
      <c r="A7" s="31" t="s">
        <v>52</v>
      </c>
      <c r="B7" s="9" t="s">
        <v>53</v>
      </c>
      <c r="C7" s="20" t="s">
        <v>54</v>
      </c>
      <c r="D7" s="11"/>
      <c r="E7" s="19" t="s">
        <v>26</v>
      </c>
      <c r="F7" s="9" t="s">
        <v>21</v>
      </c>
      <c r="G7" s="12">
        <v>1274</v>
      </c>
      <c r="H7" s="11"/>
      <c r="I7" s="13"/>
      <c r="K7" s="14" t="s">
        <v>55</v>
      </c>
      <c r="L7" s="15" t="s">
        <v>56</v>
      </c>
      <c r="M7" s="4" t="s">
        <v>24</v>
      </c>
      <c r="N7" s="22">
        <v>10.829000000000001</v>
      </c>
      <c r="O7" s="23">
        <v>168851.69</v>
      </c>
      <c r="P7" s="24">
        <v>1828495</v>
      </c>
      <c r="Q7" s="30" t="s">
        <v>25</v>
      </c>
      <c r="R7" s="19" t="s">
        <v>26</v>
      </c>
      <c r="S7" s="7" t="s">
        <v>27</v>
      </c>
    </row>
    <row r="8" spans="1:26" ht="31.8" x14ac:dyDescent="0.3">
      <c r="A8" s="56" t="s">
        <v>134</v>
      </c>
      <c r="B8" s="33" t="s">
        <v>58</v>
      </c>
      <c r="C8" s="66" t="s">
        <v>59</v>
      </c>
      <c r="D8" s="35"/>
      <c r="E8" s="36"/>
      <c r="F8" s="37" t="s">
        <v>37</v>
      </c>
      <c r="G8" s="34">
        <v>118</v>
      </c>
      <c r="H8" s="35"/>
      <c r="I8" s="38" t="s">
        <v>60</v>
      </c>
      <c r="K8" s="14" t="s">
        <v>57</v>
      </c>
      <c r="L8" s="15" t="s">
        <v>61</v>
      </c>
      <c r="M8" s="4" t="s">
        <v>24</v>
      </c>
      <c r="N8" s="22">
        <v>9.99</v>
      </c>
      <c r="O8" s="23">
        <v>147005.01</v>
      </c>
      <c r="P8" s="24">
        <v>1468580</v>
      </c>
      <c r="Q8" s="14" t="s">
        <v>25</v>
      </c>
      <c r="R8" s="19" t="s">
        <v>26</v>
      </c>
      <c r="S8" s="7" t="s">
        <v>27</v>
      </c>
    </row>
    <row r="9" spans="1:26" ht="31.8" x14ac:dyDescent="0.3">
      <c r="A9" s="57" t="s">
        <v>135</v>
      </c>
      <c r="B9" s="9" t="s">
        <v>58</v>
      </c>
      <c r="C9" s="20" t="s">
        <v>62</v>
      </c>
      <c r="D9" s="11"/>
      <c r="E9" s="19" t="s">
        <v>26</v>
      </c>
      <c r="F9" s="26" t="s">
        <v>37</v>
      </c>
      <c r="G9" s="12">
        <v>4460</v>
      </c>
      <c r="H9" s="11"/>
      <c r="I9" s="13"/>
      <c r="K9" s="14" t="s">
        <v>63</v>
      </c>
      <c r="L9" s="15" t="s">
        <v>64</v>
      </c>
      <c r="M9" s="4" t="s">
        <v>46</v>
      </c>
      <c r="N9" s="22">
        <v>1274</v>
      </c>
      <c r="O9" s="24">
        <v>6489.01</v>
      </c>
      <c r="P9" s="24">
        <v>8267000</v>
      </c>
      <c r="Q9" s="30" t="s">
        <v>25</v>
      </c>
      <c r="R9" s="19" t="s">
        <v>26</v>
      </c>
      <c r="S9" s="7" t="s">
        <v>27</v>
      </c>
    </row>
    <row r="10" spans="1:26" ht="31.8" x14ac:dyDescent="0.3">
      <c r="A10" s="8" t="s">
        <v>65</v>
      </c>
      <c r="B10" s="9" t="s">
        <v>58</v>
      </c>
      <c r="C10" s="20" t="s">
        <v>66</v>
      </c>
      <c r="D10" s="11"/>
      <c r="E10" s="19" t="s">
        <v>26</v>
      </c>
      <c r="F10" s="26" t="s">
        <v>37</v>
      </c>
      <c r="G10" s="12">
        <v>2546</v>
      </c>
      <c r="H10" s="11"/>
      <c r="I10" s="13"/>
      <c r="K10" s="14" t="s">
        <v>67</v>
      </c>
      <c r="L10" s="15" t="s">
        <v>68</v>
      </c>
      <c r="M10" s="4" t="s">
        <v>69</v>
      </c>
      <c r="N10" s="22">
        <v>1274</v>
      </c>
      <c r="O10" s="24">
        <v>2281.4</v>
      </c>
      <c r="P10" s="24">
        <v>2906500</v>
      </c>
      <c r="Q10" s="30" t="s">
        <v>25</v>
      </c>
      <c r="R10" s="19" t="s">
        <v>26</v>
      </c>
      <c r="S10" s="7" t="s">
        <v>27</v>
      </c>
    </row>
    <row r="11" spans="1:26" ht="31.8" x14ac:dyDescent="0.3">
      <c r="A11" s="54" t="s">
        <v>127</v>
      </c>
      <c r="B11" s="9" t="s">
        <v>70</v>
      </c>
      <c r="C11" s="39" t="s">
        <v>71</v>
      </c>
      <c r="D11" s="11"/>
      <c r="E11" s="19" t="s">
        <v>122</v>
      </c>
      <c r="F11" s="28" t="s">
        <v>37</v>
      </c>
      <c r="G11" s="12">
        <v>2</v>
      </c>
      <c r="H11" s="11"/>
      <c r="I11" s="19"/>
      <c r="K11" s="14" t="s">
        <v>72</v>
      </c>
      <c r="L11" s="15" t="s">
        <v>73</v>
      </c>
      <c r="M11" s="4" t="s">
        <v>24</v>
      </c>
      <c r="N11" s="22">
        <v>3.875</v>
      </c>
      <c r="O11" s="23">
        <v>125600</v>
      </c>
      <c r="P11" s="23">
        <v>486700</v>
      </c>
      <c r="Q11" s="30" t="s">
        <v>25</v>
      </c>
      <c r="R11" s="19" t="s">
        <v>26</v>
      </c>
      <c r="S11" s="7" t="s">
        <v>27</v>
      </c>
    </row>
    <row r="12" spans="1:26" ht="32.4" thickBot="1" x14ac:dyDescent="0.35">
      <c r="A12" s="54" t="s">
        <v>128</v>
      </c>
      <c r="B12" s="40" t="s">
        <v>70</v>
      </c>
      <c r="C12" s="20" t="s">
        <v>74</v>
      </c>
      <c r="D12" s="13"/>
      <c r="E12" s="19" t="s">
        <v>122</v>
      </c>
      <c r="F12" s="28" t="s">
        <v>37</v>
      </c>
      <c r="G12" s="12" t="s">
        <v>22</v>
      </c>
      <c r="H12" s="13"/>
      <c r="I12" s="19"/>
      <c r="K12" s="14" t="s">
        <v>75</v>
      </c>
      <c r="L12" s="15" t="s">
        <v>76</v>
      </c>
      <c r="M12" s="4" t="s">
        <v>24</v>
      </c>
      <c r="N12" s="22">
        <v>0.26300000000000001</v>
      </c>
      <c r="O12" s="23">
        <v>205700</v>
      </c>
      <c r="P12" s="24">
        <v>54099.1</v>
      </c>
      <c r="Q12" s="14" t="s">
        <v>77</v>
      </c>
      <c r="R12" s="19" t="s">
        <v>26</v>
      </c>
      <c r="S12" s="7" t="s">
        <v>27</v>
      </c>
      <c r="V12" s="62" t="s">
        <v>182</v>
      </c>
    </row>
    <row r="13" spans="1:26" ht="31.8" x14ac:dyDescent="0.3">
      <c r="A13" s="54" t="s">
        <v>129</v>
      </c>
      <c r="B13" s="40" t="s">
        <v>70</v>
      </c>
      <c r="C13" s="20" t="s">
        <v>78</v>
      </c>
      <c r="D13" s="13"/>
      <c r="E13" s="19" t="s">
        <v>122</v>
      </c>
      <c r="F13" s="28" t="s">
        <v>37</v>
      </c>
      <c r="G13" s="12" t="s">
        <v>22</v>
      </c>
      <c r="H13" s="13"/>
      <c r="I13" s="19"/>
      <c r="K13" s="14" t="s">
        <v>79</v>
      </c>
      <c r="L13" s="15" t="s">
        <v>80</v>
      </c>
      <c r="M13" s="4" t="s">
        <v>24</v>
      </c>
      <c r="N13" s="22">
        <v>3.5000000000000003E-2</v>
      </c>
      <c r="O13" s="23">
        <v>160000</v>
      </c>
      <c r="P13" s="24">
        <v>5600</v>
      </c>
      <c r="Q13" s="14" t="s">
        <v>77</v>
      </c>
      <c r="R13" s="19" t="s">
        <v>26</v>
      </c>
      <c r="S13" s="7" t="s">
        <v>27</v>
      </c>
      <c r="U13" s="104" t="s">
        <v>138</v>
      </c>
      <c r="V13" s="103" t="s">
        <v>174</v>
      </c>
      <c r="W13" s="103" t="s">
        <v>175</v>
      </c>
      <c r="X13" s="103" t="s">
        <v>12</v>
      </c>
      <c r="Y13" s="105" t="s">
        <v>181</v>
      </c>
      <c r="Z13" s="107" t="s">
        <v>183</v>
      </c>
    </row>
    <row r="14" spans="1:26" ht="46.8" customHeight="1" x14ac:dyDescent="0.3">
      <c r="A14" s="8" t="s">
        <v>81</v>
      </c>
      <c r="B14" s="40" t="s">
        <v>82</v>
      </c>
      <c r="C14" s="20" t="s">
        <v>83</v>
      </c>
      <c r="D14" s="13"/>
      <c r="E14" s="13"/>
      <c r="F14" s="9" t="s">
        <v>21</v>
      </c>
      <c r="G14" s="12" t="s">
        <v>84</v>
      </c>
      <c r="H14" s="13"/>
      <c r="I14" s="41"/>
      <c r="K14" s="14" t="s">
        <v>85</v>
      </c>
      <c r="L14" s="15" t="s">
        <v>86</v>
      </c>
      <c r="M14" s="4" t="s">
        <v>69</v>
      </c>
      <c r="N14" s="22">
        <v>2</v>
      </c>
      <c r="O14" s="24">
        <v>3540000</v>
      </c>
      <c r="P14" s="24">
        <v>7080000</v>
      </c>
      <c r="Q14" s="4" t="s">
        <v>25</v>
      </c>
      <c r="R14" s="19" t="s">
        <v>26</v>
      </c>
      <c r="S14" s="7" t="s">
        <v>27</v>
      </c>
      <c r="U14" s="15">
        <v>1</v>
      </c>
      <c r="V14" s="15" t="s">
        <v>176</v>
      </c>
      <c r="W14" s="15" t="s">
        <v>69</v>
      </c>
      <c r="X14" s="15">
        <v>2</v>
      </c>
      <c r="Y14" s="106">
        <v>3214200</v>
      </c>
      <c r="Z14" s="108">
        <f>Y14*X14</f>
        <v>6428400</v>
      </c>
    </row>
    <row r="15" spans="1:26" ht="31.8" x14ac:dyDescent="0.3">
      <c r="A15" s="8" t="s">
        <v>87</v>
      </c>
      <c r="B15" s="40" t="s">
        <v>88</v>
      </c>
      <c r="C15" s="20" t="s">
        <v>83</v>
      </c>
      <c r="D15" s="13"/>
      <c r="E15" s="13"/>
      <c r="F15" s="9" t="s">
        <v>21</v>
      </c>
      <c r="G15" s="12" t="s">
        <v>89</v>
      </c>
      <c r="H15" s="13"/>
      <c r="I15" s="41"/>
      <c r="K15" s="14" t="s">
        <v>90</v>
      </c>
      <c r="L15" s="15" t="s">
        <v>91</v>
      </c>
      <c r="M15" s="4" t="s">
        <v>69</v>
      </c>
      <c r="N15" s="23">
        <v>1</v>
      </c>
      <c r="O15" s="24">
        <v>3540000</v>
      </c>
      <c r="P15" s="24">
        <v>3540000</v>
      </c>
      <c r="Q15" s="14" t="s">
        <v>25</v>
      </c>
      <c r="R15" s="19" t="s">
        <v>26</v>
      </c>
      <c r="S15" s="7" t="s">
        <v>27</v>
      </c>
      <c r="U15" s="15">
        <v>2</v>
      </c>
      <c r="V15" s="15" t="s">
        <v>177</v>
      </c>
      <c r="W15" s="15" t="s">
        <v>69</v>
      </c>
      <c r="X15" s="15">
        <v>1</v>
      </c>
      <c r="Y15" s="106">
        <v>3214200</v>
      </c>
      <c r="Z15" s="108">
        <f t="shared" ref="Z15:Z16" si="0">Y15*X15</f>
        <v>3214200</v>
      </c>
    </row>
    <row r="16" spans="1:26" ht="46.8" x14ac:dyDescent="0.3">
      <c r="A16" s="32" t="s">
        <v>126</v>
      </c>
      <c r="B16" s="42" t="s">
        <v>93</v>
      </c>
      <c r="C16" s="43" t="s">
        <v>94</v>
      </c>
      <c r="D16" s="38"/>
      <c r="E16" s="19" t="s">
        <v>122</v>
      </c>
      <c r="F16" s="44" t="s">
        <v>37</v>
      </c>
      <c r="G16" s="34" t="s">
        <v>22</v>
      </c>
      <c r="H16" s="38"/>
      <c r="I16" s="65" t="s">
        <v>60</v>
      </c>
      <c r="K16" s="14" t="s">
        <v>92</v>
      </c>
      <c r="L16" s="15" t="s">
        <v>95</v>
      </c>
      <c r="M16" s="4" t="s">
        <v>69</v>
      </c>
      <c r="N16" s="22">
        <v>2</v>
      </c>
      <c r="O16" s="24">
        <v>3540000</v>
      </c>
      <c r="P16" s="24">
        <v>7080000</v>
      </c>
      <c r="Q16" s="30" t="s">
        <v>25</v>
      </c>
      <c r="R16" s="19" t="s">
        <v>26</v>
      </c>
      <c r="S16" s="7" t="s">
        <v>27</v>
      </c>
      <c r="U16" s="15">
        <v>3</v>
      </c>
      <c r="V16" s="15" t="s">
        <v>178</v>
      </c>
      <c r="W16" s="15" t="s">
        <v>69</v>
      </c>
      <c r="X16" s="15">
        <v>2</v>
      </c>
      <c r="Y16" s="106">
        <v>3154800</v>
      </c>
      <c r="Z16" s="108">
        <f t="shared" si="0"/>
        <v>6309600</v>
      </c>
    </row>
    <row r="17" spans="1:26" ht="31.8" x14ac:dyDescent="0.3">
      <c r="A17" s="8" t="s">
        <v>96</v>
      </c>
      <c r="B17" s="9" t="s">
        <v>97</v>
      </c>
      <c r="C17" s="39" t="s">
        <v>98</v>
      </c>
      <c r="D17" s="13"/>
      <c r="E17" s="19" t="s">
        <v>26</v>
      </c>
      <c r="F17" s="26" t="s">
        <v>37</v>
      </c>
      <c r="G17" s="12" t="s">
        <v>32</v>
      </c>
      <c r="H17" s="13"/>
      <c r="I17" s="41"/>
      <c r="K17" s="14" t="s">
        <v>99</v>
      </c>
      <c r="L17" s="15" t="s">
        <v>100</v>
      </c>
      <c r="M17" s="4" t="s">
        <v>69</v>
      </c>
      <c r="N17" s="22">
        <v>1</v>
      </c>
      <c r="O17" s="24">
        <v>3540000</v>
      </c>
      <c r="P17" s="24">
        <v>3540000</v>
      </c>
      <c r="Q17" s="30" t="s">
        <v>25</v>
      </c>
      <c r="R17" s="19" t="s">
        <v>26</v>
      </c>
      <c r="S17" s="7" t="s">
        <v>27</v>
      </c>
      <c r="U17" s="15">
        <v>4</v>
      </c>
      <c r="V17" s="15" t="s">
        <v>179</v>
      </c>
      <c r="W17" s="15" t="s">
        <v>69</v>
      </c>
      <c r="X17" s="15">
        <v>1</v>
      </c>
      <c r="Y17" s="106">
        <v>3154800</v>
      </c>
      <c r="Z17" s="108">
        <f>Y17*X17</f>
        <v>3154800</v>
      </c>
    </row>
    <row r="18" spans="1:26" ht="31.8" x14ac:dyDescent="0.3">
      <c r="A18" s="8" t="s">
        <v>101</v>
      </c>
      <c r="B18" s="9" t="s">
        <v>97</v>
      </c>
      <c r="C18" s="39" t="s">
        <v>102</v>
      </c>
      <c r="D18" s="13"/>
      <c r="E18" s="19" t="s">
        <v>26</v>
      </c>
      <c r="F18" s="26" t="s">
        <v>37</v>
      </c>
      <c r="G18" s="12" t="s">
        <v>22</v>
      </c>
      <c r="H18" s="13"/>
      <c r="I18" s="41"/>
      <c r="K18" s="14" t="s">
        <v>103</v>
      </c>
      <c r="L18" s="15" t="s">
        <v>104</v>
      </c>
      <c r="M18" s="4" t="s">
        <v>69</v>
      </c>
      <c r="N18" s="23">
        <v>3</v>
      </c>
      <c r="O18" s="23">
        <v>754000</v>
      </c>
      <c r="P18" s="24">
        <v>2262000</v>
      </c>
      <c r="Q18" s="30" t="s">
        <v>25</v>
      </c>
      <c r="R18" s="19" t="s">
        <v>26</v>
      </c>
      <c r="S18" s="7" t="s">
        <v>27</v>
      </c>
    </row>
    <row r="19" spans="1:26" ht="46.8" x14ac:dyDescent="0.3">
      <c r="A19" s="8" t="s">
        <v>105</v>
      </c>
      <c r="B19" s="27" t="s">
        <v>106</v>
      </c>
      <c r="C19" s="20" t="s">
        <v>107</v>
      </c>
      <c r="D19" s="13"/>
      <c r="E19" s="19" t="s">
        <v>26</v>
      </c>
      <c r="F19" s="46" t="s">
        <v>37</v>
      </c>
      <c r="G19" s="12" t="s">
        <v>32</v>
      </c>
      <c r="H19" s="13"/>
      <c r="I19" s="47" t="s">
        <v>108</v>
      </c>
      <c r="K19" s="14" t="s">
        <v>109</v>
      </c>
      <c r="L19" s="15" t="s">
        <v>110</v>
      </c>
      <c r="M19" s="4" t="s">
        <v>69</v>
      </c>
      <c r="N19" s="22">
        <v>3</v>
      </c>
      <c r="O19" s="17">
        <v>356666.67</v>
      </c>
      <c r="P19" s="18">
        <v>1070000</v>
      </c>
      <c r="Q19" s="4" t="s">
        <v>25</v>
      </c>
      <c r="R19" s="19" t="s">
        <v>26</v>
      </c>
      <c r="S19" s="7" t="s">
        <v>27</v>
      </c>
    </row>
    <row r="20" spans="1:26" ht="31.8" x14ac:dyDescent="0.3">
      <c r="A20" s="8" t="s">
        <v>111</v>
      </c>
      <c r="B20" s="25" t="s">
        <v>112</v>
      </c>
      <c r="C20" s="39" t="s">
        <v>113</v>
      </c>
      <c r="D20" s="13"/>
      <c r="E20" s="19" t="s">
        <v>26</v>
      </c>
      <c r="F20" s="26" t="s">
        <v>37</v>
      </c>
      <c r="G20" s="12" t="s">
        <v>22</v>
      </c>
      <c r="H20" s="13"/>
      <c r="I20" s="41"/>
      <c r="K20" s="14" t="s">
        <v>114</v>
      </c>
      <c r="L20" s="15" t="s">
        <v>115</v>
      </c>
      <c r="M20" s="4" t="s">
        <v>46</v>
      </c>
      <c r="N20" s="22">
        <v>4</v>
      </c>
      <c r="O20" s="18">
        <v>61050</v>
      </c>
      <c r="P20" s="18">
        <v>244200</v>
      </c>
      <c r="Q20" s="4" t="s">
        <v>77</v>
      </c>
      <c r="R20" s="19" t="s">
        <v>26</v>
      </c>
      <c r="S20" s="7" t="s">
        <v>27</v>
      </c>
    </row>
    <row r="21" spans="1:26" ht="46.8" x14ac:dyDescent="0.3">
      <c r="A21" s="32" t="s">
        <v>132</v>
      </c>
      <c r="B21" s="42" t="s">
        <v>112</v>
      </c>
      <c r="C21" s="43" t="s">
        <v>116</v>
      </c>
      <c r="D21" s="38"/>
      <c r="E21" s="19" t="s">
        <v>122</v>
      </c>
      <c r="F21" s="44" t="s">
        <v>37</v>
      </c>
      <c r="G21" s="34" t="s">
        <v>38</v>
      </c>
      <c r="H21" s="38"/>
      <c r="I21" s="45" t="s">
        <v>60</v>
      </c>
      <c r="P21" s="48">
        <f>SUM(P2:P20)</f>
        <v>95750300.099999994</v>
      </c>
    </row>
    <row r="22" spans="1:26" ht="31.2" x14ac:dyDescent="0.3">
      <c r="A22" s="61" t="s">
        <v>117</v>
      </c>
      <c r="B22" s="40" t="s">
        <v>118</v>
      </c>
      <c r="C22" s="20" t="s">
        <v>119</v>
      </c>
      <c r="D22" s="13"/>
      <c r="E22" s="13"/>
      <c r="F22" s="46" t="s">
        <v>37</v>
      </c>
      <c r="G22" s="12" t="s">
        <v>44</v>
      </c>
      <c r="H22" s="13"/>
      <c r="I22" s="47" t="s">
        <v>120</v>
      </c>
      <c r="K22" s="14">
        <v>20</v>
      </c>
      <c r="L22" s="15" t="s">
        <v>121</v>
      </c>
      <c r="M22" s="4" t="s">
        <v>46</v>
      </c>
      <c r="N22" s="22">
        <v>4</v>
      </c>
      <c r="O22" s="18">
        <v>93000</v>
      </c>
      <c r="P22" s="18">
        <f>O22*N22</f>
        <v>372000</v>
      </c>
      <c r="Q22" s="4" t="s">
        <v>136</v>
      </c>
      <c r="R22" s="19" t="s">
        <v>122</v>
      </c>
      <c r="S22" s="4">
        <v>100</v>
      </c>
    </row>
    <row r="23" spans="1:26" ht="40.200000000000003" x14ac:dyDescent="0.3">
      <c r="K23" s="14">
        <v>21</v>
      </c>
      <c r="L23" s="49" t="s">
        <v>123</v>
      </c>
      <c r="M23" s="50" t="s">
        <v>124</v>
      </c>
      <c r="N23" s="50">
        <v>1</v>
      </c>
      <c r="O23" s="51">
        <v>1970000</v>
      </c>
      <c r="P23" s="18">
        <f t="shared" ref="P23:P27" si="1">O23*N23</f>
        <v>1970000</v>
      </c>
      <c r="Q23" s="4" t="s">
        <v>136</v>
      </c>
      <c r="R23" s="19" t="s">
        <v>122</v>
      </c>
      <c r="S23" s="4">
        <v>100</v>
      </c>
    </row>
    <row r="24" spans="1:26" ht="21.6" x14ac:dyDescent="0.3">
      <c r="K24" s="14">
        <v>23</v>
      </c>
      <c r="L24" s="49" t="s">
        <v>125</v>
      </c>
      <c r="M24" s="52" t="s">
        <v>46</v>
      </c>
      <c r="N24" s="52">
        <v>5</v>
      </c>
      <c r="O24" s="53">
        <v>8550</v>
      </c>
      <c r="P24" s="18">
        <f t="shared" si="1"/>
        <v>42750</v>
      </c>
      <c r="Q24" s="4" t="s">
        <v>136</v>
      </c>
      <c r="R24" s="19" t="s">
        <v>122</v>
      </c>
      <c r="S24" s="4">
        <v>100</v>
      </c>
    </row>
    <row r="25" spans="1:26" ht="40.200000000000003" x14ac:dyDescent="0.3">
      <c r="K25" s="14">
        <v>25</v>
      </c>
      <c r="L25" s="49" t="s">
        <v>130</v>
      </c>
      <c r="M25" s="50" t="s">
        <v>124</v>
      </c>
      <c r="N25" s="50">
        <v>3</v>
      </c>
      <c r="O25" s="51">
        <v>3013200</v>
      </c>
      <c r="P25" s="18">
        <f t="shared" si="1"/>
        <v>9039600</v>
      </c>
      <c r="Q25" s="4" t="s">
        <v>136</v>
      </c>
      <c r="R25" s="19" t="s">
        <v>122</v>
      </c>
      <c r="S25" s="4">
        <v>100</v>
      </c>
      <c r="U25" s="15">
        <v>5</v>
      </c>
      <c r="V25" s="15" t="s">
        <v>180</v>
      </c>
      <c r="W25" s="15" t="s">
        <v>69</v>
      </c>
      <c r="X25" s="15">
        <v>3</v>
      </c>
      <c r="Y25" s="102">
        <v>2811600</v>
      </c>
      <c r="Z25" s="108">
        <f t="shared" ref="Z25" si="2">Y25*X25</f>
        <v>8434800</v>
      </c>
    </row>
    <row r="26" spans="1:26" ht="27" x14ac:dyDescent="0.3">
      <c r="K26" s="14">
        <v>27</v>
      </c>
      <c r="L26" s="49" t="s">
        <v>131</v>
      </c>
      <c r="M26" s="52" t="s">
        <v>124</v>
      </c>
      <c r="N26" s="52">
        <v>3</v>
      </c>
      <c r="O26" s="53">
        <v>376800</v>
      </c>
      <c r="P26" s="18">
        <f t="shared" si="1"/>
        <v>1130400</v>
      </c>
      <c r="Q26" s="4" t="s">
        <v>136</v>
      </c>
      <c r="R26" s="19" t="s">
        <v>122</v>
      </c>
      <c r="S26" s="4">
        <v>100</v>
      </c>
    </row>
    <row r="27" spans="1:26" ht="21.6" x14ac:dyDescent="0.3">
      <c r="K27" s="14">
        <v>29</v>
      </c>
      <c r="L27" s="60" t="s">
        <v>133</v>
      </c>
      <c r="M27" s="55" t="s">
        <v>124</v>
      </c>
      <c r="N27" s="50">
        <v>118</v>
      </c>
      <c r="O27" s="53">
        <v>9450</v>
      </c>
      <c r="P27" s="18">
        <f t="shared" si="1"/>
        <v>1115100</v>
      </c>
      <c r="Q27" s="4" t="s">
        <v>136</v>
      </c>
      <c r="R27" s="19" t="s">
        <v>122</v>
      </c>
      <c r="S27" s="4">
        <v>100</v>
      </c>
    </row>
    <row r="28" spans="1:26" x14ac:dyDescent="0.3">
      <c r="K28" s="14"/>
      <c r="P28" s="48">
        <f>SUM(P22:P27)</f>
        <v>13669850</v>
      </c>
      <c r="Y28" s="99"/>
    </row>
    <row r="29" spans="1:26" x14ac:dyDescent="0.3">
      <c r="L29" s="63" t="s">
        <v>137</v>
      </c>
      <c r="P29" s="64">
        <f>P28+P21</f>
        <v>109420150.09999999</v>
      </c>
    </row>
    <row r="31" spans="1:26" x14ac:dyDescent="0.3">
      <c r="L31" s="127" t="s">
        <v>190</v>
      </c>
      <c r="M31" s="126"/>
      <c r="N31" s="126"/>
      <c r="O31" s="126"/>
      <c r="P31" s="108">
        <f>P14+P15+P16+P17++P25</f>
        <v>30279600</v>
      </c>
      <c r="Q31" s="126"/>
      <c r="R31" s="126"/>
      <c r="S31" s="126"/>
      <c r="T31" s="126"/>
      <c r="U31" s="126"/>
      <c r="V31" s="126"/>
      <c r="W31" s="126"/>
      <c r="X31" s="126"/>
      <c r="Y31" s="126"/>
      <c r="Z31" s="108">
        <f>SUM(Z14:Z17,Z25)</f>
        <v>27541800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687D-CF0A-43F8-AE2D-C4C04130C683}">
  <dimension ref="C2:Q39"/>
  <sheetViews>
    <sheetView workbookViewId="0">
      <selection activeCell="I31" sqref="I31"/>
    </sheetView>
  </sheetViews>
  <sheetFormatPr defaultRowHeight="14.4" x14ac:dyDescent="0.3"/>
  <cols>
    <col min="4" max="4" width="46.77734375" customWidth="1"/>
    <col min="6" max="7" width="12.5546875" customWidth="1"/>
    <col min="8" max="9" width="17.21875" customWidth="1"/>
    <col min="10" max="10" width="13.77734375" bestFit="1" customWidth="1"/>
    <col min="13" max="13" width="27.21875" customWidth="1"/>
    <col min="16" max="17" width="13.44140625" customWidth="1"/>
  </cols>
  <sheetData>
    <row r="2" spans="3:17" x14ac:dyDescent="0.3">
      <c r="C2" s="128" t="s">
        <v>138</v>
      </c>
      <c r="D2" s="130" t="s">
        <v>139</v>
      </c>
      <c r="E2" s="132" t="s">
        <v>11</v>
      </c>
      <c r="F2" s="132" t="s">
        <v>12</v>
      </c>
      <c r="G2" s="134" t="s">
        <v>140</v>
      </c>
      <c r="H2" s="134"/>
      <c r="I2" s="134"/>
    </row>
    <row r="3" spans="3:17" ht="27.6" x14ac:dyDescent="0.3">
      <c r="C3" s="129"/>
      <c r="D3" s="131"/>
      <c r="E3" s="133"/>
      <c r="F3" s="133"/>
      <c r="G3" s="67" t="s">
        <v>141</v>
      </c>
      <c r="H3" s="68" t="s">
        <v>142</v>
      </c>
      <c r="I3" s="68" t="s">
        <v>143</v>
      </c>
      <c r="L3" s="4" t="s">
        <v>9</v>
      </c>
      <c r="M3" s="58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x14ac:dyDescent="0.3">
      <c r="C4" s="69">
        <v>1</v>
      </c>
      <c r="D4" s="70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</row>
    <row r="5" spans="3:17" x14ac:dyDescent="0.3">
      <c r="C5" s="71">
        <v>1</v>
      </c>
      <c r="D5" s="72" t="s">
        <v>144</v>
      </c>
      <c r="E5" s="73" t="s">
        <v>145</v>
      </c>
      <c r="F5" s="73">
        <v>598.14</v>
      </c>
      <c r="G5" s="74">
        <f>ROUND(1300/1.2,2)</f>
        <v>1083.33</v>
      </c>
      <c r="H5" s="74">
        <f>ROUND(G5*F5,2)</f>
        <v>647983.01</v>
      </c>
      <c r="I5" s="74">
        <f>ROUND(H5*1.2,2)</f>
        <v>777579.61</v>
      </c>
    </row>
    <row r="6" spans="3:17" x14ac:dyDescent="0.3">
      <c r="C6" s="71">
        <f>C5+1</f>
        <v>2</v>
      </c>
      <c r="D6" s="72" t="s">
        <v>146</v>
      </c>
      <c r="E6" s="73" t="s">
        <v>145</v>
      </c>
      <c r="F6" s="75">
        <f>6232.7889+504.9</f>
        <v>6737.6888999999992</v>
      </c>
      <c r="G6" s="74">
        <f>ROUND(5300/1.2,2)</f>
        <v>4416.67</v>
      </c>
      <c r="H6" s="74">
        <f t="shared" ref="H6:H8" si="0">ROUND(G6*F6,2)</f>
        <v>29758148.43</v>
      </c>
      <c r="I6" s="74">
        <f t="shared" ref="I6:I8" si="1">ROUND(H6*1.2,2)</f>
        <v>35709778.119999997</v>
      </c>
    </row>
    <row r="7" spans="3:17" x14ac:dyDescent="0.3">
      <c r="C7" s="71">
        <f>C6+1</f>
        <v>3</v>
      </c>
      <c r="D7" s="72" t="s">
        <v>147</v>
      </c>
      <c r="E7" s="73" t="s">
        <v>148</v>
      </c>
      <c r="F7" s="76">
        <v>6000</v>
      </c>
      <c r="G7" s="74">
        <f>ROUND(184/1.2,2)</f>
        <v>153.33000000000001</v>
      </c>
      <c r="H7" s="74">
        <f t="shared" si="0"/>
        <v>919980</v>
      </c>
      <c r="I7" s="74">
        <f t="shared" si="1"/>
        <v>1103976</v>
      </c>
    </row>
    <row r="8" spans="3:17" ht="27.6" x14ac:dyDescent="0.3">
      <c r="C8" s="71">
        <f t="shared" ref="C8" si="2">C7+1</f>
        <v>4</v>
      </c>
      <c r="D8" s="77" t="s">
        <v>149</v>
      </c>
      <c r="E8" s="78" t="s">
        <v>150</v>
      </c>
      <c r="F8" s="79">
        <v>36</v>
      </c>
      <c r="G8" s="79">
        <f>ROUND(16500/1.2,2)</f>
        <v>13750</v>
      </c>
      <c r="H8" s="79">
        <f t="shared" si="0"/>
        <v>495000</v>
      </c>
      <c r="I8" s="79">
        <f t="shared" si="1"/>
        <v>594000</v>
      </c>
    </row>
    <row r="10" spans="3:17" ht="27.6" x14ac:dyDescent="0.3">
      <c r="C10" s="71">
        <f>C8+1</f>
        <v>5</v>
      </c>
      <c r="D10" s="77" t="s">
        <v>151</v>
      </c>
      <c r="E10" s="78" t="s">
        <v>150</v>
      </c>
      <c r="F10" s="80">
        <v>1211</v>
      </c>
      <c r="G10" s="81">
        <f>ROUND(34100/1.2,2)*0.93</f>
        <v>26427.503099999998</v>
      </c>
      <c r="H10" s="74">
        <f>ROUND(G10*F10,2)</f>
        <v>32003706.25</v>
      </c>
      <c r="I10" s="74">
        <f>ROUND(H10*1.2,2)</f>
        <v>38404447.5</v>
      </c>
      <c r="L10" s="14" t="s">
        <v>22</v>
      </c>
      <c r="M10" s="15" t="s">
        <v>23</v>
      </c>
      <c r="N10" s="4" t="s">
        <v>24</v>
      </c>
      <c r="O10" s="16">
        <v>246.54400000000001</v>
      </c>
      <c r="P10" s="17">
        <v>143354.76</v>
      </c>
      <c r="Q10" s="18">
        <v>35343256</v>
      </c>
    </row>
    <row r="11" spans="3:17" ht="27.6" x14ac:dyDescent="0.3">
      <c r="C11" s="71">
        <f>C10+1</f>
        <v>6</v>
      </c>
      <c r="D11" s="77" t="s">
        <v>152</v>
      </c>
      <c r="E11" s="78" t="s">
        <v>150</v>
      </c>
      <c r="F11" s="80">
        <v>688</v>
      </c>
      <c r="G11" s="81">
        <f>ROUND(38500/1.2,2)*0.93</f>
        <v>29837.496900000002</v>
      </c>
      <c r="H11" s="74">
        <f>ROUND(G11*F11,2)</f>
        <v>20528197.870000001</v>
      </c>
      <c r="I11" s="74">
        <f>ROUND(H11*1.2,2)</f>
        <v>24633837.440000001</v>
      </c>
      <c r="L11" s="14" t="s">
        <v>32</v>
      </c>
      <c r="M11" s="15" t="s">
        <v>33</v>
      </c>
      <c r="N11" s="14" t="s">
        <v>24</v>
      </c>
      <c r="O11" s="22">
        <v>18.29</v>
      </c>
      <c r="P11" s="23">
        <v>170467.47</v>
      </c>
      <c r="Q11" s="24">
        <v>3117850</v>
      </c>
    </row>
    <row r="12" spans="3:17" ht="24.6" x14ac:dyDescent="0.3">
      <c r="C12" s="71">
        <f>C11+1</f>
        <v>7</v>
      </c>
      <c r="D12" s="72" t="s">
        <v>153</v>
      </c>
      <c r="E12" s="73" t="s">
        <v>46</v>
      </c>
      <c r="F12" s="76">
        <f>620*6</f>
        <v>3720</v>
      </c>
      <c r="G12" s="74">
        <f>ROUND(200/1.2,2)</f>
        <v>166.67</v>
      </c>
      <c r="H12" s="74">
        <f>ROUND(G12*F12,2)</f>
        <v>620012.4</v>
      </c>
      <c r="I12" s="74">
        <f>ROUND(H12*1.2,2)</f>
        <v>744014.88</v>
      </c>
      <c r="L12" s="14" t="s">
        <v>38</v>
      </c>
      <c r="M12" s="15" t="s">
        <v>39</v>
      </c>
      <c r="N12" s="14" t="s">
        <v>24</v>
      </c>
      <c r="O12" s="22">
        <v>2.0979999999999999</v>
      </c>
      <c r="P12" s="23">
        <v>173832.22</v>
      </c>
      <c r="Q12" s="23">
        <v>364700</v>
      </c>
    </row>
    <row r="13" spans="3:17" ht="24.6" x14ac:dyDescent="0.3">
      <c r="C13" s="71">
        <f>C12+1</f>
        <v>8</v>
      </c>
      <c r="D13" s="72" t="s">
        <v>154</v>
      </c>
      <c r="E13" s="73" t="s">
        <v>46</v>
      </c>
      <c r="F13" s="76">
        <v>620</v>
      </c>
      <c r="G13" s="74">
        <f>ROUND(5841/1.2,2)</f>
        <v>4867.5</v>
      </c>
      <c r="H13" s="74">
        <f>ROUND(G13*F13,2)</f>
        <v>3017850</v>
      </c>
      <c r="I13" s="74">
        <f>ROUND(H13*1.2,2)</f>
        <v>3621420</v>
      </c>
      <c r="L13" s="14" t="s">
        <v>44</v>
      </c>
      <c r="M13" s="15" t="s">
        <v>45</v>
      </c>
      <c r="N13" s="4" t="s">
        <v>46</v>
      </c>
      <c r="O13" s="22">
        <v>2289</v>
      </c>
      <c r="P13" s="24">
        <v>2774.75</v>
      </c>
      <c r="Q13" s="24">
        <v>6351400</v>
      </c>
    </row>
    <row r="14" spans="3:17" x14ac:dyDescent="0.3">
      <c r="L14" s="14" t="s">
        <v>50</v>
      </c>
      <c r="M14" s="15" t="s">
        <v>51</v>
      </c>
      <c r="N14" s="4" t="s">
        <v>24</v>
      </c>
      <c r="O14" s="22">
        <v>42.816000000000003</v>
      </c>
      <c r="P14" s="23">
        <v>250838.94</v>
      </c>
      <c r="Q14" s="24">
        <v>10739920</v>
      </c>
    </row>
    <row r="15" spans="3:17" ht="24.6" x14ac:dyDescent="0.3">
      <c r="L15" s="14" t="s">
        <v>55</v>
      </c>
      <c r="M15" s="15" t="s">
        <v>56</v>
      </c>
      <c r="N15" s="4" t="s">
        <v>24</v>
      </c>
      <c r="O15" s="22">
        <v>10.829000000000001</v>
      </c>
      <c r="P15" s="23">
        <v>168851.69</v>
      </c>
      <c r="Q15" s="24">
        <v>1828495</v>
      </c>
    </row>
    <row r="16" spans="3:17" ht="24.6" x14ac:dyDescent="0.3">
      <c r="L16" s="14" t="s">
        <v>57</v>
      </c>
      <c r="M16" s="15" t="s">
        <v>61</v>
      </c>
      <c r="N16" s="4" t="s">
        <v>24</v>
      </c>
      <c r="O16" s="22">
        <v>9.99</v>
      </c>
      <c r="P16" s="23">
        <v>147005.01</v>
      </c>
      <c r="Q16" s="24">
        <v>1468580</v>
      </c>
    </row>
    <row r="17" spans="3:17" x14ac:dyDescent="0.3">
      <c r="L17" s="14" t="s">
        <v>63</v>
      </c>
      <c r="M17" s="15" t="s">
        <v>64</v>
      </c>
      <c r="N17" s="4" t="s">
        <v>46</v>
      </c>
      <c r="O17" s="22">
        <v>1274</v>
      </c>
      <c r="P17" s="24">
        <v>6489.01</v>
      </c>
      <c r="Q17" s="24">
        <v>8267000</v>
      </c>
    </row>
    <row r="18" spans="3:17" x14ac:dyDescent="0.3">
      <c r="L18" s="14" t="s">
        <v>67</v>
      </c>
      <c r="M18" s="15" t="s">
        <v>68</v>
      </c>
      <c r="N18" s="4" t="s">
        <v>69</v>
      </c>
      <c r="O18" s="22">
        <v>1274</v>
      </c>
      <c r="P18" s="24">
        <v>2281.4</v>
      </c>
      <c r="Q18" s="24">
        <v>2906500</v>
      </c>
    </row>
    <row r="19" spans="3:17" x14ac:dyDescent="0.3">
      <c r="F19" s="101">
        <f>F10+F11</f>
        <v>1899</v>
      </c>
      <c r="I19" s="99">
        <f>SUM(I10:I13)</f>
        <v>67403719.819999993</v>
      </c>
      <c r="O19" s="100">
        <f>Лист1!G3*12.5/2</f>
        <v>1900</v>
      </c>
      <c r="Q19" s="99">
        <f>SUM(Q10:Q18)</f>
        <v>70387701</v>
      </c>
    </row>
    <row r="21" spans="3:17" ht="27.6" x14ac:dyDescent="0.3">
      <c r="C21" s="71">
        <f>C13+1</f>
        <v>9</v>
      </c>
      <c r="D21" s="77" t="s">
        <v>155</v>
      </c>
      <c r="E21" s="78" t="s">
        <v>150</v>
      </c>
      <c r="F21" s="78">
        <f>6*12.5/2</f>
        <v>37.5</v>
      </c>
      <c r="G21" s="81">
        <f>ROUND(33000/1.2,2)*0.93</f>
        <v>25575</v>
      </c>
      <c r="H21" s="74">
        <f t="shared" ref="H21:H38" si="3">ROUND(G21*F21,2)</f>
        <v>959062.5</v>
      </c>
      <c r="I21" s="74">
        <f t="shared" ref="I21:I38" si="4">ROUND(H21*1.2,2)</f>
        <v>1150875</v>
      </c>
    </row>
    <row r="22" spans="3:17" ht="27.6" x14ac:dyDescent="0.3">
      <c r="C22" s="82">
        <f>C21+1</f>
        <v>10</v>
      </c>
      <c r="D22" s="83" t="s">
        <v>155</v>
      </c>
      <c r="E22" s="84" t="s">
        <v>150</v>
      </c>
      <c r="F22" s="84">
        <f>6*12.5/2</f>
        <v>37.5</v>
      </c>
      <c r="G22" s="85">
        <f>ROUND(33000/1.2,2)*0.93</f>
        <v>25575</v>
      </c>
      <c r="H22" s="85">
        <f t="shared" si="3"/>
        <v>959062.5</v>
      </c>
      <c r="I22" s="85">
        <f t="shared" si="4"/>
        <v>1150875</v>
      </c>
    </row>
    <row r="23" spans="3:17" ht="27.6" x14ac:dyDescent="0.3">
      <c r="C23" s="82">
        <f>C22+1</f>
        <v>11</v>
      </c>
      <c r="D23" s="83" t="s">
        <v>152</v>
      </c>
      <c r="E23" s="84" t="s">
        <v>150</v>
      </c>
      <c r="F23" s="86">
        <v>25</v>
      </c>
      <c r="G23" s="85">
        <f>ROUND(38500/1.2,2)*0.93</f>
        <v>29837.496900000002</v>
      </c>
      <c r="H23" s="85">
        <f t="shared" si="3"/>
        <v>745937.42</v>
      </c>
      <c r="I23" s="85">
        <f t="shared" si="4"/>
        <v>895124.9</v>
      </c>
    </row>
    <row r="24" spans="3:17" x14ac:dyDescent="0.3">
      <c r="C24" s="71">
        <f>C21+1</f>
        <v>10</v>
      </c>
      <c r="D24" s="77" t="s">
        <v>156</v>
      </c>
      <c r="E24" s="73" t="s">
        <v>46</v>
      </c>
      <c r="F24" s="78">
        <f>14*6</f>
        <v>84</v>
      </c>
      <c r="G24" s="74">
        <f>ROUND(144/1.2,2)</f>
        <v>120</v>
      </c>
      <c r="H24" s="74">
        <f t="shared" si="3"/>
        <v>10080</v>
      </c>
      <c r="I24" s="74">
        <f t="shared" si="4"/>
        <v>12096</v>
      </c>
    </row>
    <row r="25" spans="3:17" x14ac:dyDescent="0.3">
      <c r="C25" s="71">
        <f t="shared" ref="C25:C38" si="5">C24+1</f>
        <v>11</v>
      </c>
      <c r="D25" s="77" t="s">
        <v>157</v>
      </c>
      <c r="E25" s="73" t="s">
        <v>46</v>
      </c>
      <c r="F25" s="78">
        <v>14</v>
      </c>
      <c r="G25" s="74">
        <f>ROUND(5782/1.2,2)</f>
        <v>4818.33</v>
      </c>
      <c r="H25" s="74">
        <f t="shared" si="3"/>
        <v>67456.62</v>
      </c>
      <c r="I25" s="74">
        <f t="shared" si="4"/>
        <v>80947.94</v>
      </c>
    </row>
    <row r="26" spans="3:17" ht="41.4" x14ac:dyDescent="0.3">
      <c r="C26" s="71">
        <f t="shared" si="5"/>
        <v>12</v>
      </c>
      <c r="D26" s="72" t="s">
        <v>158</v>
      </c>
      <c r="E26" s="73" t="s">
        <v>159</v>
      </c>
      <c r="F26" s="87">
        <v>1</v>
      </c>
      <c r="G26" s="74">
        <f>ROUND(1500000/1.2,2)</f>
        <v>1250000</v>
      </c>
      <c r="H26" s="74">
        <f t="shared" si="3"/>
        <v>1250000</v>
      </c>
      <c r="I26" s="74">
        <f t="shared" si="4"/>
        <v>1500000</v>
      </c>
    </row>
    <row r="27" spans="3:17" x14ac:dyDescent="0.3">
      <c r="C27" s="82">
        <f t="shared" si="5"/>
        <v>13</v>
      </c>
      <c r="D27" s="88" t="s">
        <v>160</v>
      </c>
      <c r="E27" s="89" t="s">
        <v>46</v>
      </c>
      <c r="F27" s="90">
        <v>31</v>
      </c>
      <c r="G27" s="85">
        <v>0</v>
      </c>
      <c r="H27" s="85">
        <f t="shared" si="3"/>
        <v>0</v>
      </c>
      <c r="I27" s="85">
        <f t="shared" si="4"/>
        <v>0</v>
      </c>
    </row>
    <row r="28" spans="3:17" x14ac:dyDescent="0.3">
      <c r="C28" s="82">
        <f t="shared" si="5"/>
        <v>14</v>
      </c>
      <c r="D28" s="88" t="s">
        <v>161</v>
      </c>
      <c r="E28" s="89" t="s">
        <v>46</v>
      </c>
      <c r="F28" s="90">
        <v>89</v>
      </c>
      <c r="G28" s="85">
        <v>0</v>
      </c>
      <c r="H28" s="85">
        <f t="shared" si="3"/>
        <v>0</v>
      </c>
      <c r="I28" s="85">
        <f t="shared" si="4"/>
        <v>0</v>
      </c>
    </row>
    <row r="29" spans="3:17" ht="27.6" x14ac:dyDescent="0.3">
      <c r="C29" s="71">
        <f t="shared" si="5"/>
        <v>15</v>
      </c>
      <c r="D29" s="91" t="s">
        <v>162</v>
      </c>
      <c r="E29" s="92" t="s">
        <v>159</v>
      </c>
      <c r="F29" s="87">
        <v>2</v>
      </c>
      <c r="G29" s="81">
        <f>ROUND(5170000/1.2,2)*0.93</f>
        <v>4006749.9969000001</v>
      </c>
      <c r="H29" s="74">
        <f t="shared" si="3"/>
        <v>8013499.9900000002</v>
      </c>
      <c r="I29" s="74">
        <f t="shared" si="4"/>
        <v>9616199.9900000002</v>
      </c>
    </row>
    <row r="30" spans="3:17" ht="27.6" x14ac:dyDescent="0.3">
      <c r="C30" s="71">
        <f t="shared" si="5"/>
        <v>16</v>
      </c>
      <c r="D30" s="91" t="s">
        <v>163</v>
      </c>
      <c r="E30" s="92" t="s">
        <v>159</v>
      </c>
      <c r="F30" s="87">
        <v>1</v>
      </c>
      <c r="G30" s="81">
        <f>ROUND(5170000/1.2,2)*0.93</f>
        <v>4006749.9969000001</v>
      </c>
      <c r="H30" s="74">
        <f t="shared" si="3"/>
        <v>4006750</v>
      </c>
      <c r="I30" s="74">
        <f t="shared" si="4"/>
        <v>4808100</v>
      </c>
    </row>
    <row r="31" spans="3:17" ht="27.6" x14ac:dyDescent="0.3">
      <c r="C31" s="71">
        <f t="shared" si="5"/>
        <v>17</v>
      </c>
      <c r="D31" s="91" t="s">
        <v>164</v>
      </c>
      <c r="E31" s="92" t="s">
        <v>159</v>
      </c>
      <c r="F31" s="87">
        <v>2</v>
      </c>
      <c r="G31" s="81">
        <f>ROUND(4180000/1.2,2)*0.93</f>
        <v>3239499.9969000001</v>
      </c>
      <c r="H31" s="74">
        <f t="shared" si="3"/>
        <v>6478999.9900000002</v>
      </c>
      <c r="I31" s="81">
        <f t="shared" si="4"/>
        <v>7774799.9900000002</v>
      </c>
    </row>
    <row r="32" spans="3:17" ht="27.6" x14ac:dyDescent="0.3">
      <c r="C32" s="71">
        <f t="shared" si="5"/>
        <v>18</v>
      </c>
      <c r="D32" s="91" t="s">
        <v>165</v>
      </c>
      <c r="E32" s="92" t="s">
        <v>159</v>
      </c>
      <c r="F32" s="87">
        <v>1</v>
      </c>
      <c r="G32" s="81">
        <f>ROUND(4180000/1.2,2)*0.93</f>
        <v>3239499.9969000001</v>
      </c>
      <c r="H32" s="74">
        <f t="shared" si="3"/>
        <v>3239500</v>
      </c>
      <c r="I32" s="74">
        <f t="shared" si="4"/>
        <v>3887400</v>
      </c>
    </row>
    <row r="33" spans="3:10" ht="27.6" x14ac:dyDescent="0.3">
      <c r="C33" s="71">
        <f t="shared" si="5"/>
        <v>19</v>
      </c>
      <c r="D33" s="91" t="s">
        <v>166</v>
      </c>
      <c r="E33" s="92" t="s">
        <v>159</v>
      </c>
      <c r="F33" s="87">
        <v>3</v>
      </c>
      <c r="G33" s="81">
        <f>ROUND(2915000/1.2,2)*0.93</f>
        <v>2259125.0030999999</v>
      </c>
      <c r="H33" s="74">
        <f t="shared" si="3"/>
        <v>6777375.0099999998</v>
      </c>
      <c r="I33" s="74">
        <f t="shared" si="4"/>
        <v>8132850.0099999998</v>
      </c>
      <c r="J33" s="99">
        <f>SUM(I29:I33)</f>
        <v>34219349.990000002</v>
      </c>
    </row>
    <row r="34" spans="3:10" ht="27.6" x14ac:dyDescent="0.3">
      <c r="C34" s="82">
        <f t="shared" si="5"/>
        <v>20</v>
      </c>
      <c r="D34" s="83" t="s">
        <v>167</v>
      </c>
      <c r="E34" s="89" t="s">
        <v>46</v>
      </c>
      <c r="F34" s="90">
        <v>9</v>
      </c>
      <c r="G34" s="85">
        <v>49990</v>
      </c>
      <c r="H34" s="85">
        <f t="shared" si="3"/>
        <v>449910</v>
      </c>
      <c r="I34" s="85">
        <f t="shared" si="4"/>
        <v>539892</v>
      </c>
    </row>
    <row r="35" spans="3:10" x14ac:dyDescent="0.3">
      <c r="C35" s="71">
        <f t="shared" si="5"/>
        <v>21</v>
      </c>
      <c r="D35" s="72" t="s">
        <v>168</v>
      </c>
      <c r="E35" s="73" t="s">
        <v>46</v>
      </c>
      <c r="F35" s="87">
        <v>3</v>
      </c>
      <c r="G35" s="74">
        <f>ROUND(154000/1.2,2)</f>
        <v>128333.33</v>
      </c>
      <c r="H35" s="74">
        <f t="shared" si="3"/>
        <v>384999.99</v>
      </c>
      <c r="I35" s="74">
        <f t="shared" si="4"/>
        <v>461999.99</v>
      </c>
    </row>
    <row r="36" spans="3:10" x14ac:dyDescent="0.3">
      <c r="C36" s="71">
        <f t="shared" si="5"/>
        <v>22</v>
      </c>
      <c r="D36" s="72" t="s">
        <v>169</v>
      </c>
      <c r="E36" s="73" t="s">
        <v>46</v>
      </c>
      <c r="F36" s="87">
        <v>1</v>
      </c>
      <c r="G36" s="74">
        <f>ROUND(80000/1.2,2)</f>
        <v>66666.67</v>
      </c>
      <c r="H36" s="74">
        <f t="shared" si="3"/>
        <v>66666.67</v>
      </c>
      <c r="I36" s="74">
        <f t="shared" si="4"/>
        <v>80000</v>
      </c>
    </row>
    <row r="37" spans="3:10" x14ac:dyDescent="0.3">
      <c r="C37" s="71">
        <f t="shared" si="5"/>
        <v>23</v>
      </c>
      <c r="D37" s="72" t="s">
        <v>170</v>
      </c>
      <c r="E37" s="73" t="s">
        <v>145</v>
      </c>
      <c r="F37" s="76">
        <v>80</v>
      </c>
      <c r="G37" s="74">
        <v>1581</v>
      </c>
      <c r="H37" s="74">
        <f t="shared" si="3"/>
        <v>126480</v>
      </c>
      <c r="I37" s="74">
        <f t="shared" si="4"/>
        <v>151776</v>
      </c>
    </row>
    <row r="38" spans="3:10" x14ac:dyDescent="0.3">
      <c r="C38" s="93">
        <f t="shared" si="5"/>
        <v>24</v>
      </c>
      <c r="D38" s="77" t="s">
        <v>171</v>
      </c>
      <c r="E38" s="78" t="s">
        <v>172</v>
      </c>
      <c r="F38" s="80">
        <v>1</v>
      </c>
      <c r="G38" s="79">
        <v>330000</v>
      </c>
      <c r="H38" s="79">
        <f t="shared" si="3"/>
        <v>330000</v>
      </c>
      <c r="I38" s="79">
        <f t="shared" si="4"/>
        <v>396000</v>
      </c>
    </row>
    <row r="39" spans="3:10" x14ac:dyDescent="0.3">
      <c r="C39" s="94"/>
      <c r="D39" s="96" t="s">
        <v>173</v>
      </c>
      <c r="E39" s="97"/>
      <c r="F39" s="97"/>
      <c r="G39" s="98"/>
      <c r="H39" s="95">
        <f>SUM(H5:H38)</f>
        <v>121856658.65000001</v>
      </c>
      <c r="I39" s="95">
        <f>SUM(I5:I38)</f>
        <v>213631710.19</v>
      </c>
    </row>
  </sheetData>
  <mergeCells count="5">
    <mergeCell ref="C2:C3"/>
    <mergeCell ref="D2:D3"/>
    <mergeCell ref="E2:E3"/>
    <mergeCell ref="F2:F3"/>
    <mergeCell ref="G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8872-0C00-4E54-B257-4CC6A9A17261}">
  <dimension ref="B4:H24"/>
  <sheetViews>
    <sheetView tabSelected="1" workbookViewId="0">
      <selection activeCell="G21" sqref="G21:G22"/>
    </sheetView>
  </sheetViews>
  <sheetFormatPr defaultRowHeight="14.4" x14ac:dyDescent="0.3"/>
  <cols>
    <col min="3" max="3" width="44.88671875" customWidth="1"/>
    <col min="6" max="9" width="16.33203125" customWidth="1"/>
  </cols>
  <sheetData>
    <row r="4" spans="2:8" x14ac:dyDescent="0.3">
      <c r="C4" s="115" t="s">
        <v>184</v>
      </c>
      <c r="F4" s="62" t="s">
        <v>187</v>
      </c>
    </row>
    <row r="5" spans="2:8" ht="27.6" x14ac:dyDescent="0.3">
      <c r="B5" s="71">
        <f t="shared" ref="B5:B9" si="0">B4+1</f>
        <v>1</v>
      </c>
      <c r="C5" s="91" t="s">
        <v>162</v>
      </c>
      <c r="D5" s="92" t="s">
        <v>159</v>
      </c>
      <c r="E5" s="119">
        <v>2</v>
      </c>
      <c r="F5" s="81">
        <f>ROUND(5170000/1.2,2)*0.93</f>
        <v>4006749.9969000001</v>
      </c>
      <c r="G5" s="74">
        <f>ROUND(F5*E5,2)</f>
        <v>8013499.9900000002</v>
      </c>
      <c r="H5" s="74">
        <f t="shared" ref="H5:H9" si="1">ROUND(G5*1.2,2)</f>
        <v>9616199.9900000002</v>
      </c>
    </row>
    <row r="6" spans="2:8" ht="27.6" x14ac:dyDescent="0.3">
      <c r="B6" s="71">
        <f t="shared" si="0"/>
        <v>2</v>
      </c>
      <c r="C6" s="91" t="s">
        <v>163</v>
      </c>
      <c r="D6" s="92" t="s">
        <v>159</v>
      </c>
      <c r="E6" s="119">
        <v>1</v>
      </c>
      <c r="F6" s="81">
        <f>ROUND(5170000/1.2,2)*0.93</f>
        <v>4006749.9969000001</v>
      </c>
      <c r="G6" s="74">
        <f>ROUND(F6*E6,2)</f>
        <v>4006750</v>
      </c>
      <c r="H6" s="74">
        <f t="shared" si="1"/>
        <v>4808100</v>
      </c>
    </row>
    <row r="7" spans="2:8" ht="27.6" x14ac:dyDescent="0.3">
      <c r="B7" s="71">
        <f t="shared" si="0"/>
        <v>3</v>
      </c>
      <c r="C7" s="91" t="s">
        <v>164</v>
      </c>
      <c r="D7" s="92" t="s">
        <v>159</v>
      </c>
      <c r="E7" s="119">
        <v>2</v>
      </c>
      <c r="F7" s="81">
        <f>ROUND(4180000/1.2,2)*0.93</f>
        <v>3239499.9969000001</v>
      </c>
      <c r="G7" s="74">
        <f>ROUND(F7*E7,2)</f>
        <v>6478999.9900000002</v>
      </c>
      <c r="H7" s="81">
        <f t="shared" si="1"/>
        <v>7774799.9900000002</v>
      </c>
    </row>
    <row r="8" spans="2:8" ht="27.6" x14ac:dyDescent="0.3">
      <c r="B8" s="71">
        <f t="shared" si="0"/>
        <v>4</v>
      </c>
      <c r="C8" s="91" t="s">
        <v>165</v>
      </c>
      <c r="D8" s="92" t="s">
        <v>159</v>
      </c>
      <c r="E8" s="119">
        <v>1</v>
      </c>
      <c r="F8" s="81">
        <f>ROUND(4180000/1.2,2)*0.93</f>
        <v>3239499.9969000001</v>
      </c>
      <c r="G8" s="74">
        <f>ROUND(F8*E8,2)</f>
        <v>3239500</v>
      </c>
      <c r="H8" s="74">
        <f t="shared" si="1"/>
        <v>3887400</v>
      </c>
    </row>
    <row r="9" spans="2:8" ht="27.6" x14ac:dyDescent="0.3">
      <c r="B9" s="71">
        <f t="shared" si="0"/>
        <v>5</v>
      </c>
      <c r="C9" s="91" t="s">
        <v>166</v>
      </c>
      <c r="D9" s="92" t="s">
        <v>159</v>
      </c>
      <c r="E9" s="119">
        <v>3</v>
      </c>
      <c r="F9" s="81">
        <f>ROUND(2915000/1.2,2)*0.93</f>
        <v>2259125.0030999999</v>
      </c>
      <c r="G9" s="74">
        <f>ROUND(F9*E9,2)</f>
        <v>6777375.0099999998</v>
      </c>
      <c r="H9" s="74">
        <f t="shared" si="1"/>
        <v>8132850.0099999998</v>
      </c>
    </row>
    <row r="10" spans="2:8" x14ac:dyDescent="0.3">
      <c r="C10" s="120" t="s">
        <v>188</v>
      </c>
      <c r="H10" s="109">
        <f>SUM(H5:H9)</f>
        <v>34219349.990000002</v>
      </c>
    </row>
    <row r="12" spans="2:8" x14ac:dyDescent="0.3">
      <c r="C12" s="116" t="s">
        <v>182</v>
      </c>
    </row>
    <row r="13" spans="2:8" ht="31.2" x14ac:dyDescent="0.3">
      <c r="B13" s="111" t="s">
        <v>138</v>
      </c>
      <c r="C13" s="110" t="s">
        <v>174</v>
      </c>
      <c r="D13" s="110" t="s">
        <v>175</v>
      </c>
      <c r="E13" s="110" t="s">
        <v>12</v>
      </c>
      <c r="F13" s="112"/>
      <c r="G13" s="110" t="s">
        <v>181</v>
      </c>
      <c r="H13" s="110" t="s">
        <v>183</v>
      </c>
    </row>
    <row r="14" spans="2:8" x14ac:dyDescent="0.3">
      <c r="B14" s="15">
        <v>1</v>
      </c>
      <c r="C14" s="15" t="s">
        <v>176</v>
      </c>
      <c r="D14" s="6" t="s">
        <v>69</v>
      </c>
      <c r="E14" s="6">
        <v>2</v>
      </c>
      <c r="G14" s="106">
        <v>3214200</v>
      </c>
      <c r="H14" s="108">
        <f t="shared" ref="H14:H19" si="2">G14*E14</f>
        <v>6428400</v>
      </c>
    </row>
    <row r="15" spans="2:8" x14ac:dyDescent="0.3">
      <c r="B15" s="15">
        <v>2</v>
      </c>
      <c r="C15" s="15" t="s">
        <v>177</v>
      </c>
      <c r="D15" s="6" t="s">
        <v>69</v>
      </c>
      <c r="E15" s="6">
        <v>1</v>
      </c>
      <c r="G15" s="106">
        <v>3214200</v>
      </c>
      <c r="H15" s="108">
        <f t="shared" si="2"/>
        <v>3214200</v>
      </c>
    </row>
    <row r="16" spans="2:8" x14ac:dyDescent="0.3">
      <c r="B16" s="15">
        <v>3</v>
      </c>
      <c r="C16" s="15" t="s">
        <v>178</v>
      </c>
      <c r="D16" s="6" t="s">
        <v>69</v>
      </c>
      <c r="E16" s="6">
        <v>2</v>
      </c>
      <c r="G16" s="106">
        <v>3154800</v>
      </c>
      <c r="H16" s="108">
        <f t="shared" si="2"/>
        <v>6309600</v>
      </c>
    </row>
    <row r="17" spans="2:8" x14ac:dyDescent="0.3">
      <c r="B17" s="15">
        <v>4</v>
      </c>
      <c r="C17" s="15" t="s">
        <v>179</v>
      </c>
      <c r="D17" s="6" t="s">
        <v>69</v>
      </c>
      <c r="E17" s="6">
        <v>1</v>
      </c>
      <c r="G17" s="106">
        <v>3154800</v>
      </c>
      <c r="H17" s="108">
        <f t="shared" si="2"/>
        <v>3154800</v>
      </c>
    </row>
    <row r="18" spans="2:8" x14ac:dyDescent="0.3">
      <c r="B18" s="15">
        <v>5</v>
      </c>
      <c r="C18" s="15" t="s">
        <v>180</v>
      </c>
      <c r="D18" s="6" t="s">
        <v>69</v>
      </c>
      <c r="E18" s="6">
        <v>3</v>
      </c>
      <c r="G18" s="102">
        <v>2811600</v>
      </c>
      <c r="H18" s="108">
        <f t="shared" si="2"/>
        <v>8434800</v>
      </c>
    </row>
    <row r="19" spans="2:8" ht="24.6" x14ac:dyDescent="0.3">
      <c r="B19" s="126"/>
      <c r="C19" s="123" t="s">
        <v>189</v>
      </c>
      <c r="D19" s="122" t="s">
        <v>69</v>
      </c>
      <c r="E19" s="121">
        <v>9</v>
      </c>
      <c r="G19" s="124">
        <v>102460</v>
      </c>
      <c r="H19" s="125">
        <f t="shared" si="2"/>
        <v>922140</v>
      </c>
    </row>
    <row r="20" spans="2:8" x14ac:dyDescent="0.3">
      <c r="B20" s="126"/>
      <c r="C20" s="114" t="s">
        <v>185</v>
      </c>
      <c r="D20" s="62"/>
      <c r="E20" s="62"/>
      <c r="H20" s="113">
        <f>SUM(H14:H19)</f>
        <v>28463940</v>
      </c>
    </row>
    <row r="21" spans="2:8" x14ac:dyDescent="0.3">
      <c r="B21" s="126"/>
      <c r="C21" s="15" t="s">
        <v>104</v>
      </c>
      <c r="D21" s="4" t="s">
        <v>69</v>
      </c>
      <c r="E21" s="6">
        <v>4</v>
      </c>
      <c r="G21" s="23">
        <v>754000</v>
      </c>
      <c r="H21" s="108">
        <f>G21*E21</f>
        <v>3016000</v>
      </c>
    </row>
    <row r="22" spans="2:8" ht="24.6" x14ac:dyDescent="0.3">
      <c r="B22" s="126"/>
      <c r="C22" s="15" t="s">
        <v>110</v>
      </c>
      <c r="D22" s="4" t="s">
        <v>69</v>
      </c>
      <c r="E22" s="6">
        <v>4</v>
      </c>
      <c r="G22" s="17">
        <v>356666.67</v>
      </c>
      <c r="H22" s="108">
        <f>G22*E22</f>
        <v>1426666.68</v>
      </c>
    </row>
    <row r="23" spans="2:8" x14ac:dyDescent="0.3">
      <c r="C23" s="120" t="s">
        <v>188</v>
      </c>
      <c r="H23" s="113">
        <f>H20+H21+H22</f>
        <v>32906606.68</v>
      </c>
    </row>
    <row r="24" spans="2:8" ht="28.8" x14ac:dyDescent="0.3">
      <c r="G24" s="117" t="s">
        <v>186</v>
      </c>
      <c r="H24" s="118">
        <f>H10-H23</f>
        <v>1312743.3100000024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2023-06-08T10:50:15Z</dcterms:created>
  <dcterms:modified xsi:type="dcterms:W3CDTF">2023-07-26T20:49:59Z</dcterms:modified>
  <dc:language>ru-RU</dc:language>
</cp:coreProperties>
</file>