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irill\Desktop\мвм\ФМ\"/>
    </mc:Choice>
  </mc:AlternateContent>
  <bookViews>
    <workbookView xWindow="0" yWindow="0" windowWidth="28800" windowHeight="12300" tabRatio="914" firstSheet="2" activeTab="5"/>
  </bookViews>
  <sheets>
    <sheet name="Лист1" sheetId="1" state="hidden" r:id="rId1"/>
    <sheet name="Лист2" sheetId="2" state="hidden" r:id="rId2"/>
    <sheet name="СМР трнсбрдр (2)" sheetId="24" r:id="rId3"/>
    <sheet name="мат трнсбрдр (2)" sheetId="25" r:id="rId4"/>
    <sheet name="Свод" sheetId="13" r:id="rId5"/>
    <sheet name="СМР 417 путь" sheetId="8" r:id="rId6"/>
    <sheet name="мат 417 путь" sheetId="3" r:id="rId7"/>
    <sheet name="СМР 217 путь" sheetId="9" state="hidden" r:id="rId8"/>
    <sheet name="мат 217 путь" sheetId="4" state="hidden" r:id="rId9"/>
    <sheet name="СМР комм-ции 417" sheetId="12" r:id="rId10"/>
    <sheet name="мат комм-ции 417" sheetId="7" r:id="rId11"/>
    <sheet name="СМР комм-ции 217 " sheetId="14" state="hidden" r:id="rId12"/>
    <sheet name="мат комм-ции 217" sheetId="15" state="hidden" r:id="rId13"/>
    <sheet name="СМР жд 8 цех" sheetId="10" state="hidden" r:id="rId14"/>
    <sheet name="мат 8 цех" sheetId="5" state="hidden" r:id="rId15"/>
    <sheet name="СМР трнсбрдр" sheetId="11" state="hidden" r:id="rId16"/>
    <sheet name="мат трнсбрдр" sheetId="6" state="hidden" r:id="rId17"/>
    <sheet name="СМР ГСН" sheetId="16" r:id="rId18"/>
    <sheet name="мат ГСН" sheetId="17" r:id="rId19"/>
    <sheet name="СМР ТС2" sheetId="18" r:id="rId20"/>
    <sheet name="мат ТС2" sheetId="19" r:id="rId21"/>
    <sheet name="СМР ТС3" sheetId="20" r:id="rId22"/>
    <sheet name="мат ТС3" sheetId="21" r:id="rId23"/>
    <sheet name="СМР эстакада" sheetId="22" r:id="rId24"/>
    <sheet name="мат эстакада" sheetId="23" r:id="rId25"/>
  </sheets>
  <definedNames>
    <definedName name="_xlnm.Print_Area" localSheetId="6">'мат 417 путь'!$A$1:$G$30</definedName>
    <definedName name="_xlnm.Print_Area" localSheetId="12">'мат комм-ции 217'!$A$1:$G$109</definedName>
    <definedName name="_xlnm.Print_Area" localSheetId="10">'мат комм-ции 417'!$A$1:$G$280</definedName>
    <definedName name="_xlnm.Print_Area" localSheetId="16">'мат трнсбрдр'!$A$1:$G$301</definedName>
    <definedName name="_xlnm.Print_Area" localSheetId="3">'мат трнсбрдр (2)'!$A$1:$G$301</definedName>
    <definedName name="_xlnm.Print_Area" localSheetId="20">'мат ТС2'!$A$1:$G$99</definedName>
    <definedName name="_xlnm.Print_Area" localSheetId="22">'мат ТС3'!$A$1:$G$93</definedName>
    <definedName name="_xlnm.Print_Area" localSheetId="24">'мат эстакада'!$A$1:$G$87</definedName>
    <definedName name="_xlnm.Print_Area" localSheetId="4">Свод!$A$1:$H$14</definedName>
    <definedName name="_xlnm.Print_Area" localSheetId="5">'СМР 417 путь'!$A$1:$G$37</definedName>
    <definedName name="_xlnm.Print_Area" localSheetId="17">'СМР ГСН'!$A$1:$G$45</definedName>
    <definedName name="_xlnm.Print_Area" localSheetId="11">'СМР комм-ции 217 '!$A$1:$G$253</definedName>
    <definedName name="_xlnm.Print_Area" localSheetId="9">'СМР комм-ции 417'!$A$1:$G$389</definedName>
    <definedName name="_xlnm.Print_Area" localSheetId="15">'СМР трнсбрдр'!$A$1:$G$238</definedName>
    <definedName name="_xlnm.Print_Area" localSheetId="2">'СМР трнсбрдр (2)'!$A$1:$G$238</definedName>
    <definedName name="_xlnm.Print_Area" localSheetId="19">'СМР ТС2'!$A$1:$G$91</definedName>
    <definedName name="_xlnm.Print_Area" localSheetId="21">'СМР ТС3'!$A$1:$G$105</definedName>
    <definedName name="_xlnm.Print_Area" localSheetId="23">'СМР эстакада'!$A$1:$G$102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" i="22" l="1"/>
  <c r="G137" i="24" l="1"/>
  <c r="G107" i="24"/>
  <c r="G83" i="24"/>
  <c r="G5" i="24" s="1"/>
  <c r="G62" i="24"/>
  <c r="G183" i="25"/>
  <c r="G159" i="25"/>
  <c r="G144" i="25"/>
  <c r="G115" i="25"/>
  <c r="G5" i="25"/>
  <c r="F300" i="25"/>
  <c r="G300" i="25" s="1"/>
  <c r="F299" i="25"/>
  <c r="G299" i="25" s="1"/>
  <c r="F298" i="25"/>
  <c r="G298" i="25" s="1"/>
  <c r="F297" i="25"/>
  <c r="G297" i="25" s="1"/>
  <c r="G296" i="25"/>
  <c r="F296" i="25"/>
  <c r="G295" i="25"/>
  <c r="F295" i="25"/>
  <c r="F294" i="25"/>
  <c r="G294" i="25" s="1"/>
  <c r="G293" i="25"/>
  <c r="F293" i="25"/>
  <c r="F292" i="25"/>
  <c r="G292" i="25" s="1"/>
  <c r="F291" i="25"/>
  <c r="G291" i="25" s="1"/>
  <c r="F290" i="25"/>
  <c r="G290" i="25" s="1"/>
  <c r="F289" i="25"/>
  <c r="G289" i="25" s="1"/>
  <c r="G288" i="25"/>
  <c r="F288" i="25"/>
  <c r="D288" i="25"/>
  <c r="F287" i="25"/>
  <c r="G287" i="25" s="1"/>
  <c r="F286" i="25"/>
  <c r="G286" i="25" s="1"/>
  <c r="D286" i="25"/>
  <c r="D285" i="25"/>
  <c r="F285" i="25" s="1"/>
  <c r="G285" i="25" s="1"/>
  <c r="F284" i="25"/>
  <c r="G284" i="25" s="1"/>
  <c r="F283" i="25"/>
  <c r="G283" i="25" s="1"/>
  <c r="D283" i="25"/>
  <c r="F282" i="25"/>
  <c r="G282" i="25" s="1"/>
  <c r="G281" i="25"/>
  <c r="F281" i="25"/>
  <c r="F280" i="25"/>
  <c r="G280" i="25" s="1"/>
  <c r="F279" i="25"/>
  <c r="G279" i="25" s="1"/>
  <c r="F278" i="25"/>
  <c r="G278" i="25" s="1"/>
  <c r="G277" i="25"/>
  <c r="F277" i="25"/>
  <c r="G275" i="25"/>
  <c r="F275" i="25"/>
  <c r="D275" i="25"/>
  <c r="F274" i="25"/>
  <c r="G274" i="25" s="1"/>
  <c r="D274" i="25"/>
  <c r="G273" i="25"/>
  <c r="F273" i="25"/>
  <c r="D273" i="25"/>
  <c r="F272" i="25"/>
  <c r="G272" i="25" s="1"/>
  <c r="D272" i="25"/>
  <c r="G271" i="25"/>
  <c r="F271" i="25"/>
  <c r="D271" i="25"/>
  <c r="F270" i="25"/>
  <c r="G270" i="25" s="1"/>
  <c r="D270" i="25"/>
  <c r="G269" i="25"/>
  <c r="F269" i="25"/>
  <c r="D269" i="25"/>
  <c r="F268" i="25"/>
  <c r="G268" i="25" s="1"/>
  <c r="D268" i="25"/>
  <c r="G266" i="25"/>
  <c r="F266" i="25"/>
  <c r="D265" i="25"/>
  <c r="F265" i="25" s="1"/>
  <c r="G265" i="25" s="1"/>
  <c r="F264" i="25"/>
  <c r="G264" i="25" s="1"/>
  <c r="D264" i="25"/>
  <c r="F263" i="25"/>
  <c r="G263" i="25" s="1"/>
  <c r="F262" i="25"/>
  <c r="G262" i="25" s="1"/>
  <c r="G261" i="25"/>
  <c r="F261" i="25"/>
  <c r="F260" i="25"/>
  <c r="G260" i="25" s="1"/>
  <c r="F259" i="25"/>
  <c r="G259" i="25" s="1"/>
  <c r="F258" i="25"/>
  <c r="G258" i="25" s="1"/>
  <c r="G257" i="25"/>
  <c r="F257" i="25"/>
  <c r="G256" i="25"/>
  <c r="F256" i="25"/>
  <c r="F255" i="25"/>
  <c r="G255" i="25" s="1"/>
  <c r="F254" i="25"/>
  <c r="G254" i="25" s="1"/>
  <c r="G253" i="25"/>
  <c r="F253" i="25"/>
  <c r="F252" i="25"/>
  <c r="G252" i="25" s="1"/>
  <c r="F251" i="25"/>
  <c r="G251" i="25" s="1"/>
  <c r="G250" i="25"/>
  <c r="F250" i="25"/>
  <c r="D248" i="25"/>
  <c r="F248" i="25" s="1"/>
  <c r="G248" i="25" s="1"/>
  <c r="G247" i="25"/>
  <c r="F247" i="25"/>
  <c r="F246" i="25"/>
  <c r="G246" i="25" s="1"/>
  <c r="F244" i="25"/>
  <c r="G244" i="25" s="1"/>
  <c r="D244" i="25"/>
  <c r="D243" i="25"/>
  <c r="F243" i="25" s="1"/>
  <c r="G243" i="25" s="1"/>
  <c r="F241" i="25"/>
  <c r="G241" i="25" s="1"/>
  <c r="G240" i="25"/>
  <c r="F240" i="25"/>
  <c r="D240" i="25"/>
  <c r="D239" i="25"/>
  <c r="F239" i="25" s="1"/>
  <c r="G239" i="25" s="1"/>
  <c r="G238" i="25"/>
  <c r="F238" i="25"/>
  <c r="D238" i="25"/>
  <c r="D237" i="25"/>
  <c r="F237" i="25" s="1"/>
  <c r="G237" i="25" s="1"/>
  <c r="G236" i="25"/>
  <c r="F236" i="25"/>
  <c r="D236" i="25"/>
  <c r="D235" i="25"/>
  <c r="F235" i="25" s="1"/>
  <c r="G235" i="25" s="1"/>
  <c r="G234" i="25"/>
  <c r="F234" i="25"/>
  <c r="D234" i="25"/>
  <c r="D233" i="25"/>
  <c r="F233" i="25" s="1"/>
  <c r="G233" i="25" s="1"/>
  <c r="G232" i="25"/>
  <c r="F232" i="25"/>
  <c r="D232" i="25"/>
  <c r="D231" i="25"/>
  <c r="F231" i="25" s="1"/>
  <c r="G231" i="25" s="1"/>
  <c r="G230" i="25"/>
  <c r="F230" i="25"/>
  <c r="D230" i="25"/>
  <c r="D229" i="25"/>
  <c r="F229" i="25" s="1"/>
  <c r="G229" i="25" s="1"/>
  <c r="G228" i="25"/>
  <c r="F228" i="25"/>
  <c r="D228" i="25"/>
  <c r="D227" i="25"/>
  <c r="F227" i="25" s="1"/>
  <c r="G227" i="25" s="1"/>
  <c r="G226" i="25"/>
  <c r="F226" i="25"/>
  <c r="G225" i="25"/>
  <c r="F225" i="25"/>
  <c r="G223" i="25"/>
  <c r="F223" i="25"/>
  <c r="G222" i="25"/>
  <c r="F222" i="25"/>
  <c r="F221" i="25"/>
  <c r="G221" i="25" s="1"/>
  <c r="G220" i="25"/>
  <c r="F220" i="25"/>
  <c r="D220" i="25"/>
  <c r="D219" i="25"/>
  <c r="F219" i="25" s="1"/>
  <c r="G219" i="25" s="1"/>
  <c r="G218" i="25"/>
  <c r="F218" i="25"/>
  <c r="F217" i="25"/>
  <c r="G217" i="25" s="1"/>
  <c r="F216" i="25"/>
  <c r="G216" i="25" s="1"/>
  <c r="G214" i="25"/>
  <c r="F214" i="25"/>
  <c r="G213" i="25"/>
  <c r="F213" i="25"/>
  <c r="G212" i="25"/>
  <c r="F212" i="25"/>
  <c r="G211" i="25"/>
  <c r="F211" i="25"/>
  <c r="F210" i="25"/>
  <c r="G210" i="25" s="1"/>
  <c r="G209" i="25"/>
  <c r="F209" i="25"/>
  <c r="F207" i="25"/>
  <c r="G207" i="25" s="1"/>
  <c r="F206" i="25"/>
  <c r="G206" i="25" s="1"/>
  <c r="G205" i="25"/>
  <c r="F205" i="25"/>
  <c r="G204" i="25"/>
  <c r="F204" i="25"/>
  <c r="G203" i="25"/>
  <c r="F203" i="25"/>
  <c r="D202" i="25"/>
  <c r="F202" i="25" s="1"/>
  <c r="G202" i="25" s="1"/>
  <c r="G201" i="25"/>
  <c r="F201" i="25"/>
  <c r="G200" i="25"/>
  <c r="F200" i="25"/>
  <c r="D199" i="25"/>
  <c r="F199" i="25" s="1"/>
  <c r="G199" i="25" s="1"/>
  <c r="G198" i="25"/>
  <c r="F198" i="25"/>
  <c r="F196" i="25"/>
  <c r="G196" i="25" s="1"/>
  <c r="G195" i="25"/>
  <c r="F195" i="25"/>
  <c r="D195" i="25"/>
  <c r="F194" i="25"/>
  <c r="G194" i="25" s="1"/>
  <c r="F193" i="25"/>
  <c r="G193" i="25" s="1"/>
  <c r="F191" i="25"/>
  <c r="G191" i="25" s="1"/>
  <c r="F190" i="25"/>
  <c r="G190" i="25" s="1"/>
  <c r="D190" i="25"/>
  <c r="G189" i="25"/>
  <c r="F189" i="25"/>
  <c r="F188" i="25"/>
  <c r="G188" i="25" s="1"/>
  <c r="F187" i="25"/>
  <c r="G187" i="25" s="1"/>
  <c r="F186" i="25"/>
  <c r="G186" i="25" s="1"/>
  <c r="F185" i="25"/>
  <c r="G185" i="25" s="1"/>
  <c r="G182" i="25"/>
  <c r="F182" i="25"/>
  <c r="G181" i="25"/>
  <c r="F181" i="25"/>
  <c r="G180" i="25"/>
  <c r="F180" i="25"/>
  <c r="G179" i="25"/>
  <c r="F179" i="25"/>
  <c r="F178" i="25"/>
  <c r="G178" i="25" s="1"/>
  <c r="F177" i="25"/>
  <c r="G177" i="25" s="1"/>
  <c r="F176" i="25"/>
  <c r="G176" i="25" s="1"/>
  <c r="F175" i="25"/>
  <c r="G175" i="25" s="1"/>
  <c r="G174" i="25"/>
  <c r="F174" i="25"/>
  <c r="D174" i="25"/>
  <c r="D173" i="25"/>
  <c r="F173" i="25" s="1"/>
  <c r="G173" i="25" s="1"/>
  <c r="G172" i="25"/>
  <c r="F172" i="25"/>
  <c r="D172" i="25"/>
  <c r="F171" i="25"/>
  <c r="G171" i="25" s="1"/>
  <c r="F170" i="25"/>
  <c r="G170" i="25" s="1"/>
  <c r="F169" i="25"/>
  <c r="G169" i="25" s="1"/>
  <c r="F168" i="25"/>
  <c r="G168" i="25" s="1"/>
  <c r="G167" i="25"/>
  <c r="F167" i="25"/>
  <c r="G166" i="25"/>
  <c r="F166" i="25"/>
  <c r="G165" i="25"/>
  <c r="F165" i="25"/>
  <c r="G164" i="25"/>
  <c r="F164" i="25"/>
  <c r="F163" i="25"/>
  <c r="G163" i="25" s="1"/>
  <c r="F162" i="25"/>
  <c r="G162" i="25" s="1"/>
  <c r="F161" i="25"/>
  <c r="G161" i="25" s="1"/>
  <c r="D161" i="25"/>
  <c r="G160" i="25"/>
  <c r="F160" i="25"/>
  <c r="G158" i="25"/>
  <c r="F158" i="25"/>
  <c r="F157" i="25"/>
  <c r="G157" i="25" s="1"/>
  <c r="F156" i="25"/>
  <c r="G156" i="25" s="1"/>
  <c r="F155" i="25"/>
  <c r="G155" i="25" s="1"/>
  <c r="F153" i="25"/>
  <c r="G153" i="25" s="1"/>
  <c r="G152" i="25"/>
  <c r="F152" i="25"/>
  <c r="G150" i="25"/>
  <c r="F150" i="25"/>
  <c r="G149" i="25"/>
  <c r="F149" i="25"/>
  <c r="G148" i="25"/>
  <c r="F148" i="25"/>
  <c r="F147" i="25"/>
  <c r="G147" i="25" s="1"/>
  <c r="F146" i="25"/>
  <c r="G146" i="25" s="1"/>
  <c r="F143" i="25"/>
  <c r="G143" i="25" s="1"/>
  <c r="F142" i="25"/>
  <c r="G142" i="25" s="1"/>
  <c r="F141" i="25"/>
  <c r="G141" i="25" s="1"/>
  <c r="D140" i="25"/>
  <c r="F140" i="25" s="1"/>
  <c r="G140" i="25" s="1"/>
  <c r="D139" i="25"/>
  <c r="F139" i="25" s="1"/>
  <c r="G139" i="25" s="1"/>
  <c r="D138" i="25"/>
  <c r="F138" i="25" s="1"/>
  <c r="G138" i="25" s="1"/>
  <c r="F137" i="25"/>
  <c r="G137" i="25" s="1"/>
  <c r="D137" i="25"/>
  <c r="D136" i="25"/>
  <c r="F136" i="25" s="1"/>
  <c r="G136" i="25" s="1"/>
  <c r="D135" i="25"/>
  <c r="F135" i="25" s="1"/>
  <c r="G135" i="25" s="1"/>
  <c r="G134" i="25"/>
  <c r="F134" i="25"/>
  <c r="D134" i="25"/>
  <c r="F133" i="25"/>
  <c r="G133" i="25" s="1"/>
  <c r="D133" i="25"/>
  <c r="G132" i="25"/>
  <c r="F132" i="25"/>
  <c r="D132" i="25"/>
  <c r="D131" i="25"/>
  <c r="F131" i="25" s="1"/>
  <c r="G131" i="25" s="1"/>
  <c r="G130" i="25"/>
  <c r="F130" i="25"/>
  <c r="D130" i="25"/>
  <c r="D129" i="25"/>
  <c r="F129" i="25" s="1"/>
  <c r="G129" i="25" s="1"/>
  <c r="G128" i="25"/>
  <c r="F128" i="25"/>
  <c r="D128" i="25"/>
  <c r="F126" i="25"/>
  <c r="G126" i="25" s="1"/>
  <c r="F125" i="25"/>
  <c r="G125" i="25" s="1"/>
  <c r="F124" i="25"/>
  <c r="G124" i="25" s="1"/>
  <c r="D124" i="25"/>
  <c r="D123" i="25"/>
  <c r="F123" i="25" s="1"/>
  <c r="G123" i="25" s="1"/>
  <c r="F122" i="25"/>
  <c r="G122" i="25" s="1"/>
  <c r="G121" i="25"/>
  <c r="F121" i="25"/>
  <c r="G120" i="25"/>
  <c r="F120" i="25"/>
  <c r="D120" i="25"/>
  <c r="F119" i="25"/>
  <c r="G119" i="25" s="1"/>
  <c r="F118" i="25"/>
  <c r="G118" i="25" s="1"/>
  <c r="F117" i="25"/>
  <c r="G117" i="25" s="1"/>
  <c r="G114" i="25"/>
  <c r="F114" i="25"/>
  <c r="G113" i="25"/>
  <c r="F113" i="25"/>
  <c r="G112" i="25"/>
  <c r="F112" i="25"/>
  <c r="G111" i="25"/>
  <c r="D111" i="25"/>
  <c r="F111" i="25" s="1"/>
  <c r="F110" i="25"/>
  <c r="G110" i="25" s="1"/>
  <c r="D110" i="25"/>
  <c r="G109" i="25"/>
  <c r="F109" i="25"/>
  <c r="D108" i="25"/>
  <c r="F108" i="25" s="1"/>
  <c r="G108" i="25" s="1"/>
  <c r="G107" i="25"/>
  <c r="F107" i="25"/>
  <c r="G106" i="25"/>
  <c r="F106" i="25"/>
  <c r="G105" i="25"/>
  <c r="F105" i="25"/>
  <c r="G104" i="25"/>
  <c r="F104" i="25"/>
  <c r="G103" i="25"/>
  <c r="F103" i="25"/>
  <c r="F102" i="25"/>
  <c r="G102" i="25" s="1"/>
  <c r="F101" i="25"/>
  <c r="G101" i="25" s="1"/>
  <c r="F100" i="25"/>
  <c r="G100" i="25" s="1"/>
  <c r="G99" i="25"/>
  <c r="F99" i="25"/>
  <c r="G98" i="25"/>
  <c r="F98" i="25"/>
  <c r="G97" i="25"/>
  <c r="F97" i="25"/>
  <c r="G96" i="25"/>
  <c r="F96" i="25"/>
  <c r="G95" i="25"/>
  <c r="F95" i="25"/>
  <c r="F93" i="25"/>
  <c r="G93" i="25" s="1"/>
  <c r="F92" i="25"/>
  <c r="G92" i="25" s="1"/>
  <c r="D92" i="25"/>
  <c r="D91" i="25"/>
  <c r="F91" i="25" s="1"/>
  <c r="G91" i="25" s="1"/>
  <c r="F90" i="25"/>
  <c r="G90" i="25" s="1"/>
  <c r="F89" i="25"/>
  <c r="G89" i="25" s="1"/>
  <c r="D89" i="25"/>
  <c r="D88" i="25"/>
  <c r="F88" i="25" s="1"/>
  <c r="G88" i="25" s="1"/>
  <c r="F87" i="25"/>
  <c r="G87" i="25" s="1"/>
  <c r="D87" i="25"/>
  <c r="G84" i="25"/>
  <c r="F84" i="25"/>
  <c r="D83" i="25"/>
  <c r="F83" i="25" s="1"/>
  <c r="G83" i="25" s="1"/>
  <c r="F82" i="25"/>
  <c r="G82" i="25" s="1"/>
  <c r="D82" i="25"/>
  <c r="D81" i="25"/>
  <c r="F81" i="25" s="1"/>
  <c r="G81" i="25" s="1"/>
  <c r="F80" i="25"/>
  <c r="G80" i="25" s="1"/>
  <c r="D80" i="25"/>
  <c r="D79" i="25"/>
  <c r="F79" i="25" s="1"/>
  <c r="G79" i="25" s="1"/>
  <c r="G78" i="25"/>
  <c r="F78" i="25"/>
  <c r="D78" i="25"/>
  <c r="D77" i="25"/>
  <c r="F77" i="25" s="1"/>
  <c r="G77" i="25" s="1"/>
  <c r="F76" i="25"/>
  <c r="G76" i="25" s="1"/>
  <c r="D76" i="25"/>
  <c r="D75" i="25"/>
  <c r="F75" i="25" s="1"/>
  <c r="G75" i="25" s="1"/>
  <c r="G74" i="25"/>
  <c r="F74" i="25"/>
  <c r="D74" i="25"/>
  <c r="D73" i="25"/>
  <c r="F73" i="25" s="1"/>
  <c r="G73" i="25" s="1"/>
  <c r="G71" i="25"/>
  <c r="F71" i="25"/>
  <c r="D71" i="25"/>
  <c r="D70" i="25"/>
  <c r="F70" i="25" s="1"/>
  <c r="G70" i="25" s="1"/>
  <c r="G69" i="25"/>
  <c r="F69" i="25"/>
  <c r="D69" i="25"/>
  <c r="D68" i="25"/>
  <c r="F68" i="25" s="1"/>
  <c r="G68" i="25" s="1"/>
  <c r="G67" i="25"/>
  <c r="F67" i="25"/>
  <c r="D67" i="25"/>
  <c r="D66" i="25"/>
  <c r="F66" i="25" s="1"/>
  <c r="G66" i="25" s="1"/>
  <c r="F65" i="25"/>
  <c r="G65" i="25" s="1"/>
  <c r="D65" i="25"/>
  <c r="D64" i="25"/>
  <c r="F64" i="25" s="1"/>
  <c r="G64" i="25" s="1"/>
  <c r="F63" i="25"/>
  <c r="G63" i="25" s="1"/>
  <c r="D63" i="25"/>
  <c r="G61" i="25"/>
  <c r="F61" i="25"/>
  <c r="F60" i="25"/>
  <c r="G60" i="25" s="1"/>
  <c r="F59" i="25"/>
  <c r="G59" i="25" s="1"/>
  <c r="F58" i="25"/>
  <c r="G58" i="25" s="1"/>
  <c r="F57" i="25"/>
  <c r="G57" i="25" s="1"/>
  <c r="D57" i="25"/>
  <c r="D56" i="25"/>
  <c r="F56" i="25" s="1"/>
  <c r="G56" i="25" s="1"/>
  <c r="F55" i="25"/>
  <c r="G55" i="25" s="1"/>
  <c r="D55" i="25"/>
  <c r="D54" i="25"/>
  <c r="F54" i="25" s="1"/>
  <c r="G54" i="25" s="1"/>
  <c r="G53" i="25"/>
  <c r="F53" i="25"/>
  <c r="D53" i="25"/>
  <c r="D52" i="25"/>
  <c r="F52" i="25" s="1"/>
  <c r="G52" i="25" s="1"/>
  <c r="F49" i="25"/>
  <c r="G49" i="25" s="1"/>
  <c r="D49" i="25"/>
  <c r="G48" i="25"/>
  <c r="D48" i="25"/>
  <c r="F48" i="25" s="1"/>
  <c r="G47" i="25"/>
  <c r="D47" i="25"/>
  <c r="F47" i="25" s="1"/>
  <c r="G46" i="25"/>
  <c r="D46" i="25"/>
  <c r="F46" i="25" s="1"/>
  <c r="D45" i="25"/>
  <c r="F45" i="25" s="1"/>
  <c r="G45" i="25" s="1"/>
  <c r="F44" i="25"/>
  <c r="G44" i="25" s="1"/>
  <c r="D44" i="25"/>
  <c r="F43" i="25"/>
  <c r="G43" i="25" s="1"/>
  <c r="D43" i="25"/>
  <c r="G41" i="25"/>
  <c r="F41" i="25"/>
  <c r="G40" i="25"/>
  <c r="F40" i="25"/>
  <c r="D39" i="25"/>
  <c r="F39" i="25" s="1"/>
  <c r="G39" i="25" s="1"/>
  <c r="G38" i="25"/>
  <c r="F38" i="25"/>
  <c r="D38" i="25"/>
  <c r="D37" i="25"/>
  <c r="F37" i="25" s="1"/>
  <c r="G37" i="25" s="1"/>
  <c r="G36" i="25"/>
  <c r="F36" i="25"/>
  <c r="D36" i="25"/>
  <c r="D35" i="25"/>
  <c r="F35" i="25" s="1"/>
  <c r="G35" i="25" s="1"/>
  <c r="G33" i="25"/>
  <c r="F33" i="25"/>
  <c r="G32" i="25"/>
  <c r="F32" i="25"/>
  <c r="G31" i="25"/>
  <c r="D31" i="25"/>
  <c r="F31" i="25" s="1"/>
  <c r="F30" i="25"/>
  <c r="G30" i="25" s="1"/>
  <c r="D30" i="25"/>
  <c r="D29" i="25"/>
  <c r="F29" i="25" s="1"/>
  <c r="G29" i="25" s="1"/>
  <c r="F28" i="25"/>
  <c r="G28" i="25" s="1"/>
  <c r="D28" i="25"/>
  <c r="D27" i="25"/>
  <c r="F27" i="25" s="1"/>
  <c r="G27" i="25" s="1"/>
  <c r="F26" i="25"/>
  <c r="G26" i="25" s="1"/>
  <c r="D26" i="25"/>
  <c r="G25" i="25"/>
  <c r="D25" i="25"/>
  <c r="F25" i="25" s="1"/>
  <c r="F24" i="25"/>
  <c r="G24" i="25" s="1"/>
  <c r="D24" i="25"/>
  <c r="G21" i="25"/>
  <c r="F21" i="25"/>
  <c r="G20" i="25"/>
  <c r="F20" i="25"/>
  <c r="G19" i="25"/>
  <c r="F19" i="25"/>
  <c r="F18" i="25"/>
  <c r="G18" i="25" s="1"/>
  <c r="F17" i="25"/>
  <c r="G17" i="25" s="1"/>
  <c r="F16" i="25"/>
  <c r="G16" i="25" s="1"/>
  <c r="F14" i="25"/>
  <c r="G14" i="25" s="1"/>
  <c r="G13" i="25"/>
  <c r="F13" i="25"/>
  <c r="G12" i="25"/>
  <c r="F12" i="25"/>
  <c r="G11" i="25"/>
  <c r="F11" i="25"/>
  <c r="G10" i="25"/>
  <c r="F10" i="25"/>
  <c r="F9" i="25"/>
  <c r="G9" i="25" s="1"/>
  <c r="A9" i="25"/>
  <c r="A10" i="25" s="1"/>
  <c r="A11" i="25" s="1"/>
  <c r="A12" i="25" s="1"/>
  <c r="A13" i="25" s="1"/>
  <c r="A14" i="25" s="1"/>
  <c r="A16" i="25" s="1"/>
  <c r="A17" i="25" s="1"/>
  <c r="A18" i="25" s="1"/>
  <c r="A19" i="25" s="1"/>
  <c r="A20" i="25" s="1"/>
  <c r="A21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5" i="25" s="1"/>
  <c r="A36" i="25" s="1"/>
  <c r="A37" i="25" s="1"/>
  <c r="A38" i="25" s="1"/>
  <c r="A39" i="25" s="1"/>
  <c r="A40" i="25" s="1"/>
  <c r="A41" i="25" s="1"/>
  <c r="A42" i="25" s="1"/>
  <c r="A52" i="25" s="1"/>
  <c r="A53" i="25" s="1"/>
  <c r="A54" i="25" s="1"/>
  <c r="A55" i="25" s="1"/>
  <c r="A56" i="25" s="1"/>
  <c r="A57" i="25" s="1"/>
  <c r="A58" i="25" s="1"/>
  <c r="A59" i="25" s="1"/>
  <c r="A60" i="25" s="1"/>
  <c r="A61" i="25" s="1"/>
  <c r="A63" i="25" s="1"/>
  <c r="A64" i="25" s="1"/>
  <c r="A65" i="25" s="1"/>
  <c r="A66" i="25" s="1"/>
  <c r="A67" i="25" s="1"/>
  <c r="A68" i="25" s="1"/>
  <c r="A69" i="25" s="1"/>
  <c r="A70" i="25" s="1"/>
  <c r="A71" i="25" s="1"/>
  <c r="A73" i="25" s="1"/>
  <c r="A74" i="25" s="1"/>
  <c r="A75" i="25" s="1"/>
  <c r="A76" i="25" s="1"/>
  <c r="A77" i="25" s="1"/>
  <c r="A78" i="25" s="1"/>
  <c r="A79" i="25" s="1"/>
  <c r="A80" i="25" s="1"/>
  <c r="A81" i="25" s="1"/>
  <c r="A82" i="25" s="1"/>
  <c r="A83" i="25" s="1"/>
  <c r="A84" i="25" s="1"/>
  <c r="A87" i="25" s="1"/>
  <c r="A88" i="25" s="1"/>
  <c r="A89" i="25" s="1"/>
  <c r="A90" i="25" s="1"/>
  <c r="A91" i="25" s="1"/>
  <c r="A92" i="25" s="1"/>
  <c r="A93" i="25" s="1"/>
  <c r="A95" i="25" s="1"/>
  <c r="A96" i="25" s="1"/>
  <c r="A97" i="25" s="1"/>
  <c r="A98" i="25" s="1"/>
  <c r="A99" i="25" s="1"/>
  <c r="A100" i="25" s="1"/>
  <c r="A101" i="25" s="1"/>
  <c r="A102" i="25" s="1"/>
  <c r="A103" i="25" s="1"/>
  <c r="A104" i="25" s="1"/>
  <c r="A105" i="25" s="1"/>
  <c r="A106" i="25" s="1"/>
  <c r="A107" i="25" s="1"/>
  <c r="A108" i="25" s="1"/>
  <c r="A109" i="25" s="1"/>
  <c r="A110" i="25" s="1"/>
  <c r="A111" i="25" s="1"/>
  <c r="A112" i="25" s="1"/>
  <c r="A113" i="25" s="1"/>
  <c r="A114" i="25" s="1"/>
  <c r="A117" i="25" s="1"/>
  <c r="A118" i="25" s="1"/>
  <c r="A119" i="25" s="1"/>
  <c r="A120" i="25" s="1"/>
  <c r="A121" i="25" s="1"/>
  <c r="A122" i="25" s="1"/>
  <c r="A123" i="25" s="1"/>
  <c r="A124" i="25" s="1"/>
  <c r="A125" i="25" s="1"/>
  <c r="A126" i="25" s="1"/>
  <c r="A128" i="25" s="1"/>
  <c r="A129" i="25" s="1"/>
  <c r="A130" i="25" s="1"/>
  <c r="A131" i="25" s="1"/>
  <c r="A132" i="25" s="1"/>
  <c r="A133" i="25" s="1"/>
  <c r="A134" i="25" s="1"/>
  <c r="A135" i="25" s="1"/>
  <c r="A136" i="25" s="1"/>
  <c r="A137" i="25" s="1"/>
  <c r="A138" i="25" s="1"/>
  <c r="A139" i="25" s="1"/>
  <c r="A140" i="25" s="1"/>
  <c r="A141" i="25" s="1"/>
  <c r="A142" i="25" s="1"/>
  <c r="A143" i="25" s="1"/>
  <c r="A146" i="25" s="1"/>
  <c r="A147" i="25" s="1"/>
  <c r="A148" i="25" s="1"/>
  <c r="A149" i="25" s="1"/>
  <c r="A150" i="25" s="1"/>
  <c r="A152" i="25" s="1"/>
  <c r="A153" i="25" s="1"/>
  <c r="A155" i="25" s="1"/>
  <c r="A156" i="25" s="1"/>
  <c r="A157" i="25" s="1"/>
  <c r="A158" i="25" s="1"/>
  <c r="A160" i="25" s="1"/>
  <c r="A161" i="25" s="1"/>
  <c r="A162" i="25" s="1"/>
  <c r="A163" i="25" s="1"/>
  <c r="A164" i="25" s="1"/>
  <c r="A165" i="25" s="1"/>
  <c r="A166" i="25" s="1"/>
  <c r="A167" i="25" s="1"/>
  <c r="A168" i="25" s="1"/>
  <c r="A169" i="25" s="1"/>
  <c r="A170" i="25" s="1"/>
  <c r="A171" i="25" s="1"/>
  <c r="A172" i="25" s="1"/>
  <c r="A173" i="25" s="1"/>
  <c r="A174" i="25" s="1"/>
  <c r="A175" i="25" s="1"/>
  <c r="A176" i="25" s="1"/>
  <c r="A177" i="25" s="1"/>
  <c r="A178" i="25" s="1"/>
  <c r="A179" i="25" s="1"/>
  <c r="A180" i="25" s="1"/>
  <c r="A181" i="25" s="1"/>
  <c r="A182" i="25" s="1"/>
  <c r="A185" i="25" s="1"/>
  <c r="A186" i="25" s="1"/>
  <c r="A187" i="25" s="1"/>
  <c r="A188" i="25" s="1"/>
  <c r="F8" i="25"/>
  <c r="G8" i="25" s="1"/>
  <c r="A8" i="25"/>
  <c r="F7" i="25"/>
  <c r="F235" i="24"/>
  <c r="G235" i="24" s="1"/>
  <c r="E235" i="24"/>
  <c r="F234" i="24"/>
  <c r="G234" i="24" s="1"/>
  <c r="G233" i="24"/>
  <c r="F233" i="24"/>
  <c r="F232" i="24"/>
  <c r="G232" i="24" s="1"/>
  <c r="E232" i="24"/>
  <c r="G231" i="24"/>
  <c r="F231" i="24"/>
  <c r="E231" i="24"/>
  <c r="F230" i="24"/>
  <c r="G230" i="24" s="1"/>
  <c r="F229" i="24"/>
  <c r="G229" i="24" s="1"/>
  <c r="E229" i="24"/>
  <c r="F228" i="24"/>
  <c r="G228" i="24" s="1"/>
  <c r="E227" i="24"/>
  <c r="F227" i="24" s="1"/>
  <c r="G227" i="24" s="1"/>
  <c r="E226" i="24"/>
  <c r="F226" i="24" s="1"/>
  <c r="G226" i="24" s="1"/>
  <c r="F225" i="24"/>
  <c r="G225" i="24" s="1"/>
  <c r="D224" i="24"/>
  <c r="F224" i="24" s="1"/>
  <c r="G224" i="24" s="1"/>
  <c r="G223" i="24"/>
  <c r="F223" i="24"/>
  <c r="G222" i="24"/>
  <c r="F222" i="24"/>
  <c r="E222" i="24"/>
  <c r="F221" i="24"/>
  <c r="G221" i="24" s="1"/>
  <c r="F220" i="24"/>
  <c r="G220" i="24" s="1"/>
  <c r="E220" i="24"/>
  <c r="F219" i="24"/>
  <c r="G219" i="24" s="1"/>
  <c r="F218" i="24"/>
  <c r="G218" i="24" s="1"/>
  <c r="G217" i="24"/>
  <c r="F217" i="24"/>
  <c r="F216" i="24"/>
  <c r="G216" i="24" s="1"/>
  <c r="F215" i="24"/>
  <c r="G215" i="24" s="1"/>
  <c r="F214" i="24"/>
  <c r="G214" i="24" s="1"/>
  <c r="G213" i="24"/>
  <c r="F213" i="24"/>
  <c r="G212" i="24"/>
  <c r="F212" i="24"/>
  <c r="F211" i="24"/>
  <c r="G211" i="24" s="1"/>
  <c r="D210" i="24"/>
  <c r="F210" i="24" s="1"/>
  <c r="G210" i="24" s="1"/>
  <c r="F209" i="24"/>
  <c r="G209" i="24" s="1"/>
  <c r="G208" i="24"/>
  <c r="F208" i="24"/>
  <c r="G207" i="24"/>
  <c r="F207" i="24"/>
  <c r="E205" i="24"/>
  <c r="F205" i="24" s="1"/>
  <c r="G205" i="24" s="1"/>
  <c r="F204" i="24"/>
  <c r="G204" i="24" s="1"/>
  <c r="E203" i="24"/>
  <c r="F203" i="24" s="1"/>
  <c r="G203" i="24" s="1"/>
  <c r="F202" i="24"/>
  <c r="G202" i="24" s="1"/>
  <c r="G201" i="24"/>
  <c r="F201" i="24"/>
  <c r="F200" i="24"/>
  <c r="G200" i="24" s="1"/>
  <c r="F199" i="24"/>
  <c r="G199" i="24" s="1"/>
  <c r="F198" i="24"/>
  <c r="G198" i="24" s="1"/>
  <c r="E197" i="24"/>
  <c r="F197" i="24" s="1"/>
  <c r="G197" i="24" s="1"/>
  <c r="E196" i="24"/>
  <c r="F196" i="24" s="1"/>
  <c r="G196" i="24" s="1"/>
  <c r="G195" i="24"/>
  <c r="F195" i="24"/>
  <c r="G194" i="24"/>
  <c r="F194" i="24"/>
  <c r="F193" i="24"/>
  <c r="G193" i="24" s="1"/>
  <c r="F192" i="24"/>
  <c r="G192" i="24" s="1"/>
  <c r="G191" i="24"/>
  <c r="F191" i="24"/>
  <c r="F190" i="24"/>
  <c r="G190" i="24" s="1"/>
  <c r="F189" i="24"/>
  <c r="G189" i="24" s="1"/>
  <c r="F188" i="24"/>
  <c r="G188" i="24" s="1"/>
  <c r="G187" i="24"/>
  <c r="F187" i="24"/>
  <c r="G186" i="24"/>
  <c r="F186" i="24"/>
  <c r="F185" i="24"/>
  <c r="G185" i="24" s="1"/>
  <c r="F183" i="24"/>
  <c r="G183" i="24" s="1"/>
  <c r="E182" i="24"/>
  <c r="F182" i="24" s="1"/>
  <c r="G182" i="24" s="1"/>
  <c r="G181" i="24"/>
  <c r="F181" i="24"/>
  <c r="G180" i="24"/>
  <c r="F180" i="24"/>
  <c r="E180" i="24"/>
  <c r="F179" i="24"/>
  <c r="G179" i="24" s="1"/>
  <c r="F178" i="24"/>
  <c r="G178" i="24" s="1"/>
  <c r="F177" i="24"/>
  <c r="G177" i="24" s="1"/>
  <c r="E176" i="24"/>
  <c r="F176" i="24" s="1"/>
  <c r="G176" i="24" s="1"/>
  <c r="G175" i="24"/>
  <c r="F175" i="24"/>
  <c r="F174" i="24"/>
  <c r="G174" i="24" s="1"/>
  <c r="F173" i="24"/>
  <c r="G173" i="24" s="1"/>
  <c r="F172" i="24"/>
  <c r="G172" i="24" s="1"/>
  <c r="G171" i="24"/>
  <c r="F171" i="24"/>
  <c r="G170" i="24"/>
  <c r="F170" i="24"/>
  <c r="F169" i="24"/>
  <c r="G169" i="24" s="1"/>
  <c r="F168" i="24"/>
  <c r="G168" i="24" s="1"/>
  <c r="G167" i="24"/>
  <c r="F167" i="24"/>
  <c r="F166" i="24"/>
  <c r="G166" i="24" s="1"/>
  <c r="F165" i="24"/>
  <c r="G165" i="24" s="1"/>
  <c r="F164" i="24"/>
  <c r="G164" i="24" s="1"/>
  <c r="G163" i="24"/>
  <c r="F163" i="24"/>
  <c r="G162" i="24"/>
  <c r="F162" i="24"/>
  <c r="F161" i="24"/>
  <c r="G161" i="24" s="1"/>
  <c r="D159" i="24"/>
  <c r="F159" i="24" s="1"/>
  <c r="G159" i="24" s="1"/>
  <c r="D158" i="24"/>
  <c r="F158" i="24" s="1"/>
  <c r="G158" i="24" s="1"/>
  <c r="D157" i="24"/>
  <c r="F157" i="24" s="1"/>
  <c r="G157" i="24" s="1"/>
  <c r="D156" i="24"/>
  <c r="F156" i="24" s="1"/>
  <c r="G156" i="24" s="1"/>
  <c r="D155" i="24"/>
  <c r="F155" i="24" s="1"/>
  <c r="G155" i="24" s="1"/>
  <c r="D154" i="24"/>
  <c r="F154" i="24" s="1"/>
  <c r="G154" i="24" s="1"/>
  <c r="D153" i="24"/>
  <c r="F153" i="24" s="1"/>
  <c r="G153" i="24" s="1"/>
  <c r="F151" i="24"/>
  <c r="G151" i="24" s="1"/>
  <c r="G150" i="24"/>
  <c r="F150" i="24"/>
  <c r="G149" i="24"/>
  <c r="F149" i="24"/>
  <c r="F148" i="24"/>
  <c r="G148" i="24" s="1"/>
  <c r="F147" i="24"/>
  <c r="G147" i="24" s="1"/>
  <c r="G145" i="24"/>
  <c r="F145" i="24"/>
  <c r="F144" i="24"/>
  <c r="G144" i="24" s="1"/>
  <c r="F143" i="24"/>
  <c r="G143" i="24" s="1"/>
  <c r="F142" i="24"/>
  <c r="G142" i="24" s="1"/>
  <c r="G141" i="24"/>
  <c r="F141" i="24"/>
  <c r="G140" i="24"/>
  <c r="F140" i="24"/>
  <c r="F136" i="24"/>
  <c r="G136" i="24" s="1"/>
  <c r="F135" i="24"/>
  <c r="G135" i="24" s="1"/>
  <c r="G134" i="24"/>
  <c r="F134" i="24"/>
  <c r="F133" i="24"/>
  <c r="G133" i="24" s="1"/>
  <c r="F132" i="24"/>
  <c r="G132" i="24" s="1"/>
  <c r="F131" i="24"/>
  <c r="G131" i="24" s="1"/>
  <c r="G130" i="24"/>
  <c r="F130" i="24"/>
  <c r="G129" i="24"/>
  <c r="F129" i="24"/>
  <c r="F128" i="24"/>
  <c r="G128" i="24" s="1"/>
  <c r="F126" i="24"/>
  <c r="G126" i="24" s="1"/>
  <c r="G125" i="24"/>
  <c r="F125" i="24"/>
  <c r="F124" i="24"/>
  <c r="G124" i="24" s="1"/>
  <c r="F122" i="24"/>
  <c r="G122" i="24" s="1"/>
  <c r="F120" i="24"/>
  <c r="G120" i="24" s="1"/>
  <c r="G119" i="24"/>
  <c r="F119" i="24"/>
  <c r="G118" i="24"/>
  <c r="F118" i="24"/>
  <c r="F116" i="24"/>
  <c r="G116" i="24" s="1"/>
  <c r="F115" i="24"/>
  <c r="G115" i="24" s="1"/>
  <c r="G114" i="24"/>
  <c r="F114" i="24"/>
  <c r="F113" i="24"/>
  <c r="G113" i="24" s="1"/>
  <c r="F112" i="24"/>
  <c r="G112" i="24" s="1"/>
  <c r="F111" i="24"/>
  <c r="G111" i="24" s="1"/>
  <c r="D110" i="24"/>
  <c r="F110" i="24" s="1"/>
  <c r="G110" i="24" s="1"/>
  <c r="G106" i="24"/>
  <c r="F106" i="24"/>
  <c r="F105" i="24"/>
  <c r="G105" i="24" s="1"/>
  <c r="F104" i="24"/>
  <c r="G104" i="24" s="1"/>
  <c r="F102" i="24"/>
  <c r="G102" i="24" s="1"/>
  <c r="G101" i="24"/>
  <c r="F101" i="24"/>
  <c r="G99" i="24"/>
  <c r="F99" i="24"/>
  <c r="F98" i="24"/>
  <c r="G98" i="24" s="1"/>
  <c r="F97" i="24"/>
  <c r="G97" i="24" s="1"/>
  <c r="G96" i="24"/>
  <c r="F96" i="24"/>
  <c r="F95" i="24"/>
  <c r="G95" i="24" s="1"/>
  <c r="F94" i="24"/>
  <c r="G94" i="24" s="1"/>
  <c r="F93" i="24"/>
  <c r="G93" i="24" s="1"/>
  <c r="G92" i="24"/>
  <c r="F92" i="24"/>
  <c r="G90" i="24"/>
  <c r="F90" i="24"/>
  <c r="F89" i="24"/>
  <c r="G89" i="24" s="1"/>
  <c r="F88" i="24"/>
  <c r="G88" i="24" s="1"/>
  <c r="G87" i="24"/>
  <c r="F87" i="24"/>
  <c r="F86" i="24"/>
  <c r="G86" i="24" s="1"/>
  <c r="F85" i="24"/>
  <c r="G85" i="24" s="1"/>
  <c r="F82" i="24"/>
  <c r="G82" i="24" s="1"/>
  <c r="G81" i="24"/>
  <c r="F81" i="24"/>
  <c r="G80" i="24"/>
  <c r="F80" i="24"/>
  <c r="F79" i="24"/>
  <c r="G79" i="24" s="1"/>
  <c r="G78" i="24"/>
  <c r="F78" i="24"/>
  <c r="G77" i="24"/>
  <c r="F77" i="24"/>
  <c r="F76" i="24"/>
  <c r="G76" i="24" s="1"/>
  <c r="F75" i="24"/>
  <c r="G75" i="24" s="1"/>
  <c r="F73" i="24"/>
  <c r="G73" i="24" s="1"/>
  <c r="G72" i="24"/>
  <c r="F72" i="24"/>
  <c r="F71" i="24"/>
  <c r="G71" i="24" s="1"/>
  <c r="F70" i="24"/>
  <c r="G70" i="24" s="1"/>
  <c r="G69" i="24"/>
  <c r="F69" i="24"/>
  <c r="G68" i="24"/>
  <c r="F68" i="24"/>
  <c r="F66" i="24"/>
  <c r="G66" i="24" s="1"/>
  <c r="F65" i="24"/>
  <c r="G65" i="24" s="1"/>
  <c r="F64" i="24"/>
  <c r="G64" i="24" s="1"/>
  <c r="G61" i="24"/>
  <c r="F61" i="24"/>
  <c r="F60" i="24"/>
  <c r="G60" i="24" s="1"/>
  <c r="F59" i="24"/>
  <c r="G59" i="24" s="1"/>
  <c r="G58" i="24"/>
  <c r="F58" i="24"/>
  <c r="G57" i="24"/>
  <c r="F57" i="24"/>
  <c r="F56" i="24"/>
  <c r="G56" i="24" s="1"/>
  <c r="F55" i="24"/>
  <c r="G55" i="24" s="1"/>
  <c r="F53" i="24"/>
  <c r="G53" i="24" s="1"/>
  <c r="G52" i="24"/>
  <c r="F52" i="24"/>
  <c r="F51" i="24"/>
  <c r="G51" i="24" s="1"/>
  <c r="F48" i="24"/>
  <c r="G48" i="24" s="1"/>
  <c r="G47" i="24"/>
  <c r="F47" i="24"/>
  <c r="G46" i="24"/>
  <c r="F46" i="24"/>
  <c r="F44" i="24"/>
  <c r="G44" i="24" s="1"/>
  <c r="F43" i="24"/>
  <c r="G43" i="24" s="1"/>
  <c r="F42" i="24"/>
  <c r="G42" i="24" s="1"/>
  <c r="G41" i="24"/>
  <c r="F41" i="24"/>
  <c r="F40" i="24"/>
  <c r="G40" i="24" s="1"/>
  <c r="F37" i="24"/>
  <c r="G37" i="24" s="1"/>
  <c r="G36" i="24"/>
  <c r="F36" i="24"/>
  <c r="G35" i="24"/>
  <c r="F35" i="24"/>
  <c r="F34" i="24"/>
  <c r="G34" i="24" s="1"/>
  <c r="F33" i="24"/>
  <c r="G33" i="24" s="1"/>
  <c r="F31" i="24"/>
  <c r="G31" i="24" s="1"/>
  <c r="G30" i="24"/>
  <c r="F30" i="24"/>
  <c r="F29" i="24"/>
  <c r="G29" i="24" s="1"/>
  <c r="F28" i="24"/>
  <c r="G28" i="24" s="1"/>
  <c r="G25" i="24"/>
  <c r="F25" i="24"/>
  <c r="G23" i="24"/>
  <c r="F23" i="24"/>
  <c r="F22" i="24"/>
  <c r="G22" i="24" s="1"/>
  <c r="F21" i="24"/>
  <c r="G21" i="24" s="1"/>
  <c r="F20" i="24"/>
  <c r="G20" i="24" s="1"/>
  <c r="G19" i="24"/>
  <c r="F19" i="24"/>
  <c r="F18" i="24"/>
  <c r="G18" i="24" s="1"/>
  <c r="F17" i="24"/>
  <c r="G17" i="24" s="1"/>
  <c r="G15" i="24"/>
  <c r="F15" i="24"/>
  <c r="G14" i="24"/>
  <c r="F14" i="24"/>
  <c r="F13" i="24"/>
  <c r="G13" i="24" s="1"/>
  <c r="F12" i="24"/>
  <c r="G12" i="24" s="1"/>
  <c r="F11" i="24"/>
  <c r="G11" i="24" s="1"/>
  <c r="G10" i="24"/>
  <c r="F10" i="24"/>
  <c r="F9" i="24"/>
  <c r="G9" i="24" s="1"/>
  <c r="F8" i="24"/>
  <c r="A8" i="24"/>
  <c r="A9" i="24" s="1"/>
  <c r="A10" i="24" s="1"/>
  <c r="A11" i="24" s="1"/>
  <c r="A12" i="24" s="1"/>
  <c r="A13" i="24" s="1"/>
  <c r="A14" i="24" s="1"/>
  <c r="A15" i="24" s="1"/>
  <c r="A17" i="24" s="1"/>
  <c r="A18" i="24" s="1"/>
  <c r="A19" i="24" s="1"/>
  <c r="A20" i="24" s="1"/>
  <c r="A21" i="24" s="1"/>
  <c r="A22" i="24" s="1"/>
  <c r="A23" i="24" s="1"/>
  <c r="A25" i="24" s="1"/>
  <c r="A28" i="24" s="1"/>
  <c r="A29" i="24" s="1"/>
  <c r="A30" i="24" s="1"/>
  <c r="A31" i="24" s="1"/>
  <c r="A33" i="24" s="1"/>
  <c r="A34" i="24" s="1"/>
  <c r="A35" i="24" s="1"/>
  <c r="A36" i="24" s="1"/>
  <c r="A37" i="24" s="1"/>
  <c r="A40" i="24" s="1"/>
  <c r="A41" i="24" s="1"/>
  <c r="A42" i="24" s="1"/>
  <c r="A43" i="24" s="1"/>
  <c r="A44" i="24" s="1"/>
  <c r="A46" i="24" s="1"/>
  <c r="A47" i="24" s="1"/>
  <c r="A48" i="24" s="1"/>
  <c r="A51" i="24" s="1"/>
  <c r="A52" i="24" s="1"/>
  <c r="A53" i="24" s="1"/>
  <c r="A55" i="24" s="1"/>
  <c r="A56" i="24" s="1"/>
  <c r="A57" i="24" s="1"/>
  <c r="A58" i="24" s="1"/>
  <c r="A59" i="24" s="1"/>
  <c r="A60" i="24" s="1"/>
  <c r="A61" i="24" s="1"/>
  <c r="A64" i="24" s="1"/>
  <c r="A65" i="24" s="1"/>
  <c r="A66" i="24" s="1"/>
  <c r="A68" i="24" s="1"/>
  <c r="A69" i="24" s="1"/>
  <c r="A70" i="24" s="1"/>
  <c r="A71" i="24" s="1"/>
  <c r="A72" i="24" s="1"/>
  <c r="A73" i="24" s="1"/>
  <c r="A75" i="24" s="1"/>
  <c r="A76" i="24" s="1"/>
  <c r="A77" i="24" s="1"/>
  <c r="A78" i="24" s="1"/>
  <c r="A79" i="24" s="1"/>
  <c r="A80" i="24" s="1"/>
  <c r="A81" i="24" s="1"/>
  <c r="A82" i="24" s="1"/>
  <c r="A85" i="24" s="1"/>
  <c r="A86" i="24" s="1"/>
  <c r="A87" i="24" s="1"/>
  <c r="A88" i="24" s="1"/>
  <c r="A89" i="24" s="1"/>
  <c r="A90" i="24" s="1"/>
  <c r="A92" i="24" s="1"/>
  <c r="A93" i="24" s="1"/>
  <c r="A94" i="24" s="1"/>
  <c r="A95" i="24" s="1"/>
  <c r="A96" i="24" s="1"/>
  <c r="A97" i="24" s="1"/>
  <c r="A98" i="24" s="1"/>
  <c r="A99" i="24" s="1"/>
  <c r="A101" i="24" s="1"/>
  <c r="A102" i="24" s="1"/>
  <c r="A104" i="24" s="1"/>
  <c r="A105" i="24" s="1"/>
  <c r="A106" i="24" s="1"/>
  <c r="A110" i="24" s="1"/>
  <c r="A111" i="24" s="1"/>
  <c r="A112" i="24" s="1"/>
  <c r="A113" i="24" s="1"/>
  <c r="A114" i="24" s="1"/>
  <c r="A115" i="24" s="1"/>
  <c r="A116" i="24" s="1"/>
  <c r="A118" i="24" s="1"/>
  <c r="A119" i="24" s="1"/>
  <c r="A120" i="24" s="1"/>
  <c r="A122" i="24" s="1"/>
  <c r="A124" i="24" s="1"/>
  <c r="A125" i="24" s="1"/>
  <c r="A126" i="24" s="1"/>
  <c r="A128" i="24" s="1"/>
  <c r="A129" i="24" s="1"/>
  <c r="A130" i="24" s="1"/>
  <c r="A131" i="24" s="1"/>
  <c r="A132" i="24" s="1"/>
  <c r="A133" i="24" s="1"/>
  <c r="A134" i="24" s="1"/>
  <c r="A135" i="24" s="1"/>
  <c r="A136" i="24" s="1"/>
  <c r="A140" i="24" s="1"/>
  <c r="A141" i="24" s="1"/>
  <c r="A142" i="24" s="1"/>
  <c r="A143" i="24" s="1"/>
  <c r="A144" i="24" s="1"/>
  <c r="G7" i="24"/>
  <c r="F7" i="24"/>
  <c r="A145" i="24" l="1"/>
  <c r="A147" i="24"/>
  <c r="A148" i="24" s="1"/>
  <c r="A149" i="24" s="1"/>
  <c r="A150" i="24" s="1"/>
  <c r="A151" i="24" s="1"/>
  <c r="A153" i="24" s="1"/>
  <c r="A154" i="24" s="1"/>
  <c r="A155" i="24" s="1"/>
  <c r="A156" i="24" s="1"/>
  <c r="A157" i="24" s="1"/>
  <c r="A158" i="24" s="1"/>
  <c r="A159" i="24" s="1"/>
  <c r="A161" i="24" s="1"/>
  <c r="A162" i="24" s="1"/>
  <c r="A163" i="24" s="1"/>
  <c r="A164" i="24" s="1"/>
  <c r="A165" i="24" s="1"/>
  <c r="A166" i="24" s="1"/>
  <c r="A167" i="24" s="1"/>
  <c r="A168" i="24" s="1"/>
  <c r="A169" i="24" s="1"/>
  <c r="A170" i="24" s="1"/>
  <c r="A171" i="24" s="1"/>
  <c r="A172" i="24" s="1"/>
  <c r="A173" i="24" s="1"/>
  <c r="A174" i="24" s="1"/>
  <c r="A175" i="24" s="1"/>
  <c r="A176" i="24" s="1"/>
  <c r="A177" i="24" s="1"/>
  <c r="A178" i="24" s="1"/>
  <c r="A179" i="24" s="1"/>
  <c r="A180" i="24" s="1"/>
  <c r="A181" i="24" s="1"/>
  <c r="A182" i="24" s="1"/>
  <c r="A183" i="24" s="1"/>
  <c r="A185" i="24" s="1"/>
  <c r="A186" i="24" s="1"/>
  <c r="A187" i="24" s="1"/>
  <c r="A188" i="24" s="1"/>
  <c r="A189" i="24" s="1"/>
  <c r="A190" i="24" s="1"/>
  <c r="A191" i="24" s="1"/>
  <c r="A192" i="24" s="1"/>
  <c r="A193" i="24" s="1"/>
  <c r="A194" i="24" s="1"/>
  <c r="A195" i="24" s="1"/>
  <c r="A196" i="24" s="1"/>
  <c r="A197" i="24" s="1"/>
  <c r="A198" i="24" s="1"/>
  <c r="A199" i="24" s="1"/>
  <c r="A200" i="24" s="1"/>
  <c r="A201" i="24" s="1"/>
  <c r="A202" i="24" s="1"/>
  <c r="A203" i="24" s="1"/>
  <c r="A204" i="24" s="1"/>
  <c r="A205" i="24" s="1"/>
  <c r="A207" i="24" s="1"/>
  <c r="A208" i="24" s="1"/>
  <c r="A209" i="24" s="1"/>
  <c r="A210" i="24" s="1"/>
  <c r="A211" i="24" s="1"/>
  <c r="A212" i="24" s="1"/>
  <c r="A213" i="24" s="1"/>
  <c r="A214" i="24" s="1"/>
  <c r="A215" i="24" s="1"/>
  <c r="A216" i="24" s="1"/>
  <c r="A217" i="24" s="1"/>
  <c r="A218" i="24" s="1"/>
  <c r="A219" i="24" s="1"/>
  <c r="A220" i="24" s="1"/>
  <c r="A221" i="24" s="1"/>
  <c r="A222" i="24" s="1"/>
  <c r="A223" i="24" s="1"/>
  <c r="A224" i="24" s="1"/>
  <c r="A225" i="24" s="1"/>
  <c r="A226" i="24" s="1"/>
  <c r="A227" i="24" s="1"/>
  <c r="A228" i="24" s="1"/>
  <c r="A229" i="24" s="1"/>
  <c r="A230" i="24" s="1"/>
  <c r="A231" i="24" s="1"/>
  <c r="A232" i="24" s="1"/>
  <c r="A233" i="24" s="1"/>
  <c r="A234" i="24" s="1"/>
  <c r="A235" i="24" s="1"/>
  <c r="F236" i="24"/>
  <c r="A189" i="25"/>
  <c r="A190" i="25" s="1"/>
  <c r="A191" i="25" s="1"/>
  <c r="A193" i="25" s="1"/>
  <c r="A194" i="25" s="1"/>
  <c r="A195" i="25" s="1"/>
  <c r="A196" i="25" s="1"/>
  <c r="A198" i="25" s="1"/>
  <c r="A199" i="25" s="1"/>
  <c r="A200" i="25" s="1"/>
  <c r="A201" i="25" s="1"/>
  <c r="A202" i="25" s="1"/>
  <c r="A203" i="25" s="1"/>
  <c r="A204" i="25" s="1"/>
  <c r="A205" i="25" s="1"/>
  <c r="A206" i="25" s="1"/>
  <c r="A207" i="25" s="1"/>
  <c r="A209" i="25"/>
  <c r="A210" i="25" s="1"/>
  <c r="A211" i="25" s="1"/>
  <c r="A212" i="25" s="1"/>
  <c r="A213" i="25" s="1"/>
  <c r="A214" i="25" s="1"/>
  <c r="A216" i="25" s="1"/>
  <c r="A217" i="25" s="1"/>
  <c r="A225" i="25"/>
  <c r="A226" i="25" s="1"/>
  <c r="A227" i="25" s="1"/>
  <c r="A228" i="25" s="1"/>
  <c r="A229" i="25" s="1"/>
  <c r="A230" i="25" s="1"/>
  <c r="A231" i="25" s="1"/>
  <c r="A232" i="25" s="1"/>
  <c r="A233" i="25" s="1"/>
  <c r="A234" i="25" s="1"/>
  <c r="A235" i="25" s="1"/>
  <c r="A236" i="25" s="1"/>
  <c r="A237" i="25" s="1"/>
  <c r="A238" i="25" s="1"/>
  <c r="A239" i="25" s="1"/>
  <c r="A240" i="25" s="1"/>
  <c r="A241" i="25" s="1"/>
  <c r="A243" i="25" s="1"/>
  <c r="A244" i="25" s="1"/>
  <c r="A246" i="25" s="1"/>
  <c r="A247" i="25" s="1"/>
  <c r="A248" i="25" s="1"/>
  <c r="A250" i="25" s="1"/>
  <c r="A251" i="25" s="1"/>
  <c r="A252" i="25" s="1"/>
  <c r="A253" i="25" s="1"/>
  <c r="A254" i="25" s="1"/>
  <c r="A255" i="25" s="1"/>
  <c r="A256" i="25" s="1"/>
  <c r="A257" i="25" s="1"/>
  <c r="A258" i="25" s="1"/>
  <c r="A259" i="25" s="1"/>
  <c r="A260" i="25" s="1"/>
  <c r="A261" i="25" s="1"/>
  <c r="A262" i="25" s="1"/>
  <c r="A263" i="25" s="1"/>
  <c r="G8" i="24"/>
  <c r="G236" i="24" s="1"/>
  <c r="F301" i="25"/>
  <c r="G7" i="25"/>
  <c r="G301" i="25" s="1"/>
  <c r="H55" i="22"/>
  <c r="G331" i="12"/>
  <c r="G325" i="12"/>
  <c r="G291" i="12"/>
  <c r="A264" i="25" l="1"/>
  <c r="A265" i="25" s="1"/>
  <c r="A266" i="25" s="1"/>
  <c r="A268" i="25"/>
  <c r="A269" i="25" s="1"/>
  <c r="A270" i="25" s="1"/>
  <c r="A271" i="25" s="1"/>
  <c r="A272" i="25" s="1"/>
  <c r="A273" i="25" s="1"/>
  <c r="A274" i="25" s="1"/>
  <c r="A275" i="25" s="1"/>
  <c r="A277" i="25" s="1"/>
  <c r="A278" i="25" s="1"/>
  <c r="A279" i="25" s="1"/>
  <c r="A280" i="25" s="1"/>
  <c r="A281" i="25" s="1"/>
  <c r="A282" i="25" s="1"/>
  <c r="A283" i="25" s="1"/>
  <c r="A284" i="25" s="1"/>
  <c r="A285" i="25" s="1"/>
  <c r="A286" i="25" s="1"/>
  <c r="A287" i="25" s="1"/>
  <c r="A288" i="25" s="1"/>
  <c r="A289" i="25" s="1"/>
  <c r="A290" i="25" s="1"/>
  <c r="A291" i="25" s="1"/>
  <c r="A292" i="25" s="1"/>
  <c r="A293" i="25" s="1"/>
  <c r="A294" i="25" s="1"/>
  <c r="A295" i="25" s="1"/>
  <c r="A296" i="25" s="1"/>
  <c r="A297" i="25" s="1"/>
  <c r="A298" i="25" s="1"/>
  <c r="A299" i="25" s="1"/>
  <c r="A300" i="25" s="1"/>
  <c r="G237" i="24"/>
  <c r="G238" i="24" s="1"/>
  <c r="A218" i="25"/>
  <c r="A219" i="25"/>
  <c r="A220" i="25" s="1"/>
  <c r="A221" i="25" s="1"/>
  <c r="A222" i="25" s="1"/>
  <c r="A223" i="25" s="1"/>
  <c r="F237" i="24"/>
  <c r="F238" i="24" s="1"/>
  <c r="G261" i="12"/>
  <c r="G155" i="12"/>
  <c r="G134" i="12"/>
  <c r="G113" i="12"/>
  <c r="G78" i="12"/>
  <c r="G58" i="12"/>
  <c r="G37" i="12"/>
  <c r="G36" i="12" l="1"/>
  <c r="D5" i="3" l="1"/>
  <c r="A202" i="12" l="1"/>
  <c r="A203" i="12" s="1"/>
  <c r="A204" i="12" s="1"/>
  <c r="A205" i="12" s="1"/>
  <c r="A206" i="12" s="1"/>
  <c r="A207" i="12" s="1"/>
  <c r="A208" i="12" s="1"/>
  <c r="A209" i="12" s="1"/>
  <c r="A210" i="12" s="1"/>
  <c r="A211" i="12" s="1"/>
  <c r="A212" i="12" s="1"/>
  <c r="F98" i="19"/>
  <c r="G98" i="19" s="1"/>
  <c r="G97" i="19"/>
  <c r="F97" i="19"/>
  <c r="F96" i="19"/>
  <c r="G96" i="19" s="1"/>
  <c r="G95" i="19"/>
  <c r="F95" i="19"/>
  <c r="F94" i="19"/>
  <c r="G94" i="19" s="1"/>
  <c r="G93" i="19"/>
  <c r="F93" i="19"/>
  <c r="F92" i="19"/>
  <c r="G92" i="19" s="1"/>
  <c r="G91" i="19"/>
  <c r="F91" i="19"/>
  <c r="F90" i="19"/>
  <c r="G90" i="19" s="1"/>
  <c r="G89" i="19"/>
  <c r="F89" i="19"/>
  <c r="F88" i="19"/>
  <c r="G88" i="19" s="1"/>
  <c r="G87" i="19"/>
  <c r="F87" i="19"/>
  <c r="F86" i="19"/>
  <c r="G86" i="19" s="1"/>
  <c r="G85" i="19"/>
  <c r="F85" i="19"/>
  <c r="F84" i="19"/>
  <c r="G84" i="19" s="1"/>
  <c r="G82" i="19"/>
  <c r="F82" i="19"/>
  <c r="F81" i="19"/>
  <c r="G81" i="19" s="1"/>
  <c r="G80" i="19"/>
  <c r="F80" i="19"/>
  <c r="F79" i="19"/>
  <c r="G79" i="19" s="1"/>
  <c r="G78" i="19"/>
  <c r="F78" i="19"/>
  <c r="F77" i="19"/>
  <c r="G77" i="19" s="1"/>
  <c r="G76" i="19"/>
  <c r="F76" i="19"/>
  <c r="F75" i="19"/>
  <c r="G75" i="19" s="1"/>
  <c r="G74" i="19"/>
  <c r="F74" i="19"/>
  <c r="F73" i="19"/>
  <c r="G73" i="19" s="1"/>
  <c r="G72" i="19"/>
  <c r="F72" i="19"/>
  <c r="F71" i="19"/>
  <c r="G71" i="19" s="1"/>
  <c r="G70" i="19"/>
  <c r="F70" i="19"/>
  <c r="F69" i="19"/>
  <c r="G69" i="19" s="1"/>
  <c r="D67" i="19"/>
  <c r="F67" i="19" s="1"/>
  <c r="G67" i="19" s="1"/>
  <c r="D66" i="19"/>
  <c r="F66" i="19" s="1"/>
  <c r="G66" i="19" s="1"/>
  <c r="D65" i="19"/>
  <c r="F65" i="19" s="1"/>
  <c r="G65" i="19" s="1"/>
  <c r="D64" i="19"/>
  <c r="F64" i="19" s="1"/>
  <c r="G64" i="19" s="1"/>
  <c r="G63" i="19"/>
  <c r="F63" i="19"/>
  <c r="F62" i="19"/>
  <c r="G62" i="19" s="1"/>
  <c r="G61" i="19"/>
  <c r="F61" i="19"/>
  <c r="F60" i="19"/>
  <c r="G60" i="19" s="1"/>
  <c r="D60" i="19"/>
  <c r="F59" i="19"/>
  <c r="G59" i="19" s="1"/>
  <c r="G57" i="19"/>
  <c r="F57" i="19"/>
  <c r="F56" i="19"/>
  <c r="G56" i="19" s="1"/>
  <c r="G55" i="19"/>
  <c r="F55" i="19"/>
  <c r="F54" i="19"/>
  <c r="G54" i="19" s="1"/>
  <c r="G53" i="19"/>
  <c r="F53" i="19"/>
  <c r="F52" i="19"/>
  <c r="G52" i="19" s="1"/>
  <c r="G51" i="19"/>
  <c r="F51" i="19"/>
  <c r="F50" i="19"/>
  <c r="G50" i="19" s="1"/>
  <c r="G49" i="19"/>
  <c r="F49" i="19"/>
  <c r="F48" i="19"/>
  <c r="G48" i="19" s="1"/>
  <c r="G47" i="19"/>
  <c r="F47" i="19"/>
  <c r="F45" i="19"/>
  <c r="G45" i="19" s="1"/>
  <c r="D45" i="19"/>
  <c r="F44" i="19"/>
  <c r="G44" i="19" s="1"/>
  <c r="G43" i="19"/>
  <c r="F43" i="19"/>
  <c r="F42" i="19"/>
  <c r="G42" i="19" s="1"/>
  <c r="D42" i="19"/>
  <c r="F41" i="19"/>
  <c r="G41" i="19" s="1"/>
  <c r="G40" i="19"/>
  <c r="F40" i="19"/>
  <c r="F39" i="19"/>
  <c r="G39" i="19" s="1"/>
  <c r="D38" i="19"/>
  <c r="F38" i="19" s="1"/>
  <c r="G38" i="19" s="1"/>
  <c r="G37" i="19"/>
  <c r="F37" i="19"/>
  <c r="F35" i="19"/>
  <c r="G35" i="19" s="1"/>
  <c r="G34" i="19"/>
  <c r="F34" i="19"/>
  <c r="F33" i="19"/>
  <c r="G33" i="19" s="1"/>
  <c r="G32" i="19"/>
  <c r="F32" i="19"/>
  <c r="F31" i="19"/>
  <c r="G31" i="19" s="1"/>
  <c r="D29" i="19"/>
  <c r="F29" i="19" s="1"/>
  <c r="G29" i="19" s="1"/>
  <c r="G28" i="19"/>
  <c r="F28" i="19"/>
  <c r="F27" i="19"/>
  <c r="G27" i="19" s="1"/>
  <c r="G26" i="19"/>
  <c r="F26" i="19"/>
  <c r="F24" i="19"/>
  <c r="G24" i="19" s="1"/>
  <c r="D24" i="19"/>
  <c r="F23" i="19"/>
  <c r="G23" i="19" s="1"/>
  <c r="G22" i="19"/>
  <c r="F22" i="19"/>
  <c r="F21" i="19"/>
  <c r="G21" i="19" s="1"/>
  <c r="G19" i="19"/>
  <c r="F19" i="19"/>
  <c r="F18" i="19"/>
  <c r="G18" i="19" s="1"/>
  <c r="D18" i="19"/>
  <c r="F17" i="19"/>
  <c r="G17" i="19" s="1"/>
  <c r="D16" i="19"/>
  <c r="F16" i="19" s="1"/>
  <c r="G16" i="19" s="1"/>
  <c r="D15" i="19"/>
  <c r="F15" i="19" s="1"/>
  <c r="G15" i="19" s="1"/>
  <c r="G14" i="19"/>
  <c r="F14" i="19"/>
  <c r="F13" i="19"/>
  <c r="G13" i="19" s="1"/>
  <c r="G12" i="19"/>
  <c r="F12" i="19"/>
  <c r="F11" i="19"/>
  <c r="G11" i="19" s="1"/>
  <c r="G10" i="19"/>
  <c r="F10" i="19"/>
  <c r="A10" i="19"/>
  <c r="A11" i="19" s="1"/>
  <c r="A12" i="19" s="1"/>
  <c r="A13" i="19" s="1"/>
  <c r="A14" i="19" s="1"/>
  <c r="A15" i="19" s="1"/>
  <c r="A16" i="19" s="1"/>
  <c r="A17" i="19" s="1"/>
  <c r="A18" i="19" s="1"/>
  <c r="A19" i="19" s="1"/>
  <c r="A21" i="19" s="1"/>
  <c r="A22" i="19" s="1"/>
  <c r="A23" i="19" s="1"/>
  <c r="A24" i="19" s="1"/>
  <c r="A26" i="19" s="1"/>
  <c r="A27" i="19" s="1"/>
  <c r="A28" i="19" s="1"/>
  <c r="A29" i="19" s="1"/>
  <c r="A31" i="19" s="1"/>
  <c r="A32" i="19" s="1"/>
  <c r="A33" i="19" s="1"/>
  <c r="A34" i="19" s="1"/>
  <c r="A35" i="19" s="1"/>
  <c r="A37" i="19" s="1"/>
  <c r="A38" i="19" s="1"/>
  <c r="A39" i="19" s="1"/>
  <c r="A40" i="19" s="1"/>
  <c r="A41" i="19" s="1"/>
  <c r="A42" i="19" s="1"/>
  <c r="A43" i="19" s="1"/>
  <c r="A44" i="19" s="1"/>
  <c r="A45" i="19" s="1"/>
  <c r="A47" i="19" s="1"/>
  <c r="A48" i="19" s="1"/>
  <c r="A49" i="19" s="1"/>
  <c r="A50" i="19" s="1"/>
  <c r="A51" i="19" s="1"/>
  <c r="A52" i="19" s="1"/>
  <c r="A53" i="19" s="1"/>
  <c r="A54" i="19" s="1"/>
  <c r="A55" i="19" s="1"/>
  <c r="F7" i="19"/>
  <c r="A7" i="19"/>
  <c r="F88" i="18"/>
  <c r="G88" i="18" s="1"/>
  <c r="G87" i="18"/>
  <c r="F87" i="18"/>
  <c r="F86" i="18"/>
  <c r="G86" i="18" s="1"/>
  <c r="G85" i="18"/>
  <c r="F85" i="18"/>
  <c r="F84" i="18"/>
  <c r="G84" i="18" s="1"/>
  <c r="E84" i="18"/>
  <c r="F83" i="18"/>
  <c r="G83" i="18" s="1"/>
  <c r="G82" i="18"/>
  <c r="F82" i="18"/>
  <c r="F81" i="18"/>
  <c r="G81" i="18" s="1"/>
  <c r="G80" i="18"/>
  <c r="F80" i="18"/>
  <c r="F79" i="18"/>
  <c r="G79" i="18" s="1"/>
  <c r="G78" i="18"/>
  <c r="F78" i="18"/>
  <c r="F77" i="18"/>
  <c r="G77" i="18" s="1"/>
  <c r="G76" i="18"/>
  <c r="F76" i="18"/>
  <c r="F75" i="18"/>
  <c r="G75" i="18" s="1"/>
  <c r="G73" i="18"/>
  <c r="F73" i="18"/>
  <c r="F72" i="18"/>
  <c r="G72" i="18" s="1"/>
  <c r="G71" i="18"/>
  <c r="F71" i="18"/>
  <c r="F70" i="18"/>
  <c r="G70" i="18" s="1"/>
  <c r="G69" i="18"/>
  <c r="F69" i="18"/>
  <c r="F68" i="18"/>
  <c r="G68" i="18" s="1"/>
  <c r="G67" i="18"/>
  <c r="F67" i="18"/>
  <c r="F66" i="18"/>
  <c r="G66" i="18" s="1"/>
  <c r="G65" i="18"/>
  <c r="F65" i="18"/>
  <c r="F64" i="18"/>
  <c r="G64" i="18" s="1"/>
  <c r="G63" i="18"/>
  <c r="F63" i="18"/>
  <c r="F62" i="18"/>
  <c r="G62" i="18" s="1"/>
  <c r="G61" i="18"/>
  <c r="F61" i="18"/>
  <c r="F60" i="18"/>
  <c r="G60" i="18" s="1"/>
  <c r="G58" i="18"/>
  <c r="F58" i="18"/>
  <c r="F57" i="18"/>
  <c r="G57" i="18" s="1"/>
  <c r="G56" i="18"/>
  <c r="F56" i="18"/>
  <c r="F55" i="18"/>
  <c r="G55" i="18" s="1"/>
  <c r="G54" i="18"/>
  <c r="F54" i="18"/>
  <c r="F53" i="18"/>
  <c r="G53" i="18" s="1"/>
  <c r="G52" i="18"/>
  <c r="F52" i="18"/>
  <c r="F51" i="18"/>
  <c r="G51" i="18" s="1"/>
  <c r="D50" i="18"/>
  <c r="F50" i="18" s="1"/>
  <c r="G50" i="18" s="1"/>
  <c r="G49" i="18"/>
  <c r="F49" i="18"/>
  <c r="F47" i="18"/>
  <c r="G47" i="18" s="1"/>
  <c r="G46" i="18"/>
  <c r="F46" i="18"/>
  <c r="F45" i="18"/>
  <c r="G45" i="18" s="1"/>
  <c r="G44" i="18"/>
  <c r="F44" i="18"/>
  <c r="F43" i="18"/>
  <c r="G43" i="18" s="1"/>
  <c r="E42" i="18"/>
  <c r="F42" i="18" s="1"/>
  <c r="G42" i="18" s="1"/>
  <c r="E40" i="18"/>
  <c r="E41" i="18" s="1"/>
  <c r="F41" i="18" s="1"/>
  <c r="G41" i="18" s="1"/>
  <c r="G39" i="18"/>
  <c r="F39" i="18"/>
  <c r="F38" i="18"/>
  <c r="G38" i="18" s="1"/>
  <c r="G37" i="18"/>
  <c r="F37" i="18"/>
  <c r="F36" i="18"/>
  <c r="G36" i="18" s="1"/>
  <c r="G33" i="18"/>
  <c r="F33" i="18"/>
  <c r="F32" i="18"/>
  <c r="G32" i="18" s="1"/>
  <c r="G30" i="18"/>
  <c r="F30" i="18"/>
  <c r="F29" i="18"/>
  <c r="G29" i="18" s="1"/>
  <c r="G28" i="18"/>
  <c r="F28" i="18"/>
  <c r="F27" i="18"/>
  <c r="G27" i="18" s="1"/>
  <c r="G26" i="18"/>
  <c r="F26" i="18"/>
  <c r="F25" i="18"/>
  <c r="G25" i="18" s="1"/>
  <c r="G23" i="18"/>
  <c r="F23" i="18"/>
  <c r="F22" i="18"/>
  <c r="G22" i="18" s="1"/>
  <c r="G21" i="18"/>
  <c r="F21" i="18"/>
  <c r="F19" i="18"/>
  <c r="G19" i="18" s="1"/>
  <c r="G18" i="18"/>
  <c r="F18" i="18"/>
  <c r="F17" i="18"/>
  <c r="G17" i="18" s="1"/>
  <c r="G14" i="18"/>
  <c r="F14" i="18"/>
  <c r="F12" i="18"/>
  <c r="G12" i="18" s="1"/>
  <c r="G11" i="18"/>
  <c r="F11" i="18"/>
  <c r="F10" i="18"/>
  <c r="G10" i="18" s="1"/>
  <c r="G9" i="18"/>
  <c r="F9" i="18"/>
  <c r="A9" i="18"/>
  <c r="A10" i="18" s="1"/>
  <c r="A11" i="18" s="1"/>
  <c r="A12" i="18" s="1"/>
  <c r="A14" i="18" s="1"/>
  <c r="A17" i="18" s="1"/>
  <c r="F8" i="18"/>
  <c r="G8" i="18" s="1"/>
  <c r="A8" i="18"/>
  <c r="G7" i="18"/>
  <c r="F7" i="18"/>
  <c r="F31" i="17"/>
  <c r="G31" i="17" s="1"/>
  <c r="G30" i="17"/>
  <c r="F30" i="17"/>
  <c r="F29" i="17"/>
  <c r="G29" i="17" s="1"/>
  <c r="F28" i="17"/>
  <c r="G28" i="17" s="1"/>
  <c r="F27" i="17"/>
  <c r="G27" i="17" s="1"/>
  <c r="G26" i="17"/>
  <c r="F26" i="17"/>
  <c r="F25" i="17"/>
  <c r="G25" i="17" s="1"/>
  <c r="F24" i="17"/>
  <c r="G24" i="17" s="1"/>
  <c r="F22" i="17"/>
  <c r="G22" i="17" s="1"/>
  <c r="G21" i="17"/>
  <c r="F21" i="17"/>
  <c r="F20" i="17"/>
  <c r="G20" i="17" s="1"/>
  <c r="F19" i="17"/>
  <c r="G19" i="17" s="1"/>
  <c r="F18" i="17"/>
  <c r="G18" i="17" s="1"/>
  <c r="G17" i="17"/>
  <c r="F17" i="17"/>
  <c r="F16" i="17"/>
  <c r="G16" i="17" s="1"/>
  <c r="F15" i="17"/>
  <c r="G15" i="17" s="1"/>
  <c r="F14" i="17"/>
  <c r="G14" i="17" s="1"/>
  <c r="G13" i="17"/>
  <c r="F13" i="17"/>
  <c r="F12" i="17"/>
  <c r="G12" i="17" s="1"/>
  <c r="F11" i="17"/>
  <c r="G11" i="17" s="1"/>
  <c r="A11" i="17"/>
  <c r="A12" i="17" s="1"/>
  <c r="A13" i="17" s="1"/>
  <c r="A14" i="17" s="1"/>
  <c r="F10" i="17"/>
  <c r="G10" i="17" s="1"/>
  <c r="A10" i="17"/>
  <c r="G9" i="17"/>
  <c r="F9" i="17"/>
  <c r="A9" i="17"/>
  <c r="F7" i="17"/>
  <c r="G7" i="17" s="1"/>
  <c r="G32" i="17" s="1"/>
  <c r="F42" i="16"/>
  <c r="G42" i="16" s="1"/>
  <c r="E41" i="16"/>
  <c r="F41" i="16" s="1"/>
  <c r="G41" i="16" s="1"/>
  <c r="G40" i="16"/>
  <c r="F40" i="16"/>
  <c r="F39" i="16"/>
  <c r="G39" i="16" s="1"/>
  <c r="E39" i="16"/>
  <c r="F37" i="16"/>
  <c r="G37" i="16" s="1"/>
  <c r="E36" i="16"/>
  <c r="F36" i="16" s="1"/>
  <c r="G36" i="16" s="1"/>
  <c r="F35" i="16"/>
  <c r="G35" i="16" s="1"/>
  <c r="F34" i="16"/>
  <c r="G34" i="16" s="1"/>
  <c r="D33" i="16"/>
  <c r="F33" i="16" s="1"/>
  <c r="G33" i="16" s="1"/>
  <c r="G32" i="16"/>
  <c r="F32" i="16"/>
  <c r="F31" i="16"/>
  <c r="G31" i="16" s="1"/>
  <c r="F30" i="16"/>
  <c r="G30" i="16" s="1"/>
  <c r="G29" i="16"/>
  <c r="F29" i="16"/>
  <c r="F28" i="16"/>
  <c r="G28" i="16" s="1"/>
  <c r="F27" i="16"/>
  <c r="G27" i="16" s="1"/>
  <c r="F26" i="16"/>
  <c r="G26" i="16" s="1"/>
  <c r="G25" i="16"/>
  <c r="F25" i="16"/>
  <c r="F24" i="16"/>
  <c r="G24" i="16" s="1"/>
  <c r="F22" i="16"/>
  <c r="G22" i="16" s="1"/>
  <c r="F21" i="16"/>
  <c r="G21" i="16" s="1"/>
  <c r="G20" i="16"/>
  <c r="F20" i="16"/>
  <c r="F19" i="16"/>
  <c r="G19" i="16" s="1"/>
  <c r="F18" i="16"/>
  <c r="G18" i="16" s="1"/>
  <c r="F17" i="16"/>
  <c r="G17" i="16" s="1"/>
  <c r="E16" i="16"/>
  <c r="F16" i="16" s="1"/>
  <c r="G16" i="16" s="1"/>
  <c r="G15" i="16"/>
  <c r="F15" i="16"/>
  <c r="F14" i="16"/>
  <c r="G14" i="16" s="1"/>
  <c r="F13" i="16"/>
  <c r="G13" i="16" s="1"/>
  <c r="F12" i="16"/>
  <c r="G12" i="16" s="1"/>
  <c r="G11" i="16"/>
  <c r="F11" i="16"/>
  <c r="F10" i="16"/>
  <c r="G10" i="16" s="1"/>
  <c r="F9" i="16"/>
  <c r="G9" i="16" s="1"/>
  <c r="A9" i="16"/>
  <c r="F8" i="16"/>
  <c r="A8" i="16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4" i="16" s="1"/>
  <c r="A25" i="16" s="1"/>
  <c r="A26" i="16" s="1"/>
  <c r="A27" i="16" s="1"/>
  <c r="A28" i="16" s="1"/>
  <c r="A29" i="16" s="1"/>
  <c r="A30" i="16" s="1"/>
  <c r="A31" i="16" s="1"/>
  <c r="A33" i="16" s="1"/>
  <c r="A34" i="16" s="1"/>
  <c r="A35" i="16" s="1"/>
  <c r="A36" i="16" s="1"/>
  <c r="A37" i="16" s="1"/>
  <c r="A39" i="16" s="1"/>
  <c r="A40" i="16" s="1"/>
  <c r="A41" i="16" s="1"/>
  <c r="A42" i="16" s="1"/>
  <c r="G7" i="16"/>
  <c r="F7" i="16"/>
  <c r="F99" i="19" l="1"/>
  <c r="A59" i="19"/>
  <c r="A60" i="19" s="1"/>
  <c r="A61" i="19" s="1"/>
  <c r="A62" i="19" s="1"/>
  <c r="A63" i="19" s="1"/>
  <c r="A64" i="19" s="1"/>
  <c r="A65" i="19" s="1"/>
  <c r="A66" i="19" s="1"/>
  <c r="A67" i="19" s="1"/>
  <c r="A69" i="19" s="1"/>
  <c r="A70" i="19" s="1"/>
  <c r="A71" i="19" s="1"/>
  <c r="A72" i="19" s="1"/>
  <c r="A73" i="19" s="1"/>
  <c r="A74" i="19" s="1"/>
  <c r="A75" i="19" s="1"/>
  <c r="A76" i="19" s="1"/>
  <c r="A77" i="19" s="1"/>
  <c r="A78" i="19" s="1"/>
  <c r="A79" i="19" s="1"/>
  <c r="A80" i="19" s="1"/>
  <c r="A81" i="19" s="1"/>
  <c r="A82" i="19" s="1"/>
  <c r="A84" i="19" s="1"/>
  <c r="A85" i="19" s="1"/>
  <c r="A86" i="19" s="1"/>
  <c r="A87" i="19" s="1"/>
  <c r="A88" i="19" s="1"/>
  <c r="A89" i="19" s="1"/>
  <c r="A90" i="19" s="1"/>
  <c r="A91" i="19" s="1"/>
  <c r="A92" i="19" s="1"/>
  <c r="A93" i="19" s="1"/>
  <c r="A94" i="19" s="1"/>
  <c r="A95" i="19" s="1"/>
  <c r="A96" i="19" s="1"/>
  <c r="A97" i="19" s="1"/>
  <c r="A98" i="19" s="1"/>
  <c r="A56" i="19"/>
  <c r="A57" i="19" s="1"/>
  <c r="G7" i="19"/>
  <c r="G99" i="19" s="1"/>
  <c r="A21" i="18"/>
  <c r="A22" i="18" s="1"/>
  <c r="A23" i="18" s="1"/>
  <c r="A25" i="18" s="1"/>
  <c r="A26" i="18" s="1"/>
  <c r="A27" i="18" s="1"/>
  <c r="A28" i="18" s="1"/>
  <c r="A29" i="18" s="1"/>
  <c r="A30" i="18" s="1"/>
  <c r="A32" i="18" s="1"/>
  <c r="A33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5" i="18" s="1"/>
  <c r="A76" i="18" s="1"/>
  <c r="A77" i="18" s="1"/>
  <c r="A78" i="18" s="1"/>
  <c r="A79" i="18" s="1"/>
  <c r="A80" i="18" s="1"/>
  <c r="A81" i="18" s="1"/>
  <c r="A82" i="18" s="1"/>
  <c r="A83" i="18" s="1"/>
  <c r="A84" i="18" s="1"/>
  <c r="A85" i="18" s="1"/>
  <c r="A86" i="18" s="1"/>
  <c r="A87" i="18" s="1"/>
  <c r="A88" i="18" s="1"/>
  <c r="A18" i="18"/>
  <c r="A19" i="18" s="1"/>
  <c r="G89" i="18"/>
  <c r="F40" i="18"/>
  <c r="G40" i="18" s="1"/>
  <c r="A16" i="17"/>
  <c r="A17" i="17" s="1"/>
  <c r="A18" i="17" s="1"/>
  <c r="A19" i="17" s="1"/>
  <c r="A20" i="17" s="1"/>
  <c r="A21" i="17" s="1"/>
  <c r="A22" i="17" s="1"/>
  <c r="A24" i="17" s="1"/>
  <c r="A25" i="17" s="1"/>
  <c r="A26" i="17" s="1"/>
  <c r="A27" i="17" s="1"/>
  <c r="A28" i="17" s="1"/>
  <c r="A29" i="17" s="1"/>
  <c r="A30" i="17" s="1"/>
  <c r="A31" i="17" s="1"/>
  <c r="A15" i="17"/>
  <c r="F32" i="17"/>
  <c r="F43" i="16"/>
  <c r="G8" i="16"/>
  <c r="G43" i="16" s="1"/>
  <c r="E24" i="3"/>
  <c r="E23" i="3"/>
  <c r="E22" i="3"/>
  <c r="E21" i="3"/>
  <c r="E20" i="3"/>
  <c r="E14" i="3"/>
  <c r="E13" i="3"/>
  <c r="E12" i="3"/>
  <c r="E9" i="3"/>
  <c r="E8" i="3"/>
  <c r="G90" i="18" l="1"/>
  <c r="G91" i="18" s="1"/>
  <c r="F89" i="18"/>
  <c r="G45" i="16"/>
  <c r="G44" i="16"/>
  <c r="F44" i="16"/>
  <c r="F45" i="16" s="1"/>
  <c r="F90" i="18" l="1"/>
  <c r="F91" i="18" s="1"/>
  <c r="E23" i="20"/>
  <c r="E44" i="20"/>
  <c r="E101" i="20"/>
  <c r="F99" i="22"/>
  <c r="E20" i="8"/>
  <c r="E52" i="22"/>
  <c r="E48" i="22"/>
  <c r="E29" i="22"/>
  <c r="E28" i="22"/>
  <c r="E26" i="22"/>
  <c r="E25" i="22"/>
  <c r="E24" i="22"/>
  <c r="E23" i="22"/>
  <c r="E17" i="3" l="1"/>
  <c r="F35" i="22" l="1"/>
  <c r="G35" i="22" s="1"/>
  <c r="F36" i="22"/>
  <c r="G36" i="22" s="1"/>
  <c r="A10" i="22"/>
  <c r="F9" i="22"/>
  <c r="G9" i="22" s="1"/>
  <c r="A9" i="22"/>
  <c r="F86" i="23" l="1"/>
  <c r="G86" i="23" s="1"/>
  <c r="F85" i="23"/>
  <c r="G85" i="23" s="1"/>
  <c r="F84" i="23"/>
  <c r="G84" i="23" s="1"/>
  <c r="F82" i="23"/>
  <c r="G82" i="23" s="1"/>
  <c r="D82" i="23"/>
  <c r="D81" i="23"/>
  <c r="F81" i="23" s="1"/>
  <c r="G81" i="23" s="1"/>
  <c r="D80" i="23"/>
  <c r="F80" i="23" s="1"/>
  <c r="G80" i="23" s="1"/>
  <c r="D79" i="23"/>
  <c r="F79" i="23" s="1"/>
  <c r="G79" i="23" s="1"/>
  <c r="D78" i="23"/>
  <c r="F78" i="23" s="1"/>
  <c r="G78" i="23" s="1"/>
  <c r="D77" i="23"/>
  <c r="F77" i="23" s="1"/>
  <c r="G77" i="23" s="1"/>
  <c r="D76" i="23"/>
  <c r="F76" i="23" s="1"/>
  <c r="G76" i="23" s="1"/>
  <c r="D75" i="23"/>
  <c r="F75" i="23" s="1"/>
  <c r="G75" i="23" s="1"/>
  <c r="F74" i="23"/>
  <c r="G74" i="23" s="1"/>
  <c r="F73" i="23"/>
  <c r="G73" i="23" s="1"/>
  <c r="F72" i="23"/>
  <c r="G72" i="23" s="1"/>
  <c r="F71" i="23"/>
  <c r="G71" i="23" s="1"/>
  <c r="D70" i="23"/>
  <c r="F70" i="23" s="1"/>
  <c r="G70" i="23" s="1"/>
  <c r="F69" i="23"/>
  <c r="G69" i="23" s="1"/>
  <c r="F68" i="23"/>
  <c r="G68" i="23" s="1"/>
  <c r="F66" i="23"/>
  <c r="G66" i="23" s="1"/>
  <c r="F65" i="23"/>
  <c r="G65" i="23" s="1"/>
  <c r="F64" i="23"/>
  <c r="G64" i="23" s="1"/>
  <c r="F63" i="23"/>
  <c r="G63" i="23" s="1"/>
  <c r="D62" i="23"/>
  <c r="F62" i="23" s="1"/>
  <c r="G62" i="23" s="1"/>
  <c r="D61" i="23"/>
  <c r="F61" i="23" s="1"/>
  <c r="G61" i="23" s="1"/>
  <c r="D60" i="23"/>
  <c r="F60" i="23" s="1"/>
  <c r="G60" i="23" s="1"/>
  <c r="D58" i="23"/>
  <c r="F58" i="23" s="1"/>
  <c r="G58" i="23" s="1"/>
  <c r="D57" i="23"/>
  <c r="F57" i="23" s="1"/>
  <c r="G57" i="23" s="1"/>
  <c r="D56" i="23"/>
  <c r="F56" i="23" s="1"/>
  <c r="G56" i="23" s="1"/>
  <c r="D55" i="23"/>
  <c r="F55" i="23" s="1"/>
  <c r="G55" i="23" s="1"/>
  <c r="D54" i="23"/>
  <c r="F54" i="23" s="1"/>
  <c r="G54" i="23" s="1"/>
  <c r="D53" i="23"/>
  <c r="F53" i="23" s="1"/>
  <c r="G53" i="23" s="1"/>
  <c r="D52" i="23"/>
  <c r="F52" i="23" s="1"/>
  <c r="G52" i="23" s="1"/>
  <c r="D51" i="23"/>
  <c r="F51" i="23" s="1"/>
  <c r="G51" i="23" s="1"/>
  <c r="D50" i="23"/>
  <c r="F50" i="23" s="1"/>
  <c r="G50" i="23" s="1"/>
  <c r="D48" i="23"/>
  <c r="F48" i="23" s="1"/>
  <c r="G48" i="23" s="1"/>
  <c r="D47" i="23"/>
  <c r="F47" i="23" s="1"/>
  <c r="G47" i="23" s="1"/>
  <c r="D46" i="23"/>
  <c r="F46" i="23" s="1"/>
  <c r="G46" i="23" s="1"/>
  <c r="D45" i="23"/>
  <c r="F45" i="23" s="1"/>
  <c r="G45" i="23" s="1"/>
  <c r="D44" i="23"/>
  <c r="F44" i="23" s="1"/>
  <c r="G44" i="23" s="1"/>
  <c r="D43" i="23"/>
  <c r="F43" i="23" s="1"/>
  <c r="G43" i="23" s="1"/>
  <c r="D42" i="23"/>
  <c r="F42" i="23" s="1"/>
  <c r="G42" i="23" s="1"/>
  <c r="D41" i="23"/>
  <c r="F41" i="23" s="1"/>
  <c r="G41" i="23" s="1"/>
  <c r="D40" i="23"/>
  <c r="F40" i="23" s="1"/>
  <c r="G40" i="23" s="1"/>
  <c r="D38" i="23"/>
  <c r="F38" i="23" s="1"/>
  <c r="G38" i="23" s="1"/>
  <c r="D37" i="23"/>
  <c r="F37" i="23" s="1"/>
  <c r="G37" i="23" s="1"/>
  <c r="D36" i="23"/>
  <c r="F36" i="23" s="1"/>
  <c r="G36" i="23" s="1"/>
  <c r="D35" i="23"/>
  <c r="F35" i="23" s="1"/>
  <c r="G35" i="23" s="1"/>
  <c r="D34" i="23"/>
  <c r="F34" i="23" s="1"/>
  <c r="G34" i="23" s="1"/>
  <c r="D33" i="23"/>
  <c r="F33" i="23" s="1"/>
  <c r="G33" i="23" s="1"/>
  <c r="D32" i="23"/>
  <c r="F32" i="23" s="1"/>
  <c r="G32" i="23" s="1"/>
  <c r="D31" i="23"/>
  <c r="F31" i="23" s="1"/>
  <c r="G31" i="23" s="1"/>
  <c r="D30" i="23"/>
  <c r="F30" i="23" s="1"/>
  <c r="G30" i="23" s="1"/>
  <c r="F28" i="23"/>
  <c r="G28" i="23" s="1"/>
  <c r="D28" i="23"/>
  <c r="D27" i="23"/>
  <c r="F27" i="23" s="1"/>
  <c r="G27" i="23" s="1"/>
  <c r="D26" i="23"/>
  <c r="F26" i="23" s="1"/>
  <c r="G26" i="23" s="1"/>
  <c r="D25" i="23"/>
  <c r="F25" i="23" s="1"/>
  <c r="G25" i="23" s="1"/>
  <c r="D24" i="23"/>
  <c r="F24" i="23" s="1"/>
  <c r="G24" i="23" s="1"/>
  <c r="D22" i="23"/>
  <c r="F22" i="23" s="1"/>
  <c r="G22" i="23" s="1"/>
  <c r="F21" i="23"/>
  <c r="G21" i="23" s="1"/>
  <c r="D21" i="23"/>
  <c r="D20" i="23"/>
  <c r="F20" i="23" s="1"/>
  <c r="G20" i="23" s="1"/>
  <c r="D19" i="23"/>
  <c r="F19" i="23" s="1"/>
  <c r="G19" i="23" s="1"/>
  <c r="D18" i="23"/>
  <c r="F18" i="23" s="1"/>
  <c r="G18" i="23" s="1"/>
  <c r="F15" i="23"/>
  <c r="G15" i="23" s="1"/>
  <c r="D14" i="23"/>
  <c r="F14" i="23" s="1"/>
  <c r="G14" i="23" s="1"/>
  <c r="F13" i="23"/>
  <c r="G13" i="23" s="1"/>
  <c r="F12" i="23"/>
  <c r="G12" i="23" s="1"/>
  <c r="F11" i="23"/>
  <c r="G11" i="23" s="1"/>
  <c r="F10" i="23"/>
  <c r="G10" i="23" s="1"/>
  <c r="F9" i="23"/>
  <c r="G9" i="23" s="1"/>
  <c r="A9" i="23"/>
  <c r="A10" i="23" s="1"/>
  <c r="A11" i="23" s="1"/>
  <c r="A12" i="23" s="1"/>
  <c r="A13" i="23" s="1"/>
  <c r="A14" i="23" s="1"/>
  <c r="A15" i="23" s="1"/>
  <c r="A18" i="23" s="1"/>
  <c r="A19" i="23" s="1"/>
  <c r="A20" i="23" s="1"/>
  <c r="A21" i="23" s="1"/>
  <c r="A22" i="23" s="1"/>
  <c r="A24" i="23" s="1"/>
  <c r="A25" i="23" s="1"/>
  <c r="A26" i="23" s="1"/>
  <c r="A27" i="23" s="1"/>
  <c r="A28" i="23" s="1"/>
  <c r="A30" i="23" s="1"/>
  <c r="A31" i="23" s="1"/>
  <c r="A32" i="23" s="1"/>
  <c r="A33" i="23" s="1"/>
  <c r="A34" i="23" s="1"/>
  <c r="A35" i="23" s="1"/>
  <c r="A36" i="23" s="1"/>
  <c r="A37" i="23" s="1"/>
  <c r="A38" i="23" s="1"/>
  <c r="A40" i="23" s="1"/>
  <c r="A41" i="23" s="1"/>
  <c r="A42" i="23" s="1"/>
  <c r="A43" i="23" s="1"/>
  <c r="A44" i="23" s="1"/>
  <c r="A45" i="23" s="1"/>
  <c r="A46" i="23" s="1"/>
  <c r="A47" i="23" s="1"/>
  <c r="A48" i="23" s="1"/>
  <c r="A50" i="23" s="1"/>
  <c r="A51" i="23" s="1"/>
  <c r="A52" i="23" s="1"/>
  <c r="A53" i="23" s="1"/>
  <c r="A54" i="23" s="1"/>
  <c r="A55" i="23" s="1"/>
  <c r="A56" i="23" s="1"/>
  <c r="A57" i="23" s="1"/>
  <c r="A58" i="23" s="1"/>
  <c r="A60" i="23" s="1"/>
  <c r="A61" i="23" s="1"/>
  <c r="A62" i="23" s="1"/>
  <c r="A63" i="23" s="1"/>
  <c r="A64" i="23" s="1"/>
  <c r="A65" i="23" s="1"/>
  <c r="A66" i="23" s="1"/>
  <c r="A68" i="23" s="1"/>
  <c r="A69" i="23" s="1"/>
  <c r="A70" i="23" s="1"/>
  <c r="A71" i="23" s="1"/>
  <c r="A72" i="23" s="1"/>
  <c r="A73" i="23" s="1"/>
  <c r="A74" i="23" s="1"/>
  <c r="A75" i="23" s="1"/>
  <c r="A76" i="23" s="1"/>
  <c r="A77" i="23" s="1"/>
  <c r="A78" i="23" s="1"/>
  <c r="A79" i="23" s="1"/>
  <c r="A80" i="23" s="1"/>
  <c r="A81" i="23" s="1"/>
  <c r="A82" i="23" s="1"/>
  <c r="A84" i="23" s="1"/>
  <c r="A85" i="23" s="1"/>
  <c r="A86" i="23" s="1"/>
  <c r="F8" i="23"/>
  <c r="G8" i="23" s="1"/>
  <c r="A8" i="23"/>
  <c r="F7" i="23"/>
  <c r="G99" i="22"/>
  <c r="F97" i="22"/>
  <c r="G97" i="22" s="1"/>
  <c r="F95" i="22"/>
  <c r="G95" i="22" s="1"/>
  <c r="F94" i="22"/>
  <c r="G94" i="22" s="1"/>
  <c r="F93" i="22"/>
  <c r="G93" i="22" s="1"/>
  <c r="F90" i="22"/>
  <c r="G90" i="22" s="1"/>
  <c r="F89" i="22"/>
  <c r="G89" i="22" s="1"/>
  <c r="F88" i="22"/>
  <c r="G88" i="22" s="1"/>
  <c r="F86" i="22"/>
  <c r="G86" i="22" s="1"/>
  <c r="F85" i="22"/>
  <c r="G85" i="22" s="1"/>
  <c r="F84" i="22"/>
  <c r="G84" i="22" s="1"/>
  <c r="F83" i="22"/>
  <c r="G83" i="22" s="1"/>
  <c r="F81" i="22"/>
  <c r="G81" i="22" s="1"/>
  <c r="F80" i="22"/>
  <c r="G80" i="22" s="1"/>
  <c r="F79" i="22"/>
  <c r="G79" i="22" s="1"/>
  <c r="F78" i="22"/>
  <c r="G78" i="22" s="1"/>
  <c r="G77" i="22"/>
  <c r="F77" i="22"/>
  <c r="F76" i="22"/>
  <c r="G76" i="22" s="1"/>
  <c r="D73" i="22"/>
  <c r="F73" i="22" s="1"/>
  <c r="G73" i="22" s="1"/>
  <c r="F72" i="22"/>
  <c r="G72" i="22" s="1"/>
  <c r="D72" i="22"/>
  <c r="F71" i="22"/>
  <c r="G71" i="22" s="1"/>
  <c r="F69" i="22"/>
  <c r="G69" i="22" s="1"/>
  <c r="F66" i="22"/>
  <c r="G66" i="22" s="1"/>
  <c r="F64" i="22"/>
  <c r="G64" i="22" s="1"/>
  <c r="F63" i="22"/>
  <c r="G63" i="22" s="1"/>
  <c r="F62" i="22"/>
  <c r="G62" i="22" s="1"/>
  <c r="F61" i="22"/>
  <c r="G61" i="22" s="1"/>
  <c r="F60" i="22"/>
  <c r="G60" i="22" s="1"/>
  <c r="F59" i="22"/>
  <c r="G59" i="22" s="1"/>
  <c r="F57" i="22"/>
  <c r="G57" i="22" s="1"/>
  <c r="D54" i="22"/>
  <c r="F54" i="22" s="1"/>
  <c r="G54" i="22" s="1"/>
  <c r="D53" i="22"/>
  <c r="F52" i="22"/>
  <c r="G52" i="22" s="1"/>
  <c r="F51" i="22"/>
  <c r="G51" i="22" s="1"/>
  <c r="F50" i="22"/>
  <c r="G50" i="22" s="1"/>
  <c r="F49" i="22"/>
  <c r="G49" i="22" s="1"/>
  <c r="F48" i="22"/>
  <c r="G48" i="22" s="1"/>
  <c r="F47" i="22"/>
  <c r="G47" i="22" s="1"/>
  <c r="F46" i="22"/>
  <c r="G46" i="22" s="1"/>
  <c r="F44" i="22"/>
  <c r="G44" i="22" s="1"/>
  <c r="F42" i="22"/>
  <c r="G42" i="22" s="1"/>
  <c r="F41" i="22"/>
  <c r="G41" i="22" s="1"/>
  <c r="F40" i="22"/>
  <c r="G40" i="22" s="1"/>
  <c r="F39" i="22"/>
  <c r="G39" i="22" s="1"/>
  <c r="F38" i="22"/>
  <c r="G38" i="22" s="1"/>
  <c r="F37" i="22"/>
  <c r="G37" i="22" s="1"/>
  <c r="F32" i="22"/>
  <c r="G32" i="22" s="1"/>
  <c r="F31" i="22"/>
  <c r="G31" i="22" s="1"/>
  <c r="F30" i="22"/>
  <c r="G30" i="22" s="1"/>
  <c r="F29" i="22"/>
  <c r="G29" i="22" s="1"/>
  <c r="F28" i="22"/>
  <c r="G28" i="22" s="1"/>
  <c r="F27" i="22"/>
  <c r="G27" i="22" s="1"/>
  <c r="F26" i="22"/>
  <c r="G26" i="22" s="1"/>
  <c r="F25" i="22"/>
  <c r="G25" i="22" s="1"/>
  <c r="F24" i="22"/>
  <c r="G24" i="22" s="1"/>
  <c r="F23" i="22"/>
  <c r="G23" i="22" s="1"/>
  <c r="F21" i="22"/>
  <c r="G21" i="22" s="1"/>
  <c r="F20" i="22"/>
  <c r="G20" i="22" s="1"/>
  <c r="F19" i="22"/>
  <c r="G19" i="22" s="1"/>
  <c r="F18" i="22"/>
  <c r="G18" i="22" s="1"/>
  <c r="F17" i="22"/>
  <c r="G17" i="22" s="1"/>
  <c r="F15" i="22"/>
  <c r="G15" i="22" s="1"/>
  <c r="F14" i="22"/>
  <c r="G14" i="22" s="1"/>
  <c r="F13" i="22"/>
  <c r="G13" i="22" s="1"/>
  <c r="F12" i="22"/>
  <c r="G12" i="22" s="1"/>
  <c r="F11" i="22"/>
  <c r="G11" i="22" s="1"/>
  <c r="A11" i="22"/>
  <c r="A12" i="22" s="1"/>
  <c r="A13" i="22" s="1"/>
  <c r="A14" i="22" s="1"/>
  <c r="A15" i="22" s="1"/>
  <c r="A17" i="22" s="1"/>
  <c r="A18" i="22" s="1"/>
  <c r="A19" i="22" s="1"/>
  <c r="A20" i="22" s="1"/>
  <c r="A21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5" i="22" s="1"/>
  <c r="F10" i="22"/>
  <c r="G10" i="22" s="1"/>
  <c r="F8" i="22"/>
  <c r="E53" i="22" l="1"/>
  <c r="F53" i="22" s="1"/>
  <c r="A37" i="22"/>
  <c r="A38" i="22" s="1"/>
  <c r="A39" i="22" s="1"/>
  <c r="A40" i="22" s="1"/>
  <c r="A41" i="22" s="1"/>
  <c r="A42" i="22" s="1"/>
  <c r="A44" i="22" s="1"/>
  <c r="A46" i="22" s="1"/>
  <c r="A47" i="22" s="1"/>
  <c r="A48" i="22" s="1"/>
  <c r="A49" i="22" s="1"/>
  <c r="A50" i="22" s="1"/>
  <c r="A51" i="22" s="1"/>
  <c r="A52" i="22" s="1"/>
  <c r="A53" i="22" s="1"/>
  <c r="A54" i="22" s="1"/>
  <c r="A57" i="22" s="1"/>
  <c r="A59" i="22" s="1"/>
  <c r="A60" i="22" s="1"/>
  <c r="A61" i="22" s="1"/>
  <c r="A62" i="22" s="1"/>
  <c r="A63" i="22" s="1"/>
  <c r="A64" i="22" s="1"/>
  <c r="A66" i="22" s="1"/>
  <c r="A69" i="22" s="1"/>
  <c r="A71" i="22" s="1"/>
  <c r="A72" i="22" s="1"/>
  <c r="A73" i="22" s="1"/>
  <c r="A76" i="22" s="1"/>
  <c r="A77" i="22" s="1"/>
  <c r="A78" i="22" s="1"/>
  <c r="A79" i="22" s="1"/>
  <c r="A80" i="22" s="1"/>
  <c r="A81" i="22" s="1"/>
  <c r="A83" i="22" s="1"/>
  <c r="A84" i="22" s="1"/>
  <c r="A85" i="22" s="1"/>
  <c r="A86" i="22" s="1"/>
  <c r="A88" i="22" s="1"/>
  <c r="A89" i="22" s="1"/>
  <c r="A90" i="22" s="1"/>
  <c r="A93" i="22" s="1"/>
  <c r="A94" i="22" s="1"/>
  <c r="A95" i="22" s="1"/>
  <c r="A97" i="22" s="1"/>
  <c r="A99" i="22" s="1"/>
  <c r="A36" i="22"/>
  <c r="G8" i="22"/>
  <c r="F87" i="23"/>
  <c r="D10" i="13" s="1"/>
  <c r="G7" i="23"/>
  <c r="G87" i="23" s="1"/>
  <c r="G10" i="13" s="1"/>
  <c r="G53" i="22" l="1"/>
  <c r="G100" i="22" s="1"/>
  <c r="G101" i="22" s="1"/>
  <c r="G102" i="22" s="1"/>
  <c r="F10" i="13" s="1"/>
  <c r="H10" i="13" s="1"/>
  <c r="F100" i="22"/>
  <c r="F101" i="22" s="1"/>
  <c r="F102" i="22" s="1"/>
  <c r="C10" i="13" s="1"/>
  <c r="E10" i="13" s="1"/>
  <c r="F92" i="21" l="1"/>
  <c r="G92" i="21" s="1"/>
  <c r="F91" i="21"/>
  <c r="G91" i="21" s="1"/>
  <c r="F90" i="21"/>
  <c r="G90" i="21" s="1"/>
  <c r="F89" i="21"/>
  <c r="G89" i="21" s="1"/>
  <c r="F88" i="21"/>
  <c r="G88" i="21" s="1"/>
  <c r="F87" i="21"/>
  <c r="G87" i="21" s="1"/>
  <c r="F86" i="21"/>
  <c r="G86" i="21" s="1"/>
  <c r="F85" i="21"/>
  <c r="G85" i="21" s="1"/>
  <c r="F84" i="21"/>
  <c r="G84" i="21" s="1"/>
  <c r="F83" i="21"/>
  <c r="G83" i="21" s="1"/>
  <c r="F82" i="21"/>
  <c r="G82" i="21" s="1"/>
  <c r="F81" i="21"/>
  <c r="G81" i="21" s="1"/>
  <c r="F80" i="21"/>
  <c r="G80" i="21" s="1"/>
  <c r="F79" i="21"/>
  <c r="G79" i="21" s="1"/>
  <c r="F78" i="21"/>
  <c r="G78" i="21" s="1"/>
  <c r="F77" i="21"/>
  <c r="G77" i="21" s="1"/>
  <c r="D75" i="21"/>
  <c r="F75" i="21" s="1"/>
  <c r="G75" i="21" s="1"/>
  <c r="F74" i="21"/>
  <c r="G74" i="21" s="1"/>
  <c r="F73" i="21"/>
  <c r="G73" i="21" s="1"/>
  <c r="F72" i="21"/>
  <c r="G72" i="21" s="1"/>
  <c r="F71" i="21"/>
  <c r="G71" i="21" s="1"/>
  <c r="F70" i="21"/>
  <c r="G70" i="21" s="1"/>
  <c r="F69" i="21"/>
  <c r="G69" i="21" s="1"/>
  <c r="D67" i="21"/>
  <c r="F67" i="21" s="1"/>
  <c r="G67" i="21" s="1"/>
  <c r="F66" i="21"/>
  <c r="G66" i="21" s="1"/>
  <c r="F65" i="21"/>
  <c r="G65" i="21" s="1"/>
  <c r="G64" i="21"/>
  <c r="F64" i="21"/>
  <c r="F63" i="21"/>
  <c r="G63" i="21" s="1"/>
  <c r="F62" i="21"/>
  <c r="G62" i="21" s="1"/>
  <c r="F61" i="21"/>
  <c r="G61" i="21" s="1"/>
  <c r="D59" i="21"/>
  <c r="F59" i="21" s="1"/>
  <c r="G59" i="21" s="1"/>
  <c r="F58" i="21"/>
  <c r="G58" i="21" s="1"/>
  <c r="F57" i="21"/>
  <c r="G57" i="21" s="1"/>
  <c r="F56" i="21"/>
  <c r="G56" i="21" s="1"/>
  <c r="F55" i="21"/>
  <c r="G55" i="21" s="1"/>
  <c r="F54" i="21"/>
  <c r="G54" i="21" s="1"/>
  <c r="F53" i="21"/>
  <c r="G53" i="21" s="1"/>
  <c r="G51" i="21"/>
  <c r="D51" i="21"/>
  <c r="F51" i="21" s="1"/>
  <c r="F50" i="21"/>
  <c r="G50" i="21" s="1"/>
  <c r="F49" i="21"/>
  <c r="G49" i="21" s="1"/>
  <c r="F48" i="21"/>
  <c r="G48" i="21" s="1"/>
  <c r="F47" i="21"/>
  <c r="G47" i="21" s="1"/>
  <c r="F46" i="21"/>
  <c r="G46" i="21" s="1"/>
  <c r="F45" i="21"/>
  <c r="G45" i="21" s="1"/>
  <c r="D43" i="21"/>
  <c r="F43" i="21" s="1"/>
  <c r="G43" i="21" s="1"/>
  <c r="F42" i="21"/>
  <c r="G42" i="21" s="1"/>
  <c r="F41" i="21"/>
  <c r="G41" i="21" s="1"/>
  <c r="F40" i="21"/>
  <c r="G40" i="21" s="1"/>
  <c r="F39" i="21"/>
  <c r="G39" i="21" s="1"/>
  <c r="F38" i="21"/>
  <c r="G38" i="21" s="1"/>
  <c r="F37" i="21"/>
  <c r="G37" i="21" s="1"/>
  <c r="D35" i="21"/>
  <c r="F35" i="21" s="1"/>
  <c r="G35" i="21" s="1"/>
  <c r="F34" i="21"/>
  <c r="G34" i="21" s="1"/>
  <c r="F33" i="21"/>
  <c r="G33" i="21" s="1"/>
  <c r="F32" i="21"/>
  <c r="G32" i="21" s="1"/>
  <c r="F31" i="21"/>
  <c r="G31" i="21" s="1"/>
  <c r="F30" i="21"/>
  <c r="G30" i="21" s="1"/>
  <c r="F29" i="21"/>
  <c r="G29" i="21" s="1"/>
  <c r="F28" i="21"/>
  <c r="G28" i="21" s="1"/>
  <c r="F27" i="21"/>
  <c r="G27" i="21" s="1"/>
  <c r="F26" i="21"/>
  <c r="G26" i="21" s="1"/>
  <c r="F23" i="21"/>
  <c r="G23" i="21" s="1"/>
  <c r="D20" i="21"/>
  <c r="F20" i="21" s="1"/>
  <c r="G20" i="21" s="1"/>
  <c r="F19" i="21"/>
  <c r="G19" i="21" s="1"/>
  <c r="F18" i="21"/>
  <c r="G18" i="21" s="1"/>
  <c r="F17" i="21"/>
  <c r="G17" i="21" s="1"/>
  <c r="F16" i="21"/>
  <c r="G16" i="21" s="1"/>
  <c r="F15" i="21"/>
  <c r="G15" i="21" s="1"/>
  <c r="F14" i="21"/>
  <c r="G14" i="21" s="1"/>
  <c r="F13" i="21"/>
  <c r="G13" i="21" s="1"/>
  <c r="F12" i="21"/>
  <c r="G12" i="21" s="1"/>
  <c r="F11" i="21"/>
  <c r="G11" i="21" s="1"/>
  <c r="F8" i="21"/>
  <c r="G8" i="21" s="1"/>
  <c r="A8" i="21"/>
  <c r="A11" i="21" s="1"/>
  <c r="A12" i="21" s="1"/>
  <c r="A13" i="21" s="1"/>
  <c r="A14" i="21" s="1"/>
  <c r="A15" i="21" s="1"/>
  <c r="A16" i="21" s="1"/>
  <c r="A17" i="21" s="1"/>
  <c r="G102" i="20"/>
  <c r="F102" i="20"/>
  <c r="F101" i="20"/>
  <c r="G101" i="20" s="1"/>
  <c r="F100" i="20"/>
  <c r="G100" i="20" s="1"/>
  <c r="F99" i="20"/>
  <c r="G99" i="20" s="1"/>
  <c r="F98" i="20"/>
  <c r="G98" i="20" s="1"/>
  <c r="F97" i="20"/>
  <c r="G97" i="20" s="1"/>
  <c r="F96" i="20"/>
  <c r="G96" i="20" s="1"/>
  <c r="F95" i="20"/>
  <c r="G95" i="20" s="1"/>
  <c r="F94" i="20"/>
  <c r="G94" i="20" s="1"/>
  <c r="F93" i="20"/>
  <c r="G93" i="20" s="1"/>
  <c r="F92" i="20"/>
  <c r="G92" i="20" s="1"/>
  <c r="F91" i="20"/>
  <c r="G91" i="20" s="1"/>
  <c r="F90" i="20"/>
  <c r="G90" i="20" s="1"/>
  <c r="F89" i="20"/>
  <c r="G89" i="20" s="1"/>
  <c r="F88" i="20"/>
  <c r="G88" i="20" s="1"/>
  <c r="F86" i="20"/>
  <c r="G86" i="20" s="1"/>
  <c r="F85" i="20"/>
  <c r="G85" i="20" s="1"/>
  <c r="F84" i="20"/>
  <c r="G84" i="20" s="1"/>
  <c r="F83" i="20"/>
  <c r="G83" i="20" s="1"/>
  <c r="F82" i="20"/>
  <c r="G82" i="20" s="1"/>
  <c r="F80" i="20"/>
  <c r="G80" i="20" s="1"/>
  <c r="F79" i="20"/>
  <c r="G79" i="20" s="1"/>
  <c r="F78" i="20"/>
  <c r="G78" i="20" s="1"/>
  <c r="F77" i="20"/>
  <c r="G77" i="20" s="1"/>
  <c r="G76" i="20"/>
  <c r="F76" i="20"/>
  <c r="F74" i="20"/>
  <c r="G74" i="20" s="1"/>
  <c r="F73" i="20"/>
  <c r="G73" i="20" s="1"/>
  <c r="F72" i="20"/>
  <c r="G72" i="20" s="1"/>
  <c r="F71" i="20"/>
  <c r="G71" i="20" s="1"/>
  <c r="F70" i="20"/>
  <c r="G70" i="20" s="1"/>
  <c r="F68" i="20"/>
  <c r="G68" i="20" s="1"/>
  <c r="F67" i="20"/>
  <c r="G67" i="20" s="1"/>
  <c r="F66" i="20"/>
  <c r="G66" i="20" s="1"/>
  <c r="F65" i="20"/>
  <c r="G65" i="20" s="1"/>
  <c r="F64" i="20"/>
  <c r="G64" i="20" s="1"/>
  <c r="F62" i="20"/>
  <c r="G62" i="20" s="1"/>
  <c r="F61" i="20"/>
  <c r="G61" i="20" s="1"/>
  <c r="F60" i="20"/>
  <c r="G60" i="20" s="1"/>
  <c r="F59" i="20"/>
  <c r="G59" i="20" s="1"/>
  <c r="F58" i="20"/>
  <c r="G58" i="20" s="1"/>
  <c r="F56" i="20"/>
  <c r="G56" i="20" s="1"/>
  <c r="F55" i="20"/>
  <c r="G55" i="20" s="1"/>
  <c r="F54" i="20"/>
  <c r="G54" i="20" s="1"/>
  <c r="F53" i="20"/>
  <c r="G53" i="20" s="1"/>
  <c r="F52" i="20"/>
  <c r="G52" i="20" s="1"/>
  <c r="F51" i="20"/>
  <c r="G51" i="20" s="1"/>
  <c r="G50" i="20"/>
  <c r="F50" i="20"/>
  <c r="F49" i="20"/>
  <c r="G49" i="20" s="1"/>
  <c r="F47" i="20"/>
  <c r="G47" i="20" s="1"/>
  <c r="F46" i="20"/>
  <c r="G46" i="20" s="1"/>
  <c r="F45" i="20"/>
  <c r="G45" i="20" s="1"/>
  <c r="F44" i="20"/>
  <c r="G44" i="20" s="1"/>
  <c r="F43" i="20"/>
  <c r="G43" i="20" s="1"/>
  <c r="F42" i="20"/>
  <c r="G42" i="20" s="1"/>
  <c r="F41" i="20"/>
  <c r="G41" i="20" s="1"/>
  <c r="F40" i="20"/>
  <c r="G40" i="20" s="1"/>
  <c r="G39" i="20"/>
  <c r="F39" i="20"/>
  <c r="F37" i="20"/>
  <c r="G37" i="20" s="1"/>
  <c r="F35" i="20"/>
  <c r="G35" i="20" s="1"/>
  <c r="F34" i="20"/>
  <c r="G34" i="20" s="1"/>
  <c r="F33" i="20"/>
  <c r="G33" i="20" s="1"/>
  <c r="F32" i="20"/>
  <c r="G32" i="20" s="1"/>
  <c r="G31" i="20"/>
  <c r="F31" i="20"/>
  <c r="F30" i="20"/>
  <c r="G30" i="20" s="1"/>
  <c r="F29" i="20"/>
  <c r="G29" i="20" s="1"/>
  <c r="F28" i="20"/>
  <c r="G28" i="20" s="1"/>
  <c r="F26" i="20"/>
  <c r="G26" i="20" s="1"/>
  <c r="F25" i="20"/>
  <c r="G25" i="20" s="1"/>
  <c r="F24" i="20"/>
  <c r="G24" i="20" s="1"/>
  <c r="F23" i="20"/>
  <c r="G23" i="20" s="1"/>
  <c r="F22" i="20"/>
  <c r="G22" i="20" s="1"/>
  <c r="F21" i="20"/>
  <c r="G21" i="20" s="1"/>
  <c r="F20" i="20"/>
  <c r="G20" i="20" s="1"/>
  <c r="F19" i="20"/>
  <c r="G19" i="20" s="1"/>
  <c r="F18" i="20"/>
  <c r="G18" i="20" s="1"/>
  <c r="F16" i="20"/>
  <c r="G16" i="20" s="1"/>
  <c r="F14" i="20"/>
  <c r="G14" i="20" s="1"/>
  <c r="F13" i="20"/>
  <c r="G13" i="20" s="1"/>
  <c r="F12" i="20"/>
  <c r="G12" i="20" s="1"/>
  <c r="F11" i="20"/>
  <c r="G11" i="20" s="1"/>
  <c r="F10" i="20"/>
  <c r="G10" i="20" s="1"/>
  <c r="F9" i="20"/>
  <c r="G9" i="20" s="1"/>
  <c r="F8" i="20"/>
  <c r="G8" i="20" s="1"/>
  <c r="A8" i="20"/>
  <c r="A9" i="20" s="1"/>
  <c r="A10" i="20" s="1"/>
  <c r="A11" i="20" s="1"/>
  <c r="A12" i="20" s="1"/>
  <c r="A13" i="20" s="1"/>
  <c r="A14" i="20" s="1"/>
  <c r="A16" i="20" s="1"/>
  <c r="A18" i="20" s="1"/>
  <c r="A19" i="20" s="1"/>
  <c r="A20" i="20" s="1"/>
  <c r="A21" i="20" s="1"/>
  <c r="A22" i="20" s="1"/>
  <c r="A23" i="20" s="1"/>
  <c r="A24" i="20" s="1"/>
  <c r="A25" i="20" s="1"/>
  <c r="A26" i="20" s="1"/>
  <c r="A28" i="20" s="1"/>
  <c r="A29" i="20" s="1"/>
  <c r="F7" i="20"/>
  <c r="A30" i="20" l="1"/>
  <c r="A31" i="20"/>
  <c r="A32" i="20" s="1"/>
  <c r="A33" i="20" s="1"/>
  <c r="A34" i="20" s="1"/>
  <c r="A35" i="20" s="1"/>
  <c r="A37" i="20" s="1"/>
  <c r="A39" i="20" s="1"/>
  <c r="A40" i="20" s="1"/>
  <c r="A41" i="20" s="1"/>
  <c r="A42" i="20" s="1"/>
  <c r="A43" i="20" s="1"/>
  <c r="A44" i="20" s="1"/>
  <c r="A45" i="20" s="1"/>
  <c r="A46" i="20" s="1"/>
  <c r="A47" i="20" s="1"/>
  <c r="A49" i="20" s="1"/>
  <c r="A50" i="20" s="1"/>
  <c r="A18" i="21"/>
  <c r="A19" i="21"/>
  <c r="A20" i="21" s="1"/>
  <c r="A23" i="21" s="1"/>
  <c r="A26" i="21" s="1"/>
  <c r="A27" i="21" s="1"/>
  <c r="A28" i="21" s="1"/>
  <c r="A29" i="21" s="1"/>
  <c r="A30" i="21" s="1"/>
  <c r="A31" i="21" s="1"/>
  <c r="A32" i="21" s="1"/>
  <c r="D11" i="13"/>
  <c r="G11" i="13"/>
  <c r="G93" i="21"/>
  <c r="G12" i="13" s="1"/>
  <c r="G7" i="20"/>
  <c r="G103" i="20" s="1"/>
  <c r="F103" i="20"/>
  <c r="F93" i="21"/>
  <c r="D12" i="13" s="1"/>
  <c r="A51" i="20" l="1"/>
  <c r="A52" i="20"/>
  <c r="A53" i="20" s="1"/>
  <c r="A54" i="20" s="1"/>
  <c r="A55" i="20" s="1"/>
  <c r="A56" i="20" s="1"/>
  <c r="A58" i="20" s="1"/>
  <c r="A59" i="20" s="1"/>
  <c r="A60" i="20" s="1"/>
  <c r="A61" i="20" s="1"/>
  <c r="A62" i="20" s="1"/>
  <c r="A64" i="20" s="1"/>
  <c r="A65" i="20" s="1"/>
  <c r="A66" i="20" s="1"/>
  <c r="A67" i="20" s="1"/>
  <c r="A68" i="20" s="1"/>
  <c r="A70" i="20" s="1"/>
  <c r="A71" i="20" s="1"/>
  <c r="A72" i="20" s="1"/>
  <c r="A73" i="20" s="1"/>
  <c r="A74" i="20" s="1"/>
  <c r="A76" i="20" s="1"/>
  <c r="A77" i="20" s="1"/>
  <c r="A78" i="20" s="1"/>
  <c r="A79" i="20" s="1"/>
  <c r="A80" i="20" s="1"/>
  <c r="A82" i="20" s="1"/>
  <c r="A83" i="20" s="1"/>
  <c r="A84" i="20" s="1"/>
  <c r="A85" i="20" s="1"/>
  <c r="A86" i="20" s="1"/>
  <c r="A88" i="20" s="1"/>
  <c r="A89" i="20" s="1"/>
  <c r="A90" i="20" s="1"/>
  <c r="A91" i="20" s="1"/>
  <c r="A92" i="20" s="1"/>
  <c r="A93" i="20" s="1"/>
  <c r="A94" i="20" s="1"/>
  <c r="A95" i="20" s="1"/>
  <c r="A96" i="20" s="1"/>
  <c r="A97" i="20" s="1"/>
  <c r="A98" i="20" s="1"/>
  <c r="A99" i="20" s="1"/>
  <c r="A100" i="20" s="1"/>
  <c r="A101" i="20" s="1"/>
  <c r="A102" i="20" s="1"/>
  <c r="A34" i="21"/>
  <c r="A35" i="21" s="1"/>
  <c r="A37" i="21" s="1"/>
  <c r="A38" i="21" s="1"/>
  <c r="A39" i="21" s="1"/>
  <c r="A40" i="21" s="1"/>
  <c r="A41" i="21" s="1"/>
  <c r="A42" i="21" s="1"/>
  <c r="A43" i="21" s="1"/>
  <c r="A45" i="21" s="1"/>
  <c r="A46" i="21" s="1"/>
  <c r="A47" i="21" s="1"/>
  <c r="A48" i="21" s="1"/>
  <c r="A49" i="21" s="1"/>
  <c r="A50" i="21" s="1"/>
  <c r="A51" i="21" s="1"/>
  <c r="A53" i="21" s="1"/>
  <c r="A54" i="21" s="1"/>
  <c r="A55" i="21" s="1"/>
  <c r="A56" i="21" s="1"/>
  <c r="A57" i="21" s="1"/>
  <c r="A58" i="21" s="1"/>
  <c r="A59" i="21" s="1"/>
  <c r="A61" i="21" s="1"/>
  <c r="A62" i="21" s="1"/>
  <c r="A63" i="21" s="1"/>
  <c r="A64" i="21" s="1"/>
  <c r="A65" i="21" s="1"/>
  <c r="A66" i="21" s="1"/>
  <c r="A67" i="21" s="1"/>
  <c r="A69" i="21" s="1"/>
  <c r="A70" i="21" s="1"/>
  <c r="A71" i="21" s="1"/>
  <c r="A72" i="21" s="1"/>
  <c r="A73" i="21" s="1"/>
  <c r="A74" i="21" s="1"/>
  <c r="A75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A89" i="21" s="1"/>
  <c r="A90" i="21" s="1"/>
  <c r="A91" i="21" s="1"/>
  <c r="A92" i="21" s="1"/>
  <c r="A33" i="21"/>
  <c r="G104" i="20"/>
  <c r="G105" i="20" s="1"/>
  <c r="F12" i="13" s="1"/>
  <c r="H12" i="13" s="1"/>
  <c r="C11" i="13"/>
  <c r="E11" i="13" s="1"/>
  <c r="F104" i="20"/>
  <c r="F105" i="20" s="1"/>
  <c r="C12" i="13" s="1"/>
  <c r="E12" i="13" s="1"/>
  <c r="F11" i="13"/>
  <c r="H11" i="13" s="1"/>
  <c r="F12" i="8" l="1"/>
  <c r="G12" i="8" s="1"/>
  <c r="F24" i="8"/>
  <c r="G24" i="8" s="1"/>
  <c r="F14" i="3"/>
  <c r="G14" i="3" s="1"/>
  <c r="F23" i="8"/>
  <c r="G23" i="8" s="1"/>
  <c r="F25" i="3"/>
  <c r="G25" i="3" s="1"/>
  <c r="D13" i="3"/>
  <c r="F13" i="3" s="1"/>
  <c r="G13" i="3" s="1"/>
  <c r="F22" i="8"/>
  <c r="G22" i="8" s="1"/>
  <c r="F14" i="8"/>
  <c r="G14" i="8" s="1"/>
  <c r="D25" i="8"/>
  <c r="D15" i="3"/>
  <c r="D10" i="3"/>
  <c r="F20" i="8"/>
  <c r="G20" i="8" s="1"/>
  <c r="D20" i="8"/>
  <c r="D12" i="3"/>
  <c r="G9" i="13" l="1"/>
  <c r="D9" i="13"/>
  <c r="C9" i="13" l="1"/>
  <c r="E9" i="13" s="1"/>
  <c r="F9" i="13"/>
  <c r="H9" i="13" s="1"/>
  <c r="E312" i="12"/>
  <c r="E311" i="12"/>
  <c r="E314" i="12"/>
  <c r="E250" i="12" l="1"/>
  <c r="E166" i="12"/>
  <c r="E99" i="12"/>
  <c r="E235" i="11"/>
  <c r="E232" i="11"/>
  <c r="E229" i="11" l="1"/>
  <c r="E231" i="11"/>
  <c r="E227" i="11"/>
  <c r="E226" i="11"/>
  <c r="E222" i="11"/>
  <c r="E220" i="11"/>
  <c r="E205" i="11" l="1"/>
  <c r="E203" i="11"/>
  <c r="E197" i="11"/>
  <c r="E196" i="11"/>
  <c r="F185" i="11"/>
  <c r="E182" i="11"/>
  <c r="E180" i="11"/>
  <c r="E176" i="11"/>
  <c r="F286" i="12" l="1"/>
  <c r="G286" i="12" s="1"/>
  <c r="F285" i="12"/>
  <c r="G285" i="12" s="1"/>
  <c r="F284" i="12"/>
  <c r="G284" i="12" s="1"/>
  <c r="F278" i="7" l="1"/>
  <c r="G278" i="7" s="1"/>
  <c r="F19" i="3"/>
  <c r="G19" i="3" s="1"/>
  <c r="F18" i="3"/>
  <c r="G18" i="3" s="1"/>
  <c r="F269" i="7"/>
  <c r="G269" i="7" s="1"/>
  <c r="F262" i="7"/>
  <c r="G262" i="7" s="1"/>
  <c r="F255" i="7"/>
  <c r="G255" i="7" s="1"/>
  <c r="F277" i="7"/>
  <c r="G277" i="7" s="1"/>
  <c r="F276" i="7"/>
  <c r="G276" i="7" s="1"/>
  <c r="F271" i="7"/>
  <c r="G271" i="7" s="1"/>
  <c r="F275" i="7"/>
  <c r="G275" i="7" s="1"/>
  <c r="F274" i="7"/>
  <c r="G274" i="7" s="1"/>
  <c r="F380" i="12"/>
  <c r="G380" i="12" s="1"/>
  <c r="F377" i="12"/>
  <c r="G377" i="12" s="1"/>
  <c r="F379" i="12"/>
  <c r="G379" i="12" s="1"/>
  <c r="F378" i="12"/>
  <c r="G378" i="12" s="1"/>
  <c r="F375" i="12"/>
  <c r="G375" i="12" s="1"/>
  <c r="F373" i="12"/>
  <c r="G373" i="12" s="1"/>
  <c r="D386" i="12"/>
  <c r="F386" i="12" s="1"/>
  <c r="G386" i="12" s="1"/>
  <c r="D385" i="12"/>
  <c r="F385" i="12" s="1"/>
  <c r="G385" i="12" s="1"/>
  <c r="F384" i="12"/>
  <c r="G384" i="12" s="1"/>
  <c r="F254" i="7"/>
  <c r="G254" i="7" s="1"/>
  <c r="F253" i="7"/>
  <c r="G253" i="7" s="1"/>
  <c r="F261" i="7"/>
  <c r="G261" i="7" s="1"/>
  <c r="F260" i="7"/>
  <c r="G260" i="7" s="1"/>
  <c r="F268" i="7"/>
  <c r="G268" i="7" s="1"/>
  <c r="F267" i="7"/>
  <c r="G267" i="7" s="1"/>
  <c r="F266" i="7"/>
  <c r="G266" i="7" s="1"/>
  <c r="F265" i="7"/>
  <c r="G265" i="7" s="1"/>
  <c r="F264" i="7"/>
  <c r="G264" i="7" s="1"/>
  <c r="F363" i="12"/>
  <c r="G363" i="12" s="1"/>
  <c r="F362" i="12"/>
  <c r="G362" i="12" s="1"/>
  <c r="D369" i="12"/>
  <c r="F369" i="12" s="1"/>
  <c r="G369" i="12" s="1"/>
  <c r="D368" i="12"/>
  <c r="F368" i="12" s="1"/>
  <c r="G368" i="12" s="1"/>
  <c r="F367" i="12"/>
  <c r="G367" i="12" s="1"/>
  <c r="F366" i="12"/>
  <c r="G366" i="12" s="1"/>
  <c r="F365" i="12"/>
  <c r="G365" i="12" s="1"/>
  <c r="F361" i="12"/>
  <c r="G361" i="12" s="1"/>
  <c r="F360" i="12"/>
  <c r="G360" i="12" s="1"/>
  <c r="F359" i="12"/>
  <c r="G359" i="12" s="1"/>
  <c r="F351" i="12"/>
  <c r="G351" i="12" s="1"/>
  <c r="F338" i="12"/>
  <c r="G338" i="12" s="1"/>
  <c r="F337" i="12"/>
  <c r="G337" i="12" s="1"/>
  <c r="F355" i="12"/>
  <c r="G355" i="12" s="1"/>
  <c r="F342" i="12"/>
  <c r="G342" i="12" s="1"/>
  <c r="F350" i="12"/>
  <c r="G350" i="12" s="1"/>
  <c r="D357" i="12"/>
  <c r="F357" i="12" s="1"/>
  <c r="G357" i="12" s="1"/>
  <c r="D356" i="12"/>
  <c r="F356" i="12" s="1"/>
  <c r="G356" i="12" s="1"/>
  <c r="D344" i="12"/>
  <c r="F344" i="12" s="1"/>
  <c r="G344" i="12" s="1"/>
  <c r="D343" i="12"/>
  <c r="F343" i="12" s="1"/>
  <c r="G343" i="12" s="1"/>
  <c r="F247" i="7"/>
  <c r="G247" i="7" s="1"/>
  <c r="F330" i="12"/>
  <c r="G330" i="12" s="1"/>
  <c r="D327" i="12"/>
  <c r="F241" i="7"/>
  <c r="G241" i="7" s="1"/>
  <c r="F240" i="7"/>
  <c r="G240" i="7" s="1"/>
  <c r="F239" i="7"/>
  <c r="G239" i="7" s="1"/>
  <c r="F237" i="7"/>
  <c r="G237" i="7" s="1"/>
  <c r="F236" i="7"/>
  <c r="G236" i="7" s="1"/>
  <c r="F235" i="7"/>
  <c r="G235" i="7" s="1"/>
  <c r="F234" i="7"/>
  <c r="G234" i="7" s="1"/>
  <c r="F233" i="7"/>
  <c r="G233" i="7" s="1"/>
  <c r="F231" i="7"/>
  <c r="G231" i="7" s="1"/>
  <c r="F229" i="7"/>
  <c r="G229" i="7" s="1"/>
  <c r="F218" i="7"/>
  <c r="G218" i="7" s="1"/>
  <c r="D224" i="7"/>
  <c r="D222" i="7"/>
  <c r="F222" i="7" s="1"/>
  <c r="G222" i="7" s="1"/>
  <c r="F221" i="7"/>
  <c r="G221" i="7" s="1"/>
  <c r="F220" i="7"/>
  <c r="G220" i="7" s="1"/>
  <c r="F324" i="12"/>
  <c r="G324" i="12" s="1"/>
  <c r="F322" i="12"/>
  <c r="G322" i="12" s="1"/>
  <c r="F321" i="12"/>
  <c r="G321" i="12" s="1"/>
  <c r="F320" i="12"/>
  <c r="G320" i="12" s="1"/>
  <c r="F319" i="12"/>
  <c r="G319" i="12" s="1"/>
  <c r="F317" i="12"/>
  <c r="G317" i="12" s="1"/>
  <c r="F315" i="12"/>
  <c r="G315" i="12" s="1"/>
  <c r="F314" i="12"/>
  <c r="G314" i="12" s="1"/>
  <c r="F313" i="12"/>
  <c r="G313" i="12" s="1"/>
  <c r="F312" i="12"/>
  <c r="G312" i="12" s="1"/>
  <c r="F311" i="12"/>
  <c r="G311" i="12" s="1"/>
  <c r="F309" i="12"/>
  <c r="G309" i="12" s="1"/>
  <c r="F308" i="12"/>
  <c r="G308" i="12" s="1"/>
  <c r="F307" i="12"/>
  <c r="G307" i="12" s="1"/>
  <c r="F306" i="12"/>
  <c r="G306" i="12" s="1"/>
  <c r="F305" i="12"/>
  <c r="G305" i="12" s="1"/>
  <c r="F304" i="12"/>
  <c r="G304" i="12" s="1"/>
  <c r="F302" i="12"/>
  <c r="G302" i="12" s="1"/>
  <c r="F301" i="12"/>
  <c r="G301" i="12" s="1"/>
  <c r="F299" i="12"/>
  <c r="G299" i="12" s="1"/>
  <c r="F298" i="12"/>
  <c r="G298" i="12" s="1"/>
  <c r="F297" i="12"/>
  <c r="G297" i="12" s="1"/>
  <c r="D296" i="12"/>
  <c r="F296" i="12" s="1"/>
  <c r="G296" i="12" s="1"/>
  <c r="D295" i="12"/>
  <c r="F295" i="12" s="1"/>
  <c r="G295" i="12" s="1"/>
  <c r="F294" i="12"/>
  <c r="G294" i="12" s="1"/>
  <c r="F215" i="7"/>
  <c r="G215" i="7" s="1"/>
  <c r="F214" i="7"/>
  <c r="G214" i="7" s="1"/>
  <c r="F213" i="7"/>
  <c r="G213" i="7" s="1"/>
  <c r="F212" i="7"/>
  <c r="G212" i="7" s="1"/>
  <c r="D199" i="7"/>
  <c r="F211" i="7"/>
  <c r="G211" i="7" s="1"/>
  <c r="D89" i="7"/>
  <c r="F89" i="7" s="1"/>
  <c r="G89" i="7" s="1"/>
  <c r="D90" i="7"/>
  <c r="F90" i="7" s="1"/>
  <c r="G90" i="7" s="1"/>
  <c r="D88" i="7"/>
  <c r="F88" i="7" s="1"/>
  <c r="G88" i="7" s="1"/>
  <c r="D87" i="7"/>
  <c r="F87" i="7" s="1"/>
  <c r="G87" i="7" s="1"/>
  <c r="F91" i="7"/>
  <c r="G91" i="7" s="1"/>
  <c r="F86" i="7"/>
  <c r="G86" i="7" s="1"/>
  <c r="F85" i="7"/>
  <c r="G85" i="7" s="1"/>
  <c r="F84" i="7"/>
  <c r="G84" i="7" s="1"/>
  <c r="F83" i="7"/>
  <c r="G83" i="7" s="1"/>
  <c r="F82" i="7"/>
  <c r="G82" i="7" s="1"/>
  <c r="F81" i="7"/>
  <c r="G81" i="7" s="1"/>
  <c r="F80" i="7"/>
  <c r="G80" i="7" s="1"/>
  <c r="F79" i="7"/>
  <c r="G79" i="7" s="1"/>
  <c r="F61" i="7"/>
  <c r="G61" i="7" s="1"/>
  <c r="F60" i="7"/>
  <c r="G60" i="7" s="1"/>
  <c r="F78" i="7"/>
  <c r="G78" i="7" s="1"/>
  <c r="F77" i="7"/>
  <c r="G77" i="7" s="1"/>
  <c r="F76" i="7"/>
  <c r="G76" i="7" s="1"/>
  <c r="F75" i="7"/>
  <c r="G75" i="7" s="1"/>
  <c r="F73" i="7"/>
  <c r="G73" i="7" s="1"/>
  <c r="F74" i="7"/>
  <c r="G74" i="7" s="1"/>
  <c r="D72" i="7"/>
  <c r="F72" i="7" s="1"/>
  <c r="G72" i="7" s="1"/>
  <c r="D71" i="7"/>
  <c r="F71" i="7" s="1"/>
  <c r="G71" i="7" s="1"/>
  <c r="D70" i="7"/>
  <c r="F70" i="7" s="1"/>
  <c r="G70" i="7" s="1"/>
  <c r="F69" i="7"/>
  <c r="G69" i="7" s="1"/>
  <c r="F68" i="7"/>
  <c r="G68" i="7" s="1"/>
  <c r="F67" i="7"/>
  <c r="G67" i="7" s="1"/>
  <c r="F66" i="7"/>
  <c r="G66" i="7" s="1"/>
  <c r="F65" i="7"/>
  <c r="G65" i="7" s="1"/>
  <c r="F64" i="7"/>
  <c r="G64" i="7" s="1"/>
  <c r="F63" i="7"/>
  <c r="G63" i="7" s="1"/>
  <c r="F62" i="7"/>
  <c r="G62" i="7" s="1"/>
  <c r="F59" i="7"/>
  <c r="G59" i="7" s="1"/>
  <c r="F58" i="7"/>
  <c r="G58" i="7" s="1"/>
  <c r="F57" i="7"/>
  <c r="G57" i="7" s="1"/>
  <c r="F56" i="7"/>
  <c r="G56" i="7" s="1"/>
  <c r="F53" i="7"/>
  <c r="G53" i="7" s="1"/>
  <c r="F45" i="7"/>
  <c r="G45" i="7" s="1"/>
  <c r="F52" i="7"/>
  <c r="G52" i="7" s="1"/>
  <c r="F51" i="7"/>
  <c r="G51" i="7" s="1"/>
  <c r="D50" i="7"/>
  <c r="F50" i="7" s="1"/>
  <c r="G50" i="7" s="1"/>
  <c r="D49" i="7"/>
  <c r="F49" i="7" s="1"/>
  <c r="G49" i="7" s="1"/>
  <c r="D48" i="7"/>
  <c r="F48" i="7" s="1"/>
  <c r="G48" i="7" s="1"/>
  <c r="F47" i="7"/>
  <c r="G47" i="7" s="1"/>
  <c r="F46" i="7"/>
  <c r="G46" i="7" s="1"/>
  <c r="F44" i="7"/>
  <c r="G44" i="7" s="1"/>
  <c r="F43" i="7"/>
  <c r="G43" i="7" s="1"/>
  <c r="F55" i="7"/>
  <c r="G55" i="7" s="1"/>
  <c r="F42" i="7"/>
  <c r="G42" i="7" s="1"/>
  <c r="F112" i="12"/>
  <c r="G112" i="12" s="1"/>
  <c r="D111" i="12"/>
  <c r="F111" i="12" s="1"/>
  <c r="G111" i="12" s="1"/>
  <c r="F109" i="12"/>
  <c r="G109" i="12" s="1"/>
  <c r="F108" i="12"/>
  <c r="G108" i="12" s="1"/>
  <c r="F107" i="12"/>
  <c r="G107" i="12" s="1"/>
  <c r="F106" i="12"/>
  <c r="G106" i="12" s="1"/>
  <c r="F105" i="12"/>
  <c r="G105" i="12" s="1"/>
  <c r="F104" i="12"/>
  <c r="G104" i="12" s="1"/>
  <c r="F103" i="12"/>
  <c r="G103" i="12" s="1"/>
  <c r="F102" i="12"/>
  <c r="G102" i="12" s="1"/>
  <c r="F101" i="12"/>
  <c r="G101" i="12" s="1"/>
  <c r="F100" i="12"/>
  <c r="G100" i="12" s="1"/>
  <c r="F99" i="12"/>
  <c r="G99" i="12" s="1"/>
  <c r="F98" i="12"/>
  <c r="G98" i="12" s="1"/>
  <c r="F97" i="12"/>
  <c r="G97" i="12" s="1"/>
  <c r="F73" i="12"/>
  <c r="G73" i="12" s="1"/>
  <c r="F96" i="12"/>
  <c r="G96" i="12" s="1"/>
  <c r="F94" i="12"/>
  <c r="G94" i="12" s="1"/>
  <c r="F95" i="12"/>
  <c r="G95" i="12" s="1"/>
  <c r="F93" i="12"/>
  <c r="G93" i="12" s="1"/>
  <c r="F92" i="12"/>
  <c r="G92" i="12" s="1"/>
  <c r="F91" i="12"/>
  <c r="G91" i="12" s="1"/>
  <c r="F89" i="12"/>
  <c r="G89" i="12" s="1"/>
  <c r="F88" i="12"/>
  <c r="G88" i="12" s="1"/>
  <c r="F87" i="12"/>
  <c r="G87" i="12" s="1"/>
  <c r="F86" i="12"/>
  <c r="G86" i="12" s="1"/>
  <c r="F85" i="12"/>
  <c r="G85" i="12" s="1"/>
  <c r="F84" i="12"/>
  <c r="G84" i="12" s="1"/>
  <c r="F83" i="12"/>
  <c r="G83" i="12" s="1"/>
  <c r="F82" i="12"/>
  <c r="G82" i="12" s="1"/>
  <c r="F81" i="12"/>
  <c r="G81" i="12" s="1"/>
  <c r="F80" i="12"/>
  <c r="G80" i="12" s="1"/>
  <c r="F77" i="12"/>
  <c r="G77" i="12" s="1"/>
  <c r="F76" i="12"/>
  <c r="G76" i="12" s="1"/>
  <c r="F75" i="12"/>
  <c r="G75" i="12" s="1"/>
  <c r="F74" i="12"/>
  <c r="G74" i="12" s="1"/>
  <c r="F72" i="12"/>
  <c r="G72" i="12" s="1"/>
  <c r="F71" i="12"/>
  <c r="G71" i="12" s="1"/>
  <c r="F69" i="12"/>
  <c r="G69" i="12" s="1"/>
  <c r="F68" i="12"/>
  <c r="G68" i="12" s="1"/>
  <c r="F67" i="12"/>
  <c r="G67" i="12" s="1"/>
  <c r="F66" i="12"/>
  <c r="G66" i="12" s="1"/>
  <c r="F65" i="12"/>
  <c r="G65" i="12" s="1"/>
  <c r="F64" i="12"/>
  <c r="G64" i="12" s="1"/>
  <c r="F63" i="12"/>
  <c r="G63" i="12" s="1"/>
  <c r="F62" i="12"/>
  <c r="G62" i="12" s="1"/>
  <c r="F61" i="12"/>
  <c r="G61" i="12" s="1"/>
  <c r="F60" i="12"/>
  <c r="G60" i="12" s="1"/>
  <c r="F29" i="7"/>
  <c r="G29" i="7" s="1"/>
  <c r="F40" i="7"/>
  <c r="G40" i="7" s="1"/>
  <c r="F32" i="7"/>
  <c r="G32" i="7" s="1"/>
  <c r="F39" i="7"/>
  <c r="G39" i="7" s="1"/>
  <c r="F38" i="7"/>
  <c r="G38" i="7" s="1"/>
  <c r="D37" i="7"/>
  <c r="F37" i="7" s="1"/>
  <c r="G37" i="7" s="1"/>
  <c r="D36" i="7"/>
  <c r="F36" i="7" s="1"/>
  <c r="G36" i="7" s="1"/>
  <c r="D35" i="7"/>
  <c r="F35" i="7" s="1"/>
  <c r="G35" i="7" s="1"/>
  <c r="F34" i="7"/>
  <c r="G34" i="7" s="1"/>
  <c r="F33" i="7"/>
  <c r="G33" i="7" s="1"/>
  <c r="F31" i="7"/>
  <c r="G31" i="7" s="1"/>
  <c r="F30" i="7"/>
  <c r="G30" i="7" s="1"/>
  <c r="F57" i="12" l="1"/>
  <c r="G57" i="12" s="1"/>
  <c r="F56" i="12"/>
  <c r="G56" i="12" s="1"/>
  <c r="F55" i="12"/>
  <c r="G55" i="12" s="1"/>
  <c r="F54" i="12"/>
  <c r="G54" i="12" s="1"/>
  <c r="F53" i="12"/>
  <c r="G53" i="12" s="1"/>
  <c r="F52" i="12"/>
  <c r="G52" i="12" s="1"/>
  <c r="F51" i="12"/>
  <c r="G51" i="12" s="1"/>
  <c r="F50" i="12"/>
  <c r="G50" i="12" s="1"/>
  <c r="F48" i="12"/>
  <c r="G48" i="12" s="1"/>
  <c r="F46" i="12"/>
  <c r="G46" i="12" s="1"/>
  <c r="F47" i="12"/>
  <c r="G47" i="12" s="1"/>
  <c r="F45" i="12"/>
  <c r="G45" i="12" s="1"/>
  <c r="F44" i="12"/>
  <c r="G44" i="12" s="1"/>
  <c r="F43" i="12"/>
  <c r="G43" i="12" s="1"/>
  <c r="F42" i="12"/>
  <c r="G42" i="12" s="1"/>
  <c r="F41" i="12"/>
  <c r="G41" i="12" s="1"/>
  <c r="F40" i="12"/>
  <c r="G40" i="12" s="1"/>
  <c r="F39" i="12"/>
  <c r="G39" i="12" s="1"/>
  <c r="F109" i="7"/>
  <c r="G109" i="7" s="1"/>
  <c r="F117" i="7"/>
  <c r="G117" i="7" s="1"/>
  <c r="F154" i="12"/>
  <c r="G154" i="12" s="1"/>
  <c r="F96" i="7"/>
  <c r="G96" i="7" s="1"/>
  <c r="F104" i="7"/>
  <c r="G104" i="7" s="1"/>
  <c r="F133" i="12"/>
  <c r="G133" i="12" s="1"/>
  <c r="F129" i="7"/>
  <c r="G129" i="7" s="1"/>
  <c r="F128" i="7"/>
  <c r="G128" i="7" s="1"/>
  <c r="F127" i="7"/>
  <c r="G127" i="7" s="1"/>
  <c r="F126" i="7"/>
  <c r="G126" i="7" s="1"/>
  <c r="F125" i="7"/>
  <c r="G125" i="7" s="1"/>
  <c r="D122" i="7" l="1"/>
  <c r="D133" i="7"/>
  <c r="F133" i="7" s="1"/>
  <c r="G133" i="7" s="1"/>
  <c r="F132" i="7"/>
  <c r="G132" i="7" s="1"/>
  <c r="F131" i="7"/>
  <c r="G131" i="7" s="1"/>
  <c r="F130" i="7"/>
  <c r="G130" i="7" s="1"/>
  <c r="D191" i="7"/>
  <c r="F191" i="7" s="1"/>
  <c r="G191" i="7" s="1"/>
  <c r="F192" i="7"/>
  <c r="G192" i="7" s="1"/>
  <c r="F190" i="7"/>
  <c r="G190" i="7" s="1"/>
  <c r="F189" i="7"/>
  <c r="G189" i="7" s="1"/>
  <c r="F188" i="7"/>
  <c r="G188" i="7" s="1"/>
  <c r="F187" i="7"/>
  <c r="G187" i="7" s="1"/>
  <c r="F186" i="7"/>
  <c r="G186" i="7" s="1"/>
  <c r="D183" i="7"/>
  <c r="F183" i="7" s="1"/>
  <c r="G183" i="7" s="1"/>
  <c r="F184" i="7"/>
  <c r="G184" i="7" s="1"/>
  <c r="F182" i="7"/>
  <c r="G182" i="7" s="1"/>
  <c r="F181" i="7"/>
  <c r="G181" i="7" s="1"/>
  <c r="F180" i="7"/>
  <c r="G180" i="7" s="1"/>
  <c r="F179" i="7"/>
  <c r="G179" i="7" s="1"/>
  <c r="F178" i="7"/>
  <c r="G178" i="7" s="1"/>
  <c r="F177" i="7"/>
  <c r="G177" i="7" s="1"/>
  <c r="F176" i="7"/>
  <c r="G176" i="7" s="1"/>
  <c r="F175" i="7"/>
  <c r="G175" i="7" s="1"/>
  <c r="F174" i="7"/>
  <c r="G174" i="7" s="1"/>
  <c r="F173" i="7"/>
  <c r="G173" i="7" s="1"/>
  <c r="D170" i="7"/>
  <c r="F170" i="7" s="1"/>
  <c r="G170" i="7" s="1"/>
  <c r="F171" i="7"/>
  <c r="G171" i="7" s="1"/>
  <c r="F169" i="7"/>
  <c r="G169" i="7" s="1"/>
  <c r="F168" i="7"/>
  <c r="G168" i="7" s="1"/>
  <c r="F167" i="7"/>
  <c r="G167" i="7" s="1"/>
  <c r="F166" i="7"/>
  <c r="G166" i="7" s="1"/>
  <c r="D163" i="7"/>
  <c r="F163" i="7" s="1"/>
  <c r="G163" i="7" s="1"/>
  <c r="F164" i="7"/>
  <c r="G164" i="7" s="1"/>
  <c r="F162" i="7"/>
  <c r="G162" i="7" s="1"/>
  <c r="F161" i="7"/>
  <c r="G161" i="7" s="1"/>
  <c r="F160" i="7"/>
  <c r="G160" i="7" s="1"/>
  <c r="F159" i="7"/>
  <c r="G159" i="7" s="1"/>
  <c r="F158" i="7"/>
  <c r="G158" i="7" s="1"/>
  <c r="F154" i="7"/>
  <c r="G154" i="7" s="1"/>
  <c r="F153" i="7"/>
  <c r="G153" i="7" s="1"/>
  <c r="F152" i="7"/>
  <c r="G152" i="7" s="1"/>
  <c r="F151" i="7"/>
  <c r="G151" i="7" s="1"/>
  <c r="F157" i="7"/>
  <c r="G157" i="7" s="1"/>
  <c r="F156" i="7"/>
  <c r="G156" i="7" s="1"/>
  <c r="F155" i="7"/>
  <c r="G155" i="7" s="1"/>
  <c r="F150" i="7"/>
  <c r="G150" i="7" s="1"/>
  <c r="F149" i="7"/>
  <c r="G149" i="7" s="1"/>
  <c r="F148" i="7"/>
  <c r="G148" i="7" s="1"/>
  <c r="F147" i="7"/>
  <c r="G147" i="7" s="1"/>
  <c r="D144" i="7"/>
  <c r="F144" i="7" s="1"/>
  <c r="G144" i="7" s="1"/>
  <c r="F145" i="7"/>
  <c r="G145" i="7" s="1"/>
  <c r="F143" i="7"/>
  <c r="G143" i="7" s="1"/>
  <c r="F142" i="7"/>
  <c r="G142" i="7" s="1"/>
  <c r="F141" i="7"/>
  <c r="G141" i="7" s="1"/>
  <c r="F138" i="7"/>
  <c r="G138" i="7" s="1"/>
  <c r="F137" i="7"/>
  <c r="G137" i="7" s="1"/>
  <c r="F136" i="7"/>
  <c r="G136" i="7" s="1"/>
  <c r="F135" i="7"/>
  <c r="G135" i="7" s="1"/>
  <c r="F140" i="7"/>
  <c r="G140" i="7" s="1"/>
  <c r="F139" i="7"/>
  <c r="G139" i="7" s="1"/>
  <c r="F121" i="7"/>
  <c r="G121" i="7" s="1"/>
  <c r="F120" i="7"/>
  <c r="G120" i="7" s="1"/>
  <c r="D119" i="7"/>
  <c r="F119" i="7" s="1"/>
  <c r="G119" i="7" s="1"/>
  <c r="F122" i="7"/>
  <c r="G122" i="7" s="1"/>
  <c r="F123" i="7"/>
  <c r="G123" i="7" s="1"/>
  <c r="F124" i="7"/>
  <c r="G124" i="7" s="1"/>
  <c r="F260" i="12"/>
  <c r="G260" i="12" s="1"/>
  <c r="D259" i="12"/>
  <c r="F259" i="12" s="1"/>
  <c r="G259" i="12" s="1"/>
  <c r="F257" i="12"/>
  <c r="G257" i="12" s="1"/>
  <c r="F255" i="12"/>
  <c r="G255" i="12" s="1"/>
  <c r="F254" i="12"/>
  <c r="G254" i="12" s="1"/>
  <c r="F253" i="12"/>
  <c r="G253" i="12" s="1"/>
  <c r="F252" i="12"/>
  <c r="G252" i="12" s="1"/>
  <c r="F251" i="12"/>
  <c r="G251" i="12" s="1"/>
  <c r="F250" i="12"/>
  <c r="G250" i="12" s="1"/>
  <c r="F249" i="12"/>
  <c r="G249" i="12" s="1"/>
  <c r="F248" i="12"/>
  <c r="G248" i="12" s="1"/>
  <c r="F247" i="12"/>
  <c r="G247" i="12" s="1"/>
  <c r="F246" i="12"/>
  <c r="G246" i="12" s="1"/>
  <c r="F245" i="12"/>
  <c r="G245" i="12" s="1"/>
  <c r="F242" i="12"/>
  <c r="G242" i="12" s="1"/>
  <c r="F241" i="12"/>
  <c r="G241" i="12" s="1"/>
  <c r="F240" i="12"/>
  <c r="G240" i="12" s="1"/>
  <c r="F239" i="12"/>
  <c r="G239" i="12" s="1"/>
  <c r="D236" i="12"/>
  <c r="F236" i="12" s="1"/>
  <c r="G236" i="12" s="1"/>
  <c r="F237" i="12"/>
  <c r="G237" i="12" s="1"/>
  <c r="F234" i="12"/>
  <c r="G234" i="12" s="1"/>
  <c r="F227" i="12"/>
  <c r="G227" i="12" s="1"/>
  <c r="F232" i="12"/>
  <c r="G232" i="12" s="1"/>
  <c r="F231" i="12"/>
  <c r="G231" i="12" s="1"/>
  <c r="F230" i="12"/>
  <c r="G230" i="12" s="1"/>
  <c r="F229" i="12"/>
  <c r="G229" i="12" s="1"/>
  <c r="F228" i="12"/>
  <c r="G228" i="12" s="1"/>
  <c r="F226" i="12"/>
  <c r="G226" i="12" s="1"/>
  <c r="F225" i="12"/>
  <c r="G225" i="12" s="1"/>
  <c r="F224" i="12"/>
  <c r="G224" i="12" s="1"/>
  <c r="F223" i="12"/>
  <c r="G223" i="12" s="1"/>
  <c r="F222" i="12"/>
  <c r="G222" i="12" s="1"/>
  <c r="F221" i="12"/>
  <c r="G221" i="12" s="1"/>
  <c r="F220" i="12"/>
  <c r="G220" i="12" s="1"/>
  <c r="F219" i="12"/>
  <c r="G219" i="12" s="1"/>
  <c r="F218" i="12"/>
  <c r="G218" i="12" s="1"/>
  <c r="F215" i="12"/>
  <c r="G215" i="12" s="1"/>
  <c r="D214" i="12"/>
  <c r="F214" i="12" s="1"/>
  <c r="G214" i="12" s="1"/>
  <c r="F212" i="12"/>
  <c r="G212" i="12" s="1"/>
  <c r="F210" i="12"/>
  <c r="G210" i="12" s="1"/>
  <c r="F209" i="12"/>
  <c r="G209" i="12" s="1"/>
  <c r="F208" i="12"/>
  <c r="G208" i="12" s="1"/>
  <c r="F207" i="12"/>
  <c r="G207" i="12" s="1"/>
  <c r="F206" i="12"/>
  <c r="G206" i="12" s="1"/>
  <c r="F205" i="12"/>
  <c r="G205" i="12" s="1"/>
  <c r="F204" i="12"/>
  <c r="G204" i="12" s="1"/>
  <c r="F203" i="12"/>
  <c r="G203" i="12" s="1"/>
  <c r="F202" i="12"/>
  <c r="G202" i="12" s="1"/>
  <c r="F201" i="12"/>
  <c r="G201" i="12" s="1"/>
  <c r="F198" i="12"/>
  <c r="G198" i="12" s="1"/>
  <c r="F197" i="12"/>
  <c r="G197" i="12" s="1"/>
  <c r="D196" i="12"/>
  <c r="F196" i="12" s="1"/>
  <c r="G196" i="12" s="1"/>
  <c r="D195" i="12"/>
  <c r="F194" i="12"/>
  <c r="G194" i="12" s="1"/>
  <c r="D169" i="12"/>
  <c r="F169" i="12" s="1"/>
  <c r="G169" i="12" s="1"/>
  <c r="D168" i="12"/>
  <c r="D191" i="12"/>
  <c r="F191" i="12" s="1"/>
  <c r="G191" i="12" s="1"/>
  <c r="F192" i="12"/>
  <c r="G192" i="12" s="1"/>
  <c r="F189" i="12"/>
  <c r="G189" i="12" s="1"/>
  <c r="F181" i="12"/>
  <c r="G181" i="12" s="1"/>
  <c r="F183" i="12"/>
  <c r="G183" i="12" s="1"/>
  <c r="F182" i="12"/>
  <c r="G182" i="12" s="1"/>
  <c r="F180" i="12"/>
  <c r="G180" i="12" s="1"/>
  <c r="F179" i="12"/>
  <c r="G179" i="12" s="1"/>
  <c r="F177" i="12"/>
  <c r="G177" i="12" s="1"/>
  <c r="F176" i="12"/>
  <c r="G176" i="12" s="1"/>
  <c r="F175" i="12"/>
  <c r="G175" i="12" s="1"/>
  <c r="F174" i="12"/>
  <c r="G174" i="12" s="1"/>
  <c r="F187" i="12"/>
  <c r="G187" i="12" s="1"/>
  <c r="F186" i="12"/>
  <c r="G186" i="12" s="1"/>
  <c r="F185" i="12"/>
  <c r="G185" i="12" s="1"/>
  <c r="F184" i="12"/>
  <c r="G184" i="12" s="1"/>
  <c r="F178" i="12"/>
  <c r="G178" i="12" s="1"/>
  <c r="F173" i="12"/>
  <c r="G173" i="12" s="1"/>
  <c r="F167" i="12"/>
  <c r="G167" i="12" s="1"/>
  <c r="F166" i="12"/>
  <c r="G166" i="12" s="1"/>
  <c r="D165" i="12"/>
  <c r="F165" i="12" s="1"/>
  <c r="G165" i="12" s="1"/>
  <c r="F195" i="12" l="1"/>
  <c r="G195" i="12" s="1"/>
  <c r="E195" i="12"/>
  <c r="E168" i="12"/>
  <c r="F168" i="12" s="1"/>
  <c r="G168" i="12" s="1"/>
  <c r="F163" i="12"/>
  <c r="G163" i="12" s="1"/>
  <c r="F162" i="12"/>
  <c r="G162" i="12" s="1"/>
  <c r="F161" i="12"/>
  <c r="G161" i="12" s="1"/>
  <c r="F160" i="12"/>
  <c r="G160" i="12" s="1"/>
  <c r="F159" i="12"/>
  <c r="G159" i="12" s="1"/>
  <c r="F158" i="12"/>
  <c r="G158" i="12" s="1"/>
  <c r="F27" i="7" l="1"/>
  <c r="G27" i="7" s="1"/>
  <c r="F35" i="12"/>
  <c r="G35" i="12" s="1"/>
  <c r="F300" i="6"/>
  <c r="G300" i="6" s="1"/>
  <c r="D210" i="11" l="1"/>
  <c r="F210" i="11" s="1"/>
  <c r="G210" i="11" s="1"/>
  <c r="F266" i="6" l="1"/>
  <c r="G266" i="6" s="1"/>
  <c r="D220" i="6"/>
  <c r="D265" i="6"/>
  <c r="F265" i="6" s="1"/>
  <c r="G265" i="6" s="1"/>
  <c r="D264" i="6"/>
  <c r="F264" i="6" s="1"/>
  <c r="G264" i="6" s="1"/>
  <c r="F223" i="6"/>
  <c r="D248" i="6"/>
  <c r="D219" i="6"/>
  <c r="F207" i="6"/>
  <c r="G207" i="6" s="1"/>
  <c r="F206" i="6"/>
  <c r="G206" i="6" s="1"/>
  <c r="F205" i="6"/>
  <c r="G205" i="6" s="1"/>
  <c r="F222" i="6"/>
  <c r="G222" i="6" s="1"/>
  <c r="F221" i="6"/>
  <c r="G221" i="6" s="1"/>
  <c r="F218" i="6"/>
  <c r="G218" i="6" s="1"/>
  <c r="F220" i="6"/>
  <c r="G220" i="6" s="1"/>
  <c r="F219" i="6"/>
  <c r="G219" i="6" s="1"/>
  <c r="F217" i="6"/>
  <c r="G217" i="6" s="1"/>
  <c r="F216" i="6"/>
  <c r="G216" i="6" s="1"/>
  <c r="G223" i="6" l="1"/>
  <c r="F204" i="6"/>
  <c r="G204" i="6" s="1"/>
  <c r="D202" i="6"/>
  <c r="F202" i="6" s="1"/>
  <c r="G202" i="6" s="1"/>
  <c r="F203" i="6"/>
  <c r="G203" i="6" s="1"/>
  <c r="D199" i="6"/>
  <c r="F199" i="6" s="1"/>
  <c r="G199" i="6" s="1"/>
  <c r="F201" i="6"/>
  <c r="G201" i="6" s="1"/>
  <c r="F200" i="6"/>
  <c r="G200" i="6" s="1"/>
  <c r="F198" i="6"/>
  <c r="G198" i="6" s="1"/>
  <c r="F169" i="11"/>
  <c r="G169" i="11" s="1"/>
  <c r="D195" i="6"/>
  <c r="F195" i="6" s="1"/>
  <c r="G195" i="6" s="1"/>
  <c r="F196" i="6"/>
  <c r="G196" i="6" s="1"/>
  <c r="F194" i="6"/>
  <c r="G194" i="6" s="1"/>
  <c r="F193" i="6"/>
  <c r="G193" i="6" s="1"/>
  <c r="D190" i="6"/>
  <c r="F190" i="6" s="1"/>
  <c r="G190" i="6" s="1"/>
  <c r="F191" i="6"/>
  <c r="G191" i="6" s="1"/>
  <c r="F189" i="6"/>
  <c r="G189" i="6" s="1"/>
  <c r="F188" i="6"/>
  <c r="G188" i="6" s="1"/>
  <c r="F187" i="6"/>
  <c r="G187" i="6" s="1"/>
  <c r="F299" i="6"/>
  <c r="G299" i="6" s="1"/>
  <c r="F298" i="6"/>
  <c r="G298" i="6" s="1"/>
  <c r="F297" i="6"/>
  <c r="G297" i="6" s="1"/>
  <c r="F296" i="6"/>
  <c r="G296" i="6" s="1"/>
  <c r="F295" i="6"/>
  <c r="G295" i="6" s="1"/>
  <c r="F294" i="6"/>
  <c r="G294" i="6" s="1"/>
  <c r="F291" i="6"/>
  <c r="G291" i="6" s="1"/>
  <c r="F290" i="6"/>
  <c r="G290" i="6" s="1"/>
  <c r="F289" i="6"/>
  <c r="G289" i="6" s="1"/>
  <c r="F287" i="6"/>
  <c r="G287" i="6" s="1"/>
  <c r="D288" i="6"/>
  <c r="F288" i="6" s="1"/>
  <c r="G288" i="6" s="1"/>
  <c r="D286" i="6"/>
  <c r="F286" i="6" s="1"/>
  <c r="G286" i="6" s="1"/>
  <c r="F284" i="6"/>
  <c r="G284" i="6" s="1"/>
  <c r="F282" i="6"/>
  <c r="G282" i="6" s="1"/>
  <c r="D285" i="6"/>
  <c r="D283" i="6"/>
  <c r="F283" i="6" s="1"/>
  <c r="G283" i="6" s="1"/>
  <c r="F279" i="6"/>
  <c r="G279" i="6" s="1"/>
  <c r="F278" i="6"/>
  <c r="G278" i="6" s="1"/>
  <c r="F281" i="6"/>
  <c r="G281" i="6" s="1"/>
  <c r="F280" i="6"/>
  <c r="G280" i="6" s="1"/>
  <c r="F277" i="6"/>
  <c r="G277" i="6" s="1"/>
  <c r="F293" i="6"/>
  <c r="G293" i="6" s="1"/>
  <c r="F292" i="6"/>
  <c r="G292" i="6" s="1"/>
  <c r="F285" i="6"/>
  <c r="G285" i="6" s="1"/>
  <c r="D275" i="6"/>
  <c r="F275" i="6" s="1"/>
  <c r="G275" i="6" s="1"/>
  <c r="D274" i="6"/>
  <c r="F274" i="6" s="1"/>
  <c r="G274" i="6" s="1"/>
  <c r="D273" i="6"/>
  <c r="F273" i="6" s="1"/>
  <c r="G273" i="6" s="1"/>
  <c r="D272" i="6"/>
  <c r="F272" i="6" s="1"/>
  <c r="G272" i="6" s="1"/>
  <c r="D268" i="6"/>
  <c r="F268" i="6" s="1"/>
  <c r="G268" i="6" s="1"/>
  <c r="D271" i="6"/>
  <c r="F271" i="6" s="1"/>
  <c r="G271" i="6" s="1"/>
  <c r="D270" i="6"/>
  <c r="F270" i="6" s="1"/>
  <c r="G270" i="6" s="1"/>
  <c r="D269" i="6"/>
  <c r="F269" i="6" s="1"/>
  <c r="G269" i="6" s="1"/>
  <c r="F223" i="11"/>
  <c r="G223" i="11" s="1"/>
  <c r="F263" i="6"/>
  <c r="G263" i="6" s="1"/>
  <c r="F262" i="6"/>
  <c r="G262" i="6" s="1"/>
  <c r="F260" i="6"/>
  <c r="G260" i="6" s="1"/>
  <c r="F259" i="6"/>
  <c r="G259" i="6" s="1"/>
  <c r="F258" i="6"/>
  <c r="G258" i="6" s="1"/>
  <c r="F257" i="6"/>
  <c r="G257" i="6" s="1"/>
  <c r="F256" i="6"/>
  <c r="G256" i="6" s="1"/>
  <c r="F255" i="6"/>
  <c r="G255" i="6" s="1"/>
  <c r="F261" i="6"/>
  <c r="G261" i="6" s="1"/>
  <c r="F254" i="6"/>
  <c r="G254" i="6" s="1"/>
  <c r="F253" i="6"/>
  <c r="G253" i="6" s="1"/>
  <c r="F252" i="6"/>
  <c r="G252" i="6" s="1"/>
  <c r="F251" i="6"/>
  <c r="G251" i="6" s="1"/>
  <c r="F250" i="6"/>
  <c r="G250" i="6" s="1"/>
  <c r="F247" i="6"/>
  <c r="G247" i="6" s="1"/>
  <c r="F246" i="6"/>
  <c r="G246" i="6" s="1"/>
  <c r="F248" i="6"/>
  <c r="G248" i="6" s="1"/>
  <c r="F214" i="6"/>
  <c r="G214" i="6" s="1"/>
  <c r="F213" i="6"/>
  <c r="G213" i="6" s="1"/>
  <c r="F212" i="6"/>
  <c r="G212" i="6" s="1"/>
  <c r="F211" i="6"/>
  <c r="G211" i="6" s="1"/>
  <c r="F210" i="6"/>
  <c r="G210" i="6" s="1"/>
  <c r="F209" i="6" l="1"/>
  <c r="G209" i="6" s="1"/>
  <c r="F241" i="6"/>
  <c r="G241" i="6" s="1"/>
  <c r="D238" i="6"/>
  <c r="F238" i="6" s="1"/>
  <c r="G238" i="6" s="1"/>
  <c r="D237" i="6"/>
  <c r="F237" i="6" s="1"/>
  <c r="G237" i="6" s="1"/>
  <c r="D236" i="6"/>
  <c r="F236" i="6" s="1"/>
  <c r="G236" i="6" s="1"/>
  <c r="D235" i="6"/>
  <c r="F235" i="6" s="1"/>
  <c r="G235" i="6" s="1"/>
  <c r="D234" i="6"/>
  <c r="F234" i="6" s="1"/>
  <c r="G234" i="6" s="1"/>
  <c r="D233" i="6"/>
  <c r="F233" i="6" s="1"/>
  <c r="G233" i="6" s="1"/>
  <c r="D232" i="6"/>
  <c r="D231" i="6"/>
  <c r="F231" i="6" s="1"/>
  <c r="G231" i="6" s="1"/>
  <c r="D230" i="6"/>
  <c r="F230" i="6" s="1"/>
  <c r="G230" i="6" s="1"/>
  <c r="D229" i="6"/>
  <c r="F229" i="6" s="1"/>
  <c r="G229" i="6" s="1"/>
  <c r="D228" i="6"/>
  <c r="F228" i="6" s="1"/>
  <c r="G228" i="6" s="1"/>
  <c r="F226" i="6"/>
  <c r="G226" i="6" s="1"/>
  <c r="F225" i="6"/>
  <c r="G225" i="6" s="1"/>
  <c r="D244" i="6"/>
  <c r="F244" i="6" s="1"/>
  <c r="G244" i="6" s="1"/>
  <c r="D243" i="6"/>
  <c r="F243" i="6" s="1"/>
  <c r="G243" i="6" s="1"/>
  <c r="D240" i="6"/>
  <c r="F240" i="6" s="1"/>
  <c r="G240" i="6" s="1"/>
  <c r="D239" i="6"/>
  <c r="F239" i="6" s="1"/>
  <c r="G239" i="6" s="1"/>
  <c r="F232" i="6"/>
  <c r="G232" i="6" s="1"/>
  <c r="D227" i="6"/>
  <c r="F227" i="6" s="1"/>
  <c r="G227" i="6" s="1"/>
  <c r="F235" i="11"/>
  <c r="G235" i="11" s="1"/>
  <c r="F232" i="11"/>
  <c r="G232" i="11" s="1"/>
  <c r="F231" i="11"/>
  <c r="G231" i="11" s="1"/>
  <c r="F230" i="11"/>
  <c r="G230" i="11" s="1"/>
  <c r="F229" i="11"/>
  <c r="G229" i="11" s="1"/>
  <c r="F228" i="11"/>
  <c r="G228" i="11" s="1"/>
  <c r="F227" i="11"/>
  <c r="G227" i="11" s="1"/>
  <c r="F226" i="11"/>
  <c r="G226" i="11" s="1"/>
  <c r="F234" i="11"/>
  <c r="G234" i="11" s="1"/>
  <c r="F233" i="11"/>
  <c r="G233" i="11" s="1"/>
  <c r="F225" i="11"/>
  <c r="G225" i="11" s="1"/>
  <c r="D224" i="11"/>
  <c r="F224" i="11" s="1"/>
  <c r="G224" i="11" s="1"/>
  <c r="F222" i="11"/>
  <c r="G222" i="11" s="1"/>
  <c r="F221" i="11"/>
  <c r="G221" i="11" s="1"/>
  <c r="F220" i="11"/>
  <c r="G220" i="11" s="1"/>
  <c r="F219" i="11"/>
  <c r="G219" i="11" s="1"/>
  <c r="F218" i="11"/>
  <c r="G218" i="11" s="1"/>
  <c r="F217" i="11"/>
  <c r="G217" i="11" s="1"/>
  <c r="F216" i="11"/>
  <c r="G216" i="11" s="1"/>
  <c r="F215" i="11"/>
  <c r="G215" i="11" s="1"/>
  <c r="F214" i="11"/>
  <c r="G214" i="11" s="1"/>
  <c r="F213" i="11"/>
  <c r="G213" i="11" s="1"/>
  <c r="F212" i="11"/>
  <c r="G212" i="11" s="1"/>
  <c r="F211" i="11"/>
  <c r="G211" i="11" s="1"/>
  <c r="F205" i="11" l="1"/>
  <c r="G205" i="11" s="1"/>
  <c r="F204" i="11"/>
  <c r="G204" i="11" s="1"/>
  <c r="F203" i="11"/>
  <c r="G203" i="11" s="1"/>
  <c r="F202" i="11"/>
  <c r="G202" i="11" s="1"/>
  <c r="F201" i="11"/>
  <c r="G201" i="11" s="1"/>
  <c r="F200" i="11"/>
  <c r="G200" i="11" s="1"/>
  <c r="F199" i="11"/>
  <c r="G199" i="11" s="1"/>
  <c r="F198" i="11"/>
  <c r="G198" i="11" s="1"/>
  <c r="F197" i="11"/>
  <c r="G197" i="11" s="1"/>
  <c r="F196" i="11"/>
  <c r="G196" i="11" s="1"/>
  <c r="F195" i="11"/>
  <c r="G195" i="11" s="1"/>
  <c r="F194" i="11"/>
  <c r="G194" i="11" s="1"/>
  <c r="F193" i="11"/>
  <c r="G193" i="11" s="1"/>
  <c r="F192" i="11"/>
  <c r="G192" i="11" s="1"/>
  <c r="F191" i="11"/>
  <c r="G191" i="11" s="1"/>
  <c r="F190" i="11"/>
  <c r="F189" i="11"/>
  <c r="G189" i="11" s="1"/>
  <c r="F188" i="11"/>
  <c r="G188" i="11" s="1"/>
  <c r="F187" i="11"/>
  <c r="G187" i="11" s="1"/>
  <c r="F186" i="11"/>
  <c r="G186" i="11" s="1"/>
  <c r="F183" i="11"/>
  <c r="G183" i="11" s="1"/>
  <c r="F182" i="11"/>
  <c r="G182" i="11" s="1"/>
  <c r="F181" i="11"/>
  <c r="G181" i="11" s="1"/>
  <c r="F180" i="11"/>
  <c r="G180" i="11" s="1"/>
  <c r="F179" i="11"/>
  <c r="G179" i="11" s="1"/>
  <c r="F178" i="11"/>
  <c r="G178" i="11" s="1"/>
  <c r="F177" i="11"/>
  <c r="G177" i="11" s="1"/>
  <c r="F176" i="11"/>
  <c r="G176" i="11" s="1"/>
  <c r="F175" i="11"/>
  <c r="G175" i="11" s="1"/>
  <c r="F174" i="11"/>
  <c r="G174" i="11" s="1"/>
  <c r="F173" i="11"/>
  <c r="G173" i="11" s="1"/>
  <c r="F172" i="11"/>
  <c r="G172" i="11" s="1"/>
  <c r="F171" i="11"/>
  <c r="G171" i="11" s="1"/>
  <c r="F170" i="11"/>
  <c r="G170" i="11" s="1"/>
  <c r="F167" i="11"/>
  <c r="G167" i="11" s="1"/>
  <c r="F168" i="11"/>
  <c r="G168" i="11" s="1"/>
  <c r="F166" i="11"/>
  <c r="G166" i="11" s="1"/>
  <c r="F165" i="11"/>
  <c r="G165" i="11" s="1"/>
  <c r="F164" i="11"/>
  <c r="G164" i="11" s="1"/>
  <c r="F163" i="11"/>
  <c r="G163" i="11" s="1"/>
  <c r="F162" i="11"/>
  <c r="G162" i="11" s="1"/>
  <c r="D159" i="11"/>
  <c r="D158" i="11"/>
  <c r="D157" i="11"/>
  <c r="D156" i="11"/>
  <c r="D155" i="11"/>
  <c r="D154" i="11"/>
  <c r="D153" i="11"/>
  <c r="F142" i="11"/>
  <c r="G142" i="11" s="1"/>
  <c r="G190" i="11" l="1"/>
  <c r="F153" i="6"/>
  <c r="G153" i="6" s="1"/>
  <c r="F152" i="6"/>
  <c r="G152" i="6" s="1"/>
  <c r="F102" i="11"/>
  <c r="G102" i="11" s="1"/>
  <c r="F101" i="11"/>
  <c r="G101" i="11" s="1"/>
  <c r="F250" i="14" l="1"/>
  <c r="F249" i="14"/>
  <c r="F248" i="14"/>
  <c r="F247" i="14"/>
  <c r="F245" i="14"/>
  <c r="F244" i="14"/>
  <c r="F243" i="14"/>
  <c r="F242" i="14"/>
  <c r="F240" i="14"/>
  <c r="F239" i="14"/>
  <c r="F237" i="14"/>
  <c r="F236" i="14"/>
  <c r="F235" i="14"/>
  <c r="F234" i="14"/>
  <c r="F231" i="14"/>
  <c r="F230" i="14"/>
  <c r="F229" i="14"/>
  <c r="F227" i="14"/>
  <c r="F226" i="14"/>
  <c r="F225" i="14"/>
  <c r="F224" i="14"/>
  <c r="F223" i="14"/>
  <c r="F222" i="14"/>
  <c r="F220" i="14"/>
  <c r="F219" i="14"/>
  <c r="F218" i="14"/>
  <c r="F217" i="14"/>
  <c r="F216" i="14"/>
  <c r="F215" i="14"/>
  <c r="F214" i="14"/>
  <c r="F213" i="14"/>
  <c r="F212" i="14"/>
  <c r="F211" i="14"/>
  <c r="F208" i="14"/>
  <c r="F207" i="14"/>
  <c r="F206" i="14"/>
  <c r="F204" i="14"/>
  <c r="F203" i="14"/>
  <c r="F202" i="14"/>
  <c r="F201" i="14"/>
  <c r="F200" i="14"/>
  <c r="F199" i="14"/>
  <c r="F197" i="14"/>
  <c r="F196" i="14"/>
  <c r="F195" i="14"/>
  <c r="F194" i="14"/>
  <c r="F193" i="14"/>
  <c r="F192" i="14"/>
  <c r="F191" i="14"/>
  <c r="F190" i="14"/>
  <c r="F189" i="14"/>
  <c r="F188" i="14"/>
  <c r="F185" i="14"/>
  <c r="F184" i="14"/>
  <c r="F183" i="14"/>
  <c r="F181" i="14"/>
  <c r="F180" i="14"/>
  <c r="F179" i="14"/>
  <c r="F178" i="14"/>
  <c r="F177" i="14"/>
  <c r="F176" i="14"/>
  <c r="F174" i="14"/>
  <c r="F173" i="14"/>
  <c r="F172" i="14"/>
  <c r="F171" i="14"/>
  <c r="F170" i="14"/>
  <c r="F169" i="14"/>
  <c r="F168" i="14"/>
  <c r="F167" i="14"/>
  <c r="F166" i="14"/>
  <c r="F165" i="14"/>
  <c r="F162" i="14"/>
  <c r="F161" i="14"/>
  <c r="F160" i="14"/>
  <c r="F158" i="14"/>
  <c r="F157" i="14"/>
  <c r="F156" i="14"/>
  <c r="F155" i="14"/>
  <c r="F154" i="14"/>
  <c r="F153" i="14"/>
  <c r="F151" i="14"/>
  <c r="F150" i="14"/>
  <c r="F149" i="14"/>
  <c r="F148" i="14"/>
  <c r="F147" i="14"/>
  <c r="F146" i="14"/>
  <c r="F145" i="14"/>
  <c r="F144" i="14"/>
  <c r="F143" i="14"/>
  <c r="F142" i="14"/>
  <c r="F139" i="14"/>
  <c r="F138" i="14"/>
  <c r="F137" i="14"/>
  <c r="F136" i="14"/>
  <c r="F135" i="14"/>
  <c r="F134" i="14"/>
  <c r="F132" i="14"/>
  <c r="F131" i="14"/>
  <c r="F130" i="14"/>
  <c r="F129" i="14"/>
  <c r="F128" i="14"/>
  <c r="F127" i="14"/>
  <c r="F126" i="14"/>
  <c r="F125" i="14"/>
  <c r="F124" i="14"/>
  <c r="F123" i="14"/>
  <c r="F120" i="14"/>
  <c r="F119" i="14"/>
  <c r="F118" i="14"/>
  <c r="F116" i="14"/>
  <c r="F115" i="14"/>
  <c r="F114" i="14"/>
  <c r="F113" i="14"/>
  <c r="F112" i="14"/>
  <c r="F111" i="14"/>
  <c r="F109" i="14"/>
  <c r="F108" i="14"/>
  <c r="F107" i="14"/>
  <c r="F106" i="14"/>
  <c r="F105" i="14"/>
  <c r="F104" i="14"/>
  <c r="F103" i="14"/>
  <c r="F102" i="14"/>
  <c r="F101" i="14"/>
  <c r="F100" i="14"/>
  <c r="F99" i="14"/>
  <c r="F96" i="14"/>
  <c r="F95" i="14"/>
  <c r="F94" i="14"/>
  <c r="F92" i="14"/>
  <c r="F91" i="14"/>
  <c r="F90" i="14"/>
  <c r="F89" i="14"/>
  <c r="F88" i="14"/>
  <c r="F87" i="14"/>
  <c r="F86" i="14"/>
  <c r="F85" i="14"/>
  <c r="F84" i="14"/>
  <c r="F83" i="14"/>
  <c r="F82" i="14"/>
  <c r="F80" i="14"/>
  <c r="F79" i="14"/>
  <c r="F78" i="14"/>
  <c r="F77" i="14"/>
  <c r="F76" i="14"/>
  <c r="F75" i="14"/>
  <c r="F74" i="14"/>
  <c r="F73" i="14"/>
  <c r="F72" i="14"/>
  <c r="F71" i="14"/>
  <c r="F68" i="14"/>
  <c r="F67" i="14"/>
  <c r="F66" i="14"/>
  <c r="F64" i="14"/>
  <c r="F63" i="14"/>
  <c r="F62" i="14"/>
  <c r="F61" i="14"/>
  <c r="F60" i="14"/>
  <c r="F59" i="14"/>
  <c r="F58" i="14"/>
  <c r="F57" i="14"/>
  <c r="F56" i="14"/>
  <c r="F55" i="14"/>
  <c r="F54" i="14"/>
  <c r="F52" i="14"/>
  <c r="F51" i="14"/>
  <c r="F50" i="14"/>
  <c r="F49" i="14"/>
  <c r="F48" i="14"/>
  <c r="F47" i="14"/>
  <c r="F46" i="14"/>
  <c r="F45" i="14"/>
  <c r="F44" i="14"/>
  <c r="F43" i="14"/>
  <c r="F40" i="14"/>
  <c r="F39" i="14"/>
  <c r="F38" i="14"/>
  <c r="F36" i="14"/>
  <c r="F35" i="14"/>
  <c r="F34" i="14"/>
  <c r="F32" i="14"/>
  <c r="F31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5" i="14"/>
  <c r="F14" i="14"/>
  <c r="F13" i="14"/>
  <c r="F12" i="14"/>
  <c r="F11" i="14"/>
  <c r="F10" i="14"/>
  <c r="F9" i="14"/>
  <c r="F8" i="14"/>
  <c r="F7" i="14"/>
  <c r="F6" i="14"/>
  <c r="F31" i="15" l="1"/>
  <c r="F30" i="15"/>
  <c r="F29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F13" i="15"/>
  <c r="F12" i="15"/>
  <c r="F11" i="15"/>
  <c r="F10" i="15"/>
  <c r="F9" i="15"/>
  <c r="F8" i="15"/>
  <c r="F7" i="15"/>
  <c r="F6" i="15"/>
  <c r="G35" i="14"/>
  <c r="G31" i="14"/>
  <c r="G248" i="14" l="1"/>
  <c r="G245" i="14"/>
  <c r="D241" i="14"/>
  <c r="F241" i="14" s="1"/>
  <c r="G241" i="14" s="1"/>
  <c r="G231" i="14" l="1"/>
  <c r="G230" i="14"/>
  <c r="G229" i="14"/>
  <c r="G227" i="14"/>
  <c r="G226" i="14"/>
  <c r="G225" i="14"/>
  <c r="G224" i="14"/>
  <c r="G223" i="14"/>
  <c r="G222" i="14"/>
  <c r="G219" i="14"/>
  <c r="G215" i="14"/>
  <c r="G208" i="14"/>
  <c r="G207" i="14"/>
  <c r="G206" i="14"/>
  <c r="G204" i="14"/>
  <c r="G203" i="14"/>
  <c r="G202" i="14"/>
  <c r="G201" i="14"/>
  <c r="G200" i="14"/>
  <c r="G199" i="14"/>
  <c r="G197" i="14"/>
  <c r="G196" i="14"/>
  <c r="G195" i="14"/>
  <c r="G194" i="14"/>
  <c r="G193" i="14"/>
  <c r="G192" i="14"/>
  <c r="G191" i="14"/>
  <c r="G190" i="14"/>
  <c r="G189" i="14"/>
  <c r="G177" i="14"/>
  <c r="G131" i="14"/>
  <c r="G119" i="14"/>
  <c r="G109" i="14"/>
  <c r="G67" i="14"/>
  <c r="G66" i="14"/>
  <c r="G96" i="14"/>
  <c r="G95" i="14"/>
  <c r="G94" i="14"/>
  <c r="G92" i="14"/>
  <c r="G91" i="14"/>
  <c r="G90" i="14"/>
  <c r="G89" i="14"/>
  <c r="G64" i="14"/>
  <c r="G63" i="14"/>
  <c r="G62" i="14"/>
  <c r="G61" i="14"/>
  <c r="G60" i="14"/>
  <c r="G40" i="14"/>
  <c r="G39" i="14"/>
  <c r="G38" i="14"/>
  <c r="G36" i="14"/>
  <c r="G34" i="14"/>
  <c r="F45" i="15" l="1"/>
  <c r="G45" i="15" s="1"/>
  <c r="F44" i="15"/>
  <c r="G44" i="15" s="1"/>
  <c r="F43" i="15"/>
  <c r="G43" i="15" s="1"/>
  <c r="F96" i="15"/>
  <c r="G96" i="15" s="1"/>
  <c r="F89" i="15"/>
  <c r="G89" i="15" s="1"/>
  <c r="F93" i="15"/>
  <c r="F103" i="15"/>
  <c r="G103" i="15" s="1"/>
  <c r="F107" i="15"/>
  <c r="G107" i="15" s="1"/>
  <c r="F100" i="15"/>
  <c r="G100" i="15" s="1"/>
  <c r="F59" i="15"/>
  <c r="G59" i="15" s="1"/>
  <c r="F58" i="15"/>
  <c r="G58" i="15" s="1"/>
  <c r="G93" i="15" l="1"/>
  <c r="D57" i="15"/>
  <c r="F57" i="15" s="1"/>
  <c r="G57" i="15" s="1"/>
  <c r="D56" i="15"/>
  <c r="F56" i="15" s="1"/>
  <c r="G56" i="15" s="1"/>
  <c r="D55" i="15"/>
  <c r="F55" i="15" s="1"/>
  <c r="G55" i="15" s="1"/>
  <c r="D42" i="15"/>
  <c r="F42" i="15" s="1"/>
  <c r="G42" i="15" s="1"/>
  <c r="D41" i="15"/>
  <c r="F41" i="15" s="1"/>
  <c r="G41" i="15" s="1"/>
  <c r="D40" i="15"/>
  <c r="F40" i="15" s="1"/>
  <c r="G40" i="15" s="1"/>
  <c r="G31" i="15"/>
  <c r="G30" i="15"/>
  <c r="G29" i="15"/>
  <c r="G26" i="15"/>
  <c r="D28" i="15"/>
  <c r="D27" i="15"/>
  <c r="G20" i="15"/>
  <c r="G21" i="15"/>
  <c r="G22" i="15"/>
  <c r="G23" i="15"/>
  <c r="G24" i="15"/>
  <c r="G25" i="15"/>
  <c r="F108" i="15"/>
  <c r="G108" i="15" s="1"/>
  <c r="F106" i="15"/>
  <c r="G106" i="15" s="1"/>
  <c r="F105" i="15"/>
  <c r="G105" i="15" s="1"/>
  <c r="F104" i="15"/>
  <c r="G104" i="15" s="1"/>
  <c r="F101" i="15"/>
  <c r="G101" i="15" s="1"/>
  <c r="F99" i="15"/>
  <c r="G99" i="15" s="1"/>
  <c r="F98" i="15"/>
  <c r="G98" i="15" s="1"/>
  <c r="F97" i="15"/>
  <c r="G97" i="15" s="1"/>
  <c r="F94" i="15"/>
  <c r="G94" i="15" s="1"/>
  <c r="F92" i="15"/>
  <c r="G92" i="15" s="1"/>
  <c r="F91" i="15"/>
  <c r="G91" i="15" s="1"/>
  <c r="F90" i="15"/>
  <c r="G90" i="15" s="1"/>
  <c r="F87" i="15"/>
  <c r="G87" i="15" s="1"/>
  <c r="F86" i="15"/>
  <c r="G86" i="15" s="1"/>
  <c r="F85" i="15"/>
  <c r="G85" i="15" s="1"/>
  <c r="F84" i="15"/>
  <c r="G84" i="15" s="1"/>
  <c r="F83" i="15"/>
  <c r="G83" i="15" s="1"/>
  <c r="F82" i="15"/>
  <c r="G82" i="15" s="1"/>
  <c r="F80" i="15"/>
  <c r="G80" i="15" s="1"/>
  <c r="F79" i="15"/>
  <c r="G79" i="15" s="1"/>
  <c r="F78" i="15"/>
  <c r="G78" i="15" s="1"/>
  <c r="F77" i="15"/>
  <c r="G77" i="15" s="1"/>
  <c r="F76" i="15"/>
  <c r="G76" i="15" s="1"/>
  <c r="F75" i="15"/>
  <c r="G75" i="15" s="1"/>
  <c r="F73" i="15"/>
  <c r="G73" i="15" s="1"/>
  <c r="F72" i="15"/>
  <c r="G72" i="15" s="1"/>
  <c r="F71" i="15"/>
  <c r="G71" i="15" s="1"/>
  <c r="F70" i="15"/>
  <c r="G70" i="15" s="1"/>
  <c r="F69" i="15"/>
  <c r="G69" i="15" s="1"/>
  <c r="F68" i="15"/>
  <c r="G68" i="15" s="1"/>
  <c r="F66" i="15"/>
  <c r="G66" i="15" s="1"/>
  <c r="F65" i="15"/>
  <c r="G65" i="15" s="1"/>
  <c r="F64" i="15"/>
  <c r="G64" i="15" s="1"/>
  <c r="F63" i="15"/>
  <c r="G63" i="15" s="1"/>
  <c r="F62" i="15"/>
  <c r="G62" i="15" s="1"/>
  <c r="F61" i="15"/>
  <c r="G61" i="15" s="1"/>
  <c r="F54" i="15"/>
  <c r="G54" i="15" s="1"/>
  <c r="F53" i="15"/>
  <c r="G53" i="15" s="1"/>
  <c r="F52" i="15"/>
  <c r="G52" i="15" s="1"/>
  <c r="F51" i="15"/>
  <c r="G51" i="15" s="1"/>
  <c r="F50" i="15"/>
  <c r="G50" i="15" s="1"/>
  <c r="F49" i="15"/>
  <c r="G49" i="15" s="1"/>
  <c r="F48" i="15"/>
  <c r="G48" i="15" s="1"/>
  <c r="F47" i="15"/>
  <c r="G47" i="15" s="1"/>
  <c r="F39" i="15"/>
  <c r="G39" i="15" s="1"/>
  <c r="F38" i="15"/>
  <c r="G38" i="15" s="1"/>
  <c r="F37" i="15"/>
  <c r="G37" i="15" s="1"/>
  <c r="F36" i="15"/>
  <c r="G36" i="15" s="1"/>
  <c r="F35" i="15"/>
  <c r="G35" i="15" s="1"/>
  <c r="F34" i="15"/>
  <c r="G34" i="15" s="1"/>
  <c r="F33" i="15"/>
  <c r="G33" i="15" s="1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A6" i="15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F5" i="15"/>
  <c r="F28" i="15" l="1"/>
  <c r="G28" i="15" s="1"/>
  <c r="F27" i="15"/>
  <c r="F109" i="15" s="1"/>
  <c r="G5" i="15"/>
  <c r="A20" i="15"/>
  <c r="A21" i="15" s="1"/>
  <c r="A22" i="15" s="1"/>
  <c r="A23" i="15" s="1"/>
  <c r="A24" i="15" s="1"/>
  <c r="A25" i="15" s="1"/>
  <c r="G27" i="15" l="1"/>
  <c r="G109" i="15" s="1"/>
  <c r="A26" i="15"/>
  <c r="A27" i="15" s="1"/>
  <c r="A28" i="15" s="1"/>
  <c r="A29" i="15" s="1"/>
  <c r="A30" i="15" s="1"/>
  <c r="A31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l="1"/>
  <c r="A43" i="15" s="1"/>
  <c r="A44" i="15" s="1"/>
  <c r="A45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l="1"/>
  <c r="A57" i="15" s="1"/>
  <c r="A58" i="15" s="1"/>
  <c r="A59" i="15" s="1"/>
  <c r="A61" i="15" s="1"/>
  <c r="A62" i="15" s="1"/>
  <c r="A63" i="15" s="1"/>
  <c r="A64" i="15" s="1"/>
  <c r="A65" i="15" s="1"/>
  <c r="A66" i="15" s="1"/>
  <c r="A68" i="15" l="1"/>
  <c r="A69" i="15" s="1"/>
  <c r="A70" i="15" s="1"/>
  <c r="A71" i="15" s="1"/>
  <c r="A72" i="15" s="1"/>
  <c r="A73" i="15" s="1"/>
  <c r="A75" i="15" l="1"/>
  <c r="A76" i="15" s="1"/>
  <c r="A77" i="15" s="1"/>
  <c r="A78" i="15" s="1"/>
  <c r="A79" i="15" s="1"/>
  <c r="A80" i="15" s="1"/>
  <c r="A82" i="15" l="1"/>
  <c r="A83" i="15" s="1"/>
  <c r="A84" i="15" s="1"/>
  <c r="A85" i="15" s="1"/>
  <c r="A86" i="15" s="1"/>
  <c r="A87" i="15" s="1"/>
  <c r="A89" i="15" l="1"/>
  <c r="A90" i="15" s="1"/>
  <c r="A91" i="15" s="1"/>
  <c r="A92" i="15" s="1"/>
  <c r="A93" i="15" l="1"/>
  <c r="A94" i="15" s="1"/>
  <c r="A96" i="15" s="1"/>
  <c r="A97" i="15" s="1"/>
  <c r="A98" i="15" s="1"/>
  <c r="A99" i="15" s="1"/>
  <c r="A100" i="15" l="1"/>
  <c r="A101" i="15" s="1"/>
  <c r="A103" i="15" s="1"/>
  <c r="A104" i="15" s="1"/>
  <c r="A105" i="15" s="1"/>
  <c r="A106" i="15" s="1"/>
  <c r="A107" i="15" s="1"/>
  <c r="A108" i="15" s="1"/>
  <c r="G250" i="14"/>
  <c r="G249" i="14"/>
  <c r="G247" i="14"/>
  <c r="G244" i="14"/>
  <c r="G243" i="14"/>
  <c r="G242" i="14"/>
  <c r="G240" i="14"/>
  <c r="G239" i="14"/>
  <c r="G237" i="14"/>
  <c r="G236" i="14"/>
  <c r="G235" i="14"/>
  <c r="G234" i="14"/>
  <c r="G220" i="14"/>
  <c r="G218" i="14"/>
  <c r="G217" i="14"/>
  <c r="G216" i="14"/>
  <c r="G214" i="14"/>
  <c r="G213" i="14"/>
  <c r="G212" i="14"/>
  <c r="G211" i="14"/>
  <c r="G188" i="14"/>
  <c r="G185" i="14"/>
  <c r="G184" i="14"/>
  <c r="G183" i="14"/>
  <c r="G181" i="14"/>
  <c r="G180" i="14"/>
  <c r="G179" i="14"/>
  <c r="G178" i="14"/>
  <c r="G176" i="14"/>
  <c r="G174" i="14"/>
  <c r="G173" i="14"/>
  <c r="G172" i="14"/>
  <c r="G171" i="14"/>
  <c r="G170" i="14"/>
  <c r="G169" i="14"/>
  <c r="G168" i="14"/>
  <c r="G167" i="14"/>
  <c r="G166" i="14"/>
  <c r="G165" i="14"/>
  <c r="G162" i="14"/>
  <c r="G161" i="14"/>
  <c r="G160" i="14"/>
  <c r="G158" i="14"/>
  <c r="G157" i="14"/>
  <c r="G156" i="14"/>
  <c r="G155" i="14"/>
  <c r="G154" i="14"/>
  <c r="G153" i="14"/>
  <c r="G151" i="14"/>
  <c r="G150" i="14"/>
  <c r="G149" i="14"/>
  <c r="G148" i="14"/>
  <c r="G147" i="14"/>
  <c r="G146" i="14"/>
  <c r="G145" i="14"/>
  <c r="G144" i="14"/>
  <c r="G143" i="14"/>
  <c r="G142" i="14"/>
  <c r="G139" i="14"/>
  <c r="G138" i="14"/>
  <c r="G137" i="14"/>
  <c r="G136" i="14"/>
  <c r="G135" i="14"/>
  <c r="G134" i="14"/>
  <c r="G132" i="14"/>
  <c r="G130" i="14"/>
  <c r="G129" i="14"/>
  <c r="G128" i="14"/>
  <c r="G127" i="14"/>
  <c r="G126" i="14"/>
  <c r="G125" i="14"/>
  <c r="G124" i="14"/>
  <c r="G123" i="14"/>
  <c r="G120" i="14"/>
  <c r="G118" i="14"/>
  <c r="G116" i="14"/>
  <c r="G115" i="14"/>
  <c r="G114" i="14"/>
  <c r="G113" i="14"/>
  <c r="G112" i="14"/>
  <c r="G111" i="14"/>
  <c r="G108" i="14"/>
  <c r="G107" i="14"/>
  <c r="G106" i="14"/>
  <c r="G105" i="14"/>
  <c r="G104" i="14"/>
  <c r="G103" i="14"/>
  <c r="G102" i="14"/>
  <c r="G101" i="14"/>
  <c r="G100" i="14"/>
  <c r="G99" i="14"/>
  <c r="G88" i="14"/>
  <c r="G87" i="14"/>
  <c r="G86" i="14"/>
  <c r="G85" i="14"/>
  <c r="G84" i="14"/>
  <c r="G83" i="14"/>
  <c r="G82" i="14"/>
  <c r="G80" i="14"/>
  <c r="G79" i="14"/>
  <c r="G78" i="14"/>
  <c r="G77" i="14"/>
  <c r="G76" i="14"/>
  <c r="G75" i="14"/>
  <c r="G74" i="14"/>
  <c r="G73" i="14"/>
  <c r="G72" i="14"/>
  <c r="G71" i="14"/>
  <c r="G68" i="14"/>
  <c r="G59" i="14"/>
  <c r="G58" i="14"/>
  <c r="G57" i="14"/>
  <c r="G56" i="14"/>
  <c r="G55" i="14"/>
  <c r="G54" i="14"/>
  <c r="G52" i="14"/>
  <c r="G51" i="14"/>
  <c r="G50" i="14"/>
  <c r="G49" i="14"/>
  <c r="G48" i="14"/>
  <c r="G47" i="14"/>
  <c r="G46" i="14"/>
  <c r="G45" i="14"/>
  <c r="G44" i="14"/>
  <c r="G43" i="14"/>
  <c r="G32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5" i="14"/>
  <c r="G14" i="14"/>
  <c r="G13" i="14"/>
  <c r="G12" i="14"/>
  <c r="G11" i="14"/>
  <c r="G10" i="14"/>
  <c r="G9" i="14"/>
  <c r="G8" i="14"/>
  <c r="G7" i="14"/>
  <c r="A7" i="14"/>
  <c r="A8" i="14" s="1"/>
  <c r="A9" i="14" s="1"/>
  <c r="A10" i="14" s="1"/>
  <c r="A11" i="14" s="1"/>
  <c r="A12" i="14" s="1"/>
  <c r="A13" i="14" s="1"/>
  <c r="A14" i="14" s="1"/>
  <c r="A15" i="14" s="1"/>
  <c r="F29" i="3"/>
  <c r="G29" i="3" s="1"/>
  <c r="F28" i="3"/>
  <c r="G28" i="3" s="1"/>
  <c r="F251" i="14" l="1"/>
  <c r="F252" i="14" s="1"/>
  <c r="F253" i="14" s="1"/>
  <c r="A17" i="14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1" i="14" s="1"/>
  <c r="A32" i="14" s="1"/>
  <c r="G6" i="14"/>
  <c r="G251" i="14" s="1"/>
  <c r="G252" i="14" s="1"/>
  <c r="G253" i="14" s="1"/>
  <c r="F11" i="4"/>
  <c r="G11" i="4" s="1"/>
  <c r="A34" i="14" l="1"/>
  <c r="A36" i="14" s="1"/>
  <c r="A38" i="14" s="1"/>
  <c r="A39" i="14" s="1"/>
  <c r="A40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4" i="14" s="1"/>
  <c r="A55" i="14" s="1"/>
  <c r="A56" i="14" s="1"/>
  <c r="A57" i="14" s="1"/>
  <c r="A58" i="14" s="1"/>
  <c r="A59" i="14" s="1"/>
  <c r="A60" i="14" l="1"/>
  <c r="A61" i="14" s="1"/>
  <c r="A62" i="14" s="1"/>
  <c r="A63" i="14" s="1"/>
  <c r="A64" i="14" s="1"/>
  <c r="A66" i="14" s="1"/>
  <c r="A67" i="14" s="1"/>
  <c r="A68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2" i="14" s="1"/>
  <c r="A83" i="14" s="1"/>
  <c r="A84" i="14" s="1"/>
  <c r="A85" i="14" s="1"/>
  <c r="A86" i="14" s="1"/>
  <c r="A87" i="14" s="1"/>
  <c r="A88" i="14" s="1"/>
  <c r="A4" i="13"/>
  <c r="A6" i="13" s="1"/>
  <c r="A7" i="13" s="1"/>
  <c r="A11" i="13" s="1"/>
  <c r="A12" i="13" s="1"/>
  <c r="A89" i="14" l="1"/>
  <c r="A90" i="14" s="1"/>
  <c r="A91" i="14" s="1"/>
  <c r="A92" i="14" s="1"/>
  <c r="A94" i="14" s="1"/>
  <c r="A95" i="14" s="1"/>
  <c r="A96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1" i="14" s="1"/>
  <c r="A112" i="14" s="1"/>
  <c r="A113" i="14" s="1"/>
  <c r="A114" i="14" s="1"/>
  <c r="A115" i="14" s="1"/>
  <c r="A116" i="14" s="1"/>
  <c r="A118" i="14" s="1"/>
  <c r="A119" i="14" l="1"/>
  <c r="A120" i="14" s="1"/>
  <c r="A123" i="14" s="1"/>
  <c r="A124" i="14" s="1"/>
  <c r="A125" i="14" s="1"/>
  <c r="A126" i="14" s="1"/>
  <c r="A127" i="14" s="1"/>
  <c r="A128" i="14" s="1"/>
  <c r="A129" i="14" s="1"/>
  <c r="A130" i="14" s="1"/>
  <c r="F209" i="11"/>
  <c r="G209" i="11" s="1"/>
  <c r="F208" i="11"/>
  <c r="G208" i="11" s="1"/>
  <c r="F207" i="11"/>
  <c r="G207" i="11" s="1"/>
  <c r="F161" i="11"/>
  <c r="G161" i="11" s="1"/>
  <c r="F159" i="11"/>
  <c r="G159" i="11" s="1"/>
  <c r="F158" i="11"/>
  <c r="G158" i="11" s="1"/>
  <c r="F157" i="11"/>
  <c r="G157" i="11" s="1"/>
  <c r="F156" i="11"/>
  <c r="G156" i="11" s="1"/>
  <c r="F155" i="11"/>
  <c r="G155" i="11" s="1"/>
  <c r="F154" i="11"/>
  <c r="G154" i="11" s="1"/>
  <c r="F151" i="11"/>
  <c r="G151" i="11" s="1"/>
  <c r="F150" i="11"/>
  <c r="G150" i="11" s="1"/>
  <c r="F149" i="11"/>
  <c r="G149" i="11" s="1"/>
  <c r="F148" i="11"/>
  <c r="G148" i="11" s="1"/>
  <c r="F147" i="11"/>
  <c r="G147" i="11" s="1"/>
  <c r="F145" i="11"/>
  <c r="G145" i="11" s="1"/>
  <c r="F144" i="11"/>
  <c r="G144" i="11" s="1"/>
  <c r="F143" i="11"/>
  <c r="G143" i="11" s="1"/>
  <c r="F140" i="11"/>
  <c r="G140" i="11" s="1"/>
  <c r="F136" i="11"/>
  <c r="G136" i="11" s="1"/>
  <c r="F135" i="11"/>
  <c r="G135" i="11" s="1"/>
  <c r="F134" i="11"/>
  <c r="G134" i="11" s="1"/>
  <c r="F133" i="11"/>
  <c r="G133" i="11" s="1"/>
  <c r="F132" i="11"/>
  <c r="G132" i="11" s="1"/>
  <c r="F131" i="11"/>
  <c r="G131" i="11" s="1"/>
  <c r="F130" i="11"/>
  <c r="G130" i="11" s="1"/>
  <c r="F129" i="11"/>
  <c r="G129" i="11" s="1"/>
  <c r="F128" i="11"/>
  <c r="G128" i="11" s="1"/>
  <c r="F126" i="11"/>
  <c r="G126" i="11" s="1"/>
  <c r="F125" i="11"/>
  <c r="G125" i="11" s="1"/>
  <c r="F124" i="11"/>
  <c r="G124" i="11" s="1"/>
  <c r="F122" i="11"/>
  <c r="G122" i="11" s="1"/>
  <c r="F120" i="11"/>
  <c r="G120" i="11" s="1"/>
  <c r="F119" i="11"/>
  <c r="G119" i="11" s="1"/>
  <c r="F118" i="11"/>
  <c r="G118" i="11" s="1"/>
  <c r="F116" i="11"/>
  <c r="G116" i="11" s="1"/>
  <c r="F115" i="11"/>
  <c r="G115" i="11" s="1"/>
  <c r="F114" i="11"/>
  <c r="G114" i="11" s="1"/>
  <c r="F113" i="11"/>
  <c r="G113" i="11" s="1"/>
  <c r="F112" i="11"/>
  <c r="G112" i="11" s="1"/>
  <c r="F111" i="11"/>
  <c r="G111" i="11" s="1"/>
  <c r="F106" i="11"/>
  <c r="G106" i="11" s="1"/>
  <c r="F105" i="11"/>
  <c r="G105" i="11" s="1"/>
  <c r="F104" i="11"/>
  <c r="G104" i="11" s="1"/>
  <c r="F99" i="11"/>
  <c r="G99" i="11" s="1"/>
  <c r="F98" i="11"/>
  <c r="G98" i="11" s="1"/>
  <c r="F97" i="11"/>
  <c r="G97" i="11" s="1"/>
  <c r="F96" i="11"/>
  <c r="G96" i="11" s="1"/>
  <c r="F95" i="11"/>
  <c r="G95" i="11" s="1"/>
  <c r="F94" i="11"/>
  <c r="G94" i="11" s="1"/>
  <c r="F93" i="11"/>
  <c r="G93" i="11" s="1"/>
  <c r="F92" i="11"/>
  <c r="G92" i="11" s="1"/>
  <c r="F90" i="11"/>
  <c r="G90" i="11" s="1"/>
  <c r="F89" i="11"/>
  <c r="G89" i="11" s="1"/>
  <c r="F88" i="11"/>
  <c r="G88" i="11" s="1"/>
  <c r="F87" i="11"/>
  <c r="G87" i="11" s="1"/>
  <c r="F86" i="11"/>
  <c r="G86" i="11" s="1"/>
  <c r="F85" i="11"/>
  <c r="G85" i="11" s="1"/>
  <c r="F82" i="11"/>
  <c r="G82" i="11" s="1"/>
  <c r="F81" i="11"/>
  <c r="G81" i="11" s="1"/>
  <c r="F80" i="11"/>
  <c r="G80" i="11" s="1"/>
  <c r="F79" i="11"/>
  <c r="G79" i="11" s="1"/>
  <c r="F78" i="11"/>
  <c r="G78" i="11" s="1"/>
  <c r="F77" i="11"/>
  <c r="G77" i="11" s="1"/>
  <c r="F76" i="11"/>
  <c r="G76" i="11" s="1"/>
  <c r="F75" i="11"/>
  <c r="G75" i="11" s="1"/>
  <c r="F73" i="11"/>
  <c r="G73" i="11" s="1"/>
  <c r="F72" i="11"/>
  <c r="G72" i="11" s="1"/>
  <c r="F71" i="11"/>
  <c r="G71" i="11" s="1"/>
  <c r="F70" i="11"/>
  <c r="G70" i="11" s="1"/>
  <c r="F69" i="11"/>
  <c r="G69" i="11" s="1"/>
  <c r="F68" i="11"/>
  <c r="G68" i="11" s="1"/>
  <c r="F66" i="11"/>
  <c r="G66" i="11" s="1"/>
  <c r="F65" i="11"/>
  <c r="G65" i="11" s="1"/>
  <c r="F64" i="11"/>
  <c r="G64" i="11" s="1"/>
  <c r="F61" i="11"/>
  <c r="G61" i="11" s="1"/>
  <c r="F60" i="11"/>
  <c r="G60" i="11" s="1"/>
  <c r="F59" i="11"/>
  <c r="G59" i="11" s="1"/>
  <c r="F58" i="11"/>
  <c r="G58" i="11" s="1"/>
  <c r="F57" i="11"/>
  <c r="G57" i="11" s="1"/>
  <c r="F56" i="11"/>
  <c r="G56" i="11" s="1"/>
  <c r="F55" i="11"/>
  <c r="G55" i="11" s="1"/>
  <c r="F53" i="11"/>
  <c r="G53" i="11" s="1"/>
  <c r="F52" i="11"/>
  <c r="G52" i="11" s="1"/>
  <c r="F51" i="11"/>
  <c r="G51" i="11" s="1"/>
  <c r="F48" i="11"/>
  <c r="G48" i="11" s="1"/>
  <c r="F47" i="11"/>
  <c r="G47" i="11" s="1"/>
  <c r="F46" i="11"/>
  <c r="G46" i="11" s="1"/>
  <c r="F44" i="11"/>
  <c r="G44" i="11" s="1"/>
  <c r="F43" i="11"/>
  <c r="G43" i="11" s="1"/>
  <c r="F42" i="11"/>
  <c r="G42" i="11" s="1"/>
  <c r="F41" i="11"/>
  <c r="G41" i="11" s="1"/>
  <c r="F40" i="11"/>
  <c r="G40" i="11" s="1"/>
  <c r="F37" i="11"/>
  <c r="G37" i="11" s="1"/>
  <c r="F36" i="11"/>
  <c r="G36" i="11" s="1"/>
  <c r="F35" i="11"/>
  <c r="G35" i="11" s="1"/>
  <c r="F34" i="11"/>
  <c r="G34" i="11" s="1"/>
  <c r="F33" i="11"/>
  <c r="G33" i="11" s="1"/>
  <c r="F31" i="11"/>
  <c r="G31" i="11" s="1"/>
  <c r="F30" i="11"/>
  <c r="G30" i="11" s="1"/>
  <c r="F29" i="11"/>
  <c r="G29" i="11" s="1"/>
  <c r="F28" i="11"/>
  <c r="G28" i="11" s="1"/>
  <c r="F25" i="11"/>
  <c r="G25" i="11" s="1"/>
  <c r="F23" i="11"/>
  <c r="G23" i="11" s="1"/>
  <c r="F22" i="11"/>
  <c r="G22" i="11" s="1"/>
  <c r="F21" i="11"/>
  <c r="G21" i="11" s="1"/>
  <c r="F20" i="11"/>
  <c r="G20" i="11" s="1"/>
  <c r="F19" i="11"/>
  <c r="G19" i="11" s="1"/>
  <c r="F18" i="11"/>
  <c r="G18" i="11" s="1"/>
  <c r="F17" i="11"/>
  <c r="G17" i="11" s="1"/>
  <c r="F15" i="11"/>
  <c r="G15" i="11" s="1"/>
  <c r="F14" i="11"/>
  <c r="G14" i="11" s="1"/>
  <c r="F13" i="11"/>
  <c r="G13" i="11" s="1"/>
  <c r="F12" i="11"/>
  <c r="G12" i="11" s="1"/>
  <c r="F11" i="11"/>
  <c r="G11" i="11" s="1"/>
  <c r="F10" i="11"/>
  <c r="G10" i="11" s="1"/>
  <c r="F9" i="11"/>
  <c r="G9" i="11" s="1"/>
  <c r="F8" i="11"/>
  <c r="F7" i="11"/>
  <c r="F186" i="6"/>
  <c r="G186" i="6" s="1"/>
  <c r="F185" i="6"/>
  <c r="G185" i="6" s="1"/>
  <c r="F182" i="6"/>
  <c r="G182" i="6" s="1"/>
  <c r="F181" i="6"/>
  <c r="G181" i="6" s="1"/>
  <c r="F180" i="6"/>
  <c r="G180" i="6" s="1"/>
  <c r="F179" i="6"/>
  <c r="G179" i="6" s="1"/>
  <c r="F178" i="6"/>
  <c r="G178" i="6" s="1"/>
  <c r="F177" i="6"/>
  <c r="G177" i="6" s="1"/>
  <c r="F176" i="6"/>
  <c r="G176" i="6" s="1"/>
  <c r="F175" i="6"/>
  <c r="G175" i="6" s="1"/>
  <c r="F171" i="6"/>
  <c r="G171" i="6" s="1"/>
  <c r="F170" i="6"/>
  <c r="G170" i="6" s="1"/>
  <c r="F169" i="6"/>
  <c r="G169" i="6" s="1"/>
  <c r="F168" i="6"/>
  <c r="G168" i="6" s="1"/>
  <c r="F167" i="6"/>
  <c r="G167" i="6" s="1"/>
  <c r="F166" i="6"/>
  <c r="G166" i="6" s="1"/>
  <c r="F165" i="6"/>
  <c r="G165" i="6" s="1"/>
  <c r="F164" i="6"/>
  <c r="G164" i="6" s="1"/>
  <c r="F163" i="6"/>
  <c r="G163" i="6" s="1"/>
  <c r="F162" i="6"/>
  <c r="G162" i="6" s="1"/>
  <c r="F160" i="6"/>
  <c r="G160" i="6" s="1"/>
  <c r="F158" i="6"/>
  <c r="G158" i="6" s="1"/>
  <c r="F157" i="6"/>
  <c r="G157" i="6" s="1"/>
  <c r="F156" i="6"/>
  <c r="G156" i="6" s="1"/>
  <c r="F155" i="6"/>
  <c r="G155" i="6" s="1"/>
  <c r="F150" i="6"/>
  <c r="G150" i="6" s="1"/>
  <c r="F149" i="6"/>
  <c r="G149" i="6" s="1"/>
  <c r="F148" i="6"/>
  <c r="G148" i="6" s="1"/>
  <c r="F147" i="6"/>
  <c r="G147" i="6" s="1"/>
  <c r="F146" i="6"/>
  <c r="G146" i="6" s="1"/>
  <c r="F143" i="6"/>
  <c r="G143" i="6" s="1"/>
  <c r="F142" i="6"/>
  <c r="G142" i="6" s="1"/>
  <c r="F141" i="6"/>
  <c r="G141" i="6" s="1"/>
  <c r="F126" i="6"/>
  <c r="G126" i="6" s="1"/>
  <c r="F125" i="6"/>
  <c r="G125" i="6" s="1"/>
  <c r="F122" i="6"/>
  <c r="G122" i="6" s="1"/>
  <c r="F121" i="6"/>
  <c r="G121" i="6" s="1"/>
  <c r="F119" i="6"/>
  <c r="G119" i="6" s="1"/>
  <c r="F118" i="6"/>
  <c r="G118" i="6" s="1"/>
  <c r="F117" i="6"/>
  <c r="G117" i="6" s="1"/>
  <c r="F114" i="6"/>
  <c r="G114" i="6" s="1"/>
  <c r="F113" i="6"/>
  <c r="G113" i="6" s="1"/>
  <c r="F112" i="6"/>
  <c r="G112" i="6" s="1"/>
  <c r="F109" i="6"/>
  <c r="G109" i="6" s="1"/>
  <c r="F107" i="6"/>
  <c r="G107" i="6" s="1"/>
  <c r="F106" i="6"/>
  <c r="G106" i="6" s="1"/>
  <c r="F105" i="6"/>
  <c r="G105" i="6" s="1"/>
  <c r="F104" i="6"/>
  <c r="G104" i="6" s="1"/>
  <c r="F103" i="6"/>
  <c r="G103" i="6" s="1"/>
  <c r="F102" i="6"/>
  <c r="G102" i="6" s="1"/>
  <c r="F101" i="6"/>
  <c r="G101" i="6" s="1"/>
  <c r="F100" i="6"/>
  <c r="G100" i="6" s="1"/>
  <c r="F99" i="6"/>
  <c r="G99" i="6" s="1"/>
  <c r="F98" i="6"/>
  <c r="G98" i="6" s="1"/>
  <c r="F97" i="6"/>
  <c r="G97" i="6" s="1"/>
  <c r="F96" i="6"/>
  <c r="G96" i="6" s="1"/>
  <c r="F95" i="6"/>
  <c r="G95" i="6" s="1"/>
  <c r="F93" i="6"/>
  <c r="G93" i="6" s="1"/>
  <c r="F90" i="6"/>
  <c r="G90" i="6" s="1"/>
  <c r="F84" i="6"/>
  <c r="G84" i="6" s="1"/>
  <c r="F61" i="6"/>
  <c r="G61" i="6" s="1"/>
  <c r="F60" i="6"/>
  <c r="G60" i="6" s="1"/>
  <c r="F59" i="6"/>
  <c r="G59" i="6" s="1"/>
  <c r="F58" i="6"/>
  <c r="G58" i="6" s="1"/>
  <c r="F41" i="6"/>
  <c r="G41" i="6" s="1"/>
  <c r="F40" i="6"/>
  <c r="G40" i="6" s="1"/>
  <c r="F33" i="6"/>
  <c r="G33" i="6" s="1"/>
  <c r="F32" i="6"/>
  <c r="G32" i="6" s="1"/>
  <c r="F21" i="6"/>
  <c r="G21" i="6" s="1"/>
  <c r="F20" i="6"/>
  <c r="G20" i="6" s="1"/>
  <c r="F19" i="6"/>
  <c r="G19" i="6" s="1"/>
  <c r="F18" i="6"/>
  <c r="G18" i="6" s="1"/>
  <c r="F17" i="6"/>
  <c r="G17" i="6" s="1"/>
  <c r="F16" i="6"/>
  <c r="G16" i="6" s="1"/>
  <c r="F14" i="6"/>
  <c r="G14" i="6" s="1"/>
  <c r="F13" i="6"/>
  <c r="G13" i="6" s="1"/>
  <c r="F12" i="6"/>
  <c r="G12" i="6" s="1"/>
  <c r="F11" i="6"/>
  <c r="G11" i="6" s="1"/>
  <c r="F10" i="6"/>
  <c r="G10" i="6" s="1"/>
  <c r="F9" i="6"/>
  <c r="G9" i="6" s="1"/>
  <c r="F8" i="6"/>
  <c r="G8" i="6" s="1"/>
  <c r="F7" i="6"/>
  <c r="G7" i="11" l="1"/>
  <c r="A131" i="14"/>
  <c r="A132" i="14" s="1"/>
  <c r="A134" i="14" s="1"/>
  <c r="A135" i="14" s="1"/>
  <c r="A136" i="14" s="1"/>
  <c r="A137" i="14" s="1"/>
  <c r="A138" i="14" s="1"/>
  <c r="A139" i="14" s="1"/>
  <c r="G8" i="11"/>
  <c r="G7" i="6"/>
  <c r="A142" i="14" l="1"/>
  <c r="A143" i="14" s="1"/>
  <c r="A144" i="14" s="1"/>
  <c r="A145" i="14" s="1"/>
  <c r="A146" i="14" s="1"/>
  <c r="A147" i="14" s="1"/>
  <c r="A148" i="14" s="1"/>
  <c r="A149" i="14" s="1"/>
  <c r="A150" i="14" s="1"/>
  <c r="A151" i="14" s="1"/>
  <c r="A153" i="14" s="1"/>
  <c r="A154" i="14" s="1"/>
  <c r="A155" i="14" s="1"/>
  <c r="A156" i="14" s="1"/>
  <c r="A157" i="14" s="1"/>
  <c r="A158" i="14" s="1"/>
  <c r="F383" i="12"/>
  <c r="G383" i="12" s="1"/>
  <c r="F382" i="12"/>
  <c r="F376" i="12"/>
  <c r="G376" i="12" s="1"/>
  <c r="F374" i="12"/>
  <c r="G374" i="12" s="1"/>
  <c r="F372" i="12"/>
  <c r="G372" i="12" s="1"/>
  <c r="F371" i="12"/>
  <c r="G371" i="12" s="1"/>
  <c r="F354" i="12"/>
  <c r="G354" i="12" s="1"/>
  <c r="F353" i="12"/>
  <c r="G353" i="12" s="1"/>
  <c r="F349" i="12"/>
  <c r="G349" i="12" s="1"/>
  <c r="F348" i="12"/>
  <c r="G348" i="12" s="1"/>
  <c r="F347" i="12"/>
  <c r="G347" i="12" s="1"/>
  <c r="F346" i="12"/>
  <c r="G346" i="12" s="1"/>
  <c r="F341" i="12"/>
  <c r="G341" i="12" s="1"/>
  <c r="F340" i="12"/>
  <c r="G340" i="12" s="1"/>
  <c r="F336" i="12"/>
  <c r="G336" i="12" s="1"/>
  <c r="F335" i="12"/>
  <c r="G335" i="12" s="1"/>
  <c r="F334" i="12"/>
  <c r="G334" i="12" s="1"/>
  <c r="F333" i="12"/>
  <c r="G333" i="12" s="1"/>
  <c r="F329" i="12"/>
  <c r="G329" i="12" s="1"/>
  <c r="F328" i="12"/>
  <c r="G328" i="12" s="1"/>
  <c r="F327" i="12"/>
  <c r="G327" i="12" s="1"/>
  <c r="F293" i="12"/>
  <c r="G293" i="12" s="1"/>
  <c r="F290" i="12"/>
  <c r="G290" i="12" s="1"/>
  <c r="F289" i="12"/>
  <c r="G289" i="12" s="1"/>
  <c r="F288" i="12"/>
  <c r="G288" i="12" s="1"/>
  <c r="F283" i="12"/>
  <c r="G283" i="12" s="1"/>
  <c r="F282" i="12"/>
  <c r="G282" i="12" s="1"/>
  <c r="F281" i="12"/>
  <c r="G281" i="12" s="1"/>
  <c r="F280" i="12"/>
  <c r="G280" i="12" s="1"/>
  <c r="F279" i="12"/>
  <c r="G279" i="12" s="1"/>
  <c r="F278" i="12"/>
  <c r="G278" i="12" s="1"/>
  <c r="F277" i="12"/>
  <c r="G277" i="12" s="1"/>
  <c r="F276" i="12"/>
  <c r="G276" i="12" s="1"/>
  <c r="F275" i="12"/>
  <c r="G275" i="12" s="1"/>
  <c r="F274" i="12"/>
  <c r="G274" i="12" s="1"/>
  <c r="F272" i="12"/>
  <c r="G272" i="12" s="1"/>
  <c r="F271" i="12"/>
  <c r="G271" i="12" s="1"/>
  <c r="F270" i="12"/>
  <c r="G270" i="12" s="1"/>
  <c r="F269" i="12"/>
  <c r="G269" i="12" s="1"/>
  <c r="F268" i="12"/>
  <c r="G268" i="12" s="1"/>
  <c r="F267" i="12"/>
  <c r="G267" i="12" s="1"/>
  <c r="F266" i="12"/>
  <c r="G266" i="12" s="1"/>
  <c r="F265" i="12"/>
  <c r="G265" i="12" s="1"/>
  <c r="F264" i="12"/>
  <c r="G264" i="12" s="1"/>
  <c r="F263" i="12"/>
  <c r="G263" i="12" s="1"/>
  <c r="F153" i="12"/>
  <c r="G153" i="12" s="1"/>
  <c r="F152" i="12"/>
  <c r="G152" i="12" s="1"/>
  <c r="F151" i="12"/>
  <c r="G151" i="12" s="1"/>
  <c r="F150" i="12"/>
  <c r="G150" i="12" s="1"/>
  <c r="F149" i="12"/>
  <c r="G149" i="12" s="1"/>
  <c r="F148" i="12"/>
  <c r="G148" i="12" s="1"/>
  <c r="F147" i="12"/>
  <c r="G147" i="12" s="1"/>
  <c r="F145" i="12"/>
  <c r="G145" i="12" s="1"/>
  <c r="F144" i="12"/>
  <c r="G144" i="12" s="1"/>
  <c r="F143" i="12"/>
  <c r="G143" i="12" s="1"/>
  <c r="F142" i="12"/>
  <c r="G142" i="12" s="1"/>
  <c r="F141" i="12"/>
  <c r="G141" i="12" s="1"/>
  <c r="F140" i="12"/>
  <c r="G140" i="12" s="1"/>
  <c r="F139" i="12"/>
  <c r="G139" i="12" s="1"/>
  <c r="F138" i="12"/>
  <c r="G138" i="12" s="1"/>
  <c r="F137" i="12"/>
  <c r="G137" i="12" s="1"/>
  <c r="F136" i="12"/>
  <c r="G136" i="12" s="1"/>
  <c r="F132" i="12"/>
  <c r="G132" i="12" s="1"/>
  <c r="F131" i="12"/>
  <c r="G131" i="12" s="1"/>
  <c r="F130" i="12"/>
  <c r="G130" i="12" s="1"/>
  <c r="F129" i="12"/>
  <c r="G129" i="12" s="1"/>
  <c r="F128" i="12"/>
  <c r="G128" i="12" s="1"/>
  <c r="F127" i="12"/>
  <c r="G127" i="12" s="1"/>
  <c r="F126" i="12"/>
  <c r="G126" i="12" s="1"/>
  <c r="F124" i="12"/>
  <c r="G124" i="12" s="1"/>
  <c r="F123" i="12"/>
  <c r="G123" i="12" s="1"/>
  <c r="F122" i="12"/>
  <c r="G122" i="12" s="1"/>
  <c r="F121" i="12"/>
  <c r="G121" i="12" s="1"/>
  <c r="F120" i="12"/>
  <c r="G120" i="12" s="1"/>
  <c r="F119" i="12"/>
  <c r="G119" i="12" s="1"/>
  <c r="F118" i="12"/>
  <c r="G118" i="12" s="1"/>
  <c r="F117" i="12"/>
  <c r="G117" i="12" s="1"/>
  <c r="F116" i="12"/>
  <c r="G116" i="12" s="1"/>
  <c r="F115" i="12"/>
  <c r="G115" i="12" s="1"/>
  <c r="F34" i="12"/>
  <c r="G34" i="12" s="1"/>
  <c r="F33" i="12"/>
  <c r="G33" i="12" s="1"/>
  <c r="F32" i="12"/>
  <c r="G32" i="12" s="1"/>
  <c r="F31" i="12"/>
  <c r="G31" i="12" s="1"/>
  <c r="F30" i="12"/>
  <c r="G30" i="12" s="1"/>
  <c r="F29" i="12"/>
  <c r="G29" i="12" s="1"/>
  <c r="F28" i="12"/>
  <c r="G28" i="12" s="1"/>
  <c r="F27" i="12"/>
  <c r="G27" i="12" s="1"/>
  <c r="F26" i="12"/>
  <c r="G26" i="12" s="1"/>
  <c r="F25" i="12"/>
  <c r="G25" i="12" s="1"/>
  <c r="F24" i="12"/>
  <c r="G24" i="12" s="1"/>
  <c r="F23" i="12"/>
  <c r="G23" i="12" s="1"/>
  <c r="F22" i="12"/>
  <c r="G22" i="12" s="1"/>
  <c r="F21" i="12"/>
  <c r="G21" i="12" s="1"/>
  <c r="F20" i="12"/>
  <c r="G20" i="12" s="1"/>
  <c r="F19" i="12"/>
  <c r="G19" i="12" s="1"/>
  <c r="F18" i="12"/>
  <c r="G18" i="12" s="1"/>
  <c r="F16" i="12"/>
  <c r="G16" i="12" s="1"/>
  <c r="F15" i="12"/>
  <c r="G15" i="12" s="1"/>
  <c r="F14" i="12"/>
  <c r="G14" i="12" s="1"/>
  <c r="F13" i="12"/>
  <c r="G13" i="12" s="1"/>
  <c r="F12" i="12"/>
  <c r="G12" i="12" s="1"/>
  <c r="F11" i="12"/>
  <c r="G11" i="12" s="1"/>
  <c r="F10" i="12"/>
  <c r="G10" i="12" s="1"/>
  <c r="F9" i="12"/>
  <c r="G9" i="12" s="1"/>
  <c r="F8" i="12"/>
  <c r="G8" i="12" s="1"/>
  <c r="F7" i="12"/>
  <c r="G7" i="12" s="1"/>
  <c r="G4" i="12" s="1"/>
  <c r="F6" i="12"/>
  <c r="G6" i="12" s="1"/>
  <c r="G382" i="12" l="1"/>
  <c r="G387" i="12" s="1"/>
  <c r="G388" i="12" s="1"/>
  <c r="G389" i="12" s="1"/>
  <c r="F5" i="13" s="1"/>
  <c r="F387" i="12"/>
  <c r="F388" i="12" s="1"/>
  <c r="F389" i="12" s="1"/>
  <c r="C5" i="13" s="1"/>
  <c r="A160" i="14"/>
  <c r="A161" i="14" s="1"/>
  <c r="A162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6" i="14" s="1"/>
  <c r="A177" i="14" s="1"/>
  <c r="A178" i="14" s="1"/>
  <c r="A179" i="14" s="1"/>
  <c r="A180" i="14" s="1"/>
  <c r="A181" i="14" s="1"/>
  <c r="A183" i="14" s="1"/>
  <c r="A184" i="14" s="1"/>
  <c r="A185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9" i="14" s="1"/>
  <c r="A200" i="14" s="1"/>
  <c r="A201" i="14" s="1"/>
  <c r="A202" i="14" s="1"/>
  <c r="A203" i="14" s="1"/>
  <c r="A204" i="14" s="1"/>
  <c r="A206" i="14" s="1"/>
  <c r="A207" i="14" s="1"/>
  <c r="A208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2" i="14" s="1"/>
  <c r="A223" i="14" s="1"/>
  <c r="A224" i="14" s="1"/>
  <c r="A225" i="14" s="1"/>
  <c r="A226" i="14" s="1"/>
  <c r="A227" i="14" s="1"/>
  <c r="A229" i="14" s="1"/>
  <c r="A230" i="14" s="1"/>
  <c r="A231" i="14" s="1"/>
  <c r="A234" i="14" s="1"/>
  <c r="A235" i="14" s="1"/>
  <c r="A236" i="14" s="1"/>
  <c r="A237" i="14" s="1"/>
  <c r="A239" i="14" s="1"/>
  <c r="A240" i="14" s="1"/>
  <c r="A241" i="14" s="1"/>
  <c r="A242" i="14" s="1"/>
  <c r="A243" i="14" s="1"/>
  <c r="A244" i="14" s="1"/>
  <c r="A245" i="14" s="1"/>
  <c r="A247" i="14" s="1"/>
  <c r="A248" i="14" s="1"/>
  <c r="A249" i="14" s="1"/>
  <c r="A250" i="14" s="1"/>
  <c r="F279" i="7"/>
  <c r="G279" i="7" s="1"/>
  <c r="F273" i="7"/>
  <c r="G273" i="7" s="1"/>
  <c r="F272" i="7"/>
  <c r="G272" i="7" s="1"/>
  <c r="F259" i="7"/>
  <c r="G259" i="7" s="1"/>
  <c r="F258" i="7"/>
  <c r="G258" i="7" s="1"/>
  <c r="F257" i="7"/>
  <c r="G257" i="7" s="1"/>
  <c r="F252" i="7"/>
  <c r="G252" i="7" s="1"/>
  <c r="F251" i="7"/>
  <c r="G251" i="7" s="1"/>
  <c r="F250" i="7"/>
  <c r="G250" i="7" s="1"/>
  <c r="F246" i="7"/>
  <c r="F245" i="7"/>
  <c r="G245" i="7" s="1"/>
  <c r="F228" i="7"/>
  <c r="G228" i="7" s="1"/>
  <c r="F227" i="7"/>
  <c r="G227" i="7" s="1"/>
  <c r="F226" i="7"/>
  <c r="G226" i="7" s="1"/>
  <c r="F225" i="7"/>
  <c r="G225" i="7" s="1"/>
  <c r="F224" i="7"/>
  <c r="G224" i="7" s="1"/>
  <c r="F210" i="7"/>
  <c r="G210" i="7" s="1"/>
  <c r="F209" i="7"/>
  <c r="G209" i="7" s="1"/>
  <c r="F208" i="7"/>
  <c r="G208" i="7" s="1"/>
  <c r="F206" i="7"/>
  <c r="G206" i="7" s="1"/>
  <c r="F205" i="7"/>
  <c r="G205" i="7" s="1"/>
  <c r="F204" i="7"/>
  <c r="G204" i="7" s="1"/>
  <c r="F203" i="7"/>
  <c r="G203" i="7" s="1"/>
  <c r="F202" i="7"/>
  <c r="G202" i="7" s="1"/>
  <c r="F201" i="7"/>
  <c r="G201" i="7" s="1"/>
  <c r="F200" i="7"/>
  <c r="G200" i="7" s="1"/>
  <c r="F199" i="7"/>
  <c r="G199" i="7" s="1"/>
  <c r="F198" i="7"/>
  <c r="G198" i="7" s="1"/>
  <c r="F197" i="7"/>
  <c r="F196" i="7"/>
  <c r="G196" i="7" s="1"/>
  <c r="F195" i="7"/>
  <c r="G195" i="7" s="1"/>
  <c r="F116" i="7"/>
  <c r="G116" i="7" s="1"/>
  <c r="F115" i="7"/>
  <c r="G115" i="7" s="1"/>
  <c r="F111" i="7"/>
  <c r="G111" i="7" s="1"/>
  <c r="F110" i="7"/>
  <c r="G110" i="7" s="1"/>
  <c r="F108" i="7"/>
  <c r="G108" i="7" s="1"/>
  <c r="F107" i="7"/>
  <c r="G107" i="7" s="1"/>
  <c r="F103" i="7"/>
  <c r="G103" i="7" s="1"/>
  <c r="F102" i="7"/>
  <c r="G102" i="7" s="1"/>
  <c r="F98" i="7"/>
  <c r="G98" i="7" s="1"/>
  <c r="F97" i="7"/>
  <c r="G97" i="7" s="1"/>
  <c r="F95" i="7"/>
  <c r="G95" i="7" s="1"/>
  <c r="F94" i="7"/>
  <c r="G94" i="7" s="1"/>
  <c r="F26" i="7"/>
  <c r="G26" i="7" s="1"/>
  <c r="F25" i="7"/>
  <c r="G25" i="7" s="1"/>
  <c r="F24" i="7"/>
  <c r="G24" i="7" s="1"/>
  <c r="F23" i="7"/>
  <c r="G23" i="7" s="1"/>
  <c r="F22" i="7"/>
  <c r="G22" i="7" s="1"/>
  <c r="F21" i="7"/>
  <c r="G21" i="7" s="1"/>
  <c r="F20" i="7"/>
  <c r="G20" i="7" s="1"/>
  <c r="F13" i="7"/>
  <c r="G13" i="7" s="1"/>
  <c r="F12" i="7"/>
  <c r="G12" i="7" s="1"/>
  <c r="F11" i="7"/>
  <c r="G11" i="7" s="1"/>
  <c r="F10" i="7"/>
  <c r="G10" i="7" s="1"/>
  <c r="F9" i="7"/>
  <c r="G9" i="7" s="1"/>
  <c r="F8" i="7"/>
  <c r="G8" i="7" s="1"/>
  <c r="F7" i="7"/>
  <c r="G7" i="7" s="1"/>
  <c r="F6" i="7"/>
  <c r="G6" i="7" s="1"/>
  <c r="G197" i="7" l="1"/>
  <c r="G246" i="7"/>
  <c r="F56" i="10"/>
  <c r="G56" i="10" s="1"/>
  <c r="F55" i="10"/>
  <c r="G55" i="10" s="1"/>
  <c r="F54" i="10"/>
  <c r="G54" i="10" s="1"/>
  <c r="F52" i="10"/>
  <c r="G52" i="10" s="1"/>
  <c r="F51" i="10"/>
  <c r="G51" i="10" s="1"/>
  <c r="F50" i="10"/>
  <c r="G50" i="10" s="1"/>
  <c r="F47" i="10"/>
  <c r="G47" i="10" s="1"/>
  <c r="F46" i="10"/>
  <c r="G46" i="10" s="1"/>
  <c r="F43" i="10"/>
  <c r="G43" i="10" s="1"/>
  <c r="F42" i="10"/>
  <c r="G42" i="10" s="1"/>
  <c r="F41" i="10"/>
  <c r="G41" i="10" s="1"/>
  <c r="F39" i="10"/>
  <c r="G39" i="10" s="1"/>
  <c r="F38" i="10"/>
  <c r="G38" i="10" s="1"/>
  <c r="F37" i="10"/>
  <c r="G37" i="10" s="1"/>
  <c r="F34" i="10"/>
  <c r="G34" i="10" s="1"/>
  <c r="F33" i="10"/>
  <c r="G33" i="10" s="1"/>
  <c r="F30" i="10"/>
  <c r="G30" i="10" s="1"/>
  <c r="F29" i="10"/>
  <c r="G29" i="10" s="1"/>
  <c r="F28" i="10"/>
  <c r="G28" i="10" s="1"/>
  <c r="F26" i="10"/>
  <c r="G26" i="10" s="1"/>
  <c r="F25" i="10"/>
  <c r="G25" i="10" s="1"/>
  <c r="F24" i="10"/>
  <c r="G24" i="10" s="1"/>
  <c r="F21" i="10"/>
  <c r="G21" i="10" s="1"/>
  <c r="F17" i="10"/>
  <c r="G17" i="10" s="1"/>
  <c r="F16" i="10"/>
  <c r="G16" i="10" s="1"/>
  <c r="F15" i="10"/>
  <c r="G15" i="10" s="1"/>
  <c r="F13" i="10"/>
  <c r="G13" i="10" s="1"/>
  <c r="F12" i="10"/>
  <c r="G12" i="10" s="1"/>
  <c r="F11" i="10"/>
  <c r="G11" i="10" s="1"/>
  <c r="F8" i="10"/>
  <c r="G8" i="10" s="1"/>
  <c r="F35" i="5"/>
  <c r="G35" i="5" s="1"/>
  <c r="F34" i="5"/>
  <c r="G34" i="5" s="1"/>
  <c r="F33" i="5"/>
  <c r="G33" i="5" s="1"/>
  <c r="E40" i="5"/>
  <c r="F40" i="5" s="1"/>
  <c r="G40" i="5" s="1"/>
  <c r="F39" i="5"/>
  <c r="G39" i="5" s="1"/>
  <c r="E38" i="5"/>
  <c r="F38" i="5" s="1"/>
  <c r="G38" i="5" s="1"/>
  <c r="E37" i="5"/>
  <c r="F37" i="5" s="1"/>
  <c r="G37" i="5" s="1"/>
  <c r="E36" i="5"/>
  <c r="F36" i="5" s="1"/>
  <c r="G36" i="5" s="1"/>
  <c r="E31" i="5"/>
  <c r="F31" i="5" s="1"/>
  <c r="G31" i="5" s="1"/>
  <c r="F30" i="5"/>
  <c r="G30" i="5" s="1"/>
  <c r="E29" i="5"/>
  <c r="F29" i="5" s="1"/>
  <c r="G29" i="5" s="1"/>
  <c r="E28" i="5"/>
  <c r="F28" i="5" s="1"/>
  <c r="G28" i="5" s="1"/>
  <c r="E27" i="5"/>
  <c r="F27" i="5" s="1"/>
  <c r="G27" i="5" s="1"/>
  <c r="F26" i="5"/>
  <c r="G26" i="5" s="1"/>
  <c r="F25" i="5"/>
  <c r="G25" i="5" s="1"/>
  <c r="F24" i="5"/>
  <c r="G24" i="5" s="1"/>
  <c r="E22" i="5"/>
  <c r="F22" i="5" s="1"/>
  <c r="G22" i="5" s="1"/>
  <c r="F21" i="5"/>
  <c r="G21" i="5" s="1"/>
  <c r="E20" i="5"/>
  <c r="F20" i="5" s="1"/>
  <c r="G20" i="5" s="1"/>
  <c r="E19" i="5"/>
  <c r="F19" i="5" s="1"/>
  <c r="G19" i="5" s="1"/>
  <c r="E18" i="5"/>
  <c r="F18" i="5" s="1"/>
  <c r="G18" i="5" s="1"/>
  <c r="F17" i="5"/>
  <c r="G17" i="5" s="1"/>
  <c r="F16" i="5"/>
  <c r="G16" i="5" s="1"/>
  <c r="F15" i="5"/>
  <c r="G15" i="5" s="1"/>
  <c r="E11" i="5"/>
  <c r="F11" i="5" s="1"/>
  <c r="G11" i="5" s="1"/>
  <c r="E10" i="5"/>
  <c r="F10" i="5" s="1"/>
  <c r="G10" i="5" s="1"/>
  <c r="E13" i="5"/>
  <c r="F13" i="5" s="1"/>
  <c r="G13" i="5" s="1"/>
  <c r="E26" i="3"/>
  <c r="F12" i="5"/>
  <c r="G12" i="5" s="1"/>
  <c r="E9" i="5"/>
  <c r="F9" i="5" s="1"/>
  <c r="G9" i="5" s="1"/>
  <c r="F8" i="5"/>
  <c r="G8" i="5" s="1"/>
  <c r="F7" i="5"/>
  <c r="G7" i="5" s="1"/>
  <c r="F6" i="5"/>
  <c r="G6" i="5" s="1"/>
  <c r="F41" i="5" l="1"/>
  <c r="G41" i="5" l="1"/>
  <c r="A7" i="5"/>
  <c r="A8" i="5" s="1"/>
  <c r="A9" i="5" s="1"/>
  <c r="A10" i="5" s="1"/>
  <c r="A11" i="5" s="1"/>
  <c r="A12" i="5" s="1"/>
  <c r="A13" i="5" s="1"/>
  <c r="A15" i="5" s="1"/>
  <c r="A16" i="5" s="1"/>
  <c r="A17" i="5" s="1"/>
  <c r="A18" i="5" s="1"/>
  <c r="A19" i="5" s="1"/>
  <c r="A20" i="5" s="1"/>
  <c r="A21" i="5" s="1"/>
  <c r="A22" i="5" s="1"/>
  <c r="A24" i="5" s="1"/>
  <c r="A25" i="5" s="1"/>
  <c r="A26" i="5" s="1"/>
  <c r="A27" i="5" s="1"/>
  <c r="A28" i="5" s="1"/>
  <c r="A29" i="5" s="1"/>
  <c r="A30" i="5" s="1"/>
  <c r="A31" i="5" s="1"/>
  <c r="A33" i="5" s="1"/>
  <c r="A34" i="5" s="1"/>
  <c r="A35" i="5" s="1"/>
  <c r="A36" i="5" s="1"/>
  <c r="A37" i="5" s="1"/>
  <c r="A38" i="5" s="1"/>
  <c r="A39" i="5" s="1"/>
  <c r="A40" i="5" s="1"/>
  <c r="E16" i="9" l="1"/>
  <c r="F16" i="9" s="1"/>
  <c r="G16" i="9" s="1"/>
  <c r="E10" i="9"/>
  <c r="F10" i="9" s="1"/>
  <c r="G10" i="9" s="1"/>
  <c r="E14" i="9"/>
  <c r="E13" i="9"/>
  <c r="F13" i="9" s="1"/>
  <c r="G13" i="9" s="1"/>
  <c r="E12" i="9"/>
  <c r="F12" i="9" s="1"/>
  <c r="G12" i="9" s="1"/>
  <c r="E11" i="9"/>
  <c r="F11" i="9" s="1"/>
  <c r="G11" i="9" s="1"/>
  <c r="E9" i="9"/>
  <c r="F9" i="9" s="1"/>
  <c r="G9" i="9" s="1"/>
  <c r="F18" i="9"/>
  <c r="G18" i="9" s="1"/>
  <c r="F17" i="9"/>
  <c r="G17" i="9" s="1"/>
  <c r="F14" i="9"/>
  <c r="G14" i="9" s="1"/>
  <c r="F6" i="9"/>
  <c r="G6" i="9" s="1"/>
  <c r="F5" i="9"/>
  <c r="G5" i="9" s="1"/>
  <c r="E7" i="9"/>
  <c r="F7" i="9" s="1"/>
  <c r="G7" i="9" s="1"/>
  <c r="A6" i="9"/>
  <c r="A7" i="9" s="1"/>
  <c r="A9" i="9" s="1"/>
  <c r="A10" i="9" s="1"/>
  <c r="A11" i="9" s="1"/>
  <c r="A12" i="9" s="1"/>
  <c r="A13" i="9" s="1"/>
  <c r="A14" i="9" s="1"/>
  <c r="A16" i="9" s="1"/>
  <c r="A17" i="9" s="1"/>
  <c r="A5" i="4"/>
  <c r="A6" i="4" s="1"/>
  <c r="A7" i="4" s="1"/>
  <c r="A8" i="4" s="1"/>
  <c r="A9" i="4" s="1"/>
  <c r="A10" i="4" s="1"/>
  <c r="A11" i="4" s="1"/>
  <c r="E10" i="4"/>
  <c r="F10" i="4" s="1"/>
  <c r="G10" i="4" s="1"/>
  <c r="E9" i="4"/>
  <c r="F9" i="4" s="1"/>
  <c r="E8" i="4"/>
  <c r="F8" i="4" s="1"/>
  <c r="G8" i="4" s="1"/>
  <c r="E7" i="4"/>
  <c r="F7" i="4" s="1"/>
  <c r="G7" i="4" s="1"/>
  <c r="D6" i="4"/>
  <c r="E6" i="4"/>
  <c r="E5" i="4"/>
  <c r="F5" i="4" s="1"/>
  <c r="G5" i="4" s="1"/>
  <c r="E4" i="4"/>
  <c r="F4" i="4" s="1"/>
  <c r="G4" i="4" l="1"/>
  <c r="A18" i="9"/>
  <c r="G19" i="9"/>
  <c r="G20" i="9" s="1"/>
  <c r="G21" i="9" s="1"/>
  <c r="F19" i="9"/>
  <c r="F20" i="9" s="1"/>
  <c r="F21" i="9" s="1"/>
  <c r="G9" i="4"/>
  <c r="F6" i="4"/>
  <c r="G6" i="4" s="1"/>
  <c r="F12" i="4" l="1"/>
  <c r="G12" i="4"/>
  <c r="E5" i="8"/>
  <c r="F5" i="8" s="1"/>
  <c r="G5" i="8" s="1"/>
  <c r="E17" i="8"/>
  <c r="F17" i="8" s="1"/>
  <c r="G17" i="8" s="1"/>
  <c r="E16" i="8"/>
  <c r="F16" i="8" s="1"/>
  <c r="G16" i="8" s="1"/>
  <c r="E27" i="8"/>
  <c r="F27" i="8" s="1"/>
  <c r="G27" i="8" s="1"/>
  <c r="E8" i="8"/>
  <c r="F8" i="8" s="1"/>
  <c r="G8" i="8" s="1"/>
  <c r="E7" i="8"/>
  <c r="F7" i="8" s="1"/>
  <c r="G7" i="8" s="1"/>
  <c r="F34" i="8"/>
  <c r="G34" i="8" s="1"/>
  <c r="F33" i="8"/>
  <c r="G33" i="8" s="1"/>
  <c r="F32" i="8"/>
  <c r="G32" i="8" s="1"/>
  <c r="F31" i="8"/>
  <c r="G31" i="8" s="1"/>
  <c r="F30" i="8"/>
  <c r="G30" i="8" s="1"/>
  <c r="F29" i="8"/>
  <c r="G29" i="8" s="1"/>
  <c r="F28" i="8"/>
  <c r="G28" i="8" s="1"/>
  <c r="F26" i="8"/>
  <c r="G26" i="8" s="1"/>
  <c r="F25" i="8"/>
  <c r="G25" i="8" s="1"/>
  <c r="F21" i="8"/>
  <c r="G21" i="8" s="1"/>
  <c r="F19" i="8"/>
  <c r="G19" i="8" s="1"/>
  <c r="F18" i="8"/>
  <c r="G18" i="8" s="1"/>
  <c r="F13" i="8"/>
  <c r="G13" i="8" s="1"/>
  <c r="F11" i="8"/>
  <c r="G11" i="8" s="1"/>
  <c r="F10" i="8"/>
  <c r="G10" i="8" s="1"/>
  <c r="F6" i="8"/>
  <c r="G6" i="8" s="1"/>
  <c r="A6" i="8"/>
  <c r="A7" i="8" s="1"/>
  <c r="A8" i="8" s="1"/>
  <c r="A10" i="8" s="1"/>
  <c r="A11" i="8" s="1"/>
  <c r="A12" i="8" s="1"/>
  <c r="A13" i="8" s="1"/>
  <c r="A5" i="3"/>
  <c r="A6" i="3" s="1"/>
  <c r="A7" i="3" s="1"/>
  <c r="A8" i="3" s="1"/>
  <c r="A9" i="3" s="1"/>
  <c r="A10" i="3" s="1"/>
  <c r="A11" i="3" s="1"/>
  <c r="A12" i="3" s="1"/>
  <c r="F20" i="3"/>
  <c r="G20" i="3" s="1"/>
  <c r="F24" i="3"/>
  <c r="G24" i="3" s="1"/>
  <c r="E27" i="3"/>
  <c r="F27" i="3" s="1"/>
  <c r="G27" i="3" s="1"/>
  <c r="F26" i="3"/>
  <c r="G26" i="3" s="1"/>
  <c r="F23" i="3"/>
  <c r="G23" i="3" s="1"/>
  <c r="F21" i="3"/>
  <c r="G21" i="3" s="1"/>
  <c r="F22" i="3"/>
  <c r="G22" i="3" s="1"/>
  <c r="E16" i="3"/>
  <c r="F16" i="3" s="1"/>
  <c r="G16" i="3" s="1"/>
  <c r="E15" i="3"/>
  <c r="F15" i="3" s="1"/>
  <c r="G15" i="3" s="1"/>
  <c r="E11" i="3"/>
  <c r="F11" i="3" s="1"/>
  <c r="G11" i="3" s="1"/>
  <c r="E10" i="3"/>
  <c r="F10" i="3" s="1"/>
  <c r="G10" i="3" s="1"/>
  <c r="F17" i="3"/>
  <c r="G17" i="3" s="1"/>
  <c r="F12" i="3"/>
  <c r="G12" i="3" s="1"/>
  <c r="F9" i="3"/>
  <c r="G9" i="3" s="1"/>
  <c r="F8" i="3"/>
  <c r="G8" i="3" s="1"/>
  <c r="E7" i="3"/>
  <c r="E6" i="3"/>
  <c r="F6" i="3" s="1"/>
  <c r="G6" i="3" s="1"/>
  <c r="E5" i="3"/>
  <c r="E4" i="3"/>
  <c r="F4" i="3" s="1"/>
  <c r="G4" i="3" s="1"/>
  <c r="A15" i="3" l="1"/>
  <c r="A16" i="3" s="1"/>
  <c r="A17" i="3" s="1"/>
  <c r="A18" i="3" s="1"/>
  <c r="A19" i="3" s="1"/>
  <c r="A20" i="3" s="1"/>
  <c r="A21" i="3" s="1"/>
  <c r="A22" i="3" s="1"/>
  <c r="A23" i="3" s="1"/>
  <c r="A24" i="3" s="1"/>
  <c r="A13" i="3"/>
  <c r="A14" i="3" s="1"/>
  <c r="A14" i="8"/>
  <c r="A16" i="8" s="1"/>
  <c r="A17" i="8" s="1"/>
  <c r="A18" i="8" s="1"/>
  <c r="A19" i="8" s="1"/>
  <c r="A20" i="8" s="1"/>
  <c r="A21" i="8" s="1"/>
  <c r="F7" i="3"/>
  <c r="G7" i="3" s="1"/>
  <c r="G35" i="8"/>
  <c r="G36" i="8" s="1"/>
  <c r="G37" i="8" s="1"/>
  <c r="F3" i="13" s="1"/>
  <c r="F35" i="8"/>
  <c r="F36" i="8" s="1"/>
  <c r="F37" i="8" s="1"/>
  <c r="C3" i="13" s="1"/>
  <c r="A25" i="3" l="1"/>
  <c r="A26" i="3" s="1"/>
  <c r="A27" i="3" s="1"/>
  <c r="A28" i="3" s="1"/>
  <c r="A29" i="3" s="1"/>
  <c r="A25" i="8"/>
  <c r="A26" i="8" s="1"/>
  <c r="A27" i="8" s="1"/>
  <c r="A28" i="8" s="1"/>
  <c r="A29" i="8" s="1"/>
  <c r="A30" i="8" s="1"/>
  <c r="A31" i="8" s="1"/>
  <c r="A32" i="8" s="1"/>
  <c r="A33" i="8" s="1"/>
  <c r="A34" i="8" s="1"/>
  <c r="A22" i="8"/>
  <c r="A23" i="8" s="1"/>
  <c r="A24" i="8" s="1"/>
  <c r="F5" i="3"/>
  <c r="F30" i="3" s="1"/>
  <c r="D3" i="13" s="1"/>
  <c r="E3" i="13" l="1"/>
  <c r="G5" i="3"/>
  <c r="G30" i="3" s="1"/>
  <c r="G3" i="13" s="1"/>
  <c r="H3" i="13" l="1"/>
  <c r="A7" i="12"/>
  <c r="A8" i="12" s="1"/>
  <c r="A9" i="12" s="1"/>
  <c r="A10" i="12" s="1"/>
  <c r="A11" i="12" s="1"/>
  <c r="A12" i="12" s="1"/>
  <c r="A13" i="12" s="1"/>
  <c r="A14" i="12" s="1"/>
  <c r="A15" i="12" s="1"/>
  <c r="A16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D244" i="7"/>
  <c r="F244" i="7" s="1"/>
  <c r="G244" i="7" s="1"/>
  <c r="D207" i="7"/>
  <c r="F207" i="7" s="1"/>
  <c r="G207" i="7" s="1"/>
  <c r="D194" i="7"/>
  <c r="F194" i="7" s="1"/>
  <c r="G194" i="7" s="1"/>
  <c r="D114" i="7"/>
  <c r="F114" i="7" s="1"/>
  <c r="G114" i="7" s="1"/>
  <c r="D113" i="7"/>
  <c r="F113" i="7" s="1"/>
  <c r="G113" i="7" s="1"/>
  <c r="D112" i="7"/>
  <c r="F112" i="7" s="1"/>
  <c r="G112" i="7" s="1"/>
  <c r="D106" i="7"/>
  <c r="F106" i="7" s="1"/>
  <c r="G106" i="7" s="1"/>
  <c r="D101" i="7"/>
  <c r="F101" i="7" s="1"/>
  <c r="G101" i="7" s="1"/>
  <c r="D100" i="7"/>
  <c r="F100" i="7" s="1"/>
  <c r="G100" i="7" s="1"/>
  <c r="D99" i="7"/>
  <c r="F99" i="7" s="1"/>
  <c r="G99" i="7" s="1"/>
  <c r="D93" i="7"/>
  <c r="F93" i="7" s="1"/>
  <c r="G93" i="7" s="1"/>
  <c r="D19" i="7"/>
  <c r="F19" i="7" s="1"/>
  <c r="G19" i="7" s="1"/>
  <c r="D18" i="7"/>
  <c r="F18" i="7" s="1"/>
  <c r="G18" i="7" s="1"/>
  <c r="D17" i="7"/>
  <c r="F17" i="7" s="1"/>
  <c r="G17" i="7" s="1"/>
  <c r="D16" i="7"/>
  <c r="F16" i="7" s="1"/>
  <c r="G16" i="7" s="1"/>
  <c r="D15" i="7"/>
  <c r="F15" i="7" s="1"/>
  <c r="G15" i="7" s="1"/>
  <c r="D14" i="7"/>
  <c r="F14" i="7" s="1"/>
  <c r="A6" i="7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F5" i="7"/>
  <c r="F280" i="7" l="1"/>
  <c r="D5" i="13" s="1"/>
  <c r="G14" i="7"/>
  <c r="A27" i="7"/>
  <c r="A29" i="7" s="1"/>
  <c r="A30" i="7" s="1"/>
  <c r="A31" i="7" s="1"/>
  <c r="A35" i="12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50" i="12" s="1"/>
  <c r="A51" i="12" s="1"/>
  <c r="A52" i="12" s="1"/>
  <c r="A53" i="12" s="1"/>
  <c r="A54" i="12" s="1"/>
  <c r="A55" i="12" s="1"/>
  <c r="A56" i="12" s="1"/>
  <c r="A57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1" i="12" s="1"/>
  <c r="A72" i="12" s="1"/>
  <c r="A73" i="12" s="1"/>
  <c r="A74" i="12" s="1"/>
  <c r="G5" i="7"/>
  <c r="F153" i="11"/>
  <c r="G153" i="11" s="1"/>
  <c r="F141" i="11"/>
  <c r="G141" i="11" s="1"/>
  <c r="D110" i="11"/>
  <c r="F110" i="11" s="1"/>
  <c r="A8" i="11"/>
  <c r="A9" i="11" s="1"/>
  <c r="A10" i="11" s="1"/>
  <c r="A11" i="11" s="1"/>
  <c r="A12" i="11" s="1"/>
  <c r="A13" i="11" s="1"/>
  <c r="A14" i="11" s="1"/>
  <c r="A15" i="11" s="1"/>
  <c r="A17" i="11" s="1"/>
  <c r="A18" i="11" s="1"/>
  <c r="A19" i="11" s="1"/>
  <c r="A20" i="11" s="1"/>
  <c r="A21" i="11" s="1"/>
  <c r="A22" i="11" s="1"/>
  <c r="A23" i="11" s="1"/>
  <c r="A25" i="11" s="1"/>
  <c r="A28" i="11" s="1"/>
  <c r="A29" i="11" s="1"/>
  <c r="A30" i="11" s="1"/>
  <c r="A31" i="11" s="1"/>
  <c r="A33" i="11" s="1"/>
  <c r="A34" i="11" s="1"/>
  <c r="A35" i="11" s="1"/>
  <c r="A36" i="11" s="1"/>
  <c r="A37" i="11" s="1"/>
  <c r="A40" i="11" s="1"/>
  <c r="A41" i="11" s="1"/>
  <c r="A42" i="11" s="1"/>
  <c r="A43" i="11" s="1"/>
  <c r="A44" i="11" s="1"/>
  <c r="A46" i="11" s="1"/>
  <c r="A47" i="11" s="1"/>
  <c r="A48" i="11" s="1"/>
  <c r="A51" i="11" s="1"/>
  <c r="A52" i="11" s="1"/>
  <c r="A53" i="11" s="1"/>
  <c r="A55" i="11" s="1"/>
  <c r="A56" i="11" s="1"/>
  <c r="A57" i="11" s="1"/>
  <c r="A58" i="11" s="1"/>
  <c r="A59" i="11" s="1"/>
  <c r="A60" i="11" s="1"/>
  <c r="A61" i="11" s="1"/>
  <c r="A64" i="11" s="1"/>
  <c r="A65" i="11" s="1"/>
  <c r="A66" i="11" s="1"/>
  <c r="A68" i="11" s="1"/>
  <c r="A69" i="11" s="1"/>
  <c r="A70" i="11" s="1"/>
  <c r="A71" i="11" s="1"/>
  <c r="A72" i="11" s="1"/>
  <c r="A73" i="11" s="1"/>
  <c r="A75" i="11" s="1"/>
  <c r="A76" i="11" s="1"/>
  <c r="A77" i="11" s="1"/>
  <c r="A78" i="11" s="1"/>
  <c r="A79" i="11" s="1"/>
  <c r="A80" i="11" s="1"/>
  <c r="A81" i="11" s="1"/>
  <c r="A82" i="11" s="1"/>
  <c r="A85" i="11" s="1"/>
  <c r="A86" i="11" s="1"/>
  <c r="A87" i="11" s="1"/>
  <c r="A88" i="11" s="1"/>
  <c r="A89" i="11" s="1"/>
  <c r="A90" i="11" s="1"/>
  <c r="A92" i="11" s="1"/>
  <c r="A93" i="11" s="1"/>
  <c r="A94" i="11" s="1"/>
  <c r="A95" i="11" s="1"/>
  <c r="A96" i="11" s="1"/>
  <c r="A97" i="11" s="1"/>
  <c r="A98" i="11" s="1"/>
  <c r="A99" i="11" s="1"/>
  <c r="E5" i="13" l="1"/>
  <c r="G280" i="7"/>
  <c r="G5" i="13" s="1"/>
  <c r="A75" i="12"/>
  <c r="A76" i="12" s="1"/>
  <c r="A77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1" i="12" s="1"/>
  <c r="A112" i="12" s="1"/>
  <c r="A115" i="12"/>
  <c r="A116" i="12" s="1"/>
  <c r="A117" i="12" s="1"/>
  <c r="A118" i="12" s="1"/>
  <c r="A119" i="12" s="1"/>
  <c r="A120" i="12" s="1"/>
  <c r="A121" i="12" s="1"/>
  <c r="A122" i="12" s="1"/>
  <c r="A123" i="12" s="1"/>
  <c r="A124" i="12" s="1"/>
  <c r="A126" i="12" s="1"/>
  <c r="A127" i="12" s="1"/>
  <c r="A128" i="12" s="1"/>
  <c r="A129" i="12" s="1"/>
  <c r="A130" i="12" s="1"/>
  <c r="A131" i="12" s="1"/>
  <c r="A132" i="12" s="1"/>
  <c r="A133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5" i="12" s="1"/>
  <c r="A147" i="12" s="1"/>
  <c r="A148" i="12" s="1"/>
  <c r="A149" i="12" s="1"/>
  <c r="A150" i="12" s="1"/>
  <c r="A151" i="12" s="1"/>
  <c r="A152" i="12" s="1"/>
  <c r="A153" i="12" s="1"/>
  <c r="A93" i="7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6" i="7" s="1"/>
  <c r="A107" i="7" s="1"/>
  <c r="A108" i="7" s="1"/>
  <c r="A101" i="11"/>
  <c r="A102" i="11" s="1"/>
  <c r="A104" i="11" s="1"/>
  <c r="A105" i="11" s="1"/>
  <c r="A106" i="11" s="1"/>
  <c r="A110" i="11" s="1"/>
  <c r="A111" i="11" s="1"/>
  <c r="A112" i="11" s="1"/>
  <c r="A113" i="11" s="1"/>
  <c r="A114" i="11" s="1"/>
  <c r="A115" i="11" s="1"/>
  <c r="A116" i="11" s="1"/>
  <c r="A118" i="11" s="1"/>
  <c r="A119" i="11" s="1"/>
  <c r="A120" i="11" s="1"/>
  <c r="A122" i="11" s="1"/>
  <c r="A124" i="11" s="1"/>
  <c r="A125" i="11" s="1"/>
  <c r="A126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G110" i="11"/>
  <c r="H5" i="13" l="1"/>
  <c r="A140" i="11"/>
  <c r="A141" i="11" s="1"/>
  <c r="A142" i="11" s="1"/>
  <c r="A143" i="11" s="1"/>
  <c r="A144" i="11" s="1"/>
  <c r="A32" i="7"/>
  <c r="A33" i="7" s="1"/>
  <c r="A34" i="7" s="1"/>
  <c r="A35" i="7" s="1"/>
  <c r="A36" i="7" s="1"/>
  <c r="A37" i="7" s="1"/>
  <c r="A38" i="7" s="1"/>
  <c r="A39" i="7" s="1"/>
  <c r="A40" i="7" s="1"/>
  <c r="A42" i="7" s="1"/>
  <c r="A43" i="7" s="1"/>
  <c r="A44" i="7" s="1"/>
  <c r="A110" i="7"/>
  <c r="A111" i="7" s="1"/>
  <c r="A112" i="7" s="1"/>
  <c r="A113" i="7" s="1"/>
  <c r="A114" i="7" s="1"/>
  <c r="A115" i="7" s="1"/>
  <c r="A116" i="7" s="1"/>
  <c r="A117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09" i="7"/>
  <c r="A154" i="12"/>
  <c r="A158" i="12" s="1"/>
  <c r="A159" i="12" s="1"/>
  <c r="A160" i="12" s="1"/>
  <c r="A161" i="12" s="1"/>
  <c r="A162" i="12" s="1"/>
  <c r="A163" i="12" s="1"/>
  <c r="A165" i="12" s="1"/>
  <c r="A166" i="12" s="1"/>
  <c r="A167" i="12" s="1"/>
  <c r="A168" i="12" s="1"/>
  <c r="A169" i="12" s="1"/>
  <c r="A173" i="12" s="1"/>
  <c r="A174" i="12" s="1"/>
  <c r="A175" i="12" s="1"/>
  <c r="A176" i="12" s="1"/>
  <c r="A177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7" i="12" s="1"/>
  <c r="A189" i="12" s="1"/>
  <c r="A191" i="12" s="1"/>
  <c r="A192" i="12" s="1"/>
  <c r="A194" i="12" s="1"/>
  <c r="A195" i="12" s="1"/>
  <c r="A196" i="12" s="1"/>
  <c r="A197" i="12" s="1"/>
  <c r="A198" i="12" s="1"/>
  <c r="D48" i="10"/>
  <c r="F48" i="10" s="1"/>
  <c r="G48" i="10" s="1"/>
  <c r="D35" i="10"/>
  <c r="F35" i="10" s="1"/>
  <c r="G35" i="10" s="1"/>
  <c r="D22" i="10"/>
  <c r="F22" i="10" s="1"/>
  <c r="G22" i="10" s="1"/>
  <c r="D20" i="10"/>
  <c r="F20" i="10" s="1"/>
  <c r="G20" i="10" s="1"/>
  <c r="D9" i="10"/>
  <c r="F9" i="10" s="1"/>
  <c r="G9" i="10" s="1"/>
  <c r="D7" i="10"/>
  <c r="F7" i="10" s="1"/>
  <c r="A8" i="10"/>
  <c r="A9" i="10" s="1"/>
  <c r="A10" i="10" s="1"/>
  <c r="A15" i="10" s="1"/>
  <c r="A16" i="10" s="1"/>
  <c r="A17" i="10" s="1"/>
  <c r="A20" i="10" s="1"/>
  <c r="A21" i="10" s="1"/>
  <c r="A22" i="10" s="1"/>
  <c r="A23" i="10" s="1"/>
  <c r="A28" i="10" s="1"/>
  <c r="A29" i="10" s="1"/>
  <c r="A30" i="10" s="1"/>
  <c r="A33" i="10" s="1"/>
  <c r="A34" i="10" s="1"/>
  <c r="A35" i="10" s="1"/>
  <c r="A36" i="10" s="1"/>
  <c r="A41" i="10" s="1"/>
  <c r="A42" i="10" s="1"/>
  <c r="A43" i="10" s="1"/>
  <c r="A46" i="10" s="1"/>
  <c r="A47" i="10" s="1"/>
  <c r="A48" i="10" s="1"/>
  <c r="A49" i="10" s="1"/>
  <c r="A54" i="10" s="1"/>
  <c r="A55" i="10" s="1"/>
  <c r="A56" i="10" s="1"/>
  <c r="G7" i="10" l="1"/>
  <c r="F57" i="10"/>
  <c r="A145" i="11"/>
  <c r="A147" i="11"/>
  <c r="A148" i="11" s="1"/>
  <c r="A149" i="11" s="1"/>
  <c r="A150" i="11" s="1"/>
  <c r="A151" i="11" s="1"/>
  <c r="A153" i="11" s="1"/>
  <c r="A154" i="11" s="1"/>
  <c r="A155" i="11" s="1"/>
  <c r="A156" i="11" s="1"/>
  <c r="A157" i="11" s="1"/>
  <c r="A158" i="11" s="1"/>
  <c r="A159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5" i="11" s="1"/>
  <c r="A186" i="11" s="1"/>
  <c r="A187" i="11" s="1"/>
  <c r="A188" i="11" s="1"/>
  <c r="A189" i="11" s="1"/>
  <c r="A45" i="7"/>
  <c r="A46" i="7" s="1"/>
  <c r="A47" i="7" s="1"/>
  <c r="A48" i="7" s="1"/>
  <c r="A49" i="7" s="1"/>
  <c r="A50" i="7" s="1"/>
  <c r="A51" i="7" s="1"/>
  <c r="A52" i="7" s="1"/>
  <c r="A53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130" i="7"/>
  <c r="A131" i="7" s="1"/>
  <c r="A132" i="7" s="1"/>
  <c r="A133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6" i="7" s="1"/>
  <c r="A167" i="7" s="1"/>
  <c r="A168" i="7" s="1"/>
  <c r="A169" i="7" s="1"/>
  <c r="A170" i="7" s="1"/>
  <c r="A171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6" i="7" s="1"/>
  <c r="A187" i="7" s="1"/>
  <c r="A188" i="7" s="1"/>
  <c r="A189" i="7" s="1"/>
  <c r="A190" i="7" s="1"/>
  <c r="A191" i="7" s="1"/>
  <c r="A192" i="7" s="1"/>
  <c r="A214" i="12"/>
  <c r="A215" i="12" s="1"/>
  <c r="A218" i="12" s="1"/>
  <c r="A219" i="12" s="1"/>
  <c r="A220" i="12" s="1"/>
  <c r="A221" i="12" s="1"/>
  <c r="A222" i="12" s="1"/>
  <c r="A223" i="12" s="1"/>
  <c r="A224" i="12" s="1"/>
  <c r="A225" i="12" s="1"/>
  <c r="A226" i="12" s="1"/>
  <c r="G57" i="10"/>
  <c r="G58" i="10" s="1"/>
  <c r="G59" i="10" s="1"/>
  <c r="F58" i="10" l="1"/>
  <c r="F59" i="10"/>
  <c r="A194" i="7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28" i="12"/>
  <c r="A227" i="12"/>
  <c r="A229" i="12" s="1"/>
  <c r="A190" i="11"/>
  <c r="A191" i="11" s="1"/>
  <c r="A192" i="11" s="1"/>
  <c r="A193" i="11" s="1"/>
  <c r="A194" i="11" s="1"/>
  <c r="A195" i="11" s="1"/>
  <c r="D174" i="6"/>
  <c r="F174" i="6" s="1"/>
  <c r="G174" i="6" s="1"/>
  <c r="D173" i="6"/>
  <c r="F173" i="6" s="1"/>
  <c r="G173" i="6" s="1"/>
  <c r="D172" i="6"/>
  <c r="F172" i="6" s="1"/>
  <c r="G172" i="6" s="1"/>
  <c r="D161" i="6"/>
  <c r="F161" i="6" s="1"/>
  <c r="G161" i="6" s="1"/>
  <c r="D140" i="6"/>
  <c r="F140" i="6" s="1"/>
  <c r="G140" i="6" s="1"/>
  <c r="D139" i="6"/>
  <c r="F139" i="6" s="1"/>
  <c r="G139" i="6" s="1"/>
  <c r="D138" i="6"/>
  <c r="F138" i="6" s="1"/>
  <c r="G138" i="6" s="1"/>
  <c r="D137" i="6"/>
  <c r="F137" i="6" s="1"/>
  <c r="G137" i="6" s="1"/>
  <c r="D136" i="6"/>
  <c r="F136" i="6" s="1"/>
  <c r="G136" i="6" s="1"/>
  <c r="D135" i="6"/>
  <c r="F135" i="6" s="1"/>
  <c r="G135" i="6" s="1"/>
  <c r="D134" i="6"/>
  <c r="F134" i="6" s="1"/>
  <c r="G134" i="6" s="1"/>
  <c r="D133" i="6"/>
  <c r="F133" i="6" s="1"/>
  <c r="G133" i="6" s="1"/>
  <c r="D132" i="6"/>
  <c r="F132" i="6" s="1"/>
  <c r="G132" i="6" s="1"/>
  <c r="D131" i="6"/>
  <c r="F131" i="6" s="1"/>
  <c r="G131" i="6" s="1"/>
  <c r="D130" i="6"/>
  <c r="F130" i="6" s="1"/>
  <c r="G130" i="6" s="1"/>
  <c r="D129" i="6"/>
  <c r="F129" i="6" s="1"/>
  <c r="G129" i="6" s="1"/>
  <c r="D128" i="6"/>
  <c r="F128" i="6" s="1"/>
  <c r="G128" i="6" s="1"/>
  <c r="D124" i="6"/>
  <c r="F124" i="6" s="1"/>
  <c r="G124" i="6" s="1"/>
  <c r="D123" i="6"/>
  <c r="F123" i="6" s="1"/>
  <c r="G123" i="6" s="1"/>
  <c r="D120" i="6"/>
  <c r="F120" i="6" s="1"/>
  <c r="G120" i="6" s="1"/>
  <c r="D111" i="6"/>
  <c r="F111" i="6" s="1"/>
  <c r="G111" i="6" s="1"/>
  <c r="D110" i="6"/>
  <c r="F110" i="6" s="1"/>
  <c r="G110" i="6" s="1"/>
  <c r="D108" i="6"/>
  <c r="F108" i="6" s="1"/>
  <c r="G108" i="6" s="1"/>
  <c r="D92" i="6"/>
  <c r="F92" i="6" s="1"/>
  <c r="G92" i="6" s="1"/>
  <c r="D91" i="6"/>
  <c r="F91" i="6" s="1"/>
  <c r="G91" i="6" s="1"/>
  <c r="D89" i="6"/>
  <c r="F89" i="6" s="1"/>
  <c r="G89" i="6" s="1"/>
  <c r="D88" i="6"/>
  <c r="F88" i="6" s="1"/>
  <c r="G88" i="6" s="1"/>
  <c r="D87" i="6"/>
  <c r="F87" i="6" s="1"/>
  <c r="G87" i="6" s="1"/>
  <c r="D83" i="6"/>
  <c r="F83" i="6" s="1"/>
  <c r="G83" i="6" s="1"/>
  <c r="D82" i="6"/>
  <c r="F82" i="6" s="1"/>
  <c r="G82" i="6" s="1"/>
  <c r="D81" i="6"/>
  <c r="F81" i="6" s="1"/>
  <c r="G81" i="6" s="1"/>
  <c r="D80" i="6"/>
  <c r="F80" i="6" s="1"/>
  <c r="G80" i="6" s="1"/>
  <c r="D79" i="6"/>
  <c r="F79" i="6" s="1"/>
  <c r="G79" i="6" s="1"/>
  <c r="D78" i="6"/>
  <c r="F78" i="6" s="1"/>
  <c r="G78" i="6" s="1"/>
  <c r="D77" i="6"/>
  <c r="F77" i="6" s="1"/>
  <c r="G77" i="6" s="1"/>
  <c r="D76" i="6"/>
  <c r="F76" i="6" s="1"/>
  <c r="G76" i="6" s="1"/>
  <c r="D75" i="6"/>
  <c r="F75" i="6" s="1"/>
  <c r="G75" i="6" s="1"/>
  <c r="D74" i="6"/>
  <c r="F74" i="6" s="1"/>
  <c r="G74" i="6" s="1"/>
  <c r="D73" i="6"/>
  <c r="F73" i="6" s="1"/>
  <c r="G73" i="6" s="1"/>
  <c r="D71" i="6"/>
  <c r="F71" i="6" s="1"/>
  <c r="G71" i="6" s="1"/>
  <c r="D70" i="6"/>
  <c r="F70" i="6" s="1"/>
  <c r="G70" i="6" s="1"/>
  <c r="D69" i="6"/>
  <c r="F69" i="6" s="1"/>
  <c r="G69" i="6" s="1"/>
  <c r="D68" i="6"/>
  <c r="F68" i="6" s="1"/>
  <c r="G68" i="6" s="1"/>
  <c r="D67" i="6"/>
  <c r="F67" i="6" s="1"/>
  <c r="G67" i="6" s="1"/>
  <c r="D66" i="6"/>
  <c r="F66" i="6" s="1"/>
  <c r="G66" i="6" s="1"/>
  <c r="D65" i="6"/>
  <c r="F65" i="6" s="1"/>
  <c r="G65" i="6" s="1"/>
  <c r="D64" i="6"/>
  <c r="F64" i="6" s="1"/>
  <c r="G64" i="6" s="1"/>
  <c r="D63" i="6"/>
  <c r="F63" i="6" s="1"/>
  <c r="G63" i="6" s="1"/>
  <c r="D57" i="6"/>
  <c r="F57" i="6" s="1"/>
  <c r="G57" i="6" s="1"/>
  <c r="D56" i="6"/>
  <c r="F56" i="6" s="1"/>
  <c r="G56" i="6" s="1"/>
  <c r="D55" i="6"/>
  <c r="F55" i="6" s="1"/>
  <c r="G55" i="6" s="1"/>
  <c r="D54" i="6"/>
  <c r="F54" i="6" s="1"/>
  <c r="G54" i="6" s="1"/>
  <c r="D53" i="6"/>
  <c r="F53" i="6" s="1"/>
  <c r="G53" i="6" s="1"/>
  <c r="D52" i="6"/>
  <c r="F52" i="6" s="1"/>
  <c r="G52" i="6" s="1"/>
  <c r="D49" i="6"/>
  <c r="F49" i="6" s="1"/>
  <c r="G49" i="6" s="1"/>
  <c r="D48" i="6"/>
  <c r="F48" i="6" s="1"/>
  <c r="G48" i="6" s="1"/>
  <c r="D47" i="6"/>
  <c r="F47" i="6" s="1"/>
  <c r="G47" i="6" s="1"/>
  <c r="D46" i="6"/>
  <c r="F46" i="6" s="1"/>
  <c r="G46" i="6" s="1"/>
  <c r="D45" i="6"/>
  <c r="F45" i="6" s="1"/>
  <c r="G45" i="6" s="1"/>
  <c r="D44" i="6"/>
  <c r="F44" i="6" s="1"/>
  <c r="G44" i="6" s="1"/>
  <c r="D43" i="6"/>
  <c r="F43" i="6" s="1"/>
  <c r="G43" i="6" s="1"/>
  <c r="D39" i="6"/>
  <c r="F39" i="6" s="1"/>
  <c r="G39" i="6" s="1"/>
  <c r="D38" i="6"/>
  <c r="F38" i="6" s="1"/>
  <c r="G38" i="6" s="1"/>
  <c r="D37" i="6"/>
  <c r="F37" i="6" s="1"/>
  <c r="G37" i="6" s="1"/>
  <c r="D36" i="6"/>
  <c r="F36" i="6" s="1"/>
  <c r="G36" i="6" s="1"/>
  <c r="D35" i="6"/>
  <c r="F35" i="6" s="1"/>
  <c r="G35" i="6" s="1"/>
  <c r="D31" i="6"/>
  <c r="F31" i="6" s="1"/>
  <c r="G31" i="6" s="1"/>
  <c r="D30" i="6"/>
  <c r="F30" i="6" s="1"/>
  <c r="G30" i="6" s="1"/>
  <c r="D29" i="6"/>
  <c r="F29" i="6" s="1"/>
  <c r="G29" i="6" s="1"/>
  <c r="D28" i="6"/>
  <c r="F28" i="6" s="1"/>
  <c r="G28" i="6" s="1"/>
  <c r="D27" i="6"/>
  <c r="F27" i="6" s="1"/>
  <c r="G27" i="6" s="1"/>
  <c r="D26" i="6"/>
  <c r="F26" i="6" s="1"/>
  <c r="G26" i="6" s="1"/>
  <c r="D25" i="6"/>
  <c r="F25" i="6" s="1"/>
  <c r="G25" i="6" s="1"/>
  <c r="D24" i="6"/>
  <c r="F24" i="6" s="1"/>
  <c r="A8" i="6"/>
  <c r="A9" i="6" s="1"/>
  <c r="A10" i="6" s="1"/>
  <c r="A11" i="6" s="1"/>
  <c r="A12" i="6" s="1"/>
  <c r="A13" i="6" s="1"/>
  <c r="A14" i="6" s="1"/>
  <c r="A16" i="6" s="1"/>
  <c r="A17" i="6" s="1"/>
  <c r="A18" i="6" s="1"/>
  <c r="A19" i="6" s="1"/>
  <c r="A20" i="6" s="1"/>
  <c r="A21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5" i="6" s="1"/>
  <c r="A36" i="6" s="1"/>
  <c r="A37" i="6" s="1"/>
  <c r="A38" i="6" s="1"/>
  <c r="A39" i="6" s="1"/>
  <c r="A40" i="6" s="1"/>
  <c r="A41" i="6" s="1"/>
  <c r="A42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3" i="6" s="1"/>
  <c r="A64" i="6" s="1"/>
  <c r="A65" i="6" s="1"/>
  <c r="A66" i="6" s="1"/>
  <c r="A67" i="6" s="1"/>
  <c r="A68" i="6" s="1"/>
  <c r="A69" i="6" s="1"/>
  <c r="A70" i="6" s="1"/>
  <c r="A71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7" i="6" s="1"/>
  <c r="A88" i="6" s="1"/>
  <c r="A89" i="6" s="1"/>
  <c r="A90" i="6" s="1"/>
  <c r="A91" i="6" s="1"/>
  <c r="A92" i="6" s="1"/>
  <c r="A93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6" i="6" s="1"/>
  <c r="A147" i="6" s="1"/>
  <c r="A148" i="6" s="1"/>
  <c r="A149" i="6" s="1"/>
  <c r="A150" i="6" s="1"/>
  <c r="F301" i="6" l="1"/>
  <c r="D14" i="13" s="1"/>
  <c r="A196" i="11"/>
  <c r="A197" i="11" s="1"/>
  <c r="A198" i="11" s="1"/>
  <c r="A199" i="11" s="1"/>
  <c r="A200" i="11" s="1"/>
  <c r="A201" i="11" s="1"/>
  <c r="A202" i="11" s="1"/>
  <c r="A203" i="11" s="1"/>
  <c r="A204" i="11" s="1"/>
  <c r="A205" i="11" s="1"/>
  <c r="A207" i="11" s="1"/>
  <c r="A208" i="11" s="1"/>
  <c r="A209" i="11" s="1"/>
  <c r="A210" i="11" s="1"/>
  <c r="A211" i="11" s="1"/>
  <c r="A212" i="11" s="1"/>
  <c r="A211" i="7"/>
  <c r="A212" i="7" s="1"/>
  <c r="A213" i="7" s="1"/>
  <c r="A214" i="7" s="1"/>
  <c r="A215" i="7" s="1"/>
  <c r="A218" i="7" s="1"/>
  <c r="A220" i="7" s="1"/>
  <c r="A230" i="12"/>
  <c r="A231" i="12" s="1"/>
  <c r="A232" i="12" s="1"/>
  <c r="A234" i="12" s="1"/>
  <c r="A236" i="12" s="1"/>
  <c r="A237" i="12" s="1"/>
  <c r="A239" i="12" s="1"/>
  <c r="A240" i="12" s="1"/>
  <c r="A241" i="12" s="1"/>
  <c r="A242" i="12" s="1"/>
  <c r="A245" i="12" s="1"/>
  <c r="A246" i="12" s="1"/>
  <c r="A247" i="12" s="1"/>
  <c r="A248" i="12" s="1"/>
  <c r="A249" i="12" s="1"/>
  <c r="A250" i="12" s="1"/>
  <c r="A251" i="12" s="1"/>
  <c r="A252" i="12" s="1"/>
  <c r="A253" i="12" s="1"/>
  <c r="A254" i="12" s="1"/>
  <c r="A255" i="12" s="1"/>
  <c r="A257" i="12" s="1"/>
  <c r="A259" i="12" s="1"/>
  <c r="A260" i="12" s="1"/>
  <c r="G24" i="6"/>
  <c r="A152" i="6"/>
  <c r="A153" i="6" s="1"/>
  <c r="A155" i="6" s="1"/>
  <c r="A156" i="6" s="1"/>
  <c r="A157" i="6" s="1"/>
  <c r="A158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5" i="6" s="1"/>
  <c r="A186" i="6" s="1"/>
  <c r="G301" i="6" l="1"/>
  <c r="G14" i="13" s="1"/>
  <c r="A221" i="7"/>
  <c r="A222" i="7" s="1"/>
  <c r="A224" i="7" s="1"/>
  <c r="A225" i="7" s="1"/>
  <c r="A226" i="7" s="1"/>
  <c r="A227" i="7" s="1"/>
  <c r="A228" i="7" s="1"/>
  <c r="A263" i="12"/>
  <c r="A264" i="12" s="1"/>
  <c r="A265" i="12" s="1"/>
  <c r="A266" i="12" s="1"/>
  <c r="A267" i="12" s="1"/>
  <c r="A268" i="12" s="1"/>
  <c r="A269" i="12" s="1"/>
  <c r="A270" i="12" s="1"/>
  <c r="A271" i="12" s="1"/>
  <c r="A272" i="12" s="1"/>
  <c r="A274" i="12" s="1"/>
  <c r="A275" i="12" s="1"/>
  <c r="A276" i="12" s="1"/>
  <c r="A277" i="12" s="1"/>
  <c r="A278" i="12" s="1"/>
  <c r="A279" i="12" s="1"/>
  <c r="A280" i="12" s="1"/>
  <c r="A281" i="12" s="1"/>
  <c r="A282" i="12" s="1"/>
  <c r="A283" i="12" s="1"/>
  <c r="A187" i="6"/>
  <c r="A188" i="6" s="1"/>
  <c r="A189" i="6" s="1"/>
  <c r="A190" i="6" s="1"/>
  <c r="A191" i="6" s="1"/>
  <c r="A284" i="12" l="1"/>
  <c r="A285" i="12" s="1"/>
  <c r="A286" i="12" s="1"/>
  <c r="A288" i="12" s="1"/>
  <c r="A289" i="12" s="1"/>
  <c r="A290" i="12" s="1"/>
  <c r="A229" i="7"/>
  <c r="A231" i="7" s="1"/>
  <c r="A233" i="7" s="1"/>
  <c r="A234" i="7" s="1"/>
  <c r="A235" i="7" s="1"/>
  <c r="A236" i="7" s="1"/>
  <c r="A237" i="7" s="1"/>
  <c r="A239" i="7" s="1"/>
  <c r="A240" i="7" s="1"/>
  <c r="A241" i="7" s="1"/>
  <c r="A244" i="7" s="1"/>
  <c r="A245" i="7" s="1"/>
  <c r="A246" i="7" s="1"/>
  <c r="A209" i="6"/>
  <c r="A210" i="6" s="1"/>
  <c r="A211" i="6" s="1"/>
  <c r="A212" i="6" s="1"/>
  <c r="A213" i="6" s="1"/>
  <c r="A214" i="6" s="1"/>
  <c r="A216" i="6" s="1"/>
  <c r="A225" i="6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3" i="6" s="1"/>
  <c r="A244" i="6" s="1"/>
  <c r="A193" i="6"/>
  <c r="A194" i="6" s="1"/>
  <c r="A195" i="6" s="1"/>
  <c r="A196" i="6" s="1"/>
  <c r="A213" i="11"/>
  <c r="A214" i="11" s="1"/>
  <c r="A215" i="11" s="1"/>
  <c r="A216" i="11" s="1"/>
  <c r="A217" i="11" s="1"/>
  <c r="A218" i="11" s="1"/>
  <c r="G62" i="2"/>
  <c r="G61" i="2"/>
  <c r="D61" i="2"/>
  <c r="A293" i="12" l="1"/>
  <c r="A294" i="12" s="1"/>
  <c r="A295" i="12" s="1"/>
  <c r="A296" i="12" s="1"/>
  <c r="A297" i="12" s="1"/>
  <c r="A298" i="12" s="1"/>
  <c r="A299" i="12" s="1"/>
  <c r="A301" i="12" s="1"/>
  <c r="A302" i="12" s="1"/>
  <c r="A304" i="12" s="1"/>
  <c r="A305" i="12" s="1"/>
  <c r="A306" i="12" s="1"/>
  <c r="A307" i="12" s="1"/>
  <c r="A308" i="12" s="1"/>
  <c r="A309" i="12" s="1"/>
  <c r="A311" i="12" s="1"/>
  <c r="A312" i="12" s="1"/>
  <c r="A313" i="12" s="1"/>
  <c r="A314" i="12" s="1"/>
  <c r="A315" i="12" s="1"/>
  <c r="A317" i="12" s="1"/>
  <c r="A319" i="12" s="1"/>
  <c r="A320" i="12" s="1"/>
  <c r="A321" i="12" s="1"/>
  <c r="A322" i="12" s="1"/>
  <c r="A324" i="12" s="1"/>
  <c r="A327" i="12" s="1"/>
  <c r="A328" i="12" s="1"/>
  <c r="A329" i="12" s="1"/>
  <c r="A219" i="11"/>
  <c r="A220" i="11" s="1"/>
  <c r="A221" i="11" s="1"/>
  <c r="A222" i="11" s="1"/>
  <c r="A223" i="11" s="1"/>
  <c r="A224" i="11" s="1"/>
  <c r="A247" i="7"/>
  <c r="A250" i="7" s="1"/>
  <c r="A251" i="7" s="1"/>
  <c r="A246" i="6"/>
  <c r="A247" i="6" s="1"/>
  <c r="A248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198" i="6"/>
  <c r="A199" i="6" s="1"/>
  <c r="A200" i="6" s="1"/>
  <c r="A201" i="6" s="1"/>
  <c r="A202" i="6" s="1"/>
  <c r="A203" i="6" s="1"/>
  <c r="A204" i="6" s="1"/>
  <c r="A205" i="6" s="1"/>
  <c r="A206" i="6" s="1"/>
  <c r="A207" i="6" s="1"/>
  <c r="A217" i="6"/>
  <c r="G82" i="2"/>
  <c r="H82" i="2" s="1"/>
  <c r="H81" i="2"/>
  <c r="H80" i="2"/>
  <c r="G79" i="2"/>
  <c r="H79" i="2" s="1"/>
  <c r="G78" i="2"/>
  <c r="H78" i="2" s="1"/>
  <c r="G77" i="2"/>
  <c r="H77" i="2" s="1"/>
  <c r="H76" i="2"/>
  <c r="H33" i="2"/>
  <c r="G33" i="2" s="1"/>
  <c r="H17" i="2"/>
  <c r="G17" i="2"/>
  <c r="H68" i="1"/>
  <c r="H72" i="1"/>
  <c r="H73" i="1"/>
  <c r="G17" i="1"/>
  <c r="H33" i="1"/>
  <c r="G33" i="1" s="1"/>
  <c r="H17" i="1"/>
  <c r="A225" i="11" l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52" i="7"/>
  <c r="A257" i="7" s="1"/>
  <c r="A258" i="7" s="1"/>
  <c r="A259" i="7" s="1"/>
  <c r="A253" i="7"/>
  <c r="A254" i="7" s="1"/>
  <c r="A255" i="7" s="1"/>
  <c r="A330" i="12"/>
  <c r="A333" i="12" s="1"/>
  <c r="A334" i="12" s="1"/>
  <c r="A335" i="12" s="1"/>
  <c r="A336" i="12" s="1"/>
  <c r="A268" i="6"/>
  <c r="A269" i="6" s="1"/>
  <c r="A270" i="6" s="1"/>
  <c r="A271" i="6" s="1"/>
  <c r="A272" i="6" s="1"/>
  <c r="A273" i="6" s="1"/>
  <c r="A274" i="6" s="1"/>
  <c r="A275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64" i="6"/>
  <c r="A265" i="6" s="1"/>
  <c r="A266" i="6" s="1"/>
  <c r="A219" i="6"/>
  <c r="A220" i="6" s="1"/>
  <c r="A221" i="6" s="1"/>
  <c r="A222" i="6" s="1"/>
  <c r="A223" i="6" s="1"/>
  <c r="A218" i="6"/>
  <c r="G86" i="2"/>
  <c r="H86" i="2"/>
  <c r="G74" i="1"/>
  <c r="H74" i="1" s="1"/>
  <c r="G70" i="1"/>
  <c r="H70" i="1" s="1"/>
  <c r="G71" i="1"/>
  <c r="H71" i="1" s="1"/>
  <c r="G69" i="1"/>
  <c r="H69" i="1" s="1"/>
  <c r="G67" i="1"/>
  <c r="H67" i="1" s="1"/>
  <c r="G66" i="1"/>
  <c r="H66" i="1" s="1"/>
  <c r="G65" i="1"/>
  <c r="H65" i="1" s="1"/>
  <c r="G63" i="1"/>
  <c r="H63" i="1" s="1"/>
  <c r="G64" i="1"/>
  <c r="H64" i="1" s="1"/>
  <c r="G61" i="1"/>
  <c r="H61" i="1" s="1"/>
  <c r="G62" i="1"/>
  <c r="H62" i="1" s="1"/>
  <c r="H78" i="1" l="1"/>
  <c r="G78" i="1"/>
  <c r="H79" i="1" s="1"/>
  <c r="A264" i="7"/>
  <c r="A265" i="7" s="1"/>
  <c r="A267" i="7" s="1"/>
  <c r="A268" i="7" s="1"/>
  <c r="A272" i="7"/>
  <c r="A273" i="7" s="1"/>
  <c r="A260" i="7"/>
  <c r="A261" i="7" s="1"/>
  <c r="A262" i="7" s="1"/>
  <c r="A337" i="12"/>
  <c r="A338" i="12" s="1"/>
  <c r="A340" i="12" s="1"/>
  <c r="A341" i="12" s="1"/>
  <c r="A290" i="6"/>
  <c r="A291" i="6" s="1"/>
  <c r="A292" i="6" s="1"/>
  <c r="A293" i="6" s="1"/>
  <c r="A294" i="6" s="1"/>
  <c r="A295" i="6" s="1"/>
  <c r="H87" i="2"/>
  <c r="A266" i="7" l="1"/>
  <c r="A271" i="7"/>
  <c r="A269" i="7"/>
  <c r="A274" i="7"/>
  <c r="A275" i="7" s="1"/>
  <c r="A276" i="7" s="1"/>
  <c r="A277" i="7" s="1"/>
  <c r="A278" i="7" s="1"/>
  <c r="A279" i="7" s="1"/>
  <c r="A342" i="12"/>
  <c r="A343" i="12" s="1"/>
  <c r="A344" i="12" s="1"/>
  <c r="A346" i="12"/>
  <c r="A347" i="12" s="1"/>
  <c r="A348" i="12" s="1"/>
  <c r="A349" i="12" s="1"/>
  <c r="A353" i="12" s="1"/>
  <c r="A354" i="12" s="1"/>
  <c r="A296" i="6"/>
  <c r="A297" i="6" s="1"/>
  <c r="A298" i="6" s="1"/>
  <c r="A299" i="6" s="1"/>
  <c r="A300" i="6" s="1"/>
  <c r="A350" i="12" l="1"/>
  <c r="A351" i="12" s="1"/>
  <c r="A355" i="12"/>
  <c r="A356" i="12"/>
  <c r="A357" i="12" s="1"/>
  <c r="A359" i="12" s="1"/>
  <c r="A360" i="12" s="1"/>
  <c r="A361" i="12" s="1"/>
  <c r="A371" i="12"/>
  <c r="A372" i="12" l="1"/>
  <c r="A373" i="12" s="1"/>
  <c r="A374" i="12" s="1"/>
  <c r="A375" i="12" s="1"/>
  <c r="A376" i="12" s="1"/>
  <c r="A377" i="12" s="1"/>
  <c r="A378" i="12" s="1"/>
  <c r="A379" i="12" s="1"/>
  <c r="A380" i="12" s="1"/>
  <c r="A382" i="12" s="1"/>
  <c r="A365" i="12"/>
  <c r="A366" i="12" s="1"/>
  <c r="A367" i="12" s="1"/>
  <c r="A362" i="12"/>
  <c r="A363" i="12" s="1"/>
  <c r="A368" i="12" l="1"/>
  <c r="A369" i="12" s="1"/>
  <c r="A383" i="12"/>
  <c r="A385" i="12" l="1"/>
  <c r="A386" i="12" s="1"/>
  <c r="A384" i="12"/>
  <c r="F236" i="11" l="1"/>
  <c r="F237" i="11" s="1"/>
  <c r="G185" i="11"/>
  <c r="G236" i="11" s="1"/>
  <c r="G237" i="11" l="1"/>
  <c r="G238" i="11" s="1"/>
  <c r="F14" i="13" s="1"/>
  <c r="F238" i="11"/>
  <c r="C14" i="13" s="1"/>
  <c r="H14" i="13" l="1"/>
  <c r="E14" i="13"/>
</calcChain>
</file>

<file path=xl/sharedStrings.xml><?xml version="1.0" encoding="utf-8"?>
<sst xmlns="http://schemas.openxmlformats.org/spreadsheetml/2006/main" count="6148" uniqueCount="1630">
  <si>
    <t>№ПП</t>
  </si>
  <si>
    <t>Производитель</t>
  </si>
  <si>
    <t>Технические требования</t>
  </si>
  <si>
    <t>Наименование</t>
  </si>
  <si>
    <t>Примечания</t>
  </si>
  <si>
    <t>Цех 8</t>
  </si>
  <si>
    <t>1.</t>
  </si>
  <si>
    <t>Строительные материалы и оборудование цеха</t>
  </si>
  <si>
    <t>1.1.</t>
  </si>
  <si>
    <t xml:space="preserve"> 8 м</t>
  </si>
  <si>
    <t>1.2.</t>
  </si>
  <si>
    <t>Двери АБК</t>
  </si>
  <si>
    <t>Сантехника АБК</t>
  </si>
  <si>
    <t>Потолки АБК</t>
  </si>
  <si>
    <t>Огнестойкие полы цеха</t>
  </si>
  <si>
    <t>до 800 градусов</t>
  </si>
  <si>
    <t>ЖД пути внутрицеховые рельсы</t>
  </si>
  <si>
    <t>Р-65</t>
  </si>
  <si>
    <t xml:space="preserve">Шпалы в комплекте с креплениями </t>
  </si>
  <si>
    <t>Ворота автоматические вьздные</t>
  </si>
  <si>
    <t>Количество</t>
  </si>
  <si>
    <t>8 шт.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</si>
  <si>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</si>
  <si>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</si>
  <si>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</si>
  <si>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</si>
  <si>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</si>
  <si>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</si>
  <si>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</si>
  <si>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</si>
  <si>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</si>
  <si>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2.</t>
  </si>
  <si>
    <t>Электроснабжение</t>
  </si>
  <si>
    <t>кабель  от шинопровода до сварочной розетки 380В в щитке на 31 сварочный пост</t>
  </si>
  <si>
    <t>4х10мм</t>
  </si>
  <si>
    <t>2.1.</t>
  </si>
  <si>
    <t>2.2.</t>
  </si>
  <si>
    <t>кабели освещения и питания по АБК</t>
  </si>
  <si>
    <t>кабели питания кранов мостовых 3 шт.</t>
  </si>
  <si>
    <t>распред шкафы (сборные)</t>
  </si>
  <si>
    <t>внутреннее освещение общее+аварийное – светильники диодные без замены питающей сети</t>
  </si>
  <si>
    <t>Светильники АБК</t>
  </si>
  <si>
    <t>Светильники уличные наружного освещения</t>
  </si>
  <si>
    <t>2.3.</t>
  </si>
  <si>
    <t>2.4.</t>
  </si>
  <si>
    <t>2.5.</t>
  </si>
  <si>
    <t>2.6.</t>
  </si>
  <si>
    <t>2.7.</t>
  </si>
  <si>
    <t>2.8.</t>
  </si>
  <si>
    <t>Шинопровод</t>
  </si>
  <si>
    <t>При необходимости замены</t>
  </si>
  <si>
    <t>Отопление и вентиляция</t>
  </si>
  <si>
    <t>3.</t>
  </si>
  <si>
    <t>- водяные тепловые завесы над воротами</t>
  </si>
  <si>
    <t>- кондиционеры для АБК</t>
  </si>
  <si>
    <t>- оборудование системы автоматического регулирования и управления</t>
  </si>
  <si>
    <t xml:space="preserve"> приточно-вытяжное оборудование отопления и вентиляции цеха и АБК</t>
  </si>
  <si>
    <t>3.1.</t>
  </si>
  <si>
    <t>3.2.</t>
  </si>
  <si>
    <t>3.3.</t>
  </si>
  <si>
    <t>3.4.</t>
  </si>
  <si>
    <t>- Система управления компрессорами</t>
  </si>
  <si>
    <t>- АРМ</t>
  </si>
  <si>
    <t>- дополнительные трубопроводы для подачи воздуха</t>
  </si>
  <si>
    <t>Система подачи сжатого воздуха</t>
  </si>
  <si>
    <t>4.</t>
  </si>
  <si>
    <t>4.1.</t>
  </si>
  <si>
    <t>4.2.</t>
  </si>
  <si>
    <t>4.3.</t>
  </si>
  <si>
    <t>4.4.</t>
  </si>
  <si>
    <t>10м3/мин</t>
  </si>
  <si>
    <t>Компрессоры комплектно с осушителями и воздухосборниками</t>
  </si>
  <si>
    <t>2 шт.</t>
  </si>
  <si>
    <t>ООО "ЧКЗ МСК"</t>
  </si>
  <si>
    <t>- пульт АПС С200-М</t>
  </si>
  <si>
    <t>- извещатели пожарные автоматические и ручные</t>
  </si>
  <si>
    <t>- ИБП</t>
  </si>
  <si>
    <t>АПС пожарная сигнализация</t>
  </si>
  <si>
    <t>5.</t>
  </si>
  <si>
    <t>5.1.</t>
  </si>
  <si>
    <t>5.2.</t>
  </si>
  <si>
    <t>5.3.</t>
  </si>
  <si>
    <t>- звуковые оповещатели</t>
  </si>
  <si>
    <t>- световые оповещатели</t>
  </si>
  <si>
    <t>- ВОЛС кабель</t>
  </si>
  <si>
    <t>- медный кабель (витая пара)</t>
  </si>
  <si>
    <t>- патч корды</t>
  </si>
  <si>
    <t>- оптические кроссы</t>
  </si>
  <si>
    <t>- патч панели</t>
  </si>
  <si>
    <t>- Ethernet коммутаторы</t>
  </si>
  <si>
    <t>- кабельные органайзеры</t>
  </si>
  <si>
    <t>- универсальные розетки типа RJ45</t>
  </si>
  <si>
    <t>- кабельные лотки</t>
  </si>
  <si>
    <t>- IP-камеры Hikvision с поддержкой РоЕ</t>
  </si>
  <si>
    <t>- розетки, репитеры, кабель</t>
  </si>
  <si>
    <t>- коммутаторы</t>
  </si>
  <si>
    <t xml:space="preserve">СОУЭ (оповещение и эвакуация) </t>
  </si>
  <si>
    <t>СКС</t>
  </si>
  <si>
    <t>СОТ (охранное телевидение)</t>
  </si>
  <si>
    <t>6.</t>
  </si>
  <si>
    <t>7.</t>
  </si>
  <si>
    <t>8.</t>
  </si>
  <si>
    <t>6.1.</t>
  </si>
  <si>
    <t>6.2.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</si>
  <si>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</si>
  <si>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</si>
  <si>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</si>
  <si>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</si>
  <si>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</si>
  <si>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</si>
  <si>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</si>
  <si>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</si>
  <si>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</si>
  <si>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</si>
  <si>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8.1.</t>
  </si>
  <si>
    <t>8.2.</t>
  </si>
  <si>
    <t>8.3.</t>
  </si>
  <si>
    <t>ЖД пути от 417, 217 цехов</t>
  </si>
  <si>
    <t xml:space="preserve">Укладка звеньевого пути в прямых и кривых новыми рельсами типа Р-65 при 1840 шт. деревянных шпал на 1 км пути, тип скреплений – костыльное, км, в том числе: </t>
  </si>
  <si>
    <t>Стрелочный перевод правый  для установки по основному пути в кривую Р-600 с комплектом деревянных брусьев и костылей, комплект</t>
  </si>
  <si>
    <t>ТИП Р65 МАРКА 1/9 ПРОЕКТ 2766.00.000</t>
  </si>
  <si>
    <t>Стрелочный перевод левый  с комплектом деревянных брусьев и костылей, комплект</t>
  </si>
  <si>
    <t>Стрелочный перевод правый  с комплектом деревянных брусьев и костылей, комплект</t>
  </si>
  <si>
    <t>ТИП Р65 МАРКА 1/6 ПРОЕКТ 2307.00.000</t>
  </si>
  <si>
    <t xml:space="preserve">Установка тупиковых упоров </t>
  </si>
  <si>
    <t>(ТУ 5264-001-83875090-2016)</t>
  </si>
  <si>
    <t>типа Р65 под углом 45º</t>
  </si>
  <si>
    <t xml:space="preserve">Глухое пересечение , комплект </t>
  </si>
  <si>
    <t>16х16х165</t>
  </si>
  <si>
    <t>Р-65 категория Нт, длина 12,5 м</t>
  </si>
  <si>
    <t>ЖБ либо деревянная тип 2 (?)</t>
  </si>
  <si>
    <t>Отделочные материалы АБК, в составе:</t>
  </si>
  <si>
    <t>1.4.1.</t>
  </si>
  <si>
    <t>…</t>
  </si>
  <si>
    <t>Межпролетные механические ворота перегородка цеха</t>
  </si>
  <si>
    <t>Двери перегородка цеха</t>
  </si>
  <si>
    <t>Сендвич-панель перегородка цеха</t>
  </si>
  <si>
    <t>Полы АБК</t>
  </si>
  <si>
    <t>1.12.</t>
  </si>
  <si>
    <t>1.13.</t>
  </si>
  <si>
    <t>Модульное здание ц.8</t>
  </si>
  <si>
    <t>6х4,8м, два этажа, 15 окон, 2 двери, лестница на 2 этаж</t>
  </si>
  <si>
    <t>2шт.</t>
  </si>
  <si>
    <t>Цена по КП за весь объем с НДС</t>
  </si>
  <si>
    <t>тип II ГОСТ</t>
  </si>
  <si>
    <r>
      <t xml:space="preserve">65кг на погонный метр. Один рельс 12,5*0,065=0,8125т </t>
    </r>
    <r>
      <rPr>
        <b/>
        <sz val="11"/>
        <color theme="1"/>
        <rFont val="Calibri"/>
        <family val="2"/>
        <charset val="204"/>
        <scheme val="minor"/>
      </rPr>
      <t>Всего 468*0,8125=380,25т</t>
    </r>
  </si>
  <si>
    <t>3870р за ед</t>
  </si>
  <si>
    <t>КП ТД ТЕХМЕТ</t>
  </si>
  <si>
    <t>в 1т.130шт. Всего 7740/130=59,5т</t>
  </si>
  <si>
    <t>0,378кг/шт. Всего 30960*0,378=11,702т</t>
  </si>
  <si>
    <t>масса=468рельс*2стороны * 0,0295т/шт = 27,612т</t>
  </si>
  <si>
    <t>Накладка 1Р-65, шт</t>
  </si>
  <si>
    <t>Подкладка Д-65 шт</t>
  </si>
  <si>
    <t>Костыль путевой шт</t>
  </si>
  <si>
    <t>Шпала деревянная пропитанная шт</t>
  </si>
  <si>
    <t xml:space="preserve">Рельс Р-65 </t>
  </si>
  <si>
    <t>масса 7740шт*0,00136т=10,5264т</t>
  </si>
  <si>
    <t>Противоугон П-65 шт</t>
  </si>
  <si>
    <t>Пpoклaдкa ЦП-362 нaшпaльнaя (Д-65) шт</t>
  </si>
  <si>
    <t>Сыпучие материалы:</t>
  </si>
  <si>
    <t>Щебень</t>
  </si>
  <si>
    <t>Песок</t>
  </si>
  <si>
    <t>9.1.</t>
  </si>
  <si>
    <t>9.2.</t>
  </si>
  <si>
    <t>фракция</t>
  </si>
  <si>
    <t>КП №112-сбр от 06.03.2023+сертификаты с доставкой и ПНР. +100% к цене</t>
  </si>
  <si>
    <t>КП №112-сбр от 06.03.2023+сертификаты +100% к цене</t>
  </si>
  <si>
    <t>Цена выход</t>
  </si>
  <si>
    <t>КП ТД ВЗВТ от 22.03.23 включая доставку и монтаж +35% к исх, 10% дисконт планово, уточнить на момент поставки</t>
  </si>
  <si>
    <t>ИТОГО</t>
  </si>
  <si>
    <t>рент</t>
  </si>
  <si>
    <t>Дорхан</t>
  </si>
  <si>
    <t>Гриша</t>
  </si>
  <si>
    <t>Олеванов</t>
  </si>
  <si>
    <t>Веза</t>
  </si>
  <si>
    <r>
      <t xml:space="preserve">65кг на погонный метр. Один рельс 12,5*0,065=0,8125т </t>
    </r>
    <r>
      <rPr>
        <b/>
        <sz val="11"/>
        <color theme="1"/>
        <rFont val="Calibri"/>
        <family val="2"/>
        <charset val="204"/>
        <scheme val="minor"/>
      </rPr>
      <t>Всего 308*0,8125=250,25т</t>
    </r>
  </si>
  <si>
    <t>417 путь</t>
  </si>
  <si>
    <t>217 путь</t>
  </si>
  <si>
    <t>шт</t>
  </si>
  <si>
    <t>Щебень балластный кат.2</t>
  </si>
  <si>
    <t>Геотекстиль 3 м</t>
  </si>
  <si>
    <t>Контррельсовый уголок в комплекте с башмаками и креплением</t>
  </si>
  <si>
    <t>Рельсошпальная решетка Р-65 на деревянной шпале, тип скрепления КД-65 в сборе</t>
  </si>
  <si>
    <t>Рельсошпальная решетка Р-65 на бетонной шпале, тип скрепления ЖБР-65Ш в сборе</t>
  </si>
  <si>
    <t>Рельсо шпальная решетка Р-50 на деревянной шпале, тип крепления КД-50 в сборе</t>
  </si>
  <si>
    <t>Глухое пересечение угол 45гр типа Р-65 проект 534.06-2007.00.000-01 с комплектом деревянных брусьев и креплений</t>
  </si>
  <si>
    <t>Стрелочный перевод типа Р65 марка 1/9 правый, с комплектом жб брусьев и креплений</t>
  </si>
  <si>
    <t>Стрелочный перевод типа Р65 марка 1/9 левый, с комплектом жб брусьев и креплений</t>
  </si>
  <si>
    <t>Стрелочный перевод типа Р65 марка 1/9 левый, с комплектом деревянных брусьев и креплений</t>
  </si>
  <si>
    <t>Стрелочный перевод типа Р65 марка 1/9 правый, с комплектом деревянных брусьев и креплений</t>
  </si>
  <si>
    <t>Стрелочный перевод типа Р65 марка 1/7 левый, с комплектом деревянных брусьев и креплений</t>
  </si>
  <si>
    <t xml:space="preserve">Тупиковые упоры новые </t>
  </si>
  <si>
    <t>Тупиковые упоры старогодние</t>
  </si>
  <si>
    <t>м3</t>
  </si>
  <si>
    <t>м</t>
  </si>
  <si>
    <t>комплект</t>
  </si>
  <si>
    <t>цена за ед без НДС</t>
  </si>
  <si>
    <t>ВСЕГО без НДС</t>
  </si>
  <si>
    <t>ВСЕГО с НДС</t>
  </si>
  <si>
    <t xml:space="preserve">ВСЕГО с НДС </t>
  </si>
  <si>
    <t>№</t>
  </si>
  <si>
    <t>Наименование материалов</t>
  </si>
  <si>
    <t>Кол-во</t>
  </si>
  <si>
    <t>Геотекстиль, 3м</t>
  </si>
  <si>
    <t>Контррельсовый уголок в комплекте с башмаками и кремплением</t>
  </si>
  <si>
    <t>Рельсо-шпальная решётка Р-65 на деревянной шпале, тип скрепления КД-65 (в сборе)</t>
  </si>
  <si>
    <t>Железнодорожный путь №1</t>
  </si>
  <si>
    <t>Сооружение земляного полотна</t>
  </si>
  <si>
    <t>Вырезка существующего дорожного покрытия</t>
  </si>
  <si>
    <t>Вырезка существующего бетонного покрытия пола</t>
  </si>
  <si>
    <t>Вырезка техногенного грунта с перевозкой на 30 км и утилизацией</t>
  </si>
  <si>
    <t>Устройство балластного слоя ж/д пути под подошвой шпалы (h)20см</t>
  </si>
  <si>
    <t xml:space="preserve"> - из щебня балластного фр.25-60 </t>
  </si>
  <si>
    <t xml:space="preserve"> - гравийно-песчаная подушка</t>
  </si>
  <si>
    <t xml:space="preserve"> - геотекстиль, 3м</t>
  </si>
  <si>
    <t>Верхнее строение пути №1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</si>
  <si>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(65,88кг/шт.) </t>
  </si>
  <si>
    <t>компл.</t>
  </si>
  <si>
    <t>Выправка пути в плане и в профиле (Р65, шпалы ж/б)</t>
  </si>
  <si>
    <t xml:space="preserve"> Устройство тупикового рельсового упора колесных пар</t>
  </si>
  <si>
    <t>шт.</t>
  </si>
  <si>
    <t>Железнодорожный путь №2</t>
  </si>
  <si>
    <t>Верхнее строение пути №2</t>
  </si>
  <si>
    <t>Железнодорожный путь №3</t>
  </si>
  <si>
    <t>Железнодорожный путь №4</t>
  </si>
  <si>
    <t>Верхнее строение пути №4</t>
  </si>
  <si>
    <t>№ п/п</t>
  </si>
  <si>
    <t>Наименование работ и затрат</t>
  </si>
  <si>
    <t>Ед. изм.</t>
  </si>
  <si>
    <t>Кол-во единиц</t>
  </si>
  <si>
    <t>Ед.изм</t>
  </si>
  <si>
    <t>Цена за единицу</t>
  </si>
  <si>
    <t>131-23-АС1 (02-01-01) Архитектурно-строительные решения</t>
  </si>
  <si>
    <t>Устройство основания строения пути</t>
  </si>
  <si>
    <t>Песок природный  средний</t>
  </si>
  <si>
    <t>Смесь песчано-гравийная природная</t>
  </si>
  <si>
    <t>Щебень М 1200</t>
  </si>
  <si>
    <t>Щебень из плотных горных пород для балластного слоя</t>
  </si>
  <si>
    <t>Смеси асфальтобетонные</t>
  </si>
  <si>
    <t>т</t>
  </si>
  <si>
    <t>Камни бортовые БР 100.30.15</t>
  </si>
  <si>
    <t>Смеси бетонные  В15 (М200)</t>
  </si>
  <si>
    <t>Вспомогательные и расходные материлы (вода, болты, диски алмазные и пр.)</t>
  </si>
  <si>
    <t>к-т</t>
  </si>
  <si>
    <t>Устройство верхнего строения пути</t>
  </si>
  <si>
    <t>Полушпалы ПШП 310</t>
  </si>
  <si>
    <t xml:space="preserve">Рельсы Р-50 </t>
  </si>
  <si>
    <t>Подкладка раздельного скрепления железнодорожного пути</t>
  </si>
  <si>
    <t>Прокладки под подкладку КБ-50 из смеси РП 101-710</t>
  </si>
  <si>
    <t>Прокладки под подошву рельсов Р-50 для железобетонных шпал</t>
  </si>
  <si>
    <t>Вспомогательные и расходные материлы (шайбы, болты, накладки и пр.)</t>
  </si>
  <si>
    <t>Устройство фундаментов</t>
  </si>
  <si>
    <t>ФМ1 Фундамент под опору троллей - 4 шт.</t>
  </si>
  <si>
    <t>Арматура d12 А500С ГОСТ 34028-2016 L=1950 (80 шт.)</t>
  </si>
  <si>
    <t>кг</t>
  </si>
  <si>
    <t>Арматура d16 А500С ГОСТ 34028-2016 L=1600 (32 шт.)</t>
  </si>
  <si>
    <t>Арматура d8 А500С ГОСТ 34028-2016 L=3020 (16 шт.)</t>
  </si>
  <si>
    <t>Болт 1.1 М30х1000 ВстЗпс2 (16 шт.)</t>
  </si>
  <si>
    <t>Уголок L50х5 ГОСТ 8509-93 L=400 (16 шт.)</t>
  </si>
  <si>
    <t>Бетон B25, W8, F100</t>
  </si>
  <si>
    <t>Бетон B7,5</t>
  </si>
  <si>
    <t>Праймер битумный производства «Техно-Николь» (20л=16кг)</t>
  </si>
  <si>
    <t>Вспомогательные и расходные материлы (щиты из досок, проволока, пленка и пр.)</t>
  </si>
  <si>
    <t>ФМ2  Фундамент аппарели - 4шт</t>
  </si>
  <si>
    <t>Арматура d12 А500С ГОСТ 34028-2016 L=2950 (48 шт.)</t>
  </si>
  <si>
    <t>Арматура d12 А500С ГОСТ 34028-2016 L=1150 (120 шт.)</t>
  </si>
  <si>
    <t>Арматура d8 А500С ГОСТ 34028-2016 L=940 (184 шт.)</t>
  </si>
  <si>
    <t>Вспомогательные и расходные материлы  (щиты из досок, проволока, пленка и пр.)</t>
  </si>
  <si>
    <t>Опора М1 (8 шт.):</t>
  </si>
  <si>
    <t>32.1</t>
  </si>
  <si>
    <t>Труба электросварная d159х10 ГОСТ 10704-91 L=292 (8 шт.)</t>
  </si>
  <si>
    <t>32.2</t>
  </si>
  <si>
    <t>Лист стальной 300х16 ГОСТ 19903-15 L=300 (8 шт.)</t>
  </si>
  <si>
    <t>32.3</t>
  </si>
  <si>
    <t>Лист стальной 210х16 ГОСТ 19903-15 L=210 (16 шт.)</t>
  </si>
  <si>
    <t>32.4</t>
  </si>
  <si>
    <t>Лист стальной 210х10 ГОСТ 19903-15 L=210 (8 шт.)</t>
  </si>
  <si>
    <t>32.5</t>
  </si>
  <si>
    <t>Лист стальной 50х16 ГОСТ 19903-15 L=50 (72 шт.)</t>
  </si>
  <si>
    <t>32.6</t>
  </si>
  <si>
    <t>Арматура d12 А500С ГОСТ 34028-2016 L=210 (72 шт.)</t>
  </si>
  <si>
    <t>32.7</t>
  </si>
  <si>
    <t>Болт М20х100-8.8 с гайкой и шайбами  16шт.*0,3кг</t>
  </si>
  <si>
    <t>Опоры троллей (ОП1 - 4 шт.)</t>
  </si>
  <si>
    <t>М/конструкции опор</t>
  </si>
  <si>
    <t>Уг. 75х5 (3,6м)</t>
  </si>
  <si>
    <t>Тр. пр. 250х8</t>
  </si>
  <si>
    <t>Лист стальной t=30 мм (1,08м2)</t>
  </si>
  <si>
    <t>Лист стальной t=12 мм (2,12м2)</t>
  </si>
  <si>
    <t>Лист стальной t=4 мм (0,28м2)</t>
  </si>
  <si>
    <t>Бетон B15, W6, F100</t>
  </si>
  <si>
    <t>Подливочный раствор на цементной основе</t>
  </si>
  <si>
    <t>Грунтовка ГФ-021</t>
  </si>
  <si>
    <t>Эмаль ПФ-115, серая</t>
  </si>
  <si>
    <t>Фермы Ф1 -2 шт.</t>
  </si>
  <si>
    <t>Уг. 75х5 (151,2м)</t>
  </si>
  <si>
    <t>Уг. 50х4 (242,4м)</t>
  </si>
  <si>
    <t>Лист стальной t=16 мм (0,3м2)</t>
  </si>
  <si>
    <t>Лист стальной t=10 мм (0,48м2)</t>
  </si>
  <si>
    <t>Лист стальной t=5 мм (3,24м2)</t>
  </si>
  <si>
    <t>Болт М16х65 (16 шт.*0,137кг)</t>
  </si>
  <si>
    <t>Гайка М16 (16шт. * 0,032кг)</t>
  </si>
  <si>
    <t>Шайба М16 (16шт. * 0,013кг)</t>
  </si>
  <si>
    <t>Пружинная шайба М16  (16шт. * 0,006кг)</t>
  </si>
  <si>
    <t>Фермы Ф2 -1 шт.</t>
  </si>
  <si>
    <t>Уг. 75х5 (56,4м)</t>
  </si>
  <si>
    <t>Уг. 50х4 (107,7м)</t>
  </si>
  <si>
    <t>Лист стальной t=16 мм (0,15м2)</t>
  </si>
  <si>
    <t>Лист стальной t=10 мм (0,24м2)</t>
  </si>
  <si>
    <t>Лист стальной t=5 мм (1,26м2)</t>
  </si>
  <si>
    <t>Болт М16х65 (8 шт.*0,137кг)</t>
  </si>
  <si>
    <t>Гайка М16 (8шт. * 0,032кг)</t>
  </si>
  <si>
    <t>Шайба М16 (8шт. * 0,013кг)</t>
  </si>
  <si>
    <t>Пружинная шайба М16  (8шт. * 0,006кг)</t>
  </si>
  <si>
    <t>Устройство водостока</t>
  </si>
  <si>
    <t>Песколовка ПЛ1</t>
  </si>
  <si>
    <t>Арматура d8 А500С ГОСТ 34028-2016 L=150 (10 шт.)</t>
  </si>
  <si>
    <t>Уголок L30х3 ГОСТ 8509-93 L=1000 (2 шт.)</t>
  </si>
  <si>
    <t>Сетка 5Вр500-100х100-3000х2000 (1 шт.)</t>
  </si>
  <si>
    <t>Сальник набивной Ду250 L=150 (1 шт.)</t>
  </si>
  <si>
    <t>Водоотводной лоток</t>
  </si>
  <si>
    <t>Лоток водоотводный BetoMax Plus ЛВ-30.51.81-Б-М-У24 бетонный с уклоном 4760.8М/24</t>
  </si>
  <si>
    <t>Лоток водоотводный BetoMax Plus ЛВ-30.51.81-Б-М-У27 бетонный с уклоном 4760.8М/27</t>
  </si>
  <si>
    <t>Лоток водоотводный BetoMax Plus ЛВ-30.51.81-Б-М-У28 бетонный с уклоном 4760.8М/28</t>
  </si>
  <si>
    <t>Лоток водоотводный BetoMax Plus ЛВ-30.51.81-Б-М-У29 бетонный с уклоном 4760.8М/29</t>
  </si>
  <si>
    <t>Лоток водоотводный BetoMax Plus ЛВ-30.51.81-Б-М-У33 бетонный с уклоном 4760.8М/33</t>
  </si>
  <si>
    <t>Лоток водоотводный BetoMax Plus ЛВ-30.51.81-Б-М-У34 бетонный с уклоном 4760.8М/34</t>
  </si>
  <si>
    <t>Лоток водоотводный BetoMax Plus ЛВ-30.51.81-Б-М-У35 бетонный с уклоном 4760.8М/35</t>
  </si>
  <si>
    <t>Лоток водоотводный BetoMax Plus ЛВ-30.51.81-Б-М-У39 бетонный с уклоном 4760.8М/39</t>
  </si>
  <si>
    <t>Лоток водоотводный BetoMax Plus ЛВ-30.51.81-Б-М-У40 бетонный с уклоном 4760.8М/40</t>
  </si>
  <si>
    <t>Лоток водоотводный BetoMax Plus ЛВ-30.51.81-Б-М-У41 бетонный с уклоном 4760.8М/41</t>
  </si>
  <si>
    <t>Лоток водоотводный BetoMax Plus ЛВ-30.51.81-Б-М-У45 бетонный с уклоном 4760.8М/45</t>
  </si>
  <si>
    <t>Лоток водоотводный BetoMax Plus ЛВ-30.51.81-Б-М-У46 бетонный с уклоном 4760.8М/46</t>
  </si>
  <si>
    <t>Решетка водоприемная  РВ-30.37.50 щелевая дорожная чугунная ВЧ, кл. Е 273051</t>
  </si>
  <si>
    <t>Лист стальной 660х385х5 ГОСТ 19903-2015 (8 шт.)</t>
  </si>
  <si>
    <t>Лист стальной 540х385х5 ГОСТ 19903-2015 (1 шт.)</t>
  </si>
  <si>
    <t>Труба d273x8 L=2490 (2 шт.)</t>
  </si>
  <si>
    <t>Труба d273x8  L=2290 (2 шт.)</t>
  </si>
  <si>
    <t>Уайт-спирит (1л=0,8кг)</t>
  </si>
  <si>
    <t>Грунтовка антикоррозионная цинкнаполненная</t>
  </si>
  <si>
    <t>Грунт-краска цинкнаполненная для долговременной антикоррозионной защиты металла</t>
  </si>
  <si>
    <t>131-23-АС2 (02-01-02) Архитектурно-строительные решения</t>
  </si>
  <si>
    <t>Устройство ограждения ОГ-1</t>
  </si>
  <si>
    <t>Щебень М 600</t>
  </si>
  <si>
    <t>Панель ограждения ПО-2</t>
  </si>
  <si>
    <t>Фундамент ограждения ФО-2</t>
  </si>
  <si>
    <t>Бетон B20, W6, F75</t>
  </si>
  <si>
    <t>Кирпич КР-р-по 250×120×88/1,4НФ/150/2,0/50</t>
  </si>
  <si>
    <t>Раствор кладочный, цементно-известковый, М100</t>
  </si>
  <si>
    <t>Праймер битумно-полимерный (1л=0,83кг)</t>
  </si>
  <si>
    <t>Мастика битумная (1л=1,35кг)</t>
  </si>
  <si>
    <t>Стяжка цементная</t>
  </si>
  <si>
    <t>Подпорная стенка ПС-1</t>
  </si>
  <si>
    <t>Арматура d10 А500С ГОСТ 34028-2016 L=2130 (255 шт.)</t>
  </si>
  <si>
    <t>Арматура d10 А500С ГОСТ 34028-2016 L=1730 (255 шт.)</t>
  </si>
  <si>
    <t>Арматура d10 А500С ГОСТ 34028-2016 L=1160 (512 шт.)</t>
  </si>
  <si>
    <t>Арматура d10 А500С ГОСТ 34028-2016 L=7960 (12 шт.)</t>
  </si>
  <si>
    <t>Арматура d10 А500С ГОСТ 34028-2016 L=6960 (14 шт.)</t>
  </si>
  <si>
    <t>Арматура d10 А500С ГОСТ 34028-2016 L=1000 (1200 шт.)</t>
  </si>
  <si>
    <t>Арматура d10 А240 ГОСТ 34028-2016 L=905 (134 шт.)</t>
  </si>
  <si>
    <t>Арматура d10 А240 ГОСТ 34028-2016 L=885 (256 шт.)</t>
  </si>
  <si>
    <t>Арматура d10 А240 ГОСТ 34028-2016 L=895 (510 шт.)</t>
  </si>
  <si>
    <t>Арматура d10 А240 ГОСТ 34028-2016 L=840 (265 шт.)</t>
  </si>
  <si>
    <t>Арматура d8 А240 ГОСТ 34028-2016 L=250 (177 шт.)</t>
  </si>
  <si>
    <t>131-23-ГП1 (02-07-01) Генеральный план</t>
  </si>
  <si>
    <t>Устройство асфальт бетонного покрытия 851,0 м2</t>
  </si>
  <si>
    <t>Песок строительный крупнозернистый для автодорог</t>
  </si>
  <si>
    <t>Щебень гранитный для автодорог 25-70 мм. . 10-20мм</t>
  </si>
  <si>
    <t>Щебень гранитный для автодорог 5-20мм</t>
  </si>
  <si>
    <t>Асфальтобетон дорожный среднезернистый Тип В Марка III</t>
  </si>
  <si>
    <t>Битумы нефтяные</t>
  </si>
  <si>
    <t>Посев многолетних трав</t>
  </si>
  <si>
    <t>Кострец безостный</t>
  </si>
  <si>
    <t>Овсянка луговая</t>
  </si>
  <si>
    <t>Ежа сборная</t>
  </si>
  <si>
    <t>131-23-НВК1 (06-01-01) Наружные сети водопровода и канализации</t>
  </si>
  <si>
    <t>Труба полипропиленовая гофрированная двухслойная DN 280 мм SN16</t>
  </si>
  <si>
    <t>Труба стальная электросварная прямошовная, группы В по ГОСТ 10705-80* сталь 20 ø426х7,0 мм (футляр)</t>
  </si>
  <si>
    <t>Плита днища ПН20</t>
  </si>
  <si>
    <t>Плита перекрытия 2ПП20-2</t>
  </si>
  <si>
    <t>Кольцо стеновое КС20.6</t>
  </si>
  <si>
    <t>Кольцо стеновое КС20.9</t>
  </si>
  <si>
    <t>Кольцо опорное КО.6</t>
  </si>
  <si>
    <t>Люк чугунный тяжёлый Т(С250)-60</t>
  </si>
  <si>
    <t>Муфта защитная полиэтиленовая D=330 мм L=150,0 мм для прохода труб сквозь бетонную стенку колодца (для труб ø280 мм)</t>
  </si>
  <si>
    <t>Лестница-стремянка из угловой оцинкованной стали 50×5 мм (1 шт.)</t>
  </si>
  <si>
    <t>Праймер Технониколь №1  (20л=16кг)</t>
  </si>
  <si>
    <t>л</t>
  </si>
  <si>
    <t>Битумная мастика Технониколь №24</t>
  </si>
  <si>
    <t>Бетон кл. В25, F150, W8</t>
  </si>
  <si>
    <t>Песок строительный</t>
  </si>
  <si>
    <t>Щебень М600 фракции 20-40 мм</t>
  </si>
  <si>
    <t>Сталь арматурная A-III ø10 (28м)</t>
  </si>
  <si>
    <t>Сталь арматурная A-I ø6 (16м)</t>
  </si>
  <si>
    <t>Двутавр 12 L=200 мм (2 шт.)</t>
  </si>
  <si>
    <t>Полоса стальная 5х80 L=300 мм (3 шт.)</t>
  </si>
  <si>
    <t>Смеси бетонные В3,5 (М50)</t>
  </si>
  <si>
    <t>Раствор готовый кладочный, цементный, М50</t>
  </si>
  <si>
    <t>Вспомогательные и расходные материлы (каболка, смеси, опалубка, доски, бруски и пр.)</t>
  </si>
  <si>
    <t>131-23-ТС1 (06-01-02) Теплоснабжение. Переустройство трубопровода</t>
  </si>
  <si>
    <t>Лоток Л11-15/2 (198т, 7,92м3)</t>
  </si>
  <si>
    <t>Опорная подушка ОП-5</t>
  </si>
  <si>
    <t>Грунтовка цинконаполненная</t>
  </si>
  <si>
    <t>Грунт-краска «алпол»</t>
  </si>
  <si>
    <t>Прокладка трубопроводов</t>
  </si>
  <si>
    <t>Гайка М16 (16 шт.)</t>
  </si>
  <si>
    <t>Прокладка из паронита А-150-10 для фланца 150 мм, 1,0 МПа, исп. А</t>
  </si>
  <si>
    <t>Вспомогательные и расходные материлы (доски, бруски, пленка и пр.)</t>
  </si>
  <si>
    <t>Итого:</t>
  </si>
  <si>
    <t>ИТОГО с НДС</t>
  </si>
  <si>
    <t>Стоимость  без НДС  итого</t>
  </si>
  <si>
    <t>Ед.изм.</t>
  </si>
  <si>
    <t>Цена за ед. без НДС</t>
  </si>
  <si>
    <t>Верхнее строение пути</t>
  </si>
  <si>
    <t>Укладка звеньевого пути в прямых и кривых новыми рельсами НТ типа Р-65 при 1840 шт. деревянных шпал II типа на 1 км пути, тип скреплений – КД65</t>
  </si>
  <si>
    <t>Укладка звеньевого пути в прямых и кривых новыми рельсами НТ типа Р-65 при 1840 шт. ж.б. шпал на 1 км пути, тип скреплений – ЖБР-65Ш</t>
  </si>
  <si>
    <t>Укладка звеньевого пути в кривых новыми рельсами НТ типа Р-50 при 1840 шт. деревянных шпал II типа на 1 км пути, тип скреплений – КД50</t>
  </si>
  <si>
    <t>Укладка контррельсовый уголка в комплекте с башмаками и кремплением</t>
  </si>
  <si>
    <t xml:space="preserve">Укладка нового стрелочного перевода типа Р65 марка 1/9 правый, с комплектом ж.б. брусьев и креплений 
Пр. 2769.00.000 </t>
  </si>
  <si>
    <t xml:space="preserve">Укладка нового стрелочного перевода типа Р65 марка 1/9 левый, с комплектом ж.б. брусьев и креплений 
Пр. 2769.00.000-01 </t>
  </si>
  <si>
    <t>Укладка нового стрелочного перевода типа Р65 марка 1/9 правый, с комплектом деревянных брусьев и креплений
Пр. 2766.00.000</t>
  </si>
  <si>
    <t>Укладка нового стрелочного перевода типа Р65 марка 1/9 левый, с комплектом деревянных брусьев и креплений
Пр. 2766.00.000-01</t>
  </si>
  <si>
    <t>Укладка нового стрелочного перевода типа Р65 марка 1/7 левый, проект ЛПТП.665121.103, с комплектом деревянных брусьев и креплений</t>
  </si>
  <si>
    <t>Рихтовка пути</t>
  </si>
  <si>
    <t>Разборка существующего звеньевого пути</t>
  </si>
  <si>
    <t>Разборка тупиковых упоров</t>
  </si>
  <si>
    <t>Разборка стрелочного перевода марки 1/9 на деревянных брусьях</t>
  </si>
  <si>
    <t>Балластировка путей щебнем с увеличением на 10 %</t>
  </si>
  <si>
    <t>Устройство насыпи из дренирующего грунта (песка)</t>
  </si>
  <si>
    <t>Выемка техногенного грунта с перевозкой на 30 км и утилизацией</t>
  </si>
  <si>
    <t xml:space="preserve">Планировка основной площадки насыпи </t>
  </si>
  <si>
    <t>м2</t>
  </si>
  <si>
    <t xml:space="preserve">Планировка откосов насыпи </t>
  </si>
  <si>
    <t>ИТОГО без НДС</t>
  </si>
  <si>
    <t>Укладка контррельсового уголка СП850 в кривых (длина 10 м), включая монтаж башмаков и креплений
Пр. МСЗ.8318.00.000</t>
  </si>
  <si>
    <t>Рихтовка существующего пути</t>
  </si>
  <si>
    <t xml:space="preserve">Планировка площадки выемки </t>
  </si>
  <si>
    <t xml:space="preserve">Планировка откосов выемки </t>
  </si>
  <si>
    <t>Итого без НДС</t>
  </si>
  <si>
    <t xml:space="preserve">Итого </t>
  </si>
  <si>
    <t>Цена на ед. изм., руб. без НДС</t>
  </si>
  <si>
    <t>Цена за единицу без НДС</t>
  </si>
  <si>
    <t>Земляное полотно железнодорожного пути</t>
  </si>
  <si>
    <t>Разработка сухого грунта механизированным способом с погрузкой</t>
  </si>
  <si>
    <t>Доработка грунта вручную</t>
  </si>
  <si>
    <t>Перевозка на расстояние до 30 км с утилизацией</t>
  </si>
  <si>
    <t>Работа на отвале</t>
  </si>
  <si>
    <t>Планировка площадей механизированным способом</t>
  </si>
  <si>
    <t>Планировка площадей ручным способом</t>
  </si>
  <si>
    <t>Обратная засыпка местным грунтом механизированным способом</t>
  </si>
  <si>
    <t>Засыпка вручную</t>
  </si>
  <si>
    <t>Уплотнение грунта пневматическими трамбовками</t>
  </si>
  <si>
    <t>Устройство оснований  из песка</t>
  </si>
  <si>
    <t>Устройство подушки из песчано-гравийной смеси (толщина слоя 200мм)</t>
  </si>
  <si>
    <t>Устройство подушки из щебня  (Толщина слоя 200-290мм)</t>
  </si>
  <si>
    <t>Устройство балластной подушки из гранитного щебня</t>
  </si>
  <si>
    <t>Устройство асфальтобетонного покрытия асфальтоукладчиками (Толщина слоя 5см)</t>
  </si>
  <si>
    <t>Устройство асфальтобетонного покрытия вручную</t>
  </si>
  <si>
    <t>Установка бортовых камней</t>
  </si>
  <si>
    <t>Укладка пути отдельными элементами на железобетонных шпалах тип рельсов: Р50</t>
  </si>
  <si>
    <t>Фундамент под опору троллей ФМ1 (4 шт.)</t>
  </si>
  <si>
    <t>Устройство бетонной подготовки</t>
  </si>
  <si>
    <t>Устройство железобетонных фундаментов</t>
  </si>
  <si>
    <t>Установка анкерной группы</t>
  </si>
  <si>
    <t xml:space="preserve">Гидроизоляция  обмазочная битумная в 2 слоя </t>
  </si>
  <si>
    <t>Установка закладных деталей</t>
  </si>
  <si>
    <t>Монтаж опорных стоек (8 шт.)</t>
  </si>
  <si>
    <t>Монтаж опорных стоек (4 шт.)</t>
  </si>
  <si>
    <t xml:space="preserve">Огрунтовка металлических поверхностей за два слоя </t>
  </si>
  <si>
    <t xml:space="preserve">Окраска металлических поверхностей за два слоя </t>
  </si>
  <si>
    <t>Устройство подливки толщиной 80мм</t>
  </si>
  <si>
    <t>Устройство поясов в опалубке</t>
  </si>
  <si>
    <t>Фермы Ф1 - 2 шт., Ф2 - 1шт.</t>
  </si>
  <si>
    <t>Монтаж  ферм (3 шт.)</t>
  </si>
  <si>
    <t>Устройство песколовки</t>
  </si>
  <si>
    <t>Установка сальника набивного Ду250 L=150 (1 шт.)</t>
  </si>
  <si>
    <t>Устройство водоотводных лотков</t>
  </si>
  <si>
    <t>Укладка трубопроводов водостока</t>
  </si>
  <si>
    <t>Очистка поверхности щетками</t>
  </si>
  <si>
    <t>Обеспыливание поверхности</t>
  </si>
  <si>
    <t>Обезжиривание поверхностей</t>
  </si>
  <si>
    <t>Огрунтовка металлических поверхностей за один раз</t>
  </si>
  <si>
    <t>Окраска металлических огрунтованных поверхностей</t>
  </si>
  <si>
    <t>Устройство основания щебеночного</t>
  </si>
  <si>
    <t>Установка железобетонных оград из панелей</t>
  </si>
  <si>
    <t xml:space="preserve">Гидроизоляция боковая обмазочная битумная в 2 слоя </t>
  </si>
  <si>
    <t>Кирпичный участок</t>
  </si>
  <si>
    <t>Разработка грунта вручную</t>
  </si>
  <si>
    <t>Засыпка грунтом вручную</t>
  </si>
  <si>
    <t>Устройство бетонных фундаментов</t>
  </si>
  <si>
    <t>Кладка стен кирпичных</t>
  </si>
  <si>
    <t>Устройство стяжек цементных</t>
  </si>
  <si>
    <t>Разработка грунта механизированным способом</t>
  </si>
  <si>
    <t>Погрузка и перевозка вытесненного грунта до 30 км с утилизацией</t>
  </si>
  <si>
    <t>Устройство подпорных стен железобетонных</t>
  </si>
  <si>
    <t>Вертикальная планировка</t>
  </si>
  <si>
    <t>Срезка грунта бульдозером</t>
  </si>
  <si>
    <t>Перемещение грунта в отвал бульдозером на расстояние до 50 м</t>
  </si>
  <si>
    <t xml:space="preserve">Погрузка лишнего грунта из отвала в автосамосвалы </t>
  </si>
  <si>
    <t>Транспортировка лишнего грунта на расстояние до 30 км с утилизацией</t>
  </si>
  <si>
    <t>Планировка территории бульдозером</t>
  </si>
  <si>
    <t xml:space="preserve">Устройство дорожного корыта под подъездную дорогу </t>
  </si>
  <si>
    <t>Погрузка лишнего грунта в автосамосвалы экскаватором</t>
  </si>
  <si>
    <t>Отвозка лишнего грунта  на расстояние до 30 км с утилизацией</t>
  </si>
  <si>
    <t>Устройство песчаного основания h=0.30 см</t>
  </si>
  <si>
    <t>Устройство щебеночного основания h=0.15</t>
  </si>
  <si>
    <t>Устройство щебеночного основания из щебня 5-20 мм по способу облегченной пропитки h=0.08</t>
  </si>
  <si>
    <t>Розлив вяжущих материалов</t>
  </si>
  <si>
    <t>Укладка среднезернистого асфальтобетона h=0.05</t>
  </si>
  <si>
    <t>Планировка участка: механизированным способом</t>
  </si>
  <si>
    <t>Подготовка почвы для устройства газона без внесения земли вручную</t>
  </si>
  <si>
    <t>Посев газонов  вручную</t>
  </si>
  <si>
    <t>Трубопровод ливневых сточных вод от трансбордера (К2)</t>
  </si>
  <si>
    <t>Земляные работы</t>
  </si>
  <si>
    <t>Разработка грунта в траншее механизированным способом</t>
  </si>
  <si>
    <t>Доработка грунта в траншее вручную</t>
  </si>
  <si>
    <t>Обратная засыпка грунта бульдозером (95%)</t>
  </si>
  <si>
    <t>Обратная засыпка грунта вручную (5%)</t>
  </si>
  <si>
    <t>Погрузка лишнего грунта в автосамосвалы</t>
  </si>
  <si>
    <t>Устройство основания</t>
  </si>
  <si>
    <t>Устройство щебеночного основания под колодец h=0,1 м вручную</t>
  </si>
  <si>
    <t>Устройство песчаного основания h=0,1м под трубы вручную</t>
  </si>
  <si>
    <t>Обратная засыпка песком вручную h=0,3 м</t>
  </si>
  <si>
    <t>Прокладка трубопровода</t>
  </si>
  <si>
    <t>Прокладка труб полипропиленовых гофрированных двухслойных DN280 мм SN16</t>
  </si>
  <si>
    <t>Устройство колодца из сборных ж.б. элементов</t>
  </si>
  <si>
    <t>Устройство круглых сборных железобетонных канализационных колодцев  в мокрых грунтах</t>
  </si>
  <si>
    <t>Устройство лотка, водобойной стенки</t>
  </si>
  <si>
    <t>Установка стальных конструкций, остающихся в теле бетона</t>
  </si>
  <si>
    <t>Устройство футляра для существующей тубы хоз.бытовой канализации (К1)</t>
  </si>
  <si>
    <t>Прокладка труб стальных электросварных 426х7,0 мм (футляр)</t>
  </si>
  <si>
    <t>Разрезание труб стальных электросварных 426х7,0 мм вдоль на две части (футляр)</t>
  </si>
  <si>
    <t>Сварка труб стальных электросварных 4260х7,0 мм вдоль (футляр)</t>
  </si>
  <si>
    <t>Демонтаж монолитного ж/б фундамента</t>
  </si>
  <si>
    <t>Демонтаж металлоконструкций фермы</t>
  </si>
  <si>
    <t>Демонтаж металлической опоры</t>
  </si>
  <si>
    <t>Отвозка</t>
  </si>
  <si>
    <t>Обратная засыпка грунта механизированным способом</t>
  </si>
  <si>
    <t xml:space="preserve">Обратная засыпка грунта вручную </t>
  </si>
  <si>
    <t>Привозка для обратной засыпки</t>
  </si>
  <si>
    <t>Обратная засыпка грунта механизированным способом (95%)</t>
  </si>
  <si>
    <t xml:space="preserve">Отвозка лишнего грунта на расстояние до 1 км </t>
  </si>
  <si>
    <t>Устройство сборных железобетонных лотков Л11-15/2 из бетона кл. В35, W4, F200, массой 1,8 т на цементном растворе М100 (7,92 м3)</t>
  </si>
  <si>
    <t>Устройство сборных железобетонных плит П12-15д из бетона кл. В25, W6, F150, массой 0,44 т на цементном растворе М100 (8,28м3)</t>
  </si>
  <si>
    <t>Устройство сборных железобетонных опорных подушек ОП5 кл. В15, W4, F200, массой 0,13 (0,7м3)
т</t>
  </si>
  <si>
    <t>Устройство заделки отверстий из монолитного бетона В25 W4 F200 отверстия</t>
  </si>
  <si>
    <t>Устройство щебеночной подготовки из щебня М600 фракции 20-40 мм толщ. 100 мм</t>
  </si>
  <si>
    <t>Огрунтовка металлических поверхностей за два раза грунтовкой цинконаполненной</t>
  </si>
  <si>
    <t>Окраска мк покрытием из 2 слоев «алпол»</t>
  </si>
  <si>
    <t>Устройство бетонной отмостки из бетона В10 вокруг горловин тепловых камер</t>
  </si>
  <si>
    <t>131-23-НВК2. Переустройство хозпитьевого водопровода (В1) к цеху 121/18</t>
  </si>
  <si>
    <t>Труба полиэтиленовая напорная ПЭ100  SDR17  ø110х6,6 «питьевая»</t>
  </si>
  <si>
    <t>Труба стальная электросварная прямошовных ø108х4,0  с весьма усиленной г/изол</t>
  </si>
  <si>
    <t>Труба стальная электросварная прямошовная ø325х7,0  (футляр)</t>
  </si>
  <si>
    <t>Задвижка чугунная с обрезиненным клином невыдвижным шпинделем фланцевой МЗВ-100 (DN100) 30ч39р Московский завод «Водоприбор»</t>
  </si>
  <si>
    <t xml:space="preserve">Крестовина чугунная фланцевая КФ 150х100 </t>
  </si>
  <si>
    <t>Фланцы стальные плоские приварные Д=100 мм</t>
  </si>
  <si>
    <t>Фланец свободный металлический Dу 100 мм (для труб ø100 мм)</t>
  </si>
  <si>
    <t>Втулка под фланец d=100 мм SDR 17</t>
  </si>
  <si>
    <t>Болт М16х65 (32 шт.)</t>
  </si>
  <si>
    <t>Болт М20х70 (16 шт.)</t>
  </si>
  <si>
    <t>Гайка М16 (32 шт.)</t>
  </si>
  <si>
    <t>Гайка М20 (16 шт.)</t>
  </si>
  <si>
    <t>Шайба М16 (64 шт.)</t>
  </si>
  <si>
    <t>Шайба М20 (32 шт.)</t>
  </si>
  <si>
    <t>Прокладка из паронита А-100-10 для фланца 100 мм, 1,0 МПа, исп. А</t>
  </si>
  <si>
    <t xml:space="preserve">Прокладка из паронита А-150-10 для фланца 150 мм, 1,0 МПа, исп. А  </t>
  </si>
  <si>
    <t>Муфта защитная полиэтиленовоя L=150,0 мм D=140 мм для прохода труб сквозь бетонную стену колодца (для труб D=110 мм)</t>
  </si>
  <si>
    <t>Отвод стального приварного 90°</t>
  </si>
  <si>
    <t>Неразъемное соединение полиэтилен-сталь НСПС 110/108 мм</t>
  </si>
  <si>
    <t>Сальник набивной Ду100 мм L=500 мм   серия 5.900-2    ТМ 91-02</t>
  </si>
  <si>
    <t>Бетон кл. В20, W6</t>
  </si>
  <si>
    <t>Труба полиэтиленовая напорная ПЭ100  SDR17  ø160х9,5 «питьевая»</t>
  </si>
  <si>
    <t>Труба стальная электросварная  прямошовная ø377х7,0  (футляр)</t>
  </si>
  <si>
    <t>Фланец свободный металлический  Dу 150 мм (для труб ø160 мм)</t>
  </si>
  <si>
    <t>Втулка ПЭ100 SDR 17 под фланец d=160 мм PN10 кгс/см² (для труб ø160 мм)</t>
  </si>
  <si>
    <t>Муфта защитная полиэтиленовая L=150,0 мм D=140 мм  (для труб D=160 мм</t>
  </si>
  <si>
    <t>Болт М16х65 (16 шт.)</t>
  </si>
  <si>
    <t>Шайба М16 (32 шт.)</t>
  </si>
  <si>
    <t>Муфта защитная полиэтиленовоя L=150,0 мм D=140 мм  (для труб D=110 мм)</t>
  </si>
  <si>
    <t>131-23-НВК5 Ливневая канализация</t>
  </si>
  <si>
    <t>Труба стальная электросварная 1420х18мм  (футляр)</t>
  </si>
  <si>
    <t xml:space="preserve">Труба КОРСИС PRO DN/OD 1200 /1000 P SN 16 </t>
  </si>
  <si>
    <t xml:space="preserve">Труба КОРСИС PRODN/OD 630/535P SN 16 </t>
  </si>
  <si>
    <t xml:space="preserve">Труба КОРСИС PRODN/OD 315/271P SN 16 </t>
  </si>
  <si>
    <t xml:space="preserve">Плита днища ПН 20 </t>
  </si>
  <si>
    <t>4</t>
  </si>
  <si>
    <t xml:space="preserve">Плита перекрытия ПП 20-2 </t>
  </si>
  <si>
    <t xml:space="preserve">Кольцо стеновое КС 20.9 </t>
  </si>
  <si>
    <t xml:space="preserve">Кольцо стеновое КС 20.6 </t>
  </si>
  <si>
    <t xml:space="preserve">Кольцо опорное КО6 </t>
  </si>
  <si>
    <t xml:space="preserve">Кольцо стеновое КС7.3 </t>
  </si>
  <si>
    <t>Люк чугунный тяжелый Т(С250</t>
  </si>
  <si>
    <t>Лестница-стремянка из угловой оцинкованной стали 50×5 мм (С1-06)</t>
  </si>
  <si>
    <t>136,5</t>
  </si>
  <si>
    <t>Праймер Технониколь №1</t>
  </si>
  <si>
    <t>Битумная мастикаТехнониколь №24</t>
  </si>
  <si>
    <t>145,7</t>
  </si>
  <si>
    <t>Муфта защитная полиэтиленовая D=365 мм L=150,0 мм  (для труб ø315 мм)</t>
  </si>
  <si>
    <t>Труба стальная электросварная 530х10мм (футляр)</t>
  </si>
  <si>
    <t>10</t>
  </si>
  <si>
    <t>Муфта защитная полиэтиленовая D=194 мм L=150,0 мм   (для труб ø160 мм)</t>
  </si>
  <si>
    <t>Задвижка D 150 мм</t>
  </si>
  <si>
    <t>Задвижка D 300 мм</t>
  </si>
  <si>
    <t>131-23-НВК4 Хозбытовая канализация (К1)</t>
  </si>
  <si>
    <t>Труба стальная электросварная 377х10мм   (футляр)</t>
  </si>
  <si>
    <t xml:space="preserve">Труба КОРСИС PRODN/OD 160P SN 16 </t>
  </si>
  <si>
    <t>Труба КОРСИС PRODN/OD 315P SN 16</t>
  </si>
  <si>
    <t xml:space="preserve">Плита днища ПН 10 </t>
  </si>
  <si>
    <t>7</t>
  </si>
  <si>
    <t xml:space="preserve">Плита перекрытия ПП 10-2 </t>
  </si>
  <si>
    <t xml:space="preserve">Кольцо стеновое КС 10.9 </t>
  </si>
  <si>
    <t>14</t>
  </si>
  <si>
    <t>109,9</t>
  </si>
  <si>
    <t>Муфта защитная полиэтиленовая D=194 мм L=150,0 мм (для труб ø160 мм)</t>
  </si>
  <si>
    <t>131-23-ГП Вертикальная планировка, благоустройство</t>
  </si>
  <si>
    <t>Благоустройство (Водоотводной лоток)</t>
  </si>
  <si>
    <t xml:space="preserve">Лоток водоотводной (BETOMAX DRIVE  DN300 H26,Standartpark), </t>
  </si>
  <si>
    <t xml:space="preserve">Водоприемная решетка (РЕШЕТКА ВОДОПРИЕМНАЯ DRIVE ЩЕЛЕ-ВАЯ ЧУГУННАЯ ВЧ КЛ. С250 273033-D, Standartpark), </t>
  </si>
  <si>
    <t>Щебень фракции 20-40мм М600</t>
  </si>
  <si>
    <t>Асфальтобетон плотный горячий на битуме БНД марки 60/90, Тип В, Марки III ГОСТ 9128-2013   h=0,05</t>
  </si>
  <si>
    <t>Щебень М600 (5-20 мм) с пропиткой вязким битумом  h=0,08 с К упл.= 1,05</t>
  </si>
  <si>
    <t>Щебень М600 (20-70мм) ГОСТ 8267-93  h=0,15 с К упл.= 1,05</t>
  </si>
  <si>
    <t>Песок крупный ГОСТ 8736-2014 h=0,30 с К упл.= 1,10</t>
  </si>
  <si>
    <t>Песок крупный ГОСТ 8736-2014 h=0,30 с К упл.= 1,10 (замена техно-генного грунта)</t>
  </si>
  <si>
    <t>Точки 6-15-16-17</t>
  </si>
  <si>
    <t xml:space="preserve">Кабель АВВГнг-LS-1 сеч. 4х50мм2 </t>
  </si>
  <si>
    <t>Крепление кабеля скобами СМД-П 38-40</t>
  </si>
  <si>
    <t>Точки 28-28А-28Б-28В</t>
  </si>
  <si>
    <t xml:space="preserve">Кабель ААБ-6  сеч. 3х70мм2 </t>
  </si>
  <si>
    <t>Монтаж муфты соединительной 10кВ 3СТп-10-70/120</t>
  </si>
  <si>
    <t>Монтаж трубы ПНД-110 SN12 в траншее на глубине 1 м</t>
  </si>
  <si>
    <t>Точки 1-2</t>
  </si>
  <si>
    <t xml:space="preserve">Кабель АСБ-6 сеч. 3х70мм2 </t>
  </si>
  <si>
    <t>Муфта соединительная  3СТп-10-70/120</t>
  </si>
  <si>
    <t xml:space="preserve">Труба ПНД-110 SN12 </t>
  </si>
  <si>
    <t>Точки 6-7-8</t>
  </si>
  <si>
    <t>Кабель АШБ-6 сеч. 3х95мм2</t>
  </si>
  <si>
    <t>Точки 9-12-10-11</t>
  </si>
  <si>
    <t>Кабель АСБ-6 сеч. 3х50мм2</t>
  </si>
  <si>
    <t>Муфта соединительная  3СТп-10-25/50</t>
  </si>
  <si>
    <t xml:space="preserve">Разработка сухого грунта механизированным способом </t>
  </si>
  <si>
    <t>Разработка грунта вручную в местах пересечений с существующими подземными коммуникациями</t>
  </si>
  <si>
    <t>Обратная засыпка грунта вручную  (5%)</t>
  </si>
  <si>
    <t>Планировка площадей: механизированным способом</t>
  </si>
  <si>
    <t>Прокладка труб полиэтиленовых напорных ПЭ100  SDR17  ø110х6,6 «питьевая»</t>
  </si>
  <si>
    <t>Прокладка труб стальных электросварных  прямошовных ø108х4,0 с весьма усиленной г/изол</t>
  </si>
  <si>
    <t>Прокладка труб стальных электросварных прямошовных ø325х7,0 (футляр)</t>
  </si>
  <si>
    <t xml:space="preserve">Протаскивание в футляр полиэтиленовых труб </t>
  </si>
  <si>
    <t>Заделка  концов футляра</t>
  </si>
  <si>
    <t>футляр</t>
  </si>
  <si>
    <t>Монтаж задвижки чугунной с обрезиненным клином невыдвижным шпинделем фланцевой МЗВ-100 (DN100) 30ч39р Московский завод «Водоприбор</t>
  </si>
  <si>
    <t>Демонтаж в колодце тройника чугунного фланцевого ТФ 150х100</t>
  </si>
  <si>
    <t>Монтаж в колодце крестовины чугунной фланцевой КФ 150х100</t>
  </si>
  <si>
    <t>Монтаж фланцев стальных плоских приварных Д=100 мм на трубе в цехе 121/18</t>
  </si>
  <si>
    <t>Фланец свободный металлический Dу 100 мм (для труб ø100 мм) в колодце</t>
  </si>
  <si>
    <t>Втулка под фланец d=100 мм SDR 17 в колодце</t>
  </si>
  <si>
    <t>Установка муфты защитной полиэтиленовой L=150,0 мм D=140 мм для прохода труб сквозь бетонную стену колодца (для труб D=110 мм)</t>
  </si>
  <si>
    <t>Монтаж отвода стального приварного 90°</t>
  </si>
  <si>
    <t xml:space="preserve">Неразъемное соединение полиэтилен-сталь НСПС 110/108 мм </t>
  </si>
  <si>
    <t>Пробивка отверстия 400х400 х400 мм в существующем фундаменте цеха 121/18</t>
  </si>
  <si>
    <t>Установка сальника набивного Ду100 мм L=500 мм   серия 5.900-2    ТМ 91-02</t>
  </si>
  <si>
    <t>Заделка отверстия в фундаменте бетоном кл. В20, W6</t>
  </si>
  <si>
    <t>Прокладка труб полиэтиленовых напорных ПЭ100  SDR17  ø160х9,5 «питьевая»</t>
  </si>
  <si>
    <t>Монтаж фланца свободного металлического Dу 150 мм (для труб ø160 мм)</t>
  </si>
  <si>
    <t>Монтаж втулки ПЭ100 SDR 17 под фланец d=160 мм PN10 кгс/см² (для труб ø160 мм)</t>
  </si>
  <si>
    <t>Установка муфты защитной полиэтиленовой L=150,0 мм D=140 мм для прохода труб сквозь бетонную стену колодца (для труб D=160 мм)</t>
  </si>
  <si>
    <t>Монтаж фланца свободного металлического Dу 100 мм (для труб ø110 мм)</t>
  </si>
  <si>
    <t>Монтаж втулки ПЭ100 SDR 17 под фланец d=110 мм PN10 кгс/см² (для труб ø110 мм)</t>
  </si>
  <si>
    <t xml:space="preserve">Разработка влажного грунта механизированным способом </t>
  </si>
  <si>
    <t xml:space="preserve">Разработка грунта в котловане под колодцы механизированным способом </t>
  </si>
  <si>
    <t>Устойство щебеночного  основания под колодец h=0,1 м вручную</t>
  </si>
  <si>
    <t xml:space="preserve">Обратная засыпка грунта бульдозером </t>
  </si>
  <si>
    <t>Разрезание труб стальных электросварных 1420х18 мм вдоль на две части (футляр)</t>
  </si>
  <si>
    <t xml:space="preserve">Прокладка труб КОРСИС PRO DN/OD 1200 /1000 P SN 16 </t>
  </si>
  <si>
    <t xml:space="preserve">Прокладка труб КОРСИС PRODN/OD 630/535P SN 16 </t>
  </si>
  <si>
    <t>Установка муфт защитных полиэтиленовых D=365 мм L=150,0 мм для прохода труб сквозь бетонную стенку колодца (для труб ø315 мм)</t>
  </si>
  <si>
    <t>Прокладка труб стальных электросварных 377х10мм  (футляр)</t>
  </si>
  <si>
    <t>Разрезание труб стальных электросварных 377х10мм вдоль на две части (футляр)</t>
  </si>
  <si>
    <t>Заделка концов футляра 377х10мм</t>
  </si>
  <si>
    <t>Прокладка труб стальных электросварных 530х10мм  (футляр)</t>
  </si>
  <si>
    <t>Разрезание труб стальных электросварных 530х10мм вдоль на две части (футляр)</t>
  </si>
  <si>
    <t>Сварка труб стальных электросварных 530х10мм мм вдоль (футляр)</t>
  </si>
  <si>
    <t>Заделка концов футляра 530х10мм</t>
  </si>
  <si>
    <t>Установка муфт защитных полиэтиленовых D=194 мм L=150,0 мм для прохода труб сквозь бетонную стенку колодца (для труб ø160 мм)</t>
  </si>
  <si>
    <t>Сварка труб стальных электросварных  377х10мм вдоль (футляр)</t>
  </si>
  <si>
    <t xml:space="preserve">Прокладка труб КОРСИС PRODN/OD 160P SN 16 </t>
  </si>
  <si>
    <t xml:space="preserve">Прокладка труб КОРСИС PRODN/OD 315P SN 16 </t>
  </si>
  <si>
    <t>Вертикальная планировка  (земляные работы)</t>
  </si>
  <si>
    <t>Выемка грунта при устройстве: дорожной одежды и планировки</t>
  </si>
  <si>
    <t>Разработка грунта с перемещением  бульдозером из выемки в отвал</t>
  </si>
  <si>
    <t>Основание под а/д из щебня М600 (5-20 мм) с пропиткой вязким битумом  h=0,08 с К упл.= 1,05</t>
  </si>
  <si>
    <t>Основание под а/д из щебня М600 (20-70мм) ГОСТ 8267-93  h=0,15 с К упл.= 1,05</t>
  </si>
  <si>
    <t>Прокладка кабеля АВВГнг-LS-1 сеч. 4х50мм2 по сущ. эсткаде</t>
  </si>
  <si>
    <t>Прокладка кабеля ААБ-6  сеч. 3х70мм2 в траншее</t>
  </si>
  <si>
    <t xml:space="preserve">Разработка грунта вручную </t>
  </si>
  <si>
    <t>Обратная засыпка грунта вручную</t>
  </si>
  <si>
    <t>Прокладка кабеля АСБ-6 сеч. 3х70мм2 в трубе- футляре</t>
  </si>
  <si>
    <t xml:space="preserve">Прокладка кабеля АСБ-6 сеч. 3х70мм2 в траншее </t>
  </si>
  <si>
    <t>Прокладка кабеля АШБ-6  сеч. 3х95мм2 в трубе- футляре</t>
  </si>
  <si>
    <t>Прокладка кабеля АШБ-6  сеч. 3х95мм2 в траншее</t>
  </si>
  <si>
    <t>Прокладка кабеля АСБ-6  сеч. 3х50мм2 в трубе- футляре</t>
  </si>
  <si>
    <t>Монтаж муфты соединительной 10кВ 3СТп-10-25/50</t>
  </si>
  <si>
    <t>ООО "ТЕХРЕСУРС"</t>
  </si>
  <si>
    <t>Цена за ед без НДС</t>
  </si>
  <si>
    <t>Ед изм</t>
  </si>
  <si>
    <t>Болт стыковой в сборе Р65</t>
  </si>
  <si>
    <t>Накладка 6-дырная Р65</t>
  </si>
  <si>
    <t>Болт стыковой в сборе Р50</t>
  </si>
  <si>
    <t>Накладка 6-дырная Р50</t>
  </si>
  <si>
    <t>Балластировка пути и стрелочных переводов</t>
  </si>
  <si>
    <t>Выправочно-отделочные работы и окончательная выправка пути на железобетонных шпалах, балласт щебеночный</t>
  </si>
  <si>
    <t>Планировка откосов выемок и насыпей</t>
  </si>
  <si>
    <t>Демонтажные работы</t>
  </si>
  <si>
    <t>Разработка грунта в отвал экскаваторами импортного производства с ковшом вместимостью 0,5 (0,5-0,63) м3, группа грунтов: 1</t>
  </si>
  <si>
    <t xml:space="preserve">Укладка нового глухого пересечения (угол 45°) типа Р65, проект 534.06-2007.00.000-01, с комплектом деревянных брусьев и креплений </t>
  </si>
  <si>
    <t>Щебень балластный категории II</t>
  </si>
  <si>
    <t xml:space="preserve">Щебень балластный фр.25-60 </t>
  </si>
  <si>
    <t>Гравийно-песчаная подушка</t>
  </si>
  <si>
    <t>Расходные и прочие сопутствующие материалы</t>
  </si>
  <si>
    <t>Верхнее строение пути №3</t>
  </si>
  <si>
    <t>Итого</t>
  </si>
  <si>
    <t>Непредвиденные работы (3%)</t>
  </si>
  <si>
    <t>Итого с непредвиденными</t>
  </si>
  <si>
    <t>Наименование работ (затрат)</t>
  </si>
  <si>
    <t>Стоимость 
СМР</t>
  </si>
  <si>
    <t>Стоимость 
МТР</t>
  </si>
  <si>
    <t>Стоимость 
ИТОГО</t>
  </si>
  <si>
    <t>ВСЕГО</t>
  </si>
  <si>
    <t>Цех №8</t>
  </si>
  <si>
    <t>Трансбордер</t>
  </si>
  <si>
    <t>Коммуникации 417 путь</t>
  </si>
  <si>
    <t>Без НДС</t>
  </si>
  <si>
    <t>с НДС</t>
  </si>
  <si>
    <t>Смесь песчано-гравийная</t>
  </si>
  <si>
    <t>комплекс</t>
  </si>
  <si>
    <t>Коммуникации 217 путь</t>
  </si>
  <si>
    <t>Переустройство хозпитьевого водопровода (В1) на участке В1-1 – В1-2</t>
  </si>
  <si>
    <t>Переустройство хозпитьевого водопровода (В1) на участке В1-3 – В1-4</t>
  </si>
  <si>
    <t>Переустройство хозпитьевого водопровода (В1) на участке В1-5 – В1-5А/Уг.1 - В1-6</t>
  </si>
  <si>
    <t>Переустройство хозбытовой канализации (К1) на участке К1-26 – К1-27</t>
  </si>
  <si>
    <t>Переустройство хозбытовой канализации (К1) на участке К1-27 – К1-28</t>
  </si>
  <si>
    <t>Переустройство ливневой канализации (К2) на участке К2-7 – К2-8</t>
  </si>
  <si>
    <t>Переустройство ливневой канализации (К2) на участке К2-9 – К2-10</t>
  </si>
  <si>
    <t>Переустройство ливневой канализации (К2) на участке К2-11 – К2-12</t>
  </si>
  <si>
    <t>Переустройство ливневой канализации (К2) на участке К2-11 – К2-13</t>
  </si>
  <si>
    <t>ЭС. Точки 14-15</t>
  </si>
  <si>
    <t>Труба полиэтиленовая напорная ПЭ100 SDR17 ∅280х16,6 «питьевая»</t>
  </si>
  <si>
    <t>Труба стальная электросварная прямошовная ∅530х8,0 (футляр)</t>
  </si>
  <si>
    <t>Опорно-направляющее кольцо ОНК для трубы Дн=280 мм</t>
  </si>
  <si>
    <t>Фланец свободный стальной Dу 250 мм (для труб ∅280 мм)</t>
  </si>
  <si>
    <t>Втулка ПЭ100 SDR 17 под фланец d=250 мм PN10 кгс/см2 (для труб ∅280 мм)</t>
  </si>
  <si>
    <t>Болт М20х75 (36 шт.)</t>
  </si>
  <si>
    <t>Гайка М20 (36 шт.)</t>
  </si>
  <si>
    <t>Шайба М20 (72 шт.)</t>
  </si>
  <si>
    <t>Муфта защитная полиэтиленовая L=150,0 мм D=330 мм для прохода труб сквозь бетонную стену колодца (для труб D=280 мм)</t>
  </si>
  <si>
    <t>Пожарная подставка фланцевая ППФ-250</t>
  </si>
  <si>
    <t>Прокладка из паронита А-250-10 для фланца ∅250 мм, PN1,0 МПа, исп. А</t>
  </si>
  <si>
    <t>Пожарный гидрант Н-1750 мм</t>
  </si>
  <si>
    <t>Фланец стальной плоский приварной Dу 250 мм Ру 10 кгс/см2</t>
  </si>
  <si>
    <t>Цементно-песчаный раствор М100</t>
  </si>
  <si>
    <t>Плита днища ПН 15</t>
  </si>
  <si>
    <t>1</t>
  </si>
  <si>
    <t xml:space="preserve">Плита перекрытия 2ПП 15-2 </t>
  </si>
  <si>
    <t>Кольцо стеновое КС15.9</t>
  </si>
  <si>
    <t>2</t>
  </si>
  <si>
    <t>Кольцо стеновое КС15.6</t>
  </si>
  <si>
    <t>Кольцо опорное КО 6</t>
  </si>
  <si>
    <t>Люк чугунный тяжелый Т (С250)</t>
  </si>
  <si>
    <t>Лестница-стремянка из угловой оцинкованной стали 50х5 мм</t>
  </si>
  <si>
    <t>23</t>
  </si>
  <si>
    <t>Сталь угловая 50х5, l=245 мм (6 шт.)</t>
  </si>
  <si>
    <t>Полоса стальная 5х80 L=300 мм (6 шт.)</t>
  </si>
  <si>
    <t>Грунтовка Праймер Технониколь №1</t>
  </si>
  <si>
    <t>5</t>
  </si>
  <si>
    <t>34</t>
  </si>
  <si>
    <t>Щебень фракции 20-40 мм, М600</t>
  </si>
  <si>
    <t>0,7</t>
  </si>
  <si>
    <t>Труба полиэтиленовая напорная ПЭ100 SDR17 ∅225х13,4 «питьевая»</t>
  </si>
  <si>
    <t>97</t>
  </si>
  <si>
    <t>Труба стальная электросварная прямошовная ∅426х7,0 (футляр)</t>
  </si>
  <si>
    <t>6</t>
  </si>
  <si>
    <t>Опорно-направляющее кольцо ОНК для трубы Дн=225 мм</t>
  </si>
  <si>
    <t>Фланец свободный стальной Dу 300 мм (для труб ∅315 мм)</t>
  </si>
  <si>
    <t>Прокладка из паронита А-200-10 для фланца ∅200 мм, PN1,0 МПа, исп. А</t>
  </si>
  <si>
    <t>Втулка ПЭ100 SDR 17 под фланец d=315 мм PN10 кгс/см2</t>
  </si>
  <si>
    <t>Болт М20х80 (8 шт.)</t>
  </si>
  <si>
    <t>Гайка М20  (8 шт.)</t>
  </si>
  <si>
    <t>Шайба М20  (16 шт.)</t>
  </si>
  <si>
    <t>Муфта защитная полиэтиленовая L=150,0 мм D=274 мм для прохода труб сквозь бетонную стену колодца (для труб D=225 мм)</t>
  </si>
  <si>
    <t>Неразъемное соединение полиэтилен/сталь НСПС 225/219 (SDR17)</t>
  </si>
  <si>
    <t>0,61</t>
  </si>
  <si>
    <t>Труба полиэтиленовая напорная ПЭ100 SDR17 ∅315х18,7 «питьевая»</t>
  </si>
  <si>
    <t>82</t>
  </si>
  <si>
    <t>41</t>
  </si>
  <si>
    <t>Опорно-направляющее кольцо ОНК для трубы Дн=315 мм</t>
  </si>
  <si>
    <t>12</t>
  </si>
  <si>
    <t>Отвод сварной 45° ПЭ100 SDR17 ∅315х18,7</t>
  </si>
  <si>
    <t>Прокладка из паронита А-300-10 для фланца ∅300 мм, PN1,0 МПа, исп. А</t>
  </si>
  <si>
    <t>Болт М20х80 (24 шт.)</t>
  </si>
  <si>
    <t>Гайка М20  (24 шт.)</t>
  </si>
  <si>
    <t>Шайба М20 (48 шт.)</t>
  </si>
  <si>
    <t>Муфта защитная полиэтиленовая L=150,0 мм D=365 мм для прохода труб сквозь бетонную стену колодца (для труб D=315 мм)</t>
  </si>
  <si>
    <t>Втулка ПЭ100 SDR 17 под фланец d=225 мм PN10 кгс/см2</t>
  </si>
  <si>
    <t>Труба полимерная гофрированная двухслойная НПВХ DN 200 мм SN16</t>
  </si>
  <si>
    <t>42</t>
  </si>
  <si>
    <t>Труба стальная электросварная прямошовная ф426х7,0 мм (футляр)</t>
  </si>
  <si>
    <t>Опорно-направляющее кольцо ОНК для трубы Дн=200 мм</t>
  </si>
  <si>
    <t>Муфта защитная полиэтиленовая D=248 мм L=150,0 мм для прохода труб сквозь бетонную стенку колодца (для труб D=200 мм)</t>
  </si>
  <si>
    <t>Труба НПВХ гофрированная двухслойная DN 200 мм SN16</t>
  </si>
  <si>
    <t>Муфта защитная полиэтиленовая D=248 мм L=150,0 мм для прохода труб сквозь бетонную стенку колодца (для труб ∅200 мм)</t>
  </si>
  <si>
    <t>Труба НПВХ гофрированная двухслойная DN 1000 мм SN16</t>
  </si>
  <si>
    <t>31</t>
  </si>
  <si>
    <t>Труба стальная электросварная прямошовная ∅1220х10,0 мм</t>
  </si>
  <si>
    <t>Опорно-направляющее кольцо ОНК для трубы Дн=1000 мм</t>
  </si>
  <si>
    <t>Муфта защитная полиэтиленовая D=1090 мм L=350,0 мм для прохода труб сквозь бетонную стенку колодца (для труб ∅1000 мм)</t>
  </si>
  <si>
    <t>Труба НПВХ гофрированная двухслойная DN 630 мм SN16</t>
  </si>
  <si>
    <t xml:space="preserve">Труба стальная электросварная прямошовная ∅820х8,0 мм  (футляр) </t>
  </si>
  <si>
    <t>Опорно-направляющее кольцо ОНК для трубы Дн=630 мм</t>
  </si>
  <si>
    <t>Муфта защитная полиэтиленовая D=690 мм L=200,0 мм для прохода труб сквозь бетонную стенку колодца (для труб ∅630 мм)</t>
  </si>
  <si>
    <t>21</t>
  </si>
  <si>
    <t>49</t>
  </si>
  <si>
    <t>Труба двустенная жесткая для кабельной канализации ПНД‐110 SN12</t>
  </si>
  <si>
    <t>40</t>
  </si>
  <si>
    <t>Пена двухкомпонентная огнезащитная DN1201</t>
  </si>
  <si>
    <t>16,7</t>
  </si>
  <si>
    <t>Кабель силовой с алюминиевыми жилами сечением 3х120 мм2 АСБ‐6</t>
  </si>
  <si>
    <t>300</t>
  </si>
  <si>
    <t>Муфта соединительная на напряжение до 10 кВ 3СТп‐10‐70/120</t>
  </si>
  <si>
    <t>Лена сигнальная "Осторожно, кабель" ЛСЭ‐300</t>
  </si>
  <si>
    <t>Разработка грунта в траншее механизированным способом (экскаватором с ковшом емк. 0,65 м3)</t>
  </si>
  <si>
    <t>Доработка грунта в траншее вручную (3% от V3)</t>
  </si>
  <si>
    <t>Водоотлив из траншей h=0,3</t>
  </si>
  <si>
    <t>Обратная засыпка песком вручную h=0,3 м над верхом трубы</t>
  </si>
  <si>
    <t xml:space="preserve">Погрузка лишнего грунта в автосамосвалы экскаватором с объѐмом ковша 0,65м3 </t>
  </si>
  <si>
    <t>Транспортировка лишнего грунта на расстояние 25 км автосамосвалами грузоподъемностью 10 т</t>
  </si>
  <si>
    <t>2,3</t>
  </si>
  <si>
    <t>294</t>
  </si>
  <si>
    <t>15</t>
  </si>
  <si>
    <t>Прокладка труб полиэтиленовых напорных ПЭ100  SDR17  ø280х16,6 «питьевая»</t>
  </si>
  <si>
    <t xml:space="preserve">Прокладка труб стальных электросварных 530х10мм (футляр)+ Установка опорно-направляющих колец ОНК для трубы Дн=280 мм-2шт. (Пересечение с ж/д путями) </t>
  </si>
  <si>
    <t>Монтаж фланца свободного стального Dу 250 мм (для труб ø280 мм) - 10,3кг/шт.</t>
  </si>
  <si>
    <t>Монтаж втулки ПЭ100 SDR 17 под фланец d=250 мм PN10 кгс/см² (для труб ø280 мм) - 2,22кг/шт.</t>
  </si>
  <si>
    <t>Установка болтов М20х75 + Установка гайки М20+ Установка шайбы М20</t>
  </si>
  <si>
    <t>Сверление отверстий для устройства  муфты защитной полиэтиленовой L=150,0 мм D=330 мм (проход труб сквозь бетонную стену колодца)</t>
  </si>
  <si>
    <t>Установка муфты защитной полиэтиленовой L=150,0 мм D=330 мм для прохода труб сквозь бетонную стену колодца (для труб D=280 мм)</t>
  </si>
  <si>
    <t>Установка пожарной подставки фланцевой ППФ-250 + Установка прокладки из паронита А-250-10 для фланца ø250 мм, PN1,0 МПа, исп. А</t>
  </si>
  <si>
    <t>Установка гидранта пожарного Н-1750 мм</t>
  </si>
  <si>
    <t>Монтаж фланца стального приварного  Dу 250 мм</t>
  </si>
  <si>
    <t>Заделка межтрубного пространства в футляре (кожухе) цементно-песчаным раствором М100 - 1м3</t>
  </si>
  <si>
    <t xml:space="preserve">Присоединение  трубопроводов в действующие магистрали </t>
  </si>
  <si>
    <t>Колодец водопроводный</t>
  </si>
  <si>
    <t>Устройство круглых колодцев из сборного железобетона в грунтах мокрых</t>
  </si>
  <si>
    <t>Демонтаж существующего водопроводного колодца</t>
  </si>
  <si>
    <t>Демонтаж сборных ж/б элементов колодца+Демонтаж люка чугунного</t>
  </si>
  <si>
    <t>Транспортировка демонтированных ж/б элементов на расстояние 25 км автосамосвалами</t>
  </si>
  <si>
    <t>Демонтаж существующего трубопровода</t>
  </si>
  <si>
    <t>Демонтаж существующих труб стальных электросварных ø273х6,0</t>
  </si>
  <si>
    <t>Погрузка труб стальных на автосамосвалы</t>
  </si>
  <si>
    <t>Транспортировка демонтированных труб стальных на расстояние 25 км автосамосвалами</t>
  </si>
  <si>
    <t xml:space="preserve">Разработка грунта в траншее механизированным способом (экскаватором с ковшом емк. 0,65 м3) </t>
  </si>
  <si>
    <t>Прокладка труб полиэтиленовых напорных ПЭ100  SDR17  ø225х13,4 «питьевая»</t>
  </si>
  <si>
    <t>Прокладка труб стальных электросварных прямошовных ø426х7,0  (футляр) + Установка опорно-направляющих колец ОНК для трубы Дн=225 мм - 2шт. Пересечение с ж/д путями</t>
  </si>
  <si>
    <t>Монтаж фланца свободного стального Dу 225 мм (для труб ø225 мм) - 8,28кг/шт</t>
  </si>
  <si>
    <t>Монтаж втулки ПЭ100 SDR 17 под фланец d=225 мм PN10 кгс/см² - 2,22кг/шт.</t>
  </si>
  <si>
    <t>Сверление отверстий установками алмазного бурения в колодце</t>
  </si>
  <si>
    <t>Сверление отверстий для устройства  муфты защитной полиэтиленовой L=150,0 мм D=274 мм (проход труб сквозь бетонную стену колодца)</t>
  </si>
  <si>
    <t>Установка муфты защитной полиэтиленовой L=150,0 мм D=274 мм для прохода труб сквозь бетонную стену колодца (для труб D=225 мм)</t>
  </si>
  <si>
    <t>Монтаж неразъемного соединения полиэтилен/сталь НСПС 225/219 (SDR17)</t>
  </si>
  <si>
    <t>Заделка межтрубного пространства в футляре (кожухе) цементно-песчаным раствором М100 - 0,61м3</t>
  </si>
  <si>
    <t>Демонтаж существующих труб стальных электросварных ø219х6,0</t>
  </si>
  <si>
    <t xml:space="preserve">Обратная засыпка грунта бульдозером (95%) </t>
  </si>
  <si>
    <t xml:space="preserve">Обратная засыпка грунта вручную (5%) </t>
  </si>
  <si>
    <t>Погрузка лишнего грунта в автосамосвалы экскаватором с объѐмом ковша 0,65м3</t>
  </si>
  <si>
    <t>Прокладка труб полиэтиленовых напорных ПЭ100  SDR17  ø315х18,7 «питьевая»</t>
  </si>
  <si>
    <t>Укладка стальных водопроводных труб с гидравлическим испытанием диаметром: 500 мм</t>
  </si>
  <si>
    <t>Монтаж отвода 450 ПЭ 100 SDR17 d=315 мм - 14,8кг/шт.</t>
  </si>
  <si>
    <t>Монтаж фланца свободного стального Dу 300 мм (для труб ø315 мм) - 13,6кг/шт.</t>
  </si>
  <si>
    <t>Монтаж втулки ПЭ100 SDR 17 под фланец d=315 мм PN10 кгс/см² - 3,35кг/шт.</t>
  </si>
  <si>
    <t>Сверление отверстий для устройства  муфты защитной полиэтиленовой L=150,0 мм D=365 мм (проход труб сквозь бетонную стену колодца)</t>
  </si>
  <si>
    <t>Установка муфты защитной полиэтиленовой L=150,0 мм D=365 мм для прохода труб сквозь бетонную стену колодца (для труб D=315 мм)</t>
  </si>
  <si>
    <t>Заделка межтрубного пространства в футляре (кожухе) цементно-песчаным раствором М100 - 6м3</t>
  </si>
  <si>
    <t>Демонтаж труб стальных электросварных прямошовных ø325х6,0</t>
  </si>
  <si>
    <t>Транспортировка для утилизации на полигон на расстояние 25 км</t>
  </si>
  <si>
    <t>Крепление стенок траншеи инвентарными дощатыми щитами с винтовыми распорками</t>
  </si>
  <si>
    <t>Прокладка труб полимерных гофрированных двухслойных НПВХ  DN 200 мм SN16</t>
  </si>
  <si>
    <t>Прокладка труб стальных электросварных прямошовных, ø426х7,0 мм  (футляр) + Установка опорно-направляющих колец ОНК для трубы Дн=200 мм - 2шт.</t>
  </si>
  <si>
    <t>Сверление отверстий для устройства  муфты защитной полиэтиленовой L=150,0 мм D=248 мм (проход труб сквозь бетонную стену колодца)</t>
  </si>
  <si>
    <t>Монтаж муфты защитной полиэтиленовой D=248 мм L=150,0 мм для прохода труб сквозь бетонную стенку колодца (для труб ø200 мм)</t>
  </si>
  <si>
    <t>Демонтаж труб бетонных ø200</t>
  </si>
  <si>
    <t xml:space="preserve">Транспортировка для утилизации на полигон на расстояние 25 км </t>
  </si>
  <si>
    <t>Погрузка труб бетонных на автосамосвалы</t>
  </si>
  <si>
    <t>Прокладка труб стальных электросварных прямошовных, ø426х7,0 мм  (футляр) + Установка опорно-направляющих колец ОНК для трубы Дн=200 мм - 2шт</t>
  </si>
  <si>
    <t>Прокладка труб НПВХ гофрированных двухслойных DN 1000 мм SN16</t>
  </si>
  <si>
    <t>Прокладка труб стальных электросварных прямошовных,  ø1220х10,0 мм (футляр) + Монтаж опорно-направляющих колец ОНК для трубы Дн=1000 мм - 2шт.</t>
  </si>
  <si>
    <t>Сверление отверстий для устройства  муфты защитной полиэтиленовой L=350,0 мм D=1090 мм (проход труб сквозь бетонную стену колодца)</t>
  </si>
  <si>
    <t>Монтаж муфты защитной полиэтиленовой D=1090 мм L=350,0 мм для прохода труб сквозь бетонную стенку колодца (для труб ø1000 мм)</t>
  </si>
  <si>
    <t>Заделка межтрубного пространства в футляре (кожухе) цементно-песчаным раствором М100 - 2м3</t>
  </si>
  <si>
    <t xml:space="preserve">Демонтаж труб железобетонных  Ø1000 мм </t>
  </si>
  <si>
    <t>Погрузка труб ж/б на автосамосвалы</t>
  </si>
  <si>
    <t>Прокладка труб НПВХ гофрированных двухслойных DN 630 мм SN16</t>
  </si>
  <si>
    <t>Прокладка труб стальных электросварных прямошовных,  ø820х8,0 мм (футляр) + Монтаж опорно-направляющих колец ОНК для трубы Дн=630 мм - 2шт.</t>
  </si>
  <si>
    <t>Сверление отверстий для устройства  муфты защитной полиэтиленовой L=200,0 мм D=690 мм (проход труб сквозь бетонную стену колодца)</t>
  </si>
  <si>
    <t>Монтаж муфты защитной полиэтиленовой D=690 мм L=200,0 мм для прохода труб сквозь бетонную стенку колодца (для труб ø630 мм)</t>
  </si>
  <si>
    <t>Демонтаж труб железобетонных  Ø600 мм</t>
  </si>
  <si>
    <t>Обратная засыпка вручную</t>
  </si>
  <si>
    <t>Погрузка вручную  грунта</t>
  </si>
  <si>
    <t>Вывоз лишнего грунта на полигон на расстояние 25 км</t>
  </si>
  <si>
    <t>Кабель в футляре из трубы ПНД-110 SN12</t>
  </si>
  <si>
    <t>Заделка труб пеной двухкомпонентной огнезащитной</t>
  </si>
  <si>
    <t>Устройство постели из песка для прокладки кабеля в траншее</t>
  </si>
  <si>
    <t>Прокладка кабеля АСБ-6 сеч. 3х120мм2 в траншее</t>
  </si>
  <si>
    <t>Прокладка кабеля АСБ-6 сеч. 3х120мм2 в трубе</t>
  </si>
  <si>
    <t xml:space="preserve">Монтаж муфты соединительной 10кВ 3СТп-10-70/120 </t>
  </si>
  <si>
    <t>Прокладка сигнальной ленты</t>
  </si>
  <si>
    <t>Пусконаладочные работы</t>
  </si>
  <si>
    <t>Испытания кабеля повышенным напряжением (на барабане)</t>
  </si>
  <si>
    <t>Испытания кабеля повышенным напряжением (вставки)</t>
  </si>
  <si>
    <t>Испытания кабеля повышенным напряжением (переключенной КЛ)</t>
  </si>
  <si>
    <t>Фазировка</t>
  </si>
  <si>
    <t>Устройство основания под колодцы щебеночного</t>
  </si>
  <si>
    <t>Погрузка демонтированных элементов</t>
  </si>
  <si>
    <t>30 км</t>
  </si>
  <si>
    <t>цена в пред. КП</t>
  </si>
  <si>
    <t>присоединение</t>
  </si>
  <si>
    <t>испытание</t>
  </si>
  <si>
    <t>фазировка</t>
  </si>
  <si>
    <t>Восстановление существующих колодцев</t>
  </si>
  <si>
    <t>Установка плиты перекрытия с подъемом на проектную отметку ПП-15</t>
  </si>
  <si>
    <t>Установка люков полимерных 1.5т</t>
  </si>
  <si>
    <t>Плита перекрытия ПП-15</t>
  </si>
  <si>
    <t>Люк смотровых колодцев полимерный тип ЛМ</t>
  </si>
  <si>
    <t>Демонтаж труб стальных электросварных ø159х6,0 мм</t>
  </si>
  <si>
    <t>Очистка поверхностей сборных железобетонных лотков и плит от грязи перед обмазкой</t>
  </si>
  <si>
    <t>Огрунтовка поверхностей сборных железобетонных лотков за один раз</t>
  </si>
  <si>
    <t xml:space="preserve">Обмазка поверхностей сборных железобетонных лотков и битумной мастикой за 2 раза </t>
  </si>
  <si>
    <t>Устройство шахты подъема из монолитного бетона класса В25, F200, W6 Арматура ϕ8 А-III</t>
  </si>
  <si>
    <t>Устройство подготовки из щебня под вент. шахту</t>
  </si>
  <si>
    <t>Подготовка из монолитного бетона класса В15 Арматура ϕ22 А-III Арматура ϕ10 А-I</t>
  </si>
  <si>
    <t>Устройство подпятника из монолитного бетона класса В15</t>
  </si>
  <si>
    <t>Устройство ж/б труб Т 40.50-2</t>
  </si>
  <si>
    <t>Отвод 90° 426х9-2,5</t>
  </si>
  <si>
    <t>Труба стальная Дн 426, l=1500</t>
  </si>
  <si>
    <t>Устройство оголовка из листовойстали δ=10</t>
  </si>
  <si>
    <t>Установка отвода 90° 426х9-2,5</t>
  </si>
  <si>
    <t>Сборные железобетонные конструкции под теплотрассу (канал и шахта подъема, вент. шахта)</t>
  </si>
  <si>
    <t>Устройство камеры ТК-1</t>
  </si>
  <si>
    <t xml:space="preserve">Устройство монолитной железобетонной камеры ТК-1 </t>
  </si>
  <si>
    <t>Устройство бетонной подготовки из бетона В10</t>
  </si>
  <si>
    <t>Устройство колец колодезных К-7-9 массой 0,38 т (0,61м3)</t>
  </si>
  <si>
    <t>Устройство люков чугунных тяжелых (тип Т) массой 135,5 кг</t>
  </si>
  <si>
    <t>Устройство второй крышки с замком для люка</t>
  </si>
  <si>
    <t>Устройство плит сборных ж/б ОП- 1к массой 1000,1 кг из бетона В22,5 (0,806м3)</t>
  </si>
  <si>
    <t>Устройство сборных ж/бетонных плит ВП-31-18 с отверстием из бетона В22,5 массой 3,33 т (2,66м3)</t>
  </si>
  <si>
    <t>Устройство сборных ж/бетонных плит ВП-31-12 из бетона В22,5 массой 3,33 т (0,99т)</t>
  </si>
  <si>
    <t>Устройство отверстий диам. 430 в ж/б плите перекрытия толщ. 260 мм сверлением</t>
  </si>
  <si>
    <t>Устройство металлического листа толщ. 10 мм на шахтой опуска</t>
  </si>
  <si>
    <t>Заделка пространства прохода труб сквозь стену камеры бетоном В10</t>
  </si>
  <si>
    <t>Заделка прохода труб сквозь стену камеры «Вилатермом» диам. 50 мм</t>
  </si>
  <si>
    <t>Обмазка битумом БН 90/10 за 2 раза</t>
  </si>
  <si>
    <t>п.м.</t>
  </si>
  <si>
    <t>Прокладка труб стальных электросварных прямошовных, группы В по ГОСТ 10705-80* сталь 20 ø159х6,0 мм  в мин. вате толщиной 80 мм в ОЦ</t>
  </si>
  <si>
    <t xml:space="preserve">Прокладка труб стальных электросварных прямошовных, группы В по ГОСТ 10705-80* сталь 20 ø45х5,0 </t>
  </si>
  <si>
    <t>Устройство отвода 90° 159х10</t>
  </si>
  <si>
    <t>Устройство отвода 90° 89х6</t>
  </si>
  <si>
    <t>Устройство отвода 90° 45х6</t>
  </si>
  <si>
    <t>Устройство крана шарового сварка/сварка "BALLOMAX" DN150, РN25</t>
  </si>
  <si>
    <t>Устройство крана шарового сварка/сварка "BALLOMAX" DN80, РN25</t>
  </si>
  <si>
    <t>Устройство крана шарового сварка/сварка "BALLOMAX" DN40, РN40</t>
  </si>
  <si>
    <t>Устройство блоков ФБС12.4.3-Т</t>
  </si>
  <si>
    <t>Устройство труб БНТ-150 ГОСТ 31416-2009</t>
  </si>
  <si>
    <t>Установка задвижки чугунной Ду 100</t>
  </si>
  <si>
    <t>Устройство лестниц с площадками для обслуживания арматуры</t>
  </si>
  <si>
    <t>нужны эти виды работ? они были учтены в смете, в ВОР  не было</t>
  </si>
  <si>
    <t>Устройство водоприемного колодца ВК-1</t>
  </si>
  <si>
    <t>Подвесные скобы горловин СК-4</t>
  </si>
  <si>
    <t>Лист 10х1200х1200</t>
  </si>
  <si>
    <t>Сталь листовая б=10</t>
  </si>
  <si>
    <t>Огрунтовка поверхностей колодца за один раз</t>
  </si>
  <si>
    <t xml:space="preserve">Обмазка поверхностей колодца битумной мастикой за 2 раза </t>
  </si>
  <si>
    <t>Заделка пространства прохода труб бетоном В20</t>
  </si>
  <si>
    <t>Устройсвто обоймы усиления из бетона В22,5</t>
  </si>
  <si>
    <t>Устройство стяжки из цементного раствора М200</t>
  </si>
  <si>
    <t>Устройство песчаного основания</t>
  </si>
  <si>
    <t>Монтаж листа 10х1200х1200</t>
  </si>
  <si>
    <t>Монтаж стали листовой б=10</t>
  </si>
  <si>
    <t>Пробивка отверствий в стене колодца под проход трубы Ду100</t>
  </si>
  <si>
    <t>Плита П12д-15 (18,92т, 7,74 м3)</t>
  </si>
  <si>
    <t>Монолитная железобетонная камера ТК-1</t>
  </si>
  <si>
    <t>Арматура d14 А-III ГОСТ 34028-2016 L=4760 (62 шт.)</t>
  </si>
  <si>
    <t>Арматура d14 А-III ГОСТ 34028-2016 L=2410 (24 шт.)</t>
  </si>
  <si>
    <t>Арматура d14 А-III ГОСТ 34028-2016 L=1710 (144 шт.)</t>
  </si>
  <si>
    <t>Арматура d14 А-III ГОСТ 34028-2016 L=1910 (48 шт.)</t>
  </si>
  <si>
    <t>Арматура d14 А-III ГОСТ 34028-2016 L=410 (36 шт.)</t>
  </si>
  <si>
    <t>Арматура d14 А-III ГОСТ 34028-2016 L=960 (48 шт.)</t>
  </si>
  <si>
    <t>Арматура d14 А-III ГОСТ 34028-2016 L=1500 (144 шт.)</t>
  </si>
  <si>
    <t>Арматура d14 А-III ГОСТ 34028-2016 L=1000 (48 шт.)</t>
  </si>
  <si>
    <t>Арматура d8 А-I ГОСТ 34028-2016 L=210 (186 шт.)</t>
  </si>
  <si>
    <t>Арматура d14 А-III ГОСТ 34028-2016 L=3160 (80 шт.)</t>
  </si>
  <si>
    <t>Арматура d14 А-III ГОСТ 34028-2016 L=3120 (12 шт.)</t>
  </si>
  <si>
    <t>Арматура d14 А-III ГОСТ 34028-2016 L=1080 (12 шт.)</t>
  </si>
  <si>
    <t>Каркас КР1</t>
  </si>
  <si>
    <t>Труба 426х4</t>
  </si>
  <si>
    <t>Труба 159х4</t>
  </si>
  <si>
    <t>Труба 127х2</t>
  </si>
  <si>
    <t>Бетон В25 F200 W6</t>
  </si>
  <si>
    <t>Бетон В10</t>
  </si>
  <si>
    <t>Камера ТК-1</t>
  </si>
  <si>
    <t>Кольцо колодезное  К-7-9</t>
  </si>
  <si>
    <t>Люк чугунный тяжелый тип "Т"</t>
  </si>
  <si>
    <t>Вторая крышка с замком для люка</t>
  </si>
  <si>
    <t>Плита ОП-1к</t>
  </si>
  <si>
    <t>Плита перекрытия ВП-31-18 (с отверстием)</t>
  </si>
  <si>
    <t xml:space="preserve">Плита перекрытия ВП-31-12 </t>
  </si>
  <si>
    <t>78,5</t>
  </si>
  <si>
    <t>Лист 1330х770х10 (1 шт.)</t>
  </si>
  <si>
    <t>Шахта опуска</t>
  </si>
  <si>
    <t>Шахта подъема</t>
  </si>
  <si>
    <t>Арматура d8 А-III  L=3100 (3 шт.)</t>
  </si>
  <si>
    <t>Арматура d10 А-III  L=440 (16 шт.)</t>
  </si>
  <si>
    <t xml:space="preserve">Арматура d8 А-III  </t>
  </si>
  <si>
    <t>Проход трубы</t>
  </si>
  <si>
    <t>«Вилатерм» диам. 50 мм</t>
  </si>
  <si>
    <t>Бетон М100 (класс В7,5)</t>
  </si>
  <si>
    <t>Битум БН 90/10</t>
  </si>
  <si>
    <t>Водоприемный колодец ВК-1</t>
  </si>
  <si>
    <t>Кольцо колодезное  К-7-10</t>
  </si>
  <si>
    <t>Плита ПК-15</t>
  </si>
  <si>
    <t>Лестница канализационная КЛ-1, Н=1,98 м</t>
  </si>
  <si>
    <t>Направляющие скобы горловин ГС-1</t>
  </si>
  <si>
    <t>Обойма усиления из бетона кл. В22.5</t>
  </si>
  <si>
    <t>Бетон В15 М200</t>
  </si>
  <si>
    <t>Водоприёмный колодец ВГ-15 (V=1,16 м³)</t>
  </si>
  <si>
    <t>Лист ОЦ 0,8 ГОСТ 19904-90/08кп-1 ГОСТ 14918-80</t>
  </si>
  <si>
    <t>Полоса 4х60xL1</t>
  </si>
  <si>
    <t>Пластина 1Ф-1-АМС-М-6 ГОСТ 7338-90 L2х80 мм</t>
  </si>
  <si>
    <t>Труба 325х8,0 ГОСТ 20295-85</t>
  </si>
  <si>
    <t>Болт М10х40.36.016</t>
  </si>
  <si>
    <t>Гайка М10.5.016</t>
  </si>
  <si>
    <t>Шайба 10.65Г</t>
  </si>
  <si>
    <t>Шайба 10.01.019</t>
  </si>
  <si>
    <t>Устройство зонтов трубопроводов</t>
  </si>
  <si>
    <t>Изоляция трубопроводов - ОЦ: Ду 150 толщ. 80 мм</t>
  </si>
  <si>
    <t>Отвод 90°159х10</t>
  </si>
  <si>
    <t>Отвод 90°45х6.0</t>
  </si>
  <si>
    <t>Кран шаровый сварка/сварка "BALLOMAX" DN150, РN25  КШТ 60.102.150.А.25</t>
  </si>
  <si>
    <t>Кран шаровый сварка/сварка "BALLOMAX" DN40, РN40 КШТ 60.102.040.А.40</t>
  </si>
  <si>
    <t>Опора скользящая хомутовая (∅159)</t>
  </si>
  <si>
    <t>Ультразвуковой 100% контроль стыков труб Ду150,</t>
  </si>
  <si>
    <t>Лестница с площадкой для обслуживания арматуры</t>
  </si>
  <si>
    <t>Стальной лист b=10 мм. (1480х790)</t>
  </si>
  <si>
    <t>Труба стальная  ГОСТ 10705-80 сталь 20 ø159х6,0 мм</t>
  </si>
  <si>
    <t>Труба стальная  ГОСТ 8732-78 В20 ø89х5,0 мм</t>
  </si>
  <si>
    <t>Труба стальная  ГОСТ 8731-74 сталь 20 ø45х5,0 мм</t>
  </si>
  <si>
    <t>Изоляция трубопроводов мин. вата Ду 150 толщ. 80 мм</t>
  </si>
  <si>
    <t>Труба ЧНР 100 ГОСТ 9583-75</t>
  </si>
  <si>
    <t>Отвод 90°89х6</t>
  </si>
  <si>
    <t>Кран шаровый сварка/сварка "BALLOMAX" DN80, РN25  КШТ 60.102.080.А.25</t>
  </si>
  <si>
    <t>Опора скользящая хомутовая (∅89)</t>
  </si>
  <si>
    <t>Зонт на трубопровод 159 (4 шт.)</t>
  </si>
  <si>
    <t>Блок ФБС12.4.3-Т,</t>
  </si>
  <si>
    <t>Труба БНТ-150 ГОСТ 31416-2009</t>
  </si>
  <si>
    <t>Кремнийорганическая термостойкая эмаль КО-8101</t>
  </si>
  <si>
    <t>Задвижка чуг. Ду100 30ч6бр.</t>
  </si>
  <si>
    <t>Заглушка изоляции для Ду150</t>
  </si>
  <si>
    <t>Стальной лист b=10мм</t>
  </si>
  <si>
    <t>Патрубок ПФГ-100 l=1200 мм</t>
  </si>
  <si>
    <t>Канал и шахта подъема, вент. шахта</t>
  </si>
  <si>
    <t>Бетон В25 W4 F200</t>
  </si>
  <si>
    <t>Битумная мастика ТЕХНОНИКОЛЬ № 24</t>
  </si>
  <si>
    <t>Битумная грунтовка ТЕХНОНИКОЛЬ № 01  (20л=16кг)</t>
  </si>
  <si>
    <t>Устройство шахты опуска из монолитного бетона класса В25, F200, W6 Арматура ϕ8 А-III</t>
  </si>
  <si>
    <t xml:space="preserve">Вентиляционная шахта </t>
  </si>
  <si>
    <t xml:space="preserve">Щебень </t>
  </si>
  <si>
    <t>Бетон класса В15</t>
  </si>
  <si>
    <t>Арматура ϕ22 А-III</t>
  </si>
  <si>
    <t>Арматура ϕ10 А-I</t>
  </si>
  <si>
    <t>Ж/б труба Т 40.50-2</t>
  </si>
  <si>
    <t>Оголовок из листовой стали δ=10</t>
  </si>
  <si>
    <t>Бетон  В10</t>
  </si>
  <si>
    <t>в СО - Труба стальная  ГОСТ 10705-80 сталь 20 ø159х6,0 мм -54 м
          Изоляция трубопроводов - ОЦ: Ду 150 толщ. 80 мм -20м
          Изоляция трубопроводов мин. вата Ду 150 толщ. 80 мм -24м</t>
  </si>
  <si>
    <t>Сварка труб, труб и фасонных частей, труб  Ф159 мм</t>
  </si>
  <si>
    <t>Изоляция стыков труб,  диаметром: 159 мм</t>
  </si>
  <si>
    <t>Заполнение межтрубного пространства в футляре цементно-песчаным раствором М100</t>
  </si>
  <si>
    <t>Ливневая канализация (перенос колодца14)</t>
  </si>
  <si>
    <t>Установка муфт защитных полиэтиленовых D=669 мм L=450 мм для прохода труб сквозь бетонную стенку колодца (для труб ø500 мм)</t>
  </si>
  <si>
    <t>Демонтаж существующего колодца Ду1,0м</t>
  </si>
  <si>
    <t>Ливневая канализация (уч.15-15А-15Б-15В-15Г-15Д-16-16А-17-17А-18-19-20-22, подключение дождеприемников Д-1 -22 и Д2-12Анов.)</t>
  </si>
  <si>
    <t>Вынос сетей от колодца 15 до колодца 17А(нов.)</t>
  </si>
  <si>
    <t>Устройство песчаного основания h=0,15м под трубы вручную</t>
  </si>
  <si>
    <t xml:space="preserve">Разработка влажного грунта в траншее механизированным способом </t>
  </si>
  <si>
    <t xml:space="preserve">Разработка влажного грунта в котловане под колодцы механизированным способом </t>
  </si>
  <si>
    <t>Прокладка труб стальных электросварных 530*10 мм ГОСТ10704-91 (футляр)</t>
  </si>
  <si>
    <t>Разрезание труб стальных электросварных 530*10 мм вдоль на две части (футляр)</t>
  </si>
  <si>
    <t>Заполнение межтрубного пространства цементным раствором (для футляра 530*10)</t>
  </si>
  <si>
    <t>Сварка труб стальных электросварных 530*10 мм вдоль (футляр)</t>
  </si>
  <si>
    <t>Прокладка труб КОРСИС PRODN/OD 315/271P SN 16</t>
  </si>
  <si>
    <t>Установка муфт защитных полиэтиленовых D=550 мм L=270,0 мм для прохода труб сквозь бетонную стенку колодца (для труб ø315 мм)</t>
  </si>
  <si>
    <t>Демонтажные работы.</t>
  </si>
  <si>
    <t>Демонтаж существующих колодцев</t>
  </si>
  <si>
    <t>Демонтаж труб Ду300 чуг.</t>
  </si>
  <si>
    <t>Демонтаж существующих дождепремников</t>
  </si>
  <si>
    <t>Подключение дождеприемников Д-1 -22 и Д-2-12А нов.</t>
  </si>
  <si>
    <t>Устройство дождеприемных колодцев Д-1 и Д-2 из сборных ж.б. элементов</t>
  </si>
  <si>
    <t>Установка дождеприемной решетки тип –ДБ2</t>
  </si>
  <si>
    <t>Ливневая канализация (колодцы 24-25)</t>
  </si>
  <si>
    <t>Прокладка труб стальных электросварных 1420х18мм ГОСТ10704-91 (футляр)</t>
  </si>
  <si>
    <t>Заделка концов футляра 1420х18 мм</t>
  </si>
  <si>
    <t>Заполнение межтрубного пространства цементным раствором (для футляра 1420х18 мм)</t>
  </si>
  <si>
    <t>Сварка труб стальных электросварных 1420х18 мм мм вдоль (футляр)</t>
  </si>
  <si>
    <t>Установка муфт защитных полиэтиленовых D=1300 мм L=650,0 мм для прохода труб сквозь бетонную стенку колодца (для труб ø1200 мм)</t>
  </si>
  <si>
    <t>Демонтаж люков тип «Т»</t>
  </si>
  <si>
    <t>Демонтаж труб ж/б Дн1000мм</t>
  </si>
  <si>
    <t>Демонтаж существующих опорных колец КО-6 (колодцы 24,25)</t>
  </si>
  <si>
    <t>Демонтаж существующих плит перекрытия ПП20-2 (колодцы 24,25)</t>
  </si>
  <si>
    <t>Ливневая канализация (кол.26-27)</t>
  </si>
  <si>
    <t>Обратная засыпка песком вручную</t>
  </si>
  <si>
    <t xml:space="preserve">Обратная засыпка песком вручную </t>
  </si>
  <si>
    <t>Сварка труб стальных электросварных 820х14 мм вдоль (футляр)</t>
  </si>
  <si>
    <t>Разрезание труб стальных электросварных 820х14 мм вдоль на две части (футляр)</t>
  </si>
  <si>
    <t>Прокладка труб стальных электросварных 820х14мм ГОСТ10704-91 (футляр)</t>
  </si>
  <si>
    <t>Устройство колодца из сборных ж.б. элементов (сущ.кол.25,26)</t>
  </si>
  <si>
    <t>Установка муфт защитных полиэтиленовых D=669 мм L=450 мм для прохода труб сквозь бетонную стенку колодца (для труб ø630 мм)</t>
  </si>
  <si>
    <t xml:space="preserve">Ливневая канализация (перенос колодца14) </t>
  </si>
  <si>
    <t>Плита днища ПН 10</t>
  </si>
  <si>
    <t>Плита перекрытия ПП 10-2</t>
  </si>
  <si>
    <t>Кольцо стеновое КС 10.9</t>
  </si>
  <si>
    <t>Кольцо стеновое КС 10.6</t>
  </si>
  <si>
    <t>Люк чугунный тяжелый Т(С250)</t>
  </si>
  <si>
    <t>Лестница-стремянка из угловой оцинкованной стали 50×5 мм (С1-03)</t>
  </si>
  <si>
    <t>16,2</t>
  </si>
  <si>
    <t>36,43</t>
  </si>
  <si>
    <t>Муфта защитная полиэтиленовая D=669 мм L=450 мм для прохода труб сквозь бетонную стенку колодца (для труб ø500 мм)</t>
  </si>
  <si>
    <t>Плита перекрытия ПП 15-2</t>
  </si>
  <si>
    <t>Кольцо стеновое КС 15.9</t>
  </si>
  <si>
    <t>Кольцо стеновое КС 15.6</t>
  </si>
  <si>
    <t>19</t>
  </si>
  <si>
    <t>Муфта защитная полиэтиленовая D=365 мм L=270,0 мм для прохода труб сквозь бетонную стенку колодца (для труб ø315 мм)</t>
  </si>
  <si>
    <t>Лестница-стремянка из угловой оцинкованной стали 50×5 мм (С1-04)</t>
  </si>
  <si>
    <t>Лестница-стремянка из угловой оцинкованной стали 50×5 мм (С1-07)</t>
  </si>
  <si>
    <t>Лестница-стремянка из угловой оцинкованной стали 50×5 мм (С1-08)</t>
  </si>
  <si>
    <t>32,4</t>
  </si>
  <si>
    <t>39</t>
  </si>
  <si>
    <t>7,8</t>
  </si>
  <si>
    <t>117</t>
  </si>
  <si>
    <t>290</t>
  </si>
  <si>
    <t>Дождеприемная решетка тип –ДБ2</t>
  </si>
  <si>
    <t>31,4</t>
  </si>
  <si>
    <t>3</t>
  </si>
  <si>
    <t>Лестница-стремянка из угловой оцинкованной стали 50×5 мм (С1-01)</t>
  </si>
  <si>
    <t>9,7</t>
  </si>
  <si>
    <t>Муфта защитная полиэтиленовая D=1300 мм L=650,0 мм (для труб ø1200 мм)</t>
  </si>
  <si>
    <t>Муфта защитная полиэтиленовая D=669 мм L=450,0 мм (для труб ø630 мм)</t>
  </si>
  <si>
    <t>19,5</t>
  </si>
  <si>
    <t>Труба стальная электросварная 820х14мм (футляр)</t>
  </si>
  <si>
    <t>Заглушка 315 SN16</t>
  </si>
  <si>
    <t>Тройник 315/90 P SN16</t>
  </si>
  <si>
    <t>Отвод 315/45 SN16</t>
  </si>
  <si>
    <t>Лист стальной толщиной 10 мм., размер 500х500 мм</t>
  </si>
  <si>
    <t>Лист стальной толщиной 10 мм., размер 400х400 мм</t>
  </si>
  <si>
    <t>131-23-НВК3. Переустройство хозпитьевого водопровода (В1) на участке В1-26 – В1-27</t>
  </si>
  <si>
    <t>Прокладка труб стальных электросварных  прямошовных ø377х7,0 (футляр)  + Монтаж опорно-направляющих колец ОНК-160 для трубы Дн=160мм - 3шт.</t>
  </si>
  <si>
    <t>Заполнение межтрубного пространства в футляре (кожухе) цементно-песчаным раствором М100</t>
  </si>
  <si>
    <t>131-23-НВК3. Переустройство хозпитьевого водопровода (В1) на участке В1-30 – В1-31</t>
  </si>
  <si>
    <t>Опорно-направляющие кольца ОНК-160 для трубы Дн=160 мм</t>
  </si>
  <si>
    <t>Прокладка труб стальных электросварных  прямошовных ø325х7,0 (футляр) + Монтаж опорно-направляющих колец ОНК-110 для трубы Дн=110мм - 5шт.</t>
  </si>
  <si>
    <t>Опорно-направляющие кольца ОНК-110 для трубы Дн=110 мм</t>
  </si>
  <si>
    <t>131-23-НВК3. Переустройство хозпитьевого водопровода (В1) на участке В1-1 – В1-1А</t>
  </si>
  <si>
    <t>131-23-НВК3. Переустройство хозпитьевого водопровода (В1) на участке В1-2 – В1-2А</t>
  </si>
  <si>
    <t>Прокладка труб полиэтиленовых напорных ПЭ100 SDR17 ø315х18,7 «питьевая»</t>
  </si>
  <si>
    <t>Монтаж фланца свободного стального Dу 300 мм (для труб ø315 мм)</t>
  </si>
  <si>
    <t>Монтаж втулки ПЭ100 SDR 17 под фланец d=315 мм PN10 кгс/см²</t>
  </si>
  <si>
    <t>Прокладка труб стальных электросварных прямошовных ø530х8,0 сталь 20 (футляр) + Монтаж опорно-направляющих колец ОНК-315 для трубы Дн=315мм - 3шт.</t>
  </si>
  <si>
    <t>Переустройство хозпитьевого водопровода (В1) на участке В1-3А – В1-8</t>
  </si>
  <si>
    <t>Прокладка труб полиэтиленовых напорных ПЭ100 SDR17 ø160х18,7 «питьевая»</t>
  </si>
  <si>
    <t>Прокладка труб стальных электросварных прямошовных ø530х8,0 сталь 20 (футляр) + Монтаж опорно-направляющих колец ОНК-315 для трубы Дн=315мм - 2шт.</t>
  </si>
  <si>
    <t>Заделка концов футляра 530х8мм</t>
  </si>
  <si>
    <t>Заделка концов футляра 377х7мм</t>
  </si>
  <si>
    <t>Прокладка труб стальных электросварных 377х7мм  (футляр) + Монтаж опорно-направляющих колец ОНК-160 для трубы Дн=160мм - 3шт.</t>
  </si>
  <si>
    <t>Монтаж задвижки чугунной фланцевой с обрезиненным клином, невыдвижным шпинделем М3В-300 (DN300)
Py 1,6 (16 кгс/см2)</t>
  </si>
  <si>
    <t>Монтаж задвижки чугунной фланцевой с обрезиненным клином, невыдвижным шпинделем 30ч 39р М3В-150 (DN150) Py 1,6 (16 кгс/см2)</t>
  </si>
  <si>
    <t>Монтаж тройника чугунного фланцевого ТФ 300х150</t>
  </si>
  <si>
    <t xml:space="preserve">Монтаж втулки ПЭ100 SDR 17 под фланец d=160 мм PN10 кгс/см² </t>
  </si>
  <si>
    <t>Монтаж фланца стального плоского приварного DN300, PN10, 50-10-01</t>
  </si>
  <si>
    <t>Установка муфты защитной полиэтиленовой D=194 мм L=150,0 мм для прохода труб сквозь бетонную стену колодца (для труб D=160 мм)</t>
  </si>
  <si>
    <t>Монтаж отвода 90° ПЭ 100 SDR17 d=315 мм</t>
  </si>
  <si>
    <t>Монтаж отвода 60° ПЭ 100 SDR17 d=315 мм</t>
  </si>
  <si>
    <t>Устройство колодцев из сборных ж.б. элементов</t>
  </si>
  <si>
    <t>Крепление стенок траншеи инвентарными дощатыми щитами с винтовыми распорками вблизи существующих фундаментов</t>
  </si>
  <si>
    <t xml:space="preserve">Труба ПЭ100 SDR17 PN 10 110х6.6 </t>
  </si>
  <si>
    <t>Труба ПЭ100 SDR17 PN 10 315х18,7</t>
  </si>
  <si>
    <t>Труба стальная электросварная прямошовная ø530х8,0  (футляр)</t>
  </si>
  <si>
    <t>Гайка М20 (24 шт.)</t>
  </si>
  <si>
    <t>Опорно-направляющее кольцо ОНК-315 для трубы Дн=315 мм</t>
  </si>
  <si>
    <t>Труба  ПЭ100 SDR17 ∅160х18,7</t>
  </si>
  <si>
    <t>Труба стальная электросварная 377х7мм (футляр)</t>
  </si>
  <si>
    <t>Тройник чугунный фланцевый ТФ 300х150</t>
  </si>
  <si>
    <t>Фланец свободный стальной Dу 150 мм (для труб ∅160 мм)</t>
  </si>
  <si>
    <t>Втулка ПЭ100 SDR 17 под фланец d=160 мм PN10 кгс/см2</t>
  </si>
  <si>
    <t>Фланец стальной плоский приварной DN 300, PN 10, 50-10-01</t>
  </si>
  <si>
    <t>Болт М20х80 (196 шт.)</t>
  </si>
  <si>
    <t>Гайка М20  (196 шт.)</t>
  </si>
  <si>
    <t>Шайба М20 (392 шт.)</t>
  </si>
  <si>
    <t>Прокладка из паронита А-150-10 для фланца ∅150 мм, PN1,0 МПа, исп. А</t>
  </si>
  <si>
    <t>Отвод ПЭ100 SDR17 90° d=315 мм</t>
  </si>
  <si>
    <t>Отвод ПЭ100 SDR17 60° d=315 мм</t>
  </si>
  <si>
    <t>в ВОР труба в мин. вате толщиной 80 мм в ОЦ - 115м</t>
  </si>
  <si>
    <t>Опорно-направляющее кольцо ОНК-160 для трубы Дн=160 мм</t>
  </si>
  <si>
    <t xml:space="preserve">Лестница-стремянка из угловой оцинкованной стали 50×5 мм </t>
  </si>
  <si>
    <t>Сталь угловая 50х5, l=245 мм</t>
  </si>
  <si>
    <t>Полоса стальная 5х80 L=300 мм</t>
  </si>
  <si>
    <t>131-23-НВК3. Переустройство хозпитьевого водопровода (В1) на участке В1-3А – В1-8</t>
  </si>
  <si>
    <t>Лист стальной толщиной 10 мм,размер 500х500 мм</t>
  </si>
  <si>
    <t>Устройство планировочной насыпи</t>
  </si>
  <si>
    <t>Подвозка недостающего плодородного грунта для благоустройства</t>
  </si>
  <si>
    <t>Отсыпка плодородного грунта (озеленение)</t>
  </si>
  <si>
    <t>Благоустройство (Асфальтовое покрытие проездов)</t>
  </si>
  <si>
    <t>Устройство бортовых камней БР 100.30.15</t>
  </si>
  <si>
    <t>Демонтаж (Существующее асфальтовое покрытие проездов)</t>
  </si>
  <si>
    <t>Демонтаж бортовых камней БР 100.30.15</t>
  </si>
  <si>
    <t>Демонтаж. Асфальтобетон плотный горячий на битуме БНД марки 60/90, Тип В, Марки III ГОСТ 9128-2013   h=0,05</t>
  </si>
  <si>
    <t>Демонтаж. Основание под а/д из щебня М600 (5-20 мм) с пропиткой вязким битумом  h=0,08 с К упл.= 1,05</t>
  </si>
  <si>
    <t>Демонтаж. Основание под а/д из щебня М600 (20-70мм) ГОСТ 8267-93  h=0,15 с К упл.= 1,05</t>
  </si>
  <si>
    <t>Демонтаж. Песок крупный ГОСТ 8736-2014 h=0,30 с К упл.= 1,10</t>
  </si>
  <si>
    <t>Благоустройство (Отсыпка территории щебнем)</t>
  </si>
  <si>
    <t>Основание под а/д из щебня М600 (20-70мм) ГОСТ 8267-93  h=0,3 с К упл.= 1,05</t>
  </si>
  <si>
    <t>Благоустройство (Резинокордовое покрытие из плит)</t>
  </si>
  <si>
    <t>Плита внутренняя (номер по проекту 2741.001)</t>
  </si>
  <si>
    <t>Плита наружная (номер по проекту 2741.002)</t>
  </si>
  <si>
    <t>Прокладка наружная (номер по проекту 2741.003)</t>
  </si>
  <si>
    <t>Прокладка внутренняя (номер по проекту 2741.004)</t>
  </si>
  <si>
    <t>Комплект узлов крепления</t>
  </si>
  <si>
    <t>Благоустройство (восстановление сущ. газона)</t>
  </si>
  <si>
    <t>Посев многолетних трав механизированным способом</t>
  </si>
  <si>
    <t>Плодородный грунт для благоустройства</t>
  </si>
  <si>
    <t>Бортовые камни БР 100.30.15</t>
  </si>
  <si>
    <t>Прокладка кабеля АВВГнг-LS-1 сеч. 4х50мм2 450м по стене и 30м по потолощным фермам с креплением скобами СМД-П 38-40 (300шт.)</t>
  </si>
  <si>
    <t>Заделка пеной двухкомпонентной огнезащитной DN1201</t>
  </si>
  <si>
    <t>131-23-ЭС1 Электротехнические решения</t>
  </si>
  <si>
    <t>131-23-ЭС2 Электротехнические решения</t>
  </si>
  <si>
    <t>Монтаж муфты концевой  4ПКТп-10-25/50</t>
  </si>
  <si>
    <t>Муфта концевая  4ПКТп-10-25/50 (Б)</t>
  </si>
  <si>
    <t>Укладка ленты сигнальной ЛСЭ-600 в траншею</t>
  </si>
  <si>
    <t>Заделка труб пеной двухкомпонентной огнезащитной DN1201</t>
  </si>
  <si>
    <t>Монтаж муфты концевой 10кВ 3КВТп-10-25/50</t>
  </si>
  <si>
    <t>Прокладка кабеля АСБ-6  сеч. 3х50мм2 в металлорукаве</t>
  </si>
  <si>
    <t>Монтаж металлорукава РЗ-ЦПнг-LS 60</t>
  </si>
  <si>
    <t>Крепление кабеля при помощи кронштейна стального с резиновым уплотнением 2 1/2" (75-80мм)</t>
  </si>
  <si>
    <t>Муфта концевая 10кВ 3КВТп-10-25/50</t>
  </si>
  <si>
    <t>Лента сигнальная ЛСЭ-300</t>
  </si>
  <si>
    <t>Металлорукав РЗ-ЦПнг-LS 60</t>
  </si>
  <si>
    <t>Кронштейн стальной с резиновым уплотнением 2 1/2" (75-80мм)</t>
  </si>
  <si>
    <t>Подкладки с упорами МП372.01.000</t>
  </si>
  <si>
    <t>Подкладки МП372.00.001</t>
  </si>
  <si>
    <t>Монтаж заглушки 315 SN16</t>
  </si>
  <si>
    <t>Монтаж тройника 315/90 P SN16</t>
  </si>
  <si>
    <t>Монтаж отвода 315/45 SN16</t>
  </si>
  <si>
    <t>Устройство трубы стальной Дн 426, l=1500</t>
  </si>
  <si>
    <t>Устройство труб ø426х4 (3 шт.)</t>
  </si>
  <si>
    <t>Устройство труб ø159х4 (2 шт.)</t>
  </si>
  <si>
    <t>Устройство труб ø127х2 (1 шт.)</t>
  </si>
  <si>
    <t>в проекте нет длины, взяли 1 шт. =1 м</t>
  </si>
  <si>
    <t>Прокладка труб стальных электросварных прямошовных, группы В по ГОСТ 10705-80* сталь 20 ø89х5,0 с  установкой скользящих хомотовых опор (ø89)</t>
  </si>
  <si>
    <t>Устройство водоприемного колодца ВГ-15 (1 шт.) 2,82 т</t>
  </si>
  <si>
    <t xml:space="preserve">стоимость на 50кг/шт </t>
  </si>
  <si>
    <t xml:space="preserve">стоимость на 10кг/шт </t>
  </si>
  <si>
    <t>стоимость на толщину 20мм</t>
  </si>
  <si>
    <t xml:space="preserve">не указано расстояние </t>
  </si>
  <si>
    <t>1582х546х213</t>
  </si>
  <si>
    <t>573х546х213</t>
  </si>
  <si>
    <t>182х546х48</t>
  </si>
  <si>
    <t>1098х546х55</t>
  </si>
  <si>
    <t>Ультразвук выполняется на ПЭ, а на стали - рентгенографические методы (ст-ть 12443руб.)</t>
  </si>
  <si>
    <t>Кран шаровой Ду150, Ру-1,6МПа, КШИ-150с присоед. сварное.</t>
  </si>
  <si>
    <t>Оборудование</t>
  </si>
  <si>
    <t>Материалы</t>
  </si>
  <si>
    <t xml:space="preserve">Труба стальная электросварная прямошовная Ш273х5,0 </t>
  </si>
  <si>
    <t xml:space="preserve">Отвод стальной приварный крутоизогнутый 90 грд 159х5,0 </t>
  </si>
  <si>
    <t>Защитное кольцо на трубу ПЭ 100 ГАЗ SDR11 Ду160</t>
  </si>
  <si>
    <t xml:space="preserve">Лента сигнальная </t>
  </si>
  <si>
    <t xml:space="preserve">Пленка ПВХ-Л </t>
  </si>
  <si>
    <t xml:space="preserve">Неразъёмное соединение п/с ПЭ100 ГАЗ 32х3/ст32 </t>
  </si>
  <si>
    <t>Шплинты 1.6х10.0.05</t>
  </si>
  <si>
    <t>Ковер</t>
  </si>
  <si>
    <t>Опознавательный столбик с табличкой "ГАЗ"</t>
  </si>
  <si>
    <t>Металлоконструкции крепления трубопроводов</t>
  </si>
  <si>
    <t xml:space="preserve">Шайбы 6.01.096 </t>
  </si>
  <si>
    <t xml:space="preserve">Оси-2-6-h12х28 Ст3 </t>
  </si>
  <si>
    <t xml:space="preserve">Скоба - сталь листовая Б-ПН-2.0  </t>
  </si>
  <si>
    <t>кг.</t>
  </si>
  <si>
    <t>Установка трубы полиэтиленовой ПЭ100 ГАЗ SDR 11  ∅160х14,6</t>
  </si>
  <si>
    <t>пог.м.</t>
  </si>
  <si>
    <t>Установка перехода полиэтилен/сталь ПЭ100 ГАЗ SDR 11  ∅160х14,6</t>
  </si>
  <si>
    <t>Установка отвода стального приварного крутоизогнутого 90° 159х6,0</t>
  </si>
  <si>
    <t>Установка отвода электросварного 90° ПЭ100 ГАЗ SDR 11  ∅160х14,6</t>
  </si>
  <si>
    <t>Установка отвода электросварного 45° ПЭ100 ГАЗ SDR 11  ∅160х14,6</t>
  </si>
  <si>
    <t>Установка футляра -  трубы полиэтиленовой ПЭ100 ГАЗ SDR 11  ∅315х28,6</t>
  </si>
  <si>
    <t>Установка защитного кольца: труба ПЭ100 ГАЗ SDR 17,6 180х10,3</t>
  </si>
  <si>
    <t xml:space="preserve">Установка ленты сигнальной </t>
  </si>
  <si>
    <t>Установка муфты электросварной со спиралью ПЭ100 ГАЗ SDR 11  100∅160</t>
  </si>
  <si>
    <t>Установка муфты электросварной со спиралью ПЭ100 ГАЗ SDR 11  100∅315</t>
  </si>
  <si>
    <t>Установка гильзы стальной при опуске газопровода под землю 273х4,5</t>
  </si>
  <si>
    <t xml:space="preserve">Обмотка пленкой ПВХ-Л </t>
  </si>
  <si>
    <t>Труба полиэтиленовая ПЭ100 ГАЗ SDR 11 ∅315х28,6</t>
  </si>
  <si>
    <t>Труба полиэтиленовая ПЭ100 ГАЗ SDR 11 ∅160х14,6</t>
  </si>
  <si>
    <t>Неразъемное соединение полиэтилен/сталь ∅160х14,6/ст.159х4,5</t>
  </si>
  <si>
    <t>Отвод электросварной ПЭ100 ГАЗ SDR 11 ∅160х14,6  90 грд</t>
  </si>
  <si>
    <t>Отвод электросварной ПЭ100 ГАЗ SDR 11 ∅160х14,6  45 грд</t>
  </si>
  <si>
    <t>Муфта электросварная со спиралью ПЭ100 100∅160 SDR 11 ГАЗ</t>
  </si>
  <si>
    <t>Муфта электросварная со спиралью ПЭ100 100∅315 SDR 11 ГАЗ</t>
  </si>
  <si>
    <t xml:space="preserve">Труба стальная электросварная  ∅42х3.0 </t>
  </si>
  <si>
    <t>Разработка грунта в траншеях экскаватором емк. ковша  0,65 м с погрузкой на автомобили и отвозкой на 1 км</t>
  </si>
  <si>
    <t xml:space="preserve">Доработка грунта вручную </t>
  </si>
  <si>
    <t>Подсыпка под газопровод песком толщиной 0,1 м. Песок природный для строительных работ</t>
  </si>
  <si>
    <t>Подсыпка над газопроводом песком толщиной 0,2. Песок природный для строительных работ</t>
  </si>
  <si>
    <t>Протаскивание в футляр полиэтиленовых труб диаметром: 160 мм</t>
  </si>
  <si>
    <t>Испытание газопровода на прочность и плотность</t>
  </si>
  <si>
    <t>Обратная засыпка котлована механизированным способом</t>
  </si>
  <si>
    <t xml:space="preserve">Контроль пэ соединений подземного полиэтиленового газопровода ультразвуковым методом </t>
  </si>
  <si>
    <t>стык
(10%)</t>
  </si>
  <si>
    <t>Разбивка оси трассы</t>
  </si>
  <si>
    <t>Контрольная съемка трассы</t>
  </si>
  <si>
    <t>Демонтаж металлоконструкций креплений трубопровода</t>
  </si>
  <si>
    <t>Демонтаж металлических опор</t>
  </si>
  <si>
    <t>Сверление стыковых отверстий в новых рельсах</t>
  </si>
  <si>
    <t>Разборка стрелочного перевода марки 1/9 на деревянных брусьях (СП №16)</t>
  </si>
  <si>
    <t>этих работ нет в ВОР, но необходимо судя по схеме</t>
  </si>
  <si>
    <t>этих работ нет в ВОР, но необходимо судя по схеме, вместо демонтируемого СП №16</t>
  </si>
  <si>
    <t xml:space="preserve">Механизм переводной стрелочного перевода (ручной Флюгарка) </t>
  </si>
  <si>
    <t>нет в СО</t>
  </si>
  <si>
    <t>нет в СО, но необходимо судя по схеме, вместо демонтируемого СП №16</t>
  </si>
  <si>
    <t>этих работ нет в ВОР</t>
  </si>
  <si>
    <t>этих работ нет в ВОР, но необходимо под ходы СП №8</t>
  </si>
  <si>
    <t>нет в СО, но необходимо  под ходы СП №8</t>
  </si>
  <si>
    <t>этих работ нет в ВОР, но необходимо от нулевой точки</t>
  </si>
  <si>
    <t>этих работ нет в ВОР, но необходимо от нулевой точки и чать демонтируемого стрелочного перевода</t>
  </si>
  <si>
    <t>Газопровод среднего давления</t>
  </si>
  <si>
    <t>131-23-ГСН. Наружные газопроводы. Вынос газопровода среднего давления</t>
  </si>
  <si>
    <t>Установка крана шарового Ду150, Ру-1,6МПа, КШИ-150 с присоед. сварное.</t>
  </si>
  <si>
    <t>Установка трубок контрольных</t>
  </si>
  <si>
    <t>Земляные работы и метериалы</t>
  </si>
  <si>
    <t>Привозка для обратной засыпки (64,3м3)</t>
  </si>
  <si>
    <t>стык</t>
  </si>
  <si>
    <t>Визуальный контроль сварных стыков (пэ/сталь -2/2)</t>
  </si>
  <si>
    <t xml:space="preserve">Демонтаж труб стальных электросварных ø159х6,0 мм </t>
  </si>
  <si>
    <t xml:space="preserve">Сдёлки крановые с эл. спиралью  ПЭ100 315х32 SDR11 ГАЗ </t>
  </si>
  <si>
    <t>Контрольная трубка</t>
  </si>
  <si>
    <t>ГСН</t>
  </si>
  <si>
    <t>ТС2</t>
  </si>
  <si>
    <t>ТС3</t>
  </si>
  <si>
    <t>131-23-ТС2 Теплоснабжение. Переустройство трубопровода</t>
  </si>
  <si>
    <t>Ограждающие конструкции</t>
  </si>
  <si>
    <t>Сборные железобетонные конструкции</t>
  </si>
  <si>
    <t>Установка плиты ВП-16-6, массой 0,38 т из Бетона В22,5 W6 F150 (22 шт.)</t>
  </si>
  <si>
    <t>Монолитные железобетонные конструкции</t>
  </si>
  <si>
    <t>Монолитный железобетонный канал</t>
  </si>
  <si>
    <t>Устройство монолитных ж/б стенок канала из бетона В30 W6 F200</t>
  </si>
  <si>
    <t>Устройство монолитного ж/б днища канала из бетона В30 W6 F200</t>
  </si>
  <si>
    <t>Устройство бетонной подготовки под монолитный ж/б канал из бетона В10</t>
  </si>
  <si>
    <t>Огрунтовка поверхностей монолитных железобетонных каналов за один раз</t>
  </si>
  <si>
    <t xml:space="preserve">Обмазка поверхностей монолитных железобетонных каналов и битумной мастикой за 2 раза </t>
  </si>
  <si>
    <t>Затирка швов сборных ж/б плит цементным раствором марки 100</t>
  </si>
  <si>
    <t>Монолитный участок МУ-1</t>
  </si>
  <si>
    <t>Устройство монолитного участка МУ-1 из бетона В30 W6 F200</t>
  </si>
  <si>
    <t>Устройство трубы ∅325х5, длиной 160 мм (25,2 т)</t>
  </si>
  <si>
    <t>Лестница для спускников</t>
  </si>
  <si>
    <t>Разработка сухого грунта в ручную</t>
  </si>
  <si>
    <t>Обратная засыпка грунта в ручную</t>
  </si>
  <si>
    <t>Устройство лестницы для спускников (1 шт.)</t>
  </si>
  <si>
    <t>Устройство деталей крепления лестницы из уголка ˪50x5 (2 шт.)</t>
  </si>
  <si>
    <t>Устройство фундамента из бетона В25 W6 F200</t>
  </si>
  <si>
    <t>Тепловая сеть</t>
  </si>
  <si>
    <t>Надземная прокладка трубы Ст 2д108х5-1-ППУ-ОЦ</t>
  </si>
  <si>
    <t>Прокладка трубы Ст 2д108х5-1-ППУ-ОЦ в непроходном канале</t>
  </si>
  <si>
    <t xml:space="preserve">Установка отвода 90°108х6 </t>
  </si>
  <si>
    <t>Изоляция стыков труб,  диаметром: 108</t>
  </si>
  <si>
    <t>Контроль стыков ультразвуковым методом ∅108/180</t>
  </si>
  <si>
    <t>Антикоррозийное покрытие краской КО 8101</t>
  </si>
  <si>
    <t>Установка тройника 273х8/108х6.0</t>
  </si>
  <si>
    <t>Кран шаровый сварка/сварка "BALLOMAX" DN100, РN25</t>
  </si>
  <si>
    <t>Кран шаровый сварка/сварка "BALLOMAX" DN40, РN40</t>
  </si>
  <si>
    <t xml:space="preserve">Установка зонта трубопроводов </t>
  </si>
  <si>
    <t>Тепловые сети. Узел спускников</t>
  </si>
  <si>
    <t>Установка тройникового ответвления Ст108х5/45х4-1-ППУ-ПЭ, L=1300мм, l=1020мм</t>
  </si>
  <si>
    <t>Устройство трубы 108х5,0 ГОСТ 8732-78</t>
  </si>
  <si>
    <t>Устройство трубы 45х4,0 ГОСТ 8732-78</t>
  </si>
  <si>
    <t>Установка тройника 108х6,0/45х5,0</t>
  </si>
  <si>
    <t>Установка отвода 90°- 45х5,0</t>
  </si>
  <si>
    <t>Установка тройникового ответвления Ст108х5/45х4-1-ППУ-ПЭ, L=1300мм, l=1310мм</t>
  </si>
  <si>
    <t>Устройство трубы 108х5,0</t>
  </si>
  <si>
    <t>Устройство трубы 45х4,0</t>
  </si>
  <si>
    <t>Установка шарового крана "Балломакс" Ст45-1-ППУ-ПЭ, А=1950 мм</t>
  </si>
  <si>
    <t>Устройство Теплоизолированной трубы с МЗИ Ст45х4-1-ППУ-ПЭ-215, L=1000 мм</t>
  </si>
  <si>
    <t>Установка  Т-образного ключа NV32</t>
  </si>
  <si>
    <t>Тепловые сети. Спускной колодец</t>
  </si>
  <si>
    <t>Устройство блоков ФБС12.4.6-Т</t>
  </si>
  <si>
    <t>Устройство колец колодезных К-7-9 массой</t>
  </si>
  <si>
    <t>Установка крышки колодца круглой П-12</t>
  </si>
  <si>
    <t>Установка плиты перекрытия ОП-1к</t>
  </si>
  <si>
    <t>Установка люка чугунного тяжелого ЛЧ-ТМ</t>
  </si>
  <si>
    <t>Установка направляющих скоб горловин ГС-2</t>
  </si>
  <si>
    <t>Установка лестницы ВЛ-2 (2,3 м)</t>
  </si>
  <si>
    <t>Монолитный бетон кл. В22,5</t>
  </si>
  <si>
    <t>Монолитный бетон кл. В 7,5</t>
  </si>
  <si>
    <t>Обмазка колодца горячим битумом за 2 раза БН 50/50</t>
  </si>
  <si>
    <t xml:space="preserve">Устройство футляра из трубы 273х7.0 ГОСТ 8732-78 L=0,36 м </t>
  </si>
  <si>
    <t>Плита ВП-16-6</t>
  </si>
  <si>
    <t>Бетон В30 W6 F200</t>
  </si>
  <si>
    <t>Арматура ∅18-А400С</t>
  </si>
  <si>
    <t>Арматура ∅12-А400</t>
  </si>
  <si>
    <t>Арматура ∅8-А400</t>
  </si>
  <si>
    <t>Уголок L140x10</t>
  </si>
  <si>
    <t>Изделия закладные МН 517</t>
  </si>
  <si>
    <t>Битумная грунтовка Технониколь №01</t>
  </si>
  <si>
    <t>Цементный раствор марки 100</t>
  </si>
  <si>
    <t>Бетон В25 W6 F200</t>
  </si>
  <si>
    <t>Уголок L50x5</t>
  </si>
  <si>
    <t>Труба ∅325х5</t>
  </si>
  <si>
    <t>Лестница для спускников 3650.Л-20-000 СБ</t>
  </si>
  <si>
    <t>Фундаментный болт М16х400 (2 шт.)</t>
  </si>
  <si>
    <t>Труба Ст 108х5-1-ППУ-ОЦ (ГОСТ 8732-78/гр. В 20</t>
  </si>
  <si>
    <t>Комплект изоляции стыка в оцинкованной оболочке мастичный для ∅108/180 ГОСТ 30732-2006</t>
  </si>
  <si>
    <t xml:space="preserve">Отвод 90°108х6 </t>
  </si>
  <si>
    <t>Труба стальная бесшовная горячедефор. Дн 45х5,0</t>
  </si>
  <si>
    <t>Краска КО 8101</t>
  </si>
  <si>
    <t>Опора скользящая Ж/Б - С -225</t>
  </si>
  <si>
    <t>Тройник 273х8/108х6.0</t>
  </si>
  <si>
    <t>Труба стальная d =325 (Гильза)</t>
  </si>
  <si>
    <t>Стальной лист b=15мм. (1610х700)</t>
  </si>
  <si>
    <t>Зонт трубопроводов (4 шт.)</t>
  </si>
  <si>
    <t xml:space="preserve">ОЦ 0,8 ГОСТ 19904-90/08кп-1 ГОСТ 14918-80 </t>
  </si>
  <si>
    <t>Полоса    4х60xL1</t>
  </si>
  <si>
    <t>Пластина 1Ф-1-АМС-М-6</t>
  </si>
  <si>
    <t>Воротник</t>
  </si>
  <si>
    <t>Труба   пог.м.325х8,0</t>
  </si>
  <si>
    <t>Болт М10х40.36.016 (2 шт.)</t>
  </si>
  <si>
    <t>Гайка М10.5.016 (2 шт.)</t>
  </si>
  <si>
    <t>Шайба 10.65Г (2 шт.)</t>
  </si>
  <si>
    <t>Шайба 10.01.019 (2 шт.)</t>
  </si>
  <si>
    <t>Тройниковое ответвление Ст108х5/45х4-1-ППУ-ПЭ, L=1300мм, l=1020мм</t>
  </si>
  <si>
    <t>Труба 108х5,0 ГОСТ 8732-78</t>
  </si>
  <si>
    <t>Труба 45х4,0 ГОСТ 8732-78</t>
  </si>
  <si>
    <t>Тройник 108х6,0/45х5,0</t>
  </si>
  <si>
    <t>Отвод 90°- 45х5,0</t>
  </si>
  <si>
    <t>Тройниковое ответвление Ст108х5/45х4-1-ППУ-ПЭ, L=1300мм, l=1310мм</t>
  </si>
  <si>
    <t>Труба 108х5,0</t>
  </si>
  <si>
    <t>Труба 45х4,0</t>
  </si>
  <si>
    <t>Шаровой кран "Балломакс" Ст45-1-ППУ-ПЭ, А=1950 мм</t>
  </si>
  <si>
    <t>Теплоизолированная труба с МЗИ Ст45х4-1-ППУ-ПЭ-215, L=1000 мм</t>
  </si>
  <si>
    <t>Т-образный ключ NV32</t>
  </si>
  <si>
    <t>ФБС 12-4-6т</t>
  </si>
  <si>
    <t>Кольцо с днищем КДЦ-10-9</t>
  </si>
  <si>
    <t>Кольцо колодезное К-7-9</t>
  </si>
  <si>
    <t>Крышка колодца круглая П-12</t>
  </si>
  <si>
    <t>Плита перекрытия ОП-1к</t>
  </si>
  <si>
    <t>Люк чугунный тяжелый ЛЧ-ТМ</t>
  </si>
  <si>
    <t>Направляющие скобы горловин ГС-2</t>
  </si>
  <si>
    <t>Лестница ВЛ-2 (2,3 м)</t>
  </si>
  <si>
    <t>Песчаное основание h=100 мм</t>
  </si>
  <si>
    <t>Труба 273х7.0 ГОСТ 8732-78 L=0,36 м (футляр)</t>
  </si>
  <si>
    <t>Вилатерм, диаметр 50 мм</t>
  </si>
  <si>
    <t>131-23-ТС3 Теплоснабжение. Переустройство трубопровода</t>
  </si>
  <si>
    <t>Земляные работы под монолитный ж/б канал в осях 1-2</t>
  </si>
  <si>
    <t>Привозка недостающего грунта для обратной засыпки (72,8м3)</t>
  </si>
  <si>
    <t>Установка плиты ВП-16-6, массой 0,38 т из Бетона В22,5 W6 F150 (16шт.)</t>
  </si>
  <si>
    <t>Устройство песчаной подготовки под монолитный ж/б канал из песка средней крупности</t>
  </si>
  <si>
    <t>Устройство песчаной засыпки монолитного ж/б канала песком средней крупности</t>
  </si>
  <si>
    <t>Земляные работы под монолитный ж/б канал в осях 5-6</t>
  </si>
  <si>
    <t>Привозка недостающего грунта для обратной засыпки (86,4м3)</t>
  </si>
  <si>
    <t>Установка плиты ВП-16-6, массой 0,38 т из Бетона В22,5 W6 F150 (13шт.)</t>
  </si>
  <si>
    <t>Земляные работы под ж/б плиты для бесканальной прокладки трубопроводов в осях 2-3, 3-4, 4-5, 6-7, 7-8</t>
  </si>
  <si>
    <t>Привозка песка для обратной засыпки (468,4м3)</t>
  </si>
  <si>
    <t>Обратная засыпка песком механизированным способом</t>
  </si>
  <si>
    <t>Железобетонная плита в осях 2-3</t>
  </si>
  <si>
    <t>Устройство монолитных ж/б основания из бетона В30 W6 F200</t>
  </si>
  <si>
    <t>Огрунтовка поверхностей монолитных железобетонных плит за один раз</t>
  </si>
  <si>
    <t xml:space="preserve">Обмазка поверхностей монолитных железобетонных плит битумной мастикой за 2 раза </t>
  </si>
  <si>
    <t>Железобетонная плита в осях 3-4</t>
  </si>
  <si>
    <t>Железобетонная плита в осях 4-5</t>
  </si>
  <si>
    <t>Железобетонная плита в осях 6-7</t>
  </si>
  <si>
    <t>Железобетонная плита в осях 7-8</t>
  </si>
  <si>
    <t>Прокладка трубы Ст 159х5-1-ППУ-ПЭ  В 20</t>
  </si>
  <si>
    <t>Прокладка трубы Ст 159х5-1-ППУ-ОЦ оболочке</t>
  </si>
  <si>
    <t>Устройсвто изоляции стыка для ∅159/250 ГОСТ 30732-2006</t>
  </si>
  <si>
    <t>Установка отвода 90°159х6</t>
  </si>
  <si>
    <t>Установка отвода 60°159х6</t>
  </si>
  <si>
    <t>Прокладка трубы стальная бесшовная горячедеформированная Дн 45х5,0</t>
  </si>
  <si>
    <t>Контроль стыков ультразвуковым методом ∅159/250</t>
  </si>
  <si>
    <t>Установка крана шарового сварка/сварка "BALLOMAX" DN150</t>
  </si>
  <si>
    <t>Установка крана шарового сварка/сварка  "BALLOMAX" DN40</t>
  </si>
  <si>
    <t>Монтаж блока ФБС12.4.3-Т</t>
  </si>
  <si>
    <t>Устройство изоляции стыков ПЭ/ОЦ</t>
  </si>
  <si>
    <t>Покрытие кремнийорганической термостойкой эмалью КО-8101 (расход 100 г/м2 под-ти), за 2 раза</t>
  </si>
  <si>
    <t>Установка лестницы с площадкой для обслуживания арматуры</t>
  </si>
  <si>
    <t>Установка трубы стальной d=426 (Гильза)</t>
  </si>
  <si>
    <t>Прокладка ленты сигнальной</t>
  </si>
  <si>
    <t>Монолитный ж/б канал в осях 1-2</t>
  </si>
  <si>
    <t>Бетон В15</t>
  </si>
  <si>
    <t>Песок средней крупности</t>
  </si>
  <si>
    <t>Арматура ∅25-А400С</t>
  </si>
  <si>
    <t>Арматура ∅16-А400С</t>
  </si>
  <si>
    <t>Труба ∅426х5</t>
  </si>
  <si>
    <t>Монолитный ж/б канал в осях 5-6</t>
  </si>
  <si>
    <t>Арматура ∅10-А-²²²</t>
  </si>
  <si>
    <t>Арматура ∅8-А-²²²</t>
  </si>
  <si>
    <t>Труба Ст 159х5-1-ППУ-ПЭ  В 20</t>
  </si>
  <si>
    <t>Труба Ст 159х5-1-ППУ-ОЦ оболочке</t>
  </si>
  <si>
    <t>Комплект изоляции стыка для ∅159/250 ГОСТ 30732-2006</t>
  </si>
  <si>
    <t>Отвод 90°159х6</t>
  </si>
  <si>
    <t>Отвод 60°159х6</t>
  </si>
  <si>
    <t>Труба стальная бесшовная горячедеформированная Дн 45х5,0</t>
  </si>
  <si>
    <t>Кран шаровый сварка/сварка "BALLOMAX" DN150</t>
  </si>
  <si>
    <t>Кран шаровый сварка/сварка "BALLOMAX" DN40</t>
  </si>
  <si>
    <t>Блок ФБС12.4.3-Т</t>
  </si>
  <si>
    <t>Комплект изоляции стыков ПЭ/ОЦ</t>
  </si>
  <si>
    <t>Кремнийорганическая термостойкая эмаль КО-8101 (расход 100 г/м2 под-ти), за 2 раза</t>
  </si>
  <si>
    <t>Труба стальная d=426 (Гильза)</t>
  </si>
  <si>
    <t>Лента сигнальная</t>
  </si>
  <si>
    <t xml:space="preserve">131-23-АС4.ВР Эстакада. Архитектурно-строительные решения </t>
  </si>
  <si>
    <t>Устройство монолитных ж/б фундаментов эстакады вблизи корпуса 417</t>
  </si>
  <si>
    <t>Земляные работы под фундаменты Фм1 (4 шт.)</t>
  </si>
  <si>
    <t>Разработка сухого грунта в котловане</t>
  </si>
  <si>
    <t>Устройство монолитных железобетонных фундаментов  (Фм1) из бетона  кл. В25, W6, F100</t>
  </si>
  <si>
    <t>Устройство бетонной подготовки под фундаменты каркаса из бетона В10 толщиной 100 мм</t>
  </si>
  <si>
    <t>Очистка боковых поверхностей фундаментов от грязи и пыли перед обмазкой</t>
  </si>
  <si>
    <t xml:space="preserve">м2
</t>
  </si>
  <si>
    <t>Металлоконструкции</t>
  </si>
  <si>
    <t>Устройство металлических опор Оп -1, весом 1326кг (2,65т)</t>
  </si>
  <si>
    <t>Устройство металлических опор Оп -1а, весом 1357кг (2,71т)</t>
  </si>
  <si>
    <t>Установка металлической фермы, Ф-1, весом 1686,3 кг (1,69т)</t>
  </si>
  <si>
    <t>Установка металлической фермы, состоящей из 3-х полуферм. Ф-2, весом 4635,9 кг (4,63т)</t>
  </si>
  <si>
    <t>Установка металлической фермы, состоящей из 2-х полуферм. Ф-3, весом 2826 кг (2,82 т)</t>
  </si>
  <si>
    <t xml:space="preserve">Установка вертикальных связей эстакады </t>
  </si>
  <si>
    <t>Установка траверс, весом 108,7 кг  (0,544 т)</t>
  </si>
  <si>
    <t>Демонтаж элементов существующей эстакады вблизи корпуса 417</t>
  </si>
  <si>
    <t xml:space="preserve">Земляные работы  </t>
  </si>
  <si>
    <t>Демонтаж железобетонных конструкции</t>
  </si>
  <si>
    <t>Демонтаж монолитных железобетонных фундаментов  (53 т)</t>
  </si>
  <si>
    <t>Демонтаж металлоконструкций</t>
  </si>
  <si>
    <t>Демонтаж существующей опоры Оп-1весом 943 кг (3772кг)</t>
  </si>
  <si>
    <t>Демонтаж металлоконструкций для крепления ферм весом 115 кг (690 кг)</t>
  </si>
  <si>
    <t xml:space="preserve">Демонтаж элементов вертикальных связей Св-1 </t>
  </si>
  <si>
    <t>Демонтаж фермы Ф-1 весом 3076  кг</t>
  </si>
  <si>
    <t>Демонтаж фермы Ф-2 весом 3250  кг</t>
  </si>
  <si>
    <t>Демонтаж фермы Ф-3 весом 3020  кг</t>
  </si>
  <si>
    <t>Демонтаж деталей крепления трубопроводов  весом 50,5  кг (606 кг)</t>
  </si>
  <si>
    <t>Транспортировка демонтированных элементов на расстояние 25 км автосамосвалами</t>
  </si>
  <si>
    <t>Контактная сеть</t>
  </si>
  <si>
    <t xml:space="preserve">Демонтаж металлических опор контактной сети </t>
  </si>
  <si>
    <t>Демонтаж металлических опор (по типу М15/13 73) весом 0,559 т (1,677т)</t>
  </si>
  <si>
    <t>Демонтаж фундаментов 3 шт.</t>
  </si>
  <si>
    <t>Демонтаж железобетонных опор контактной сети МВМ</t>
  </si>
  <si>
    <t>Демонтаж ж/б опоры 1 шт.</t>
  </si>
  <si>
    <t>Демонтаж фундамента 1 шт.</t>
  </si>
  <si>
    <t>Монтаж металлических опор контактной сети МВМ</t>
  </si>
  <si>
    <t>Монтаж фундаментов 3 шт.</t>
  </si>
  <si>
    <t>Устройство подготовки под фундаменты из бетона класса В10, δ=100 мм</t>
  </si>
  <si>
    <t>Монтаж металлических опор</t>
  </si>
  <si>
    <t>Монтаж металлических опор (по типу М15/13-73) весом 0,559 т (1,677 т)</t>
  </si>
  <si>
    <t>Монтаж железобетонных опор контактной сети МВМ</t>
  </si>
  <si>
    <t>Бурение лидирующей скважины Ø450 мм глубиной 4,0м</t>
  </si>
  <si>
    <t>Монтаж ж/б фундамента (1 шт.)</t>
  </si>
  <si>
    <t>Монтаж ж/б опоры (1 шт.)</t>
  </si>
  <si>
    <t>Бетон  кл. В25, W6, F100</t>
  </si>
  <si>
    <t>Арматура Ø8 А500С</t>
  </si>
  <si>
    <t>Арматура Ø 12А500С</t>
  </si>
  <si>
    <t>Арматура Ø 16А500С</t>
  </si>
  <si>
    <t>Анкерные болты 1.1М30х1000 (32 шт.)</t>
  </si>
  <si>
    <t>Прокат (уголок 50х5)</t>
  </si>
  <si>
    <t>Металлическая опора Оп -1, весом 1326кг (2,65т)</t>
  </si>
  <si>
    <t>Двутавр 25Б1</t>
  </si>
  <si>
    <t>Уг.90х6</t>
  </si>
  <si>
    <t>Швеллер 16П</t>
  </si>
  <si>
    <t xml:space="preserve">Лист стальной t=10 мм </t>
  </si>
  <si>
    <t xml:space="preserve">Лист стальной t=25 мм </t>
  </si>
  <si>
    <t>Металлическая опора Оп -1а, весом 1357кг (2,71т)</t>
  </si>
  <si>
    <t>Металлическая ферма, Ф-1, весом 1686,3 кг (1,69т)</t>
  </si>
  <si>
    <t>Уг.125х10</t>
  </si>
  <si>
    <t>Уг.100х8</t>
  </si>
  <si>
    <t>Уг.63х6</t>
  </si>
  <si>
    <t xml:space="preserve">Лист стальной t=8 мм </t>
  </si>
  <si>
    <t xml:space="preserve">Лист стальной t=12 мм </t>
  </si>
  <si>
    <t xml:space="preserve">Лист стальной t=20 мм </t>
  </si>
  <si>
    <t>Металлическая ферма, состоящая из 3-х полуферм. Ф-2, весом 4635,9 кг (4,63т)</t>
  </si>
  <si>
    <t>Металлическая ферма, состоящая из 2-х полуферм. Ф-3, весом 2826 кг (2,82 т)</t>
  </si>
  <si>
    <t xml:space="preserve">Вертикальные связи эстакады </t>
  </si>
  <si>
    <t>Профили стальные гнутые замкнутые 100х60х4</t>
  </si>
  <si>
    <t>Траверса, весом 108,7 кг  (0,544 т)</t>
  </si>
  <si>
    <t xml:space="preserve">Грунтовка (ГФ021) </t>
  </si>
  <si>
    <t>Сборный ж/б фундамент по типу Ф1-1 (3 шт.)</t>
  </si>
  <si>
    <t>Металлическая опора (по типу М15/13-73) весом 0,559 т (1,677 т)</t>
  </si>
  <si>
    <t>Болт М20х65 (76 шт.)</t>
  </si>
  <si>
    <t>Гайка М20 (76 шт.)</t>
  </si>
  <si>
    <t>Шайба М20 (76 шт.)</t>
  </si>
  <si>
    <t>Пружинная шайба М20 (76 шт.)</t>
  </si>
  <si>
    <t>Болт М24х65 (40 шт.)</t>
  </si>
  <si>
    <t>Гайка М24 (40 шт.)</t>
  </si>
  <si>
    <t>Шайба М24 (40 шт.)</t>
  </si>
  <si>
    <t>Пружинная шайба М24 (40 шт.)</t>
  </si>
  <si>
    <t>Сборный ж/б трехлучевой фундамент (по типу ТСУ-60-4,0) весом 1,3 т</t>
  </si>
  <si>
    <t>Ж/б опора (по типу С136.7-4) весом 2,52 т</t>
  </si>
  <si>
    <t>Эстакада (АС4)</t>
  </si>
  <si>
    <t>Установка опознавательного столбика с табличкой</t>
  </si>
  <si>
    <t>нет данных о расстоянии перевозки</t>
  </si>
  <si>
    <t>Герметизация стыков манжетами</t>
  </si>
  <si>
    <t>в ВОР не учтено</t>
  </si>
  <si>
    <r>
      <t xml:space="preserve">Отвозка демонтированного оборудования самосвалами на расстояние до </t>
    </r>
    <r>
      <rPr>
        <sz val="11"/>
        <color rgb="FFFF0000"/>
        <rFont val="Times New Roman"/>
        <family val="1"/>
        <charset val="204"/>
      </rPr>
      <t>1 км</t>
    </r>
  </si>
  <si>
    <t>Уточнить надо расстояние. Перевозка грунта на 30км</t>
  </si>
  <si>
    <t>Вообще-то укладка трубы:)))</t>
  </si>
  <si>
    <t>Изоляция стального соединения</t>
  </si>
  <si>
    <t>в стоимости учтена + герметизация футляра при опуске в землю (в ВОР не учтена)</t>
  </si>
  <si>
    <t>А что обматывают? Может это ВУС изоляция так обозвана</t>
  </si>
  <si>
    <t>Устройство заделки футляра цемент м-400 (3 футляра)</t>
  </si>
  <si>
    <t>Вывоз демонтированного покрытия  на 25км</t>
  </si>
  <si>
    <t>Демонтаж ж/б опор (по типу С136.7-4) весом 2,52 т/ 1,005м3</t>
  </si>
  <si>
    <t>Демонтаж сборных ж/б фундаментов (по типу Ф1-1) весом 8,4 т (25,2т/ 10,2м3)</t>
  </si>
  <si>
    <t>Демонтаж сборных ж/б трехлучевых фундаментов (по типу ТСУ-60-4,0) весом 1,3 т/ 0,52м3  путем выдергивания</t>
  </si>
  <si>
    <t>Монтаж сборных ж/б фундаментов (по типу Ф1-1) весом 8,4 т (25,2т/ 10,2м3)</t>
  </si>
  <si>
    <t>Монтаж сборного ж/б трехлучевого фундамента (по типу ТСУ-60-4,0) весом 1,3 т методом вибропогружения в предварительно пробуренную скважину Ø450 мм (1,3т/ 0,52м3)</t>
  </si>
  <si>
    <t>Монтаж ж/б опоры (по типу С136.7-4) весом 2,52 т/ 1,005м3</t>
  </si>
  <si>
    <t>Устройсвто трубы Ø426х5 - 0,054т</t>
  </si>
  <si>
    <t>неизвестно расстояние</t>
  </si>
  <si>
    <t>Устройство анкерного болта (0,82кг/2 шт.)</t>
  </si>
  <si>
    <t>Установка колец с днищем КДЦ-10-9/ 0,33м3</t>
  </si>
  <si>
    <t xml:space="preserve">Демонтаж существующего асфальтового покрытия </t>
  </si>
  <si>
    <t>нет в ВОР</t>
  </si>
  <si>
    <t>Битум БН 50/50</t>
  </si>
  <si>
    <t>Необъяснимая вещь</t>
  </si>
  <si>
    <t>НВК ИТОГО по разделу</t>
  </si>
  <si>
    <t>учтены в смете, в ВОР 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</si>
</sst>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0.000"/>
    <numFmt numFmtId="169" formatCode="0.0000"/>
    <numFmt numFmtId="170" formatCode="0.00000"/>
    <numFmt numFmtId="171" formatCode="_-* #,##0.0_-;\-* #,##0.0_-;_-* &quot;-&quot;??_-;_-@_-"/>
    <numFmt numFmtId="172" formatCode="_-* #,##0.0000_-;\-* #,##0.0000_-;_-* &quot;-&quot;??_-;_-@_-"/>
    <numFmt numFmtId="173" formatCode="#,##0.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C00000"/>
      <name val="Times New Roman"/>
      <family val="1"/>
      <charset val="204"/>
    </font>
    <font>
      <sz val="11"/>
      <color rgb="FFC00000"/>
      <name val="Calibri"/>
      <family val="2"/>
      <charset val="204"/>
      <scheme val="minor"/>
    </font>
    <font>
      <sz val="12"/>
      <color rgb="FF0070C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4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</cellStyleXfs>
  <cellXfs count="506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/>
    <xf numFmtId="0" fontId="0" fillId="2" borderId="1" xfId="0" applyFill="1" applyBorder="1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horizontal="center" vertical="center" wrapText="1"/>
    </xf>
    <xf numFmtId="43" fontId="0" fillId="0" borderId="0" xfId="1" applyFont="1"/>
    <xf numFmtId="43" fontId="2" fillId="2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2" fillId="0" borderId="2" xfId="0" applyFont="1" applyBorder="1" applyAlignment="1">
      <alignment vertical="center" wrapText="1"/>
    </xf>
    <xf numFmtId="43" fontId="2" fillId="0" borderId="0" xfId="1" applyFont="1" applyAlignment="1">
      <alignment horizontal="center" vertical="center"/>
    </xf>
    <xf numFmtId="9" fontId="0" fillId="0" borderId="0" xfId="2" applyFont="1"/>
    <xf numFmtId="164" fontId="0" fillId="0" borderId="1" xfId="0" applyNumberFormat="1" applyBorder="1" applyAlignment="1">
      <alignment horizontal="center" vertical="center"/>
    </xf>
    <xf numFmtId="9" fontId="2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0" fillId="4" borderId="1" xfId="0" applyFill="1" applyBorder="1"/>
    <xf numFmtId="43" fontId="0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0" xfId="0" applyFill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wrapText="1"/>
    </xf>
    <xf numFmtId="0" fontId="0" fillId="5" borderId="1" xfId="0" applyFill="1" applyBorder="1"/>
    <xf numFmtId="43" fontId="0" fillId="5" borderId="0" xfId="1" applyFont="1" applyFill="1" applyAlignment="1">
      <alignment horizontal="center" vertical="center"/>
    </xf>
    <xf numFmtId="43" fontId="0" fillId="5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6" borderId="1" xfId="0" applyFill="1" applyBorder="1"/>
    <xf numFmtId="43" fontId="0" fillId="6" borderId="1" xfId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7" borderId="1" xfId="0" applyFill="1" applyBorder="1"/>
    <xf numFmtId="0" fontId="0" fillId="7" borderId="1" xfId="0" applyFill="1" applyBorder="1" applyAlignment="1">
      <alignment vertical="center" wrapText="1"/>
    </xf>
    <xf numFmtId="43" fontId="0" fillId="7" borderId="1" xfId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65" fontId="0" fillId="0" borderId="0" xfId="1" applyNumberFormat="1" applyFont="1"/>
    <xf numFmtId="165" fontId="0" fillId="0" borderId="0" xfId="0" applyNumberFormat="1"/>
    <xf numFmtId="0" fontId="2" fillId="0" borderId="0" xfId="0" applyFont="1" applyAlignment="1">
      <alignment horizontal="center" vertical="center"/>
    </xf>
    <xf numFmtId="165" fontId="0" fillId="0" borderId="1" xfId="1" applyNumberFormat="1" applyFont="1" applyBorder="1"/>
    <xf numFmtId="165" fontId="0" fillId="0" borderId="0" xfId="0" applyNumberFormat="1" applyAlignment="1">
      <alignment wrapText="1"/>
    </xf>
    <xf numFmtId="0" fontId="0" fillId="7" borderId="0" xfId="0" applyFill="1"/>
    <xf numFmtId="9" fontId="0" fillId="0" borderId="0" xfId="2" applyFont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5" fontId="7" fillId="0" borderId="1" xfId="1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left" vertical="center" wrapText="1"/>
    </xf>
    <xf numFmtId="166" fontId="7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4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vertical="center" wrapText="1"/>
    </xf>
    <xf numFmtId="167" fontId="6" fillId="0" borderId="1" xfId="0" applyNumberFormat="1" applyFont="1" applyBorder="1" applyAlignment="1">
      <alignment vertical="center" wrapText="1"/>
    </xf>
    <xf numFmtId="0" fontId="7" fillId="0" borderId="1" xfId="4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168" fontId="6" fillId="0" borderId="1" xfId="0" applyNumberFormat="1" applyFont="1" applyBorder="1" applyAlignment="1">
      <alignment vertical="center" wrapText="1"/>
    </xf>
    <xf numFmtId="169" fontId="6" fillId="0" borderId="1" xfId="0" applyNumberFormat="1" applyFont="1" applyBorder="1" applyAlignment="1">
      <alignment vertical="center" wrapText="1"/>
    </xf>
    <xf numFmtId="0" fontId="8" fillId="0" borderId="1" xfId="4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3" xfId="4" applyFont="1" applyBorder="1" applyAlignment="1">
      <alignment horizontal="left" vertical="center" wrapText="1"/>
    </xf>
    <xf numFmtId="170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horizontal="right" vertical="center" wrapText="1"/>
    </xf>
    <xf numFmtId="43" fontId="7" fillId="0" borderId="1" xfId="1" applyFont="1" applyBorder="1" applyAlignment="1">
      <alignment horizontal="center" vertical="center" wrapText="1"/>
    </xf>
    <xf numFmtId="165" fontId="0" fillId="0" borderId="0" xfId="1" applyNumberFormat="1" applyFont="1" applyAlignment="1">
      <alignment horizontal="center" vertical="center"/>
    </xf>
    <xf numFmtId="3" fontId="10" fillId="7" borderId="1" xfId="0" applyNumberFormat="1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left" vertical="center" wrapText="1"/>
    </xf>
    <xf numFmtId="166" fontId="11" fillId="7" borderId="1" xfId="0" applyNumberFormat="1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5" fontId="13" fillId="0" borderId="1" xfId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43" fontId="11" fillId="0" borderId="1" xfId="1" applyNumberFormat="1" applyFont="1" applyBorder="1" applyAlignment="1">
      <alignment vertical="center"/>
    </xf>
    <xf numFmtId="165" fontId="11" fillId="0" borderId="1" xfId="1" applyNumberFormat="1" applyFont="1" applyBorder="1" applyAlignment="1">
      <alignment vertical="center"/>
    </xf>
    <xf numFmtId="0" fontId="11" fillId="7" borderId="1" xfId="0" applyFont="1" applyFill="1" applyBorder="1" applyAlignment="1">
      <alignment vertical="center" wrapText="1"/>
    </xf>
    <xf numFmtId="0" fontId="11" fillId="7" borderId="1" xfId="0" applyFont="1" applyFill="1" applyBorder="1" applyAlignment="1">
      <alignment vertical="center"/>
    </xf>
    <xf numFmtId="165" fontId="11" fillId="7" borderId="1" xfId="1" applyNumberFormat="1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165" fontId="13" fillId="0" borderId="1" xfId="1" applyNumberFormat="1" applyFont="1" applyBorder="1" applyAlignment="1">
      <alignment vertical="center"/>
    </xf>
    <xf numFmtId="43" fontId="11" fillId="0" borderId="1" xfId="1" applyFont="1" applyBorder="1" applyAlignment="1">
      <alignment vertical="center"/>
    </xf>
    <xf numFmtId="172" fontId="11" fillId="0" borderId="1" xfId="1" applyNumberFormat="1" applyFont="1" applyBorder="1" applyAlignment="1">
      <alignment vertical="center"/>
    </xf>
    <xf numFmtId="43" fontId="11" fillId="7" borderId="1" xfId="1" applyFont="1" applyFill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7" borderId="1" xfId="0" applyFont="1" applyFill="1" applyBorder="1" applyAlignment="1">
      <alignment horizontal="center" vertical="center" wrapText="1"/>
    </xf>
    <xf numFmtId="165" fontId="11" fillId="7" borderId="1" xfId="1" applyNumberFormat="1" applyFont="1" applyFill="1" applyBorder="1" applyAlignment="1">
      <alignment horizontal="center" vertical="center" wrapText="1"/>
    </xf>
    <xf numFmtId="43" fontId="11" fillId="7" borderId="1" xfId="1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vertical="center"/>
    </xf>
    <xf numFmtId="43" fontId="14" fillId="0" borderId="1" xfId="1" applyFont="1" applyBorder="1" applyAlignment="1">
      <alignment horizontal="center" vertical="center" wrapText="1"/>
    </xf>
    <xf numFmtId="43" fontId="14" fillId="0" borderId="1" xfId="1" applyFont="1" applyFill="1" applyBorder="1" applyAlignment="1">
      <alignment horizontal="center" vertical="center" wrapText="1"/>
    </xf>
    <xf numFmtId="43" fontId="11" fillId="0" borderId="3" xfId="1" applyFont="1" applyBorder="1" applyAlignment="1">
      <alignment horizontal="left" vertical="center" wrapText="1"/>
    </xf>
    <xf numFmtId="165" fontId="11" fillId="0" borderId="3" xfId="1" applyNumberFormat="1" applyFont="1" applyBorder="1" applyAlignment="1">
      <alignment horizontal="left" vertical="center" wrapText="1"/>
    </xf>
    <xf numFmtId="43" fontId="11" fillId="7" borderId="3" xfId="1" applyFont="1" applyFill="1" applyBorder="1" applyAlignment="1">
      <alignment horizontal="left" vertical="center" wrapText="1"/>
    </xf>
    <xf numFmtId="171" fontId="11" fillId="7" borderId="3" xfId="1" applyNumberFormat="1" applyFont="1" applyFill="1" applyBorder="1" applyAlignment="1">
      <alignment horizontal="left" vertical="center" wrapText="1"/>
    </xf>
    <xf numFmtId="165" fontId="11" fillId="7" borderId="3" xfId="1" applyNumberFormat="1" applyFont="1" applyFill="1" applyBorder="1" applyAlignment="1">
      <alignment horizontal="left" vertical="center" wrapText="1"/>
    </xf>
    <xf numFmtId="1" fontId="6" fillId="0" borderId="1" xfId="3" applyNumberFormat="1" applyFont="1" applyBorder="1" applyAlignment="1">
      <alignment horizontal="center" vertical="center"/>
    </xf>
    <xf numFmtId="0" fontId="14" fillId="8" borderId="1" xfId="0" applyFont="1" applyFill="1" applyBorder="1" applyAlignment="1">
      <alignment vertical="center" wrapText="1"/>
    </xf>
    <xf numFmtId="3" fontId="14" fillId="8" borderId="1" xfId="0" applyNumberFormat="1" applyFont="1" applyFill="1" applyBorder="1" applyAlignment="1">
      <alignment vertical="center" wrapText="1"/>
    </xf>
    <xf numFmtId="0" fontId="14" fillId="8" borderId="3" xfId="0" applyFont="1" applyFill="1" applyBorder="1" applyAlignment="1">
      <alignment vertical="center" wrapText="1"/>
    </xf>
    <xf numFmtId="43" fontId="11" fillId="8" borderId="1" xfId="1" applyFont="1" applyFill="1" applyBorder="1" applyAlignment="1">
      <alignment horizontal="left" vertical="center"/>
    </xf>
    <xf numFmtId="0" fontId="6" fillId="0" borderId="1" xfId="3" applyFont="1" applyBorder="1" applyAlignment="1">
      <alignment horizontal="center" vertical="center" wrapText="1"/>
    </xf>
    <xf numFmtId="0" fontId="11" fillId="0" borderId="1" xfId="0" applyFont="1" applyBorder="1"/>
    <xf numFmtId="0" fontId="11" fillId="8" borderId="1" xfId="0" applyFont="1" applyFill="1" applyBorder="1"/>
    <xf numFmtId="1" fontId="6" fillId="0" borderId="1" xfId="3" applyNumberFormat="1" applyFont="1" applyBorder="1" applyAlignment="1">
      <alignment horizontal="right" vertical="center"/>
    </xf>
    <xf numFmtId="165" fontId="11" fillId="0" borderId="1" xfId="1" applyNumberFormat="1" applyFont="1" applyBorder="1"/>
    <xf numFmtId="2" fontId="6" fillId="0" borderId="1" xfId="3" applyNumberFormat="1" applyFont="1" applyBorder="1" applyAlignment="1">
      <alignment horizontal="right" vertical="center"/>
    </xf>
    <xf numFmtId="165" fontId="11" fillId="9" borderId="1" xfId="1" applyNumberFormat="1" applyFont="1" applyFill="1" applyBorder="1"/>
    <xf numFmtId="0" fontId="6" fillId="0" borderId="1" xfId="3" applyFont="1" applyBorder="1" applyAlignment="1">
      <alignment horizontal="left" vertical="center" wrapText="1"/>
    </xf>
    <xf numFmtId="165" fontId="11" fillId="8" borderId="1" xfId="1" applyNumberFormat="1" applyFont="1" applyFill="1" applyBorder="1"/>
    <xf numFmtId="0" fontId="6" fillId="0" borderId="1" xfId="3" applyFont="1" applyBorder="1" applyAlignment="1">
      <alignment vertical="center" wrapText="1"/>
    </xf>
    <xf numFmtId="167" fontId="6" fillId="0" borderId="1" xfId="3" applyNumberFormat="1" applyFont="1" applyBorder="1" applyAlignment="1">
      <alignment horizontal="center" vertical="center"/>
    </xf>
    <xf numFmtId="0" fontId="11" fillId="8" borderId="1" xfId="0" applyFont="1" applyFill="1" applyBorder="1" applyAlignment="1">
      <alignment vertical="center"/>
    </xf>
    <xf numFmtId="165" fontId="11" fillId="8" borderId="1" xfId="1" applyNumberFormat="1" applyFont="1" applyFill="1" applyBorder="1" applyAlignment="1">
      <alignment vertical="center"/>
    </xf>
    <xf numFmtId="165" fontId="11" fillId="8" borderId="1" xfId="0" applyNumberFormat="1" applyFont="1" applyFill="1" applyBorder="1" applyAlignment="1">
      <alignment vertical="center"/>
    </xf>
    <xf numFmtId="167" fontId="6" fillId="0" borderId="1" xfId="3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 wrapText="1"/>
    </xf>
    <xf numFmtId="0" fontId="15" fillId="9" borderId="1" xfId="0" applyFont="1" applyFill="1" applyBorder="1" applyAlignment="1">
      <alignment vertical="center" wrapText="1"/>
    </xf>
    <xf numFmtId="165" fontId="6" fillId="0" borderId="1" xfId="1" applyNumberFormat="1" applyFont="1" applyBorder="1" applyAlignment="1">
      <alignment horizontal="right" vertical="center"/>
    </xf>
    <xf numFmtId="43" fontId="6" fillId="0" borderId="1" xfId="1" applyFont="1" applyBorder="1" applyAlignment="1">
      <alignment horizontal="right" vertical="center"/>
    </xf>
    <xf numFmtId="1" fontId="7" fillId="0" borderId="1" xfId="3" applyNumberFormat="1" applyFont="1" applyBorder="1" applyAlignment="1">
      <alignment horizontal="center" vertical="top"/>
    </xf>
    <xf numFmtId="43" fontId="7" fillId="0" borderId="1" xfId="0" applyNumberFormat="1" applyFont="1" applyBorder="1" applyAlignment="1">
      <alignment vertical="top" wrapText="1"/>
    </xf>
    <xf numFmtId="165" fontId="7" fillId="0" borderId="1" xfId="1" applyNumberFormat="1" applyFont="1" applyBorder="1" applyAlignment="1">
      <alignment vertical="top" wrapText="1"/>
    </xf>
    <xf numFmtId="4" fontId="6" fillId="0" borderId="1" xfId="3" applyNumberFormat="1" applyFont="1" applyBorder="1" applyAlignment="1">
      <alignment horizontal="right" vertical="center"/>
    </xf>
    <xf numFmtId="1" fontId="7" fillId="0" borderId="1" xfId="3" applyNumberFormat="1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1" fillId="0" borderId="0" xfId="0" applyFont="1"/>
    <xf numFmtId="166" fontId="11" fillId="0" borderId="1" xfId="0" applyNumberFormat="1" applyFont="1" applyBorder="1"/>
    <xf numFmtId="0" fontId="13" fillId="7" borderId="7" xfId="0" applyFont="1" applyFill="1" applyBorder="1" applyAlignment="1">
      <alignment horizontal="center" vertical="center"/>
    </xf>
    <xf numFmtId="49" fontId="6" fillId="0" borderId="1" xfId="3" applyNumberFormat="1" applyFont="1" applyBorder="1" applyAlignment="1">
      <alignment horizontal="right" vertical="center"/>
    </xf>
    <xf numFmtId="1" fontId="6" fillId="7" borderId="1" xfId="0" applyNumberFormat="1" applyFont="1" applyFill="1" applyBorder="1" applyAlignment="1">
      <alignment vertical="center" wrapText="1"/>
    </xf>
    <xf numFmtId="0" fontId="13" fillId="8" borderId="7" xfId="0" applyFont="1" applyFill="1" applyBorder="1" applyAlignment="1">
      <alignment horizontal="center" vertical="center"/>
    </xf>
    <xf numFmtId="4" fontId="13" fillId="8" borderId="1" xfId="0" applyNumberFormat="1" applyFont="1" applyFill="1" applyBorder="1" applyAlignment="1">
      <alignment horizontal="left" vertical="center" wrapText="1"/>
    </xf>
    <xf numFmtId="166" fontId="11" fillId="8" borderId="1" xfId="0" applyNumberFormat="1" applyFont="1" applyFill="1" applyBorder="1" applyAlignment="1">
      <alignment horizontal="left" vertical="center"/>
    </xf>
    <xf numFmtId="166" fontId="11" fillId="8" borderId="1" xfId="0" applyNumberFormat="1" applyFont="1" applyFill="1" applyBorder="1"/>
    <xf numFmtId="43" fontId="13" fillId="0" borderId="1" xfId="1" applyFont="1" applyBorder="1"/>
    <xf numFmtId="0" fontId="7" fillId="7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vertical="center" wrapText="1"/>
    </xf>
    <xf numFmtId="3" fontId="6" fillId="7" borderId="1" xfId="0" applyNumberFormat="1" applyFont="1" applyFill="1" applyBorder="1" applyAlignment="1">
      <alignment horizontal="center" vertical="center"/>
    </xf>
    <xf numFmtId="0" fontId="7" fillId="8" borderId="8" xfId="0" applyFont="1" applyFill="1" applyBorder="1" applyAlignment="1">
      <alignment vertical="center" wrapText="1"/>
    </xf>
    <xf numFmtId="4" fontId="13" fillId="7" borderId="1" xfId="0" applyNumberFormat="1" applyFont="1" applyFill="1" applyBorder="1" applyAlignment="1">
      <alignment horizontal="left" vertical="center" wrapText="1"/>
    </xf>
    <xf numFmtId="1" fontId="11" fillId="7" borderId="1" xfId="0" applyNumberFormat="1" applyFont="1" applyFill="1" applyBorder="1" applyAlignment="1">
      <alignment vertical="center" wrapText="1"/>
    </xf>
    <xf numFmtId="3" fontId="11" fillId="0" borderId="1" xfId="0" applyNumberFormat="1" applyFont="1" applyBorder="1" applyAlignment="1">
      <alignment horizontal="center" vertical="center"/>
    </xf>
    <xf numFmtId="0" fontId="7" fillId="8" borderId="4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166" fontId="11" fillId="8" borderId="1" xfId="0" applyNumberFormat="1" applyFont="1" applyFill="1" applyBorder="1" applyAlignment="1">
      <alignment vertical="center"/>
    </xf>
    <xf numFmtId="166" fontId="11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43" fontId="10" fillId="7" borderId="1" xfId="1" applyFont="1" applyFill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4" fontId="7" fillId="8" borderId="1" xfId="0" applyNumberFormat="1" applyFont="1" applyFill="1" applyBorder="1" applyAlignment="1">
      <alignment horizontal="left" vertical="center" wrapText="1"/>
    </xf>
    <xf numFmtId="166" fontId="7" fillId="8" borderId="1" xfId="0" applyNumberFormat="1" applyFont="1" applyFill="1" applyBorder="1" applyAlignment="1">
      <alignment horizontal="left" vertical="center" wrapText="1"/>
    </xf>
    <xf numFmtId="165" fontId="7" fillId="8" borderId="1" xfId="0" applyNumberFormat="1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vertical="center" wrapText="1"/>
    </xf>
    <xf numFmtId="4" fontId="7" fillId="8" borderId="1" xfId="0" applyNumberFormat="1" applyFont="1" applyFill="1" applyBorder="1" applyAlignment="1">
      <alignment vertical="center" wrapText="1"/>
    </xf>
    <xf numFmtId="166" fontId="7" fillId="8" borderId="1" xfId="0" applyNumberFormat="1" applyFont="1" applyFill="1" applyBorder="1" applyAlignment="1">
      <alignment vertical="center" wrapText="1"/>
    </xf>
    <xf numFmtId="165" fontId="7" fillId="8" borderId="1" xfId="0" applyNumberFormat="1" applyFont="1" applyFill="1" applyBorder="1" applyAlignment="1">
      <alignment vertical="center" wrapText="1"/>
    </xf>
    <xf numFmtId="43" fontId="12" fillId="0" borderId="1" xfId="1" applyFont="1" applyBorder="1" applyAlignment="1">
      <alignment horizontal="center" vertical="center"/>
    </xf>
    <xf numFmtId="43" fontId="9" fillId="7" borderId="1" xfId="1" applyFont="1" applyFill="1" applyBorder="1" applyAlignment="1">
      <alignment horizontal="left" vertical="center" wrapText="1"/>
    </xf>
    <xf numFmtId="165" fontId="7" fillId="8" borderId="1" xfId="1" applyNumberFormat="1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right" vertical="center" wrapText="1"/>
    </xf>
    <xf numFmtId="3" fontId="6" fillId="8" borderId="1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43" fontId="6" fillId="0" borderId="1" xfId="1" applyFont="1" applyBorder="1" applyAlignment="1">
      <alignment horizontal="center" vertical="center" wrapText="1"/>
    </xf>
    <xf numFmtId="0" fontId="13" fillId="11" borderId="4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3" fillId="10" borderId="4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43" fontId="11" fillId="11" borderId="1" xfId="1" applyFont="1" applyFill="1" applyBorder="1" applyAlignment="1">
      <alignment vertical="center"/>
    </xf>
    <xf numFmtId="43" fontId="13" fillId="11" borderId="1" xfId="1" applyFont="1" applyFill="1" applyBorder="1"/>
    <xf numFmtId="43" fontId="11" fillId="11" borderId="1" xfId="1" applyFont="1" applyFill="1" applyBorder="1" applyAlignment="1">
      <alignment horizontal="right" vertical="center"/>
    </xf>
    <xf numFmtId="43" fontId="13" fillId="11" borderId="1" xfId="1" applyFont="1" applyFill="1" applyBorder="1" applyAlignment="1">
      <alignment horizontal="center" vertical="center"/>
    </xf>
    <xf numFmtId="43" fontId="11" fillId="10" borderId="1" xfId="1" applyFont="1" applyFill="1" applyBorder="1" applyAlignment="1">
      <alignment vertical="center"/>
    </xf>
    <xf numFmtId="43" fontId="11" fillId="10" borderId="1" xfId="1" applyFont="1" applyFill="1" applyBorder="1" applyAlignment="1">
      <alignment horizontal="right" vertical="center"/>
    </xf>
    <xf numFmtId="43" fontId="13" fillId="10" borderId="1" xfId="1" applyFont="1" applyFill="1" applyBorder="1" applyAlignment="1">
      <alignment horizontal="center" vertical="center"/>
    </xf>
    <xf numFmtId="43" fontId="13" fillId="10" borderId="1" xfId="1" applyFont="1" applyFill="1" applyBorder="1"/>
    <xf numFmtId="0" fontId="6" fillId="0" borderId="1" xfId="0" applyFont="1" applyBorder="1" applyAlignment="1">
      <alignment vertical="center"/>
    </xf>
    <xf numFmtId="165" fontId="6" fillId="0" borderId="1" xfId="1" applyNumberFormat="1" applyFont="1" applyBorder="1" applyAlignment="1">
      <alignment vertical="center"/>
    </xf>
    <xf numFmtId="43" fontId="6" fillId="0" borderId="1" xfId="1" applyNumberFormat="1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2" fontId="6" fillId="0" borderId="1" xfId="0" applyNumberFormat="1" applyFont="1" applyBorder="1" applyAlignment="1">
      <alignment horizontal="right" vertical="center" wrapText="1"/>
    </xf>
    <xf numFmtId="168" fontId="6" fillId="0" borderId="1" xfId="0" applyNumberFormat="1" applyFont="1" applyBorder="1" applyAlignment="1">
      <alignment horizontal="right" vertical="center" wrapText="1"/>
    </xf>
    <xf numFmtId="43" fontId="11" fillId="7" borderId="1" xfId="1" applyFont="1" applyFill="1" applyBorder="1" applyAlignment="1">
      <alignment horizontal="right" vertical="center" wrapText="1"/>
    </xf>
    <xf numFmtId="171" fontId="11" fillId="7" borderId="1" xfId="1" applyNumberFormat="1" applyFont="1" applyFill="1" applyBorder="1" applyAlignment="1">
      <alignment horizontal="right" vertical="center" wrapText="1"/>
    </xf>
    <xf numFmtId="43" fontId="0" fillId="0" borderId="0" xfId="0" applyNumberFormat="1"/>
    <xf numFmtId="0" fontId="16" fillId="0" borderId="1" xfId="4" applyFont="1" applyBorder="1" applyAlignment="1">
      <alignment horizontal="left" vertical="center" wrapText="1"/>
    </xf>
    <xf numFmtId="0" fontId="17" fillId="0" borderId="0" xfId="0" applyFont="1"/>
    <xf numFmtId="0" fontId="17" fillId="0" borderId="0" xfId="0" applyFont="1" applyAlignment="1">
      <alignment vertical="center"/>
    </xf>
    <xf numFmtId="43" fontId="7" fillId="0" borderId="1" xfId="1" applyFont="1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43" fontId="12" fillId="0" borderId="1" xfId="1" applyFont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 wrapText="1"/>
    </xf>
    <xf numFmtId="0" fontId="7" fillId="12" borderId="3" xfId="0" applyFont="1" applyFill="1" applyBorder="1" applyAlignment="1">
      <alignment horizontal="left" vertical="center" wrapText="1"/>
    </xf>
    <xf numFmtId="0" fontId="6" fillId="12" borderId="1" xfId="0" applyFont="1" applyFill="1" applyBorder="1" applyAlignment="1">
      <alignment horizontal="center" wrapText="1"/>
    </xf>
    <xf numFmtId="1" fontId="6" fillId="12" borderId="1" xfId="0" applyNumberFormat="1" applyFont="1" applyFill="1" applyBorder="1" applyAlignment="1">
      <alignment vertical="center" wrapText="1"/>
    </xf>
    <xf numFmtId="43" fontId="10" fillId="12" borderId="1" xfId="1" applyFont="1" applyFill="1" applyBorder="1" applyAlignment="1">
      <alignment horizontal="center" vertical="center" wrapText="1"/>
    </xf>
    <xf numFmtId="43" fontId="11" fillId="12" borderId="1" xfId="1" applyFont="1" applyFill="1" applyBorder="1" applyAlignment="1">
      <alignment vertical="center"/>
    </xf>
    <xf numFmtId="0" fontId="6" fillId="12" borderId="3" xfId="4" applyFont="1" applyFill="1" applyBorder="1" applyAlignment="1">
      <alignment horizontal="left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6" fillId="12" borderId="1" xfId="4" applyFont="1" applyFill="1" applyBorder="1" applyAlignment="1">
      <alignment horizontal="left" vertical="center" wrapText="1"/>
    </xf>
    <xf numFmtId="2" fontId="6" fillId="12" borderId="1" xfId="0" applyNumberFormat="1" applyFont="1" applyFill="1" applyBorder="1" applyAlignment="1">
      <alignment vertical="center" wrapText="1"/>
    </xf>
    <xf numFmtId="167" fontId="6" fillId="12" borderId="1" xfId="0" applyNumberFormat="1" applyFont="1" applyFill="1" applyBorder="1" applyAlignment="1">
      <alignment vertical="center" wrapText="1"/>
    </xf>
    <xf numFmtId="0" fontId="7" fillId="7" borderId="1" xfId="4" applyFont="1" applyFill="1" applyBorder="1" applyAlignment="1">
      <alignment horizontal="left" vertical="center" wrapText="1"/>
    </xf>
    <xf numFmtId="2" fontId="6" fillId="7" borderId="1" xfId="0" applyNumberFormat="1" applyFont="1" applyFill="1" applyBorder="1" applyAlignment="1">
      <alignment vertical="center" wrapText="1"/>
    </xf>
    <xf numFmtId="167" fontId="6" fillId="7" borderId="1" xfId="0" applyNumberFormat="1" applyFont="1" applyFill="1" applyBorder="1" applyAlignment="1">
      <alignment vertical="center" wrapText="1"/>
    </xf>
    <xf numFmtId="168" fontId="6" fillId="12" borderId="1" xfId="0" applyNumberFormat="1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18" fillId="0" borderId="1" xfId="4" applyFont="1" applyBorder="1" applyAlignment="1">
      <alignment horizontal="left" vertical="center" wrapText="1"/>
    </xf>
    <xf numFmtId="1" fontId="6" fillId="12" borderId="1" xfId="0" applyNumberFormat="1" applyFont="1" applyFill="1" applyBorder="1" applyAlignment="1">
      <alignment horizontal="right" vertical="center" wrapText="1"/>
    </xf>
    <xf numFmtId="169" fontId="18" fillId="0" borderId="0" xfId="0" applyNumberFormat="1" applyFont="1" applyBorder="1" applyAlignment="1">
      <alignment horizontal="right" vertical="center" wrapText="1"/>
    </xf>
    <xf numFmtId="2" fontId="6" fillId="12" borderId="1" xfId="0" applyNumberFormat="1" applyFont="1" applyFill="1" applyBorder="1" applyAlignment="1">
      <alignment horizontal="right" vertical="center" wrapText="1"/>
    </xf>
    <xf numFmtId="49" fontId="6" fillId="12" borderId="1" xfId="3" applyNumberFormat="1" applyFont="1" applyFill="1" applyBorder="1" applyAlignment="1">
      <alignment horizontal="right" vertical="center"/>
    </xf>
    <xf numFmtId="1" fontId="18" fillId="0" borderId="0" xfId="0" applyNumberFormat="1" applyFont="1" applyBorder="1" applyAlignment="1">
      <alignment horizontal="right" vertical="center" wrapText="1"/>
    </xf>
    <xf numFmtId="167" fontId="6" fillId="12" borderId="1" xfId="0" applyNumberFormat="1" applyFont="1" applyFill="1" applyBorder="1" applyAlignment="1">
      <alignment horizontal="right" vertical="center" wrapText="1"/>
    </xf>
    <xf numFmtId="1" fontId="6" fillId="7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7" fillId="0" borderId="0" xfId="0" applyFont="1" applyAlignment="1">
      <alignment horizontal="left"/>
    </xf>
    <xf numFmtId="165" fontId="19" fillId="0" borderId="0" xfId="1" applyNumberFormat="1" applyFont="1" applyAlignment="1">
      <alignment wrapText="1"/>
    </xf>
    <xf numFmtId="1" fontId="16" fillId="12" borderId="1" xfId="0" applyNumberFormat="1" applyFont="1" applyFill="1" applyBorder="1" applyAlignment="1">
      <alignment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6" fillId="7" borderId="1" xfId="4" applyFont="1" applyFill="1" applyBorder="1" applyAlignment="1">
      <alignment horizontal="left" vertical="center" wrapText="1"/>
    </xf>
    <xf numFmtId="0" fontId="0" fillId="12" borderId="0" xfId="0" applyFill="1"/>
    <xf numFmtId="43" fontId="11" fillId="7" borderId="1" xfId="1" applyNumberFormat="1" applyFont="1" applyFill="1" applyBorder="1" applyAlignment="1">
      <alignment vertical="center"/>
    </xf>
    <xf numFmtId="49" fontId="6" fillId="7" borderId="1" xfId="3" applyNumberFormat="1" applyFont="1" applyFill="1" applyBorder="1" applyAlignment="1">
      <alignment horizontal="right" vertical="center"/>
    </xf>
    <xf numFmtId="0" fontId="6" fillId="0" borderId="7" xfId="0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6" fillId="7" borderId="1" xfId="0" applyFont="1" applyFill="1" applyBorder="1" applyAlignment="1">
      <alignment horizontal="center" wrapText="1"/>
    </xf>
    <xf numFmtId="0" fontId="6" fillId="7" borderId="1" xfId="3" applyFont="1" applyFill="1" applyBorder="1" applyAlignment="1">
      <alignment horizontal="center" vertical="center" wrapText="1"/>
    </xf>
    <xf numFmtId="1" fontId="6" fillId="7" borderId="1" xfId="3" applyNumberFormat="1" applyFont="1" applyFill="1" applyBorder="1" applyAlignment="1">
      <alignment horizontal="right" vertical="center"/>
    </xf>
    <xf numFmtId="0" fontId="7" fillId="7" borderId="1" xfId="0" applyFont="1" applyFill="1" applyBorder="1" applyAlignment="1">
      <alignment horizontal="center" vertical="center" wrapText="1"/>
    </xf>
    <xf numFmtId="1" fontId="7" fillId="7" borderId="1" xfId="0" applyNumberFormat="1" applyFont="1" applyFill="1" applyBorder="1" applyAlignment="1">
      <alignment vertical="center" wrapText="1"/>
    </xf>
    <xf numFmtId="0" fontId="6" fillId="7" borderId="1" xfId="3" applyNumberFormat="1" applyFont="1" applyFill="1" applyBorder="1" applyAlignment="1">
      <alignment horizontal="right" vertical="center"/>
    </xf>
    <xf numFmtId="2" fontId="6" fillId="7" borderId="1" xfId="3" applyNumberFormat="1" applyFont="1" applyFill="1" applyBorder="1" applyAlignment="1">
      <alignment horizontal="right" vertical="center"/>
    </xf>
    <xf numFmtId="165" fontId="19" fillId="0" borderId="0" xfId="1" applyNumberFormat="1" applyFont="1" applyAlignment="1">
      <alignment vertical="center"/>
    </xf>
    <xf numFmtId="165" fontId="19" fillId="0" borderId="0" xfId="1" applyNumberFormat="1" applyFont="1" applyAlignment="1">
      <alignment horizontal="left" vertical="center"/>
    </xf>
    <xf numFmtId="2" fontId="6" fillId="7" borderId="1" xfId="0" applyNumberFormat="1" applyFont="1" applyFill="1" applyBorder="1" applyAlignment="1">
      <alignment horizontal="right" vertical="center" wrapText="1"/>
    </xf>
    <xf numFmtId="0" fontId="8" fillId="7" borderId="1" xfId="4" applyFont="1" applyFill="1" applyBorder="1" applyAlignment="1">
      <alignment horizontal="left" vertical="center" wrapText="1"/>
    </xf>
    <xf numFmtId="169" fontId="18" fillId="7" borderId="1" xfId="0" applyNumberFormat="1" applyFont="1" applyFill="1" applyBorder="1" applyAlignment="1">
      <alignment horizontal="right" vertical="center" wrapText="1"/>
    </xf>
    <xf numFmtId="167" fontId="6" fillId="7" borderId="1" xfId="0" applyNumberFormat="1" applyFont="1" applyFill="1" applyBorder="1" applyAlignment="1">
      <alignment horizontal="right" vertical="center" wrapText="1"/>
    </xf>
    <xf numFmtId="168" fontId="6" fillId="7" borderId="1" xfId="0" applyNumberFormat="1" applyFont="1" applyFill="1" applyBorder="1" applyAlignment="1">
      <alignment horizontal="right" vertical="center" wrapText="1"/>
    </xf>
    <xf numFmtId="0" fontId="6" fillId="7" borderId="3" xfId="4" applyFont="1" applyFill="1" applyBorder="1" applyAlignment="1">
      <alignment horizontal="left" vertical="center" wrapText="1"/>
    </xf>
    <xf numFmtId="3" fontId="11" fillId="7" borderId="1" xfId="0" applyNumberFormat="1" applyFont="1" applyFill="1" applyBorder="1" applyAlignment="1">
      <alignment horizontal="center" vertical="center"/>
    </xf>
    <xf numFmtId="166" fontId="11" fillId="7" borderId="1" xfId="0" applyNumberFormat="1" applyFont="1" applyFill="1" applyBorder="1" applyAlignment="1">
      <alignment vertical="center"/>
    </xf>
    <xf numFmtId="167" fontId="6" fillId="7" borderId="4" xfId="0" applyNumberFormat="1" applyFont="1" applyFill="1" applyBorder="1" applyAlignment="1">
      <alignment vertical="center" wrapText="1"/>
    </xf>
    <xf numFmtId="1" fontId="6" fillId="7" borderId="2" xfId="0" applyNumberFormat="1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 wrapText="1"/>
    </xf>
    <xf numFmtId="0" fontId="16" fillId="12" borderId="1" xfId="0" applyFont="1" applyFill="1" applyBorder="1" applyAlignment="1">
      <alignment horizontal="center" vertical="center" wrapText="1"/>
    </xf>
    <xf numFmtId="165" fontId="17" fillId="0" borderId="0" xfId="1" applyNumberFormat="1" applyFont="1"/>
    <xf numFmtId="2" fontId="6" fillId="0" borderId="1" xfId="3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165" fontId="6" fillId="0" borderId="1" xfId="1" applyNumberFormat="1" applyFont="1" applyBorder="1" applyAlignment="1">
      <alignment horizontal="center" vertical="center" wrapText="1"/>
    </xf>
    <xf numFmtId="165" fontId="6" fillId="7" borderId="1" xfId="1" applyNumberFormat="1" applyFont="1" applyFill="1" applyBorder="1" applyAlignment="1">
      <alignment horizontal="center" vertical="center" wrapText="1"/>
    </xf>
    <xf numFmtId="43" fontId="6" fillId="7" borderId="1" xfId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/>
    </xf>
    <xf numFmtId="0" fontId="17" fillId="7" borderId="0" xfId="0" applyFont="1" applyFill="1"/>
    <xf numFmtId="0" fontId="7" fillId="0" borderId="7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65" fontId="7" fillId="0" borderId="1" xfId="1" applyNumberFormat="1" applyFont="1" applyBorder="1" applyAlignment="1">
      <alignment horizontal="center" vertical="center" wrapText="1"/>
    </xf>
    <xf numFmtId="0" fontId="15" fillId="7" borderId="1" xfId="0" applyFont="1" applyFill="1" applyBorder="1" applyAlignment="1">
      <alignment vertical="center" wrapText="1"/>
    </xf>
    <xf numFmtId="165" fontId="11" fillId="7" borderId="1" xfId="1" applyNumberFormat="1" applyFont="1" applyFill="1" applyBorder="1"/>
    <xf numFmtId="49" fontId="7" fillId="7" borderId="1" xfId="3" applyNumberFormat="1" applyFont="1" applyFill="1" applyBorder="1" applyAlignment="1">
      <alignment horizontal="center" vertical="center" wrapText="1"/>
    </xf>
    <xf numFmtId="0" fontId="7" fillId="0" borderId="1" xfId="3" applyFont="1" applyBorder="1" applyAlignment="1">
      <alignment vertical="center" wrapText="1"/>
    </xf>
    <xf numFmtId="0" fontId="7" fillId="7" borderId="3" xfId="4" applyFont="1" applyFill="1" applyBorder="1" applyAlignment="1">
      <alignment horizontal="left" vertical="center" wrapText="1"/>
    </xf>
    <xf numFmtId="168" fontId="6" fillId="7" borderId="1" xfId="0" applyNumberFormat="1" applyFont="1" applyFill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right" vertical="center" wrapText="1"/>
    </xf>
    <xf numFmtId="0" fontId="7" fillId="0" borderId="3" xfId="4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" fontId="6" fillId="0" borderId="8" xfId="0" applyNumberFormat="1" applyFont="1" applyBorder="1" applyAlignment="1">
      <alignment horizontal="center" vertical="center" wrapText="1"/>
    </xf>
    <xf numFmtId="0" fontId="7" fillId="0" borderId="3" xfId="4" applyFont="1" applyBorder="1" applyAlignment="1">
      <alignment horizontal="left" vertical="center" wrapText="1"/>
    </xf>
    <xf numFmtId="0" fontId="8" fillId="7" borderId="1" xfId="0" applyFont="1" applyFill="1" applyBorder="1" applyAlignment="1">
      <alignment horizontal="center" vertical="center" wrapText="1"/>
    </xf>
    <xf numFmtId="1" fontId="8" fillId="7" borderId="1" xfId="0" applyNumberFormat="1" applyFont="1" applyFill="1" applyBorder="1" applyAlignment="1">
      <alignment horizontal="right" vertical="center" wrapText="1"/>
    </xf>
    <xf numFmtId="168" fontId="8" fillId="7" borderId="1" xfId="0" applyNumberFormat="1" applyFont="1" applyFill="1" applyBorder="1" applyAlignment="1">
      <alignment horizontal="right" vertical="center" wrapText="1"/>
    </xf>
    <xf numFmtId="168" fontId="6" fillId="0" borderId="1" xfId="0" applyNumberFormat="1" applyFont="1" applyBorder="1" applyAlignment="1">
      <alignment horizontal="center" vertical="center" wrapText="1"/>
    </xf>
    <xf numFmtId="43" fontId="0" fillId="7" borderId="0" xfId="1" applyNumberFormat="1" applyFont="1" applyFill="1" applyAlignment="1">
      <alignment horizontal="left" vertical="center" indent="1"/>
    </xf>
    <xf numFmtId="43" fontId="20" fillId="12" borderId="1" xfId="1" applyFont="1" applyFill="1" applyBorder="1" applyAlignment="1">
      <alignment horizontal="center" vertical="center" wrapText="1"/>
    </xf>
    <xf numFmtId="165" fontId="17" fillId="0" borderId="0" xfId="1" applyNumberFormat="1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vertical="center" wrapText="1"/>
    </xf>
    <xf numFmtId="43" fontId="11" fillId="0" borderId="1" xfId="1" applyFont="1" applyFill="1" applyBorder="1" applyAlignment="1">
      <alignment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left" vertical="center" wrapText="1"/>
    </xf>
    <xf numFmtId="167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wrapText="1"/>
    </xf>
    <xf numFmtId="0" fontId="7" fillId="0" borderId="1" xfId="4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right" vertical="center" wrapText="1"/>
    </xf>
    <xf numFmtId="168" fontId="6" fillId="0" borderId="1" xfId="0" applyNumberFormat="1" applyFont="1" applyFill="1" applyBorder="1" applyAlignment="1">
      <alignment horizontal="right" vertical="center" wrapText="1"/>
    </xf>
    <xf numFmtId="43" fontId="12" fillId="0" borderId="1" xfId="1" applyFont="1" applyFill="1" applyBorder="1" applyAlignment="1">
      <alignment horizontal="center" vertical="center" wrapText="1"/>
    </xf>
    <xf numFmtId="167" fontId="6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49" fontId="6" fillId="0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center" vertical="center" wrapText="1"/>
    </xf>
    <xf numFmtId="43" fontId="10" fillId="4" borderId="1" xfId="1" applyFont="1" applyFill="1" applyBorder="1" applyAlignment="1">
      <alignment horizontal="center" vertical="center" wrapText="1"/>
    </xf>
    <xf numFmtId="43" fontId="11" fillId="4" borderId="1" xfId="1" applyFont="1" applyFill="1" applyBorder="1" applyAlignment="1">
      <alignment vertical="center"/>
    </xf>
    <xf numFmtId="0" fontId="6" fillId="4" borderId="1" xfId="4" applyFont="1" applyFill="1" applyBorder="1" applyAlignment="1">
      <alignment horizontal="left" vertical="center" wrapText="1"/>
    </xf>
    <xf numFmtId="167" fontId="6" fillId="4" borderId="1" xfId="0" applyNumberFormat="1" applyFont="1" applyFill="1" applyBorder="1" applyAlignment="1">
      <alignment vertical="center" wrapText="1"/>
    </xf>
    <xf numFmtId="43" fontId="6" fillId="4" borderId="1" xfId="1" applyFont="1" applyFill="1" applyBorder="1" applyAlignment="1">
      <alignment vertical="center"/>
    </xf>
    <xf numFmtId="0" fontId="7" fillId="0" borderId="3" xfId="4" applyFont="1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vertical="center" wrapText="1"/>
    </xf>
    <xf numFmtId="43" fontId="12" fillId="0" borderId="1" xfId="1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vertical="center"/>
    </xf>
    <xf numFmtId="43" fontId="10" fillId="0" borderId="1" xfId="1" applyFont="1" applyFill="1" applyBorder="1" applyAlignment="1">
      <alignment horizontal="center" vertical="center"/>
    </xf>
    <xf numFmtId="168" fontId="6" fillId="0" borderId="1" xfId="0" applyNumberFormat="1" applyFont="1" applyFill="1" applyBorder="1" applyAlignment="1">
      <alignment vertical="center" wrapText="1"/>
    </xf>
    <xf numFmtId="2" fontId="6" fillId="4" borderId="1" xfId="0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wrapText="1"/>
    </xf>
    <xf numFmtId="1" fontId="6" fillId="4" borderId="1" xfId="0" applyNumberFormat="1" applyFont="1" applyFill="1" applyBorder="1" applyAlignment="1">
      <alignment vertical="center" wrapText="1"/>
    </xf>
    <xf numFmtId="165" fontId="13" fillId="0" borderId="1" xfId="1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65" fontId="7" fillId="0" borderId="1" xfId="1" applyNumberFormat="1" applyFont="1" applyBorder="1" applyAlignment="1">
      <alignment horizontal="center" vertical="center" wrapText="1"/>
    </xf>
    <xf numFmtId="166" fontId="11" fillId="7" borderId="1" xfId="0" applyNumberFormat="1" applyFont="1" applyFill="1" applyBorder="1"/>
    <xf numFmtId="0" fontId="11" fillId="7" borderId="1" xfId="0" applyFont="1" applyFill="1" applyBorder="1"/>
    <xf numFmtId="0" fontId="7" fillId="0" borderId="7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65" fontId="7" fillId="0" borderId="1" xfId="1" applyNumberFormat="1" applyFont="1" applyBorder="1" applyAlignment="1">
      <alignment horizontal="center" vertical="center" wrapText="1"/>
    </xf>
    <xf numFmtId="173" fontId="6" fillId="0" borderId="1" xfId="3" applyNumberFormat="1" applyFont="1" applyBorder="1" applyAlignment="1">
      <alignment horizontal="center" vertical="center"/>
    </xf>
    <xf numFmtId="43" fontId="6" fillId="0" borderId="1" xfId="1" applyFont="1" applyFill="1" applyBorder="1" applyAlignment="1">
      <alignment horizontal="right" vertical="center"/>
    </xf>
    <xf numFmtId="3" fontId="6" fillId="0" borderId="1" xfId="3" applyNumberFormat="1" applyFont="1" applyBorder="1" applyAlignment="1">
      <alignment horizontal="center" vertical="center"/>
    </xf>
    <xf numFmtId="1" fontId="6" fillId="4" borderId="1" xfId="3" applyNumberFormat="1" applyFont="1" applyFill="1" applyBorder="1" applyAlignment="1">
      <alignment horizontal="center" vertical="center"/>
    </xf>
    <xf numFmtId="0" fontId="6" fillId="4" borderId="1" xfId="3" applyFont="1" applyFill="1" applyBorder="1" applyAlignment="1">
      <alignment vertical="center" wrapText="1"/>
    </xf>
    <xf numFmtId="0" fontId="6" fillId="4" borderId="1" xfId="3" applyFont="1" applyFill="1" applyBorder="1" applyAlignment="1">
      <alignment horizontal="center" vertical="center" wrapText="1"/>
    </xf>
    <xf numFmtId="1" fontId="6" fillId="4" borderId="1" xfId="3" applyNumberFormat="1" applyFont="1" applyFill="1" applyBorder="1" applyAlignment="1">
      <alignment horizontal="center" vertical="center" wrapText="1"/>
    </xf>
    <xf numFmtId="43" fontId="6" fillId="4" borderId="1" xfId="1" applyFont="1" applyFill="1" applyBorder="1" applyAlignment="1">
      <alignment horizontal="right" vertical="center"/>
    </xf>
    <xf numFmtId="49" fontId="6" fillId="0" borderId="1" xfId="3" applyNumberFormat="1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/>
    </xf>
    <xf numFmtId="0" fontId="11" fillId="0" borderId="1" xfId="3" applyFont="1" applyBorder="1" applyAlignment="1">
      <alignment vertical="center" wrapText="1"/>
    </xf>
    <xf numFmtId="0" fontId="16" fillId="4" borderId="1" xfId="3" applyFont="1" applyFill="1" applyBorder="1" applyAlignment="1">
      <alignment vertical="center" wrapText="1"/>
    </xf>
    <xf numFmtId="1" fontId="6" fillId="0" borderId="1" xfId="3" applyNumberFormat="1" applyFont="1" applyBorder="1" applyAlignment="1">
      <alignment horizontal="center" vertical="center" wrapText="1"/>
    </xf>
    <xf numFmtId="2" fontId="6" fillId="4" borderId="1" xfId="3" applyNumberFormat="1" applyFont="1" applyFill="1" applyBorder="1" applyAlignment="1">
      <alignment horizontal="center" vertical="center"/>
    </xf>
    <xf numFmtId="43" fontId="11" fillId="0" borderId="1" xfId="1" applyFont="1" applyFill="1" applyBorder="1" applyAlignment="1">
      <alignment horizontal="center" vertical="center"/>
    </xf>
    <xf numFmtId="49" fontId="7" fillId="0" borderId="1" xfId="3" applyNumberFormat="1" applyFont="1" applyBorder="1" applyAlignment="1">
      <alignment horizontal="center" vertical="center" wrapText="1"/>
    </xf>
    <xf numFmtId="1" fontId="11" fillId="0" borderId="1" xfId="1" applyNumberFormat="1" applyFont="1" applyFill="1" applyBorder="1" applyAlignment="1">
      <alignment horizontal="center" vertical="center"/>
    </xf>
    <xf numFmtId="0" fontId="6" fillId="0" borderId="3" xfId="3" applyFont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166" fontId="11" fillId="0" borderId="1" xfId="0" applyNumberFormat="1" applyFont="1" applyFill="1" applyBorder="1" applyAlignment="1">
      <alignment vertical="center"/>
    </xf>
    <xf numFmtId="0" fontId="16" fillId="4" borderId="1" xfId="4" applyFont="1" applyFill="1" applyBorder="1" applyAlignment="1">
      <alignment horizontal="left" vertical="center" wrapText="1"/>
    </xf>
    <xf numFmtId="167" fontId="16" fillId="4" borderId="1" xfId="0" applyNumberFormat="1" applyFont="1" applyFill="1" applyBorder="1" applyAlignment="1">
      <alignment vertical="center" wrapText="1"/>
    </xf>
    <xf numFmtId="0" fontId="6" fillId="0" borderId="3" xfId="4" applyFont="1" applyFill="1" applyBorder="1" applyAlignment="1">
      <alignment horizontal="left" vertical="center" wrapText="1"/>
    </xf>
    <xf numFmtId="43" fontId="11" fillId="0" borderId="1" xfId="1" applyNumberFormat="1" applyFont="1" applyFill="1" applyBorder="1" applyAlignment="1">
      <alignment vertical="center"/>
    </xf>
    <xf numFmtId="0" fontId="0" fillId="0" borderId="0" xfId="0" applyFill="1"/>
    <xf numFmtId="0" fontId="17" fillId="0" borderId="0" xfId="0" applyFont="1" applyFill="1"/>
    <xf numFmtId="0" fontId="11" fillId="4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/>
    </xf>
    <xf numFmtId="43" fontId="11" fillId="4" borderId="1" xfId="1" applyNumberFormat="1" applyFont="1" applyFill="1" applyBorder="1" applyAlignment="1">
      <alignment vertical="center"/>
    </xf>
    <xf numFmtId="165" fontId="6" fillId="4" borderId="1" xfId="1" applyNumberFormat="1" applyFont="1" applyFill="1" applyBorder="1" applyAlignment="1">
      <alignment vertical="center"/>
    </xf>
    <xf numFmtId="0" fontId="11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/>
    </xf>
    <xf numFmtId="165" fontId="11" fillId="4" borderId="1" xfId="1" applyNumberFormat="1" applyFont="1" applyFill="1" applyBorder="1" applyAlignment="1">
      <alignment vertical="center"/>
    </xf>
    <xf numFmtId="0" fontId="11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left" vertical="center" wrapText="1"/>
    </xf>
    <xf numFmtId="43" fontId="6" fillId="4" borderId="1" xfId="1" applyFont="1" applyFill="1" applyBorder="1" applyAlignment="1">
      <alignment horizontal="center" vertical="center" wrapText="1"/>
    </xf>
    <xf numFmtId="43" fontId="11" fillId="4" borderId="1" xfId="1" applyFont="1" applyFill="1" applyBorder="1" applyAlignment="1">
      <alignment horizontal="center" vertical="center" wrapText="1"/>
    </xf>
    <xf numFmtId="165" fontId="6" fillId="4" borderId="1" xfId="1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center" vertical="center" wrapText="1"/>
    </xf>
    <xf numFmtId="165" fontId="11" fillId="4" borderId="1" xfId="1" applyNumberFormat="1" applyFont="1" applyFill="1" applyBorder="1" applyAlignment="1">
      <alignment horizontal="center" vertical="center" wrapText="1"/>
    </xf>
    <xf numFmtId="43" fontId="0" fillId="0" borderId="6" xfId="1" applyFont="1" applyBorder="1" applyAlignment="1">
      <alignment horizontal="center" vertical="center"/>
    </xf>
    <xf numFmtId="43" fontId="0" fillId="0" borderId="7" xfId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43" fontId="0" fillId="5" borderId="6" xfId="1" applyFont="1" applyFill="1" applyBorder="1" applyAlignment="1">
      <alignment horizontal="center" vertical="center"/>
    </xf>
    <xf numFmtId="43" fontId="0" fillId="5" borderId="7" xfId="1" applyFont="1" applyFill="1" applyBorder="1" applyAlignment="1">
      <alignment horizontal="center" vertical="center"/>
    </xf>
    <xf numFmtId="0" fontId="13" fillId="11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10" borderId="1" xfId="0" applyFont="1" applyFill="1" applyBorder="1" applyAlignment="1">
      <alignment horizontal="center"/>
    </xf>
    <xf numFmtId="0" fontId="17" fillId="0" borderId="11" xfId="0" applyFont="1" applyBorder="1" applyAlignment="1">
      <alignment horizontal="left" vertical="center"/>
    </xf>
    <xf numFmtId="0" fontId="13" fillId="0" borderId="3" xfId="0" applyFont="1" applyBorder="1" applyAlignment="1">
      <alignment horizontal="right" vertical="center" wrapText="1"/>
    </xf>
    <xf numFmtId="0" fontId="13" fillId="0" borderId="8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0" fontId="7" fillId="0" borderId="3" xfId="4" applyFont="1" applyBorder="1" applyAlignment="1">
      <alignment horizontal="right" vertical="center" wrapText="1"/>
    </xf>
    <xf numFmtId="0" fontId="7" fillId="0" borderId="8" xfId="4" applyFont="1" applyBorder="1" applyAlignment="1">
      <alignment horizontal="right" vertical="center" wrapText="1"/>
    </xf>
    <xf numFmtId="0" fontId="7" fillId="0" borderId="4" xfId="4" applyFont="1" applyBorder="1" applyAlignment="1">
      <alignment horizontal="right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5" fontId="13" fillId="0" borderId="1" xfId="1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7" fillId="0" borderId="14" xfId="4" applyFont="1" applyBorder="1" applyAlignment="1">
      <alignment horizontal="right" vertical="center" wrapText="1"/>
    </xf>
    <xf numFmtId="0" fontId="7" fillId="0" borderId="15" xfId="4" applyFont="1" applyBorder="1" applyAlignment="1">
      <alignment horizontal="right" vertical="center" wrapText="1"/>
    </xf>
    <xf numFmtId="0" fontId="7" fillId="0" borderId="5" xfId="4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3" fontId="10" fillId="0" borderId="6" xfId="1" applyFont="1" applyFill="1" applyBorder="1" applyAlignment="1">
      <alignment horizontal="center" vertical="center" wrapText="1"/>
    </xf>
    <xf numFmtId="43" fontId="10" fillId="0" borderId="2" xfId="1" applyFont="1" applyFill="1" applyBorder="1" applyAlignment="1">
      <alignment horizontal="center" vertical="center" wrapText="1"/>
    </xf>
    <xf numFmtId="43" fontId="10" fillId="0" borderId="7" xfId="1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7" fillId="8" borderId="8" xfId="0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horizontal="right" vertical="center" wrapText="1"/>
    </xf>
    <xf numFmtId="0" fontId="7" fillId="7" borderId="8" xfId="0" applyFont="1" applyFill="1" applyBorder="1" applyAlignment="1">
      <alignment horizontal="right" vertical="center" wrapText="1"/>
    </xf>
    <xf numFmtId="0" fontId="7" fillId="7" borderId="4" xfId="0" applyFont="1" applyFill="1" applyBorder="1" applyAlignment="1">
      <alignment horizontal="right" vertical="center" wrapText="1"/>
    </xf>
    <xf numFmtId="0" fontId="7" fillId="8" borderId="4" xfId="0" applyFont="1" applyFill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" xfId="3" applyFont="1" applyBorder="1" applyAlignment="1">
      <alignment horizontal="right" vertical="top" wrapText="1"/>
    </xf>
    <xf numFmtId="165" fontId="7" fillId="0" borderId="1" xfId="1" applyNumberFormat="1" applyFont="1" applyBorder="1" applyAlignment="1">
      <alignment horizontal="center" vertical="center" wrapText="1"/>
    </xf>
    <xf numFmtId="49" fontId="8" fillId="9" borderId="1" xfId="3" applyNumberFormat="1" applyFont="1" applyFill="1" applyBorder="1" applyAlignment="1">
      <alignment horizontal="center" vertical="center" wrapText="1"/>
    </xf>
    <xf numFmtId="49" fontId="7" fillId="8" borderId="1" xfId="3" applyNumberFormat="1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7" fillId="0" borderId="3" xfId="3" applyFont="1" applyBorder="1" applyAlignment="1">
      <alignment horizontal="right" vertical="center" wrapText="1"/>
    </xf>
    <xf numFmtId="0" fontId="7" fillId="0" borderId="8" xfId="3" applyFont="1" applyBorder="1" applyAlignment="1">
      <alignment horizontal="right" vertical="center" wrapText="1"/>
    </xf>
    <xf numFmtId="0" fontId="7" fillId="0" borderId="4" xfId="3" applyFont="1" applyBorder="1" applyAlignment="1">
      <alignment horizontal="right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1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49" fontId="8" fillId="7" borderId="1" xfId="3" applyNumberFormat="1" applyFont="1" applyFill="1" applyBorder="1" applyAlignment="1">
      <alignment horizontal="center" vertical="center" wrapText="1"/>
    </xf>
    <xf numFmtId="166" fontId="13" fillId="8" borderId="1" xfId="0" applyNumberFormat="1" applyFont="1" applyFill="1" applyBorder="1" applyAlignment="1">
      <alignment vertical="center"/>
    </xf>
    <xf numFmtId="0" fontId="6" fillId="7" borderId="7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3" xfId="4" applyFont="1" applyFill="1" applyBorder="1" applyAlignment="1">
      <alignment horizontal="left" vertical="center" wrapText="1"/>
    </xf>
    <xf numFmtId="0" fontId="7" fillId="5" borderId="8" xfId="0" applyFont="1" applyFill="1" applyBorder="1" applyAlignment="1">
      <alignment horizontal="center" vertical="center" wrapText="1"/>
    </xf>
    <xf numFmtId="2" fontId="7" fillId="5" borderId="8" xfId="0" applyNumberFormat="1" applyFont="1" applyFill="1" applyBorder="1" applyAlignment="1">
      <alignment vertical="center" wrapText="1"/>
    </xf>
    <xf numFmtId="43" fontId="21" fillId="5" borderId="1" xfId="1" applyFont="1" applyFill="1" applyBorder="1" applyAlignment="1">
      <alignment horizontal="center" vertical="center" wrapText="1"/>
    </xf>
    <xf numFmtId="43" fontId="13" fillId="5" borderId="1" xfId="1" applyFont="1" applyFill="1" applyBorder="1" applyAlignment="1">
      <alignment vertical="center"/>
    </xf>
    <xf numFmtId="166" fontId="13" fillId="5" borderId="1" xfId="0" applyNumberFormat="1" applyFont="1" applyFill="1" applyBorder="1" applyAlignment="1">
      <alignment vertical="center"/>
    </xf>
    <xf numFmtId="43" fontId="7" fillId="5" borderId="1" xfId="0" applyNumberFormat="1" applyFont="1" applyFill="1" applyBorder="1" applyAlignment="1">
      <alignment vertical="top" wrapText="1"/>
    </xf>
    <xf numFmtId="43" fontId="13" fillId="5" borderId="1" xfId="1" applyFont="1" applyFill="1" applyBorder="1"/>
    <xf numFmtId="43" fontId="11" fillId="5" borderId="1" xfId="1" applyFont="1" applyFill="1" applyBorder="1"/>
    <xf numFmtId="165" fontId="7" fillId="5" borderId="1" xfId="1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center" wrapText="1"/>
    </xf>
    <xf numFmtId="2" fontId="11" fillId="0" borderId="1" xfId="0" applyNumberFormat="1" applyFont="1" applyFill="1" applyBorder="1" applyAlignment="1">
      <alignment vertical="center" wrapText="1"/>
    </xf>
    <xf numFmtId="165" fontId="0" fillId="0" borderId="0" xfId="1" applyNumberFormat="1" applyFont="1" applyFill="1"/>
    <xf numFmtId="1" fontId="11" fillId="0" borderId="1" xfId="0" applyNumberFormat="1" applyFont="1" applyFill="1" applyBorder="1" applyAlignment="1">
      <alignment vertical="center" wrapText="1"/>
    </xf>
    <xf numFmtId="165" fontId="17" fillId="0" borderId="0" xfId="1" applyNumberFormat="1" applyFont="1" applyFill="1"/>
    <xf numFmtId="0" fontId="11" fillId="0" borderId="1" xfId="4" applyFont="1" applyBorder="1" applyAlignment="1">
      <alignment horizontal="left" vertical="center" wrapText="1"/>
    </xf>
    <xf numFmtId="169" fontId="18" fillId="0" borderId="0" xfId="0" applyNumberFormat="1" applyFont="1" applyFill="1" applyBorder="1" applyAlignment="1">
      <alignment horizontal="right" vertical="center" wrapText="1"/>
    </xf>
    <xf numFmtId="0" fontId="0" fillId="0" borderId="0" xfId="0" applyFill="1" applyBorder="1"/>
    <xf numFmtId="1" fontId="18" fillId="0" borderId="0" xfId="0" applyNumberFormat="1" applyFont="1" applyFill="1" applyBorder="1" applyAlignment="1">
      <alignment horizontal="right" vertical="center" wrapText="1"/>
    </xf>
    <xf numFmtId="49" fontId="6" fillId="0" borderId="1" xfId="3" applyNumberFormat="1" applyFont="1" applyFill="1" applyBorder="1" applyAlignment="1">
      <alignment horizontal="right" vertical="center"/>
    </xf>
    <xf numFmtId="0" fontId="0" fillId="0" borderId="12" xfId="0" applyFill="1" applyBorder="1"/>
    <xf numFmtId="169" fontId="18" fillId="0" borderId="12" xfId="0" applyNumberFormat="1" applyFont="1" applyFill="1" applyBorder="1" applyAlignment="1">
      <alignment horizontal="right" vertical="center" wrapText="1"/>
    </xf>
    <xf numFmtId="0" fontId="6" fillId="7" borderId="7" xfId="4" applyFont="1" applyFill="1" applyBorder="1" applyAlignment="1">
      <alignment horizontal="left" vertical="center" wrapText="1"/>
    </xf>
    <xf numFmtId="1" fontId="6" fillId="7" borderId="7" xfId="0" applyNumberFormat="1" applyFont="1" applyFill="1" applyBorder="1" applyAlignment="1">
      <alignment horizontal="right" vertical="center" wrapText="1"/>
    </xf>
    <xf numFmtId="43" fontId="11" fillId="7" borderId="7" xfId="1" applyNumberFormat="1" applyFont="1" applyFill="1" applyBorder="1" applyAlignment="1">
      <alignment vertical="center"/>
    </xf>
    <xf numFmtId="43" fontId="11" fillId="7" borderId="7" xfId="1" applyFont="1" applyFill="1" applyBorder="1" applyAlignment="1">
      <alignment vertical="center"/>
    </xf>
    <xf numFmtId="0" fontId="22" fillId="0" borderId="0" xfId="0" applyFont="1"/>
    <xf numFmtId="43" fontId="10" fillId="0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1" fontId="6" fillId="4" borderId="1" xfId="0" applyNumberFormat="1" applyFont="1" applyFill="1" applyBorder="1" applyAlignment="1">
      <alignment horizontal="right" vertical="center" wrapText="1"/>
    </xf>
    <xf numFmtId="165" fontId="7" fillId="5" borderId="1" xfId="0" applyNumberFormat="1" applyFont="1" applyFill="1" applyBorder="1" applyAlignment="1">
      <alignment horizontal="left" vertical="center" wrapText="1"/>
    </xf>
    <xf numFmtId="165" fontId="2" fillId="5" borderId="1" xfId="1" applyNumberFormat="1" applyFont="1" applyFill="1" applyBorder="1"/>
    <xf numFmtId="165" fontId="13" fillId="5" borderId="1" xfId="1" applyNumberFormat="1" applyFont="1" applyFill="1" applyBorder="1"/>
  </cellXfs>
  <cellStyles count="5">
    <cellStyle name="ЛокСмМТСН" xfId="3"/>
    <cellStyle name="Обычный" xfId="0" builtinId="0"/>
    <cellStyle name="Обычный 2" xfId="4"/>
    <cellStyle name="Процентный" xfId="2" builtinId="5"/>
    <cellStyle name="Финансовый" xfId="1" builtin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topLeftCell="B1" zoomScale="115" zoomScaleNormal="115" workbookViewId="0">
      <selection activeCell="B1" sqref="A1:XFD1048576"/>
    </sheetView>
  </sheetViews>
  <sheetFormatPr defaultRowHeight="15" x14ac:dyDescent="0.25"/>
  <cols>
    <col min="1" max="1" width="5.42578125" bestFit="1" customWidth="1"/>
    <col min="2" max="2" width="50.28515625" bestFit="1" customWidth="1"/>
    <col min="3" max="3" width="26.140625" bestFit="1" customWidth="1"/>
    <col min="4" max="4" width="11" bestFit="1" customWidth="1"/>
    <col min="5" max="5" width="14.42578125" bestFit="1" customWidth="1"/>
    <col min="6" max="6" width="26.140625" bestFit="1" customWidth="1"/>
    <col min="7" max="7" width="19.5703125" style="18" customWidth="1"/>
    <col min="8" max="8" width="26.5703125" style="29" customWidth="1"/>
    <col min="9" max="9" width="15.28515625" bestFit="1" customWidth="1"/>
  </cols>
  <sheetData>
    <row r="1" spans="1:8" ht="30" x14ac:dyDescent="0.25">
      <c r="A1" s="12" t="s">
        <v>0</v>
      </c>
      <c r="B1" s="12" t="s">
        <v>3</v>
      </c>
      <c r="C1" s="12" t="s">
        <v>2</v>
      </c>
      <c r="D1" s="12" t="s">
        <v>20</v>
      </c>
      <c r="E1" s="12" t="s">
        <v>1</v>
      </c>
      <c r="F1" s="12" t="s">
        <v>4</v>
      </c>
      <c r="G1" s="14" t="s">
        <v>143</v>
      </c>
      <c r="H1" s="12" t="s">
        <v>167</v>
      </c>
    </row>
    <row r="2" spans="1:8" s="1" customFormat="1" ht="18.75" x14ac:dyDescent="0.3">
      <c r="A2" s="399" t="s">
        <v>5</v>
      </c>
      <c r="B2" s="400"/>
      <c r="C2" s="9"/>
      <c r="D2" s="9"/>
      <c r="E2" s="9"/>
      <c r="F2" s="9"/>
      <c r="G2" s="16"/>
      <c r="H2" s="16"/>
    </row>
    <row r="3" spans="1:8" x14ac:dyDescent="0.25">
      <c r="A3" s="4" t="s">
        <v>6</v>
      </c>
      <c r="B3" s="4" t="s">
        <v>7</v>
      </c>
      <c r="C3" s="3"/>
      <c r="D3" s="3"/>
      <c r="E3" s="3"/>
      <c r="F3" s="3"/>
      <c r="G3" s="13"/>
      <c r="H3" s="19"/>
    </row>
    <row r="4" spans="1:8" x14ac:dyDescent="0.25">
      <c r="A4" s="3" t="s">
        <v>8</v>
      </c>
      <c r="B4" s="3" t="s">
        <v>136</v>
      </c>
      <c r="C4" s="3"/>
      <c r="D4" s="3"/>
      <c r="E4" s="3"/>
      <c r="F4" s="3"/>
      <c r="G4" s="13"/>
      <c r="H4" s="19"/>
    </row>
    <row r="5" spans="1:8" x14ac:dyDescent="0.25">
      <c r="A5" s="3" t="s">
        <v>10</v>
      </c>
      <c r="B5" s="3" t="s">
        <v>134</v>
      </c>
      <c r="C5" s="3" t="s">
        <v>9</v>
      </c>
      <c r="D5" s="3"/>
      <c r="E5" s="3"/>
      <c r="F5" s="3"/>
      <c r="G5" s="13"/>
      <c r="H5" s="19"/>
    </row>
    <row r="6" spans="1:8" x14ac:dyDescent="0.25">
      <c r="A6" s="3" t="s">
        <v>22</v>
      </c>
      <c r="B6" s="3" t="s">
        <v>135</v>
      </c>
      <c r="C6" s="3"/>
      <c r="D6" s="3"/>
      <c r="E6" s="3"/>
      <c r="F6" s="3"/>
      <c r="G6" s="13"/>
      <c r="H6" s="19"/>
    </row>
    <row r="7" spans="1:8" x14ac:dyDescent="0.25">
      <c r="A7" s="3" t="s">
        <v>23</v>
      </c>
      <c r="B7" s="3" t="s">
        <v>131</v>
      </c>
      <c r="C7" s="3"/>
      <c r="D7" s="3"/>
      <c r="E7" s="3"/>
      <c r="F7" s="3"/>
      <c r="G7" s="13"/>
      <c r="H7" s="19"/>
    </row>
    <row r="8" spans="1:8" x14ac:dyDescent="0.25">
      <c r="A8" s="3" t="s">
        <v>132</v>
      </c>
      <c r="B8" s="3" t="s">
        <v>133</v>
      </c>
      <c r="C8" s="3"/>
      <c r="D8" s="3"/>
      <c r="E8" s="3"/>
      <c r="F8" s="3"/>
      <c r="G8" s="13"/>
      <c r="H8" s="19"/>
    </row>
    <row r="9" spans="1:8" x14ac:dyDescent="0.25">
      <c r="A9" s="3" t="s">
        <v>24</v>
      </c>
      <c r="B9" s="3" t="s">
        <v>11</v>
      </c>
      <c r="C9" s="3"/>
      <c r="D9" s="3"/>
      <c r="E9" s="3"/>
      <c r="F9" s="3"/>
      <c r="G9" s="13"/>
      <c r="H9" s="19"/>
    </row>
    <row r="10" spans="1:8" x14ac:dyDescent="0.25">
      <c r="A10" s="3" t="s">
        <v>25</v>
      </c>
      <c r="B10" s="3" t="s">
        <v>12</v>
      </c>
      <c r="C10" s="3"/>
      <c r="D10" s="3"/>
      <c r="E10" s="3"/>
      <c r="F10" s="3"/>
      <c r="G10" s="13"/>
      <c r="H10" s="19"/>
    </row>
    <row r="11" spans="1:8" x14ac:dyDescent="0.25">
      <c r="A11" s="3" t="s">
        <v>26</v>
      </c>
      <c r="B11" s="3" t="s">
        <v>13</v>
      </c>
      <c r="C11" s="3"/>
      <c r="D11" s="3"/>
      <c r="E11" s="3"/>
      <c r="F11" s="3"/>
      <c r="G11" s="13"/>
      <c r="H11" s="19"/>
    </row>
    <row r="12" spans="1:8" x14ac:dyDescent="0.25">
      <c r="A12" s="3" t="s">
        <v>27</v>
      </c>
      <c r="B12" s="3" t="s">
        <v>137</v>
      </c>
      <c r="C12" s="3"/>
      <c r="D12" s="3"/>
      <c r="E12" s="3"/>
      <c r="F12" s="3"/>
      <c r="G12" s="13"/>
      <c r="H12" s="19"/>
    </row>
    <row r="13" spans="1:8" x14ac:dyDescent="0.25">
      <c r="A13" s="3" t="s">
        <v>28</v>
      </c>
      <c r="B13" s="3" t="s">
        <v>14</v>
      </c>
      <c r="C13" s="3" t="s">
        <v>15</v>
      </c>
      <c r="D13" s="3"/>
      <c r="E13" s="3"/>
      <c r="F13" s="3"/>
      <c r="G13" s="13"/>
      <c r="H13" s="19"/>
    </row>
    <row r="14" spans="1:8" x14ac:dyDescent="0.25">
      <c r="A14" s="3" t="s">
        <v>29</v>
      </c>
      <c r="B14" s="3" t="s">
        <v>16</v>
      </c>
      <c r="C14" s="3" t="s">
        <v>17</v>
      </c>
      <c r="D14" s="3"/>
      <c r="E14" s="3"/>
      <c r="F14" s="3"/>
      <c r="G14" s="13"/>
      <c r="H14" s="19"/>
    </row>
    <row r="15" spans="1:8" x14ac:dyDescent="0.25">
      <c r="A15" s="3" t="s">
        <v>30</v>
      </c>
      <c r="B15" s="3" t="s">
        <v>18</v>
      </c>
      <c r="C15" s="3" t="s">
        <v>130</v>
      </c>
      <c r="D15" s="3"/>
      <c r="E15" s="3"/>
      <c r="F15" s="3"/>
      <c r="G15" s="13"/>
      <c r="H15" s="19"/>
    </row>
    <row r="16" spans="1:8" x14ac:dyDescent="0.25">
      <c r="A16" s="3" t="s">
        <v>138</v>
      </c>
      <c r="B16" s="3" t="s">
        <v>19</v>
      </c>
      <c r="C16" s="3"/>
      <c r="D16" s="3" t="s">
        <v>21</v>
      </c>
      <c r="E16" s="3"/>
      <c r="F16" s="3"/>
      <c r="G16" s="13"/>
      <c r="H16" s="19"/>
    </row>
    <row r="17" spans="1:8" ht="75" x14ac:dyDescent="0.25">
      <c r="A17" s="19" t="s">
        <v>139</v>
      </c>
      <c r="B17" s="6" t="s">
        <v>140</v>
      </c>
      <c r="C17" s="5" t="s">
        <v>141</v>
      </c>
      <c r="D17" s="3" t="s">
        <v>142</v>
      </c>
      <c r="E17" s="3"/>
      <c r="F17" s="5" t="s">
        <v>168</v>
      </c>
      <c r="G17" s="18">
        <f>H17/1.35</f>
        <v>3343784</v>
      </c>
      <c r="H17" s="13">
        <f>1677527.55+2836580.85</f>
        <v>4514108.4000000004</v>
      </c>
    </row>
    <row r="18" spans="1:8" s="1" customFormat="1" x14ac:dyDescent="0.25">
      <c r="A18" s="4" t="s">
        <v>31</v>
      </c>
      <c r="B18" s="4" t="s">
        <v>32</v>
      </c>
      <c r="C18" s="4"/>
      <c r="D18" s="4"/>
      <c r="E18" s="4"/>
      <c r="F18" s="4"/>
      <c r="G18" s="17"/>
      <c r="H18" s="11"/>
    </row>
    <row r="19" spans="1:8" ht="30" x14ac:dyDescent="0.25">
      <c r="A19" s="3" t="s">
        <v>35</v>
      </c>
      <c r="B19" s="5" t="s">
        <v>33</v>
      </c>
      <c r="C19" s="3" t="s">
        <v>34</v>
      </c>
      <c r="D19" s="3"/>
      <c r="E19" s="3"/>
      <c r="F19" s="3"/>
      <c r="G19" s="13"/>
      <c r="H19" s="19"/>
    </row>
    <row r="20" spans="1:8" x14ac:dyDescent="0.25">
      <c r="A20" s="3" t="s">
        <v>36</v>
      </c>
      <c r="B20" s="3" t="s">
        <v>37</v>
      </c>
      <c r="C20" s="3"/>
      <c r="D20" s="3"/>
      <c r="E20" s="3"/>
      <c r="F20" s="3"/>
      <c r="G20" s="13"/>
      <c r="H20" s="19"/>
    </row>
    <row r="21" spans="1:8" x14ac:dyDescent="0.25">
      <c r="A21" s="3" t="s">
        <v>43</v>
      </c>
      <c r="B21" s="3" t="s">
        <v>38</v>
      </c>
      <c r="C21" s="3"/>
      <c r="D21" s="3"/>
      <c r="E21" s="3"/>
      <c r="F21" s="3"/>
      <c r="G21" s="13"/>
      <c r="H21" s="19"/>
    </row>
    <row r="22" spans="1:8" x14ac:dyDescent="0.25">
      <c r="A22" s="3" t="s">
        <v>44</v>
      </c>
      <c r="B22" s="6" t="s">
        <v>39</v>
      </c>
      <c r="C22" s="3"/>
      <c r="D22" s="3"/>
      <c r="E22" s="3"/>
      <c r="F22" s="3"/>
      <c r="G22" s="13"/>
      <c r="H22" s="19"/>
    </row>
    <row r="23" spans="1:8" ht="30" x14ac:dyDescent="0.25">
      <c r="A23" s="3" t="s">
        <v>45</v>
      </c>
      <c r="B23" s="5" t="s">
        <v>40</v>
      </c>
      <c r="C23" s="3"/>
      <c r="D23" s="3"/>
      <c r="E23" s="3"/>
      <c r="F23" s="3"/>
      <c r="G23" s="13"/>
      <c r="H23" s="19"/>
    </row>
    <row r="24" spans="1:8" x14ac:dyDescent="0.25">
      <c r="A24" s="3" t="s">
        <v>46</v>
      </c>
      <c r="B24" s="3" t="s">
        <v>41</v>
      </c>
      <c r="C24" s="3"/>
      <c r="D24" s="3"/>
      <c r="E24" s="3"/>
      <c r="F24" s="3"/>
      <c r="G24" s="13"/>
      <c r="H24" s="19"/>
    </row>
    <row r="25" spans="1:8" x14ac:dyDescent="0.25">
      <c r="A25" s="3" t="s">
        <v>47</v>
      </c>
      <c r="B25" s="3" t="s">
        <v>42</v>
      </c>
      <c r="C25" s="3"/>
      <c r="D25" s="3"/>
      <c r="E25" s="3"/>
      <c r="F25" s="3"/>
      <c r="G25" s="13"/>
      <c r="H25" s="19"/>
    </row>
    <row r="26" spans="1:8" x14ac:dyDescent="0.25">
      <c r="A26" s="3" t="s">
        <v>48</v>
      </c>
      <c r="B26" s="3" t="s">
        <v>49</v>
      </c>
      <c r="C26" s="3"/>
      <c r="D26" s="3"/>
      <c r="E26" s="3"/>
      <c r="F26" s="3" t="s">
        <v>50</v>
      </c>
      <c r="G26" s="13"/>
      <c r="H26" s="19"/>
    </row>
    <row r="27" spans="1:8" x14ac:dyDescent="0.25">
      <c r="A27" s="4" t="s">
        <v>52</v>
      </c>
      <c r="B27" s="4" t="s">
        <v>51</v>
      </c>
      <c r="C27" s="3"/>
      <c r="D27" s="3"/>
      <c r="E27" s="3"/>
      <c r="F27" s="3"/>
      <c r="G27" s="13"/>
      <c r="H27" s="19"/>
    </row>
    <row r="28" spans="1:8" ht="30" x14ac:dyDescent="0.25">
      <c r="A28" s="3" t="s">
        <v>57</v>
      </c>
      <c r="B28" s="7" t="s">
        <v>56</v>
      </c>
      <c r="C28" s="3"/>
      <c r="D28" s="3"/>
      <c r="E28" s="3"/>
      <c r="F28" s="3"/>
      <c r="G28" s="13"/>
      <c r="H28" s="19"/>
    </row>
    <row r="29" spans="1:8" x14ac:dyDescent="0.25">
      <c r="A29" s="3" t="s">
        <v>58</v>
      </c>
      <c r="B29" s="7" t="s">
        <v>53</v>
      </c>
      <c r="C29" s="3"/>
      <c r="D29" s="3"/>
      <c r="E29" s="3"/>
      <c r="F29" s="3"/>
      <c r="G29" s="13"/>
      <c r="H29" s="19"/>
    </row>
    <row r="30" spans="1:8" x14ac:dyDescent="0.25">
      <c r="A30" s="3" t="s">
        <v>59</v>
      </c>
      <c r="B30" s="7" t="s">
        <v>54</v>
      </c>
      <c r="C30" s="3"/>
      <c r="D30" s="3"/>
      <c r="E30" s="3"/>
      <c r="F30" s="3"/>
      <c r="G30" s="13"/>
      <c r="H30" s="19"/>
    </row>
    <row r="31" spans="1:8" ht="30" x14ac:dyDescent="0.25">
      <c r="A31" s="3" t="s">
        <v>60</v>
      </c>
      <c r="B31" s="7" t="s">
        <v>55</v>
      </c>
      <c r="C31" s="3"/>
      <c r="D31" s="3"/>
      <c r="E31" s="3"/>
      <c r="F31" s="3"/>
      <c r="G31" s="13"/>
      <c r="H31" s="19"/>
    </row>
    <row r="32" spans="1:8" x14ac:dyDescent="0.25">
      <c r="A32" s="4" t="s">
        <v>65</v>
      </c>
      <c r="B32" s="8" t="s">
        <v>64</v>
      </c>
      <c r="C32" s="3"/>
      <c r="D32" s="3"/>
      <c r="E32" s="3"/>
      <c r="F32" s="3"/>
      <c r="G32" s="13"/>
      <c r="H32" s="19"/>
    </row>
    <row r="33" spans="1:10" ht="60" x14ac:dyDescent="0.25">
      <c r="A33" s="3" t="s">
        <v>66</v>
      </c>
      <c r="B33" s="7" t="s">
        <v>71</v>
      </c>
      <c r="C33" s="3" t="s">
        <v>70</v>
      </c>
      <c r="D33" s="3" t="s">
        <v>72</v>
      </c>
      <c r="E33" s="3" t="s">
        <v>73</v>
      </c>
      <c r="F33" s="5" t="s">
        <v>165</v>
      </c>
      <c r="G33" s="397">
        <f>H33/2</f>
        <v>7942400</v>
      </c>
      <c r="H33" s="397">
        <f>7942400*2</f>
        <v>15884800</v>
      </c>
      <c r="I33" s="30"/>
      <c r="J33" s="26"/>
    </row>
    <row r="34" spans="1:10" ht="45" x14ac:dyDescent="0.25">
      <c r="A34" s="3" t="s">
        <v>67</v>
      </c>
      <c r="B34" s="7" t="s">
        <v>61</v>
      </c>
      <c r="C34" s="3"/>
      <c r="D34" s="3" t="s">
        <v>72</v>
      </c>
      <c r="E34" s="3" t="s">
        <v>73</v>
      </c>
      <c r="F34" s="5" t="s">
        <v>166</v>
      </c>
      <c r="G34" s="398"/>
      <c r="H34" s="398"/>
    </row>
    <row r="35" spans="1:10" x14ac:dyDescent="0.25">
      <c r="A35" s="3" t="s">
        <v>68</v>
      </c>
      <c r="B35" s="7" t="s">
        <v>62</v>
      </c>
      <c r="C35" s="3"/>
      <c r="D35" s="3"/>
      <c r="E35" s="3"/>
      <c r="F35" s="3"/>
      <c r="G35" s="13"/>
      <c r="H35" s="19"/>
    </row>
    <row r="36" spans="1:10" ht="30" x14ac:dyDescent="0.25">
      <c r="A36" s="3" t="s">
        <v>69</v>
      </c>
      <c r="B36" s="5" t="s">
        <v>63</v>
      </c>
      <c r="C36" s="3"/>
      <c r="D36" s="3"/>
      <c r="E36" s="3"/>
      <c r="F36" s="3"/>
      <c r="G36" s="13"/>
      <c r="H36" s="19"/>
    </row>
    <row r="37" spans="1:10" x14ac:dyDescent="0.25">
      <c r="A37" s="4" t="s">
        <v>78</v>
      </c>
      <c r="B37" s="8" t="s">
        <v>77</v>
      </c>
      <c r="C37" s="3"/>
      <c r="D37" s="3"/>
      <c r="E37" s="3"/>
      <c r="F37" s="3"/>
      <c r="G37" s="13"/>
      <c r="H37" s="19"/>
    </row>
    <row r="38" spans="1:10" x14ac:dyDescent="0.25">
      <c r="A38" s="3" t="s">
        <v>79</v>
      </c>
      <c r="B38" s="6" t="s">
        <v>74</v>
      </c>
      <c r="C38" s="3"/>
      <c r="D38" s="3"/>
      <c r="E38" s="3"/>
      <c r="F38" s="3"/>
      <c r="G38" s="13"/>
      <c r="H38" s="19"/>
    </row>
    <row r="39" spans="1:10" x14ac:dyDescent="0.25">
      <c r="A39" s="3" t="s">
        <v>80</v>
      </c>
      <c r="B39" s="6" t="s">
        <v>75</v>
      </c>
      <c r="C39" s="3"/>
      <c r="D39" s="3"/>
      <c r="E39" s="3"/>
      <c r="F39" s="3"/>
      <c r="G39" s="13"/>
      <c r="H39" s="19"/>
    </row>
    <row r="40" spans="1:10" x14ac:dyDescent="0.25">
      <c r="A40" s="3" t="s">
        <v>81</v>
      </c>
      <c r="B40" s="6" t="s">
        <v>76</v>
      </c>
      <c r="C40" s="3"/>
      <c r="D40" s="3"/>
      <c r="E40" s="3"/>
      <c r="F40" s="3"/>
      <c r="G40" s="13"/>
      <c r="H40" s="19"/>
    </row>
    <row r="41" spans="1:10" x14ac:dyDescent="0.25">
      <c r="A41" s="3" t="s">
        <v>99</v>
      </c>
      <c r="B41" s="8" t="s">
        <v>96</v>
      </c>
      <c r="C41" s="3"/>
      <c r="D41" s="3"/>
      <c r="E41" s="3"/>
      <c r="F41" s="3"/>
      <c r="G41" s="13"/>
      <c r="H41" s="19"/>
    </row>
    <row r="42" spans="1:10" x14ac:dyDescent="0.25">
      <c r="A42" s="3" t="s">
        <v>102</v>
      </c>
      <c r="B42" s="6" t="s">
        <v>82</v>
      </c>
      <c r="C42" s="3"/>
      <c r="D42" s="3"/>
      <c r="E42" s="3"/>
      <c r="F42" s="3"/>
      <c r="G42" s="13"/>
      <c r="H42" s="19"/>
    </row>
    <row r="43" spans="1:10" x14ac:dyDescent="0.25">
      <c r="A43" s="3" t="s">
        <v>103</v>
      </c>
      <c r="B43" s="6" t="s">
        <v>83</v>
      </c>
      <c r="C43" s="3"/>
      <c r="D43" s="3"/>
      <c r="E43" s="3"/>
      <c r="F43" s="3"/>
      <c r="G43" s="13"/>
      <c r="H43" s="19"/>
    </row>
    <row r="44" spans="1:10" x14ac:dyDescent="0.25">
      <c r="A44" s="3" t="s">
        <v>100</v>
      </c>
      <c r="B44" s="8" t="s">
        <v>97</v>
      </c>
      <c r="C44" s="3"/>
      <c r="D44" s="3"/>
      <c r="E44" s="3"/>
      <c r="F44" s="3"/>
      <c r="G44" s="13"/>
      <c r="H44" s="19"/>
    </row>
    <row r="45" spans="1:10" x14ac:dyDescent="0.25">
      <c r="A45" s="3" t="s">
        <v>104</v>
      </c>
      <c r="B45" s="6" t="s">
        <v>84</v>
      </c>
      <c r="C45" s="3"/>
      <c r="D45" s="3"/>
      <c r="E45" s="3"/>
      <c r="F45" s="3"/>
      <c r="G45" s="13"/>
      <c r="H45" s="19"/>
    </row>
    <row r="46" spans="1:10" x14ac:dyDescent="0.25">
      <c r="A46" s="3" t="s">
        <v>105</v>
      </c>
      <c r="B46" s="6" t="s">
        <v>85</v>
      </c>
      <c r="C46" s="3"/>
      <c r="D46" s="3"/>
      <c r="E46" s="3"/>
      <c r="F46" s="3"/>
      <c r="G46" s="13"/>
      <c r="H46" s="19"/>
    </row>
    <row r="47" spans="1:10" x14ac:dyDescent="0.25">
      <c r="A47" s="3" t="s">
        <v>106</v>
      </c>
      <c r="B47" s="6" t="s">
        <v>86</v>
      </c>
      <c r="C47" s="3"/>
      <c r="D47" s="3"/>
      <c r="E47" s="3"/>
      <c r="F47" s="3"/>
      <c r="G47" s="13"/>
      <c r="H47" s="19"/>
    </row>
    <row r="48" spans="1:10" x14ac:dyDescent="0.25">
      <c r="A48" s="3" t="s">
        <v>107</v>
      </c>
      <c r="B48" s="6" t="s">
        <v>87</v>
      </c>
      <c r="C48" s="3"/>
      <c r="D48" s="3"/>
      <c r="E48" s="3"/>
      <c r="F48" s="3"/>
      <c r="G48" s="13"/>
      <c r="H48" s="19"/>
    </row>
    <row r="49" spans="1:9" x14ac:dyDescent="0.25">
      <c r="A49" s="3" t="s">
        <v>108</v>
      </c>
      <c r="B49" s="6" t="s">
        <v>88</v>
      </c>
      <c r="C49" s="3"/>
      <c r="D49" s="3"/>
      <c r="E49" s="3"/>
      <c r="F49" s="3"/>
      <c r="G49" s="13"/>
      <c r="H49" s="19"/>
    </row>
    <row r="50" spans="1:9" x14ac:dyDescent="0.25">
      <c r="A50" s="3" t="s">
        <v>109</v>
      </c>
      <c r="B50" s="6" t="s">
        <v>89</v>
      </c>
      <c r="C50" s="3"/>
      <c r="D50" s="3"/>
      <c r="E50" s="3"/>
      <c r="F50" s="3"/>
      <c r="G50" s="13"/>
      <c r="H50" s="19"/>
    </row>
    <row r="51" spans="1:9" x14ac:dyDescent="0.25">
      <c r="A51" s="3" t="s">
        <v>110</v>
      </c>
      <c r="B51" s="6" t="s">
        <v>76</v>
      </c>
      <c r="C51" s="3"/>
      <c r="D51" s="3"/>
      <c r="E51" s="3"/>
      <c r="F51" s="3"/>
      <c r="G51" s="13"/>
      <c r="H51" s="19"/>
    </row>
    <row r="52" spans="1:9" x14ac:dyDescent="0.25">
      <c r="A52" s="3" t="s">
        <v>111</v>
      </c>
      <c r="B52" s="6" t="s">
        <v>90</v>
      </c>
      <c r="C52" s="3"/>
      <c r="D52" s="3"/>
      <c r="E52" s="3"/>
      <c r="F52" s="3"/>
      <c r="G52" s="13"/>
      <c r="H52" s="19"/>
    </row>
    <row r="53" spans="1:9" x14ac:dyDescent="0.25">
      <c r="A53" s="3" t="s">
        <v>112</v>
      </c>
      <c r="B53" s="6" t="s">
        <v>91</v>
      </c>
      <c r="C53" s="3"/>
      <c r="D53" s="3"/>
      <c r="E53" s="3"/>
      <c r="F53" s="3"/>
      <c r="G53" s="13"/>
      <c r="H53" s="19"/>
    </row>
    <row r="54" spans="1:9" x14ac:dyDescent="0.25">
      <c r="A54" s="3" t="s">
        <v>113</v>
      </c>
      <c r="B54" s="6" t="s">
        <v>92</v>
      </c>
      <c r="C54" s="3"/>
      <c r="D54" s="3"/>
      <c r="E54" s="3"/>
      <c r="F54" s="3"/>
      <c r="G54" s="13"/>
      <c r="H54" s="19"/>
    </row>
    <row r="55" spans="1:9" x14ac:dyDescent="0.25">
      <c r="A55" s="3" t="s">
        <v>101</v>
      </c>
      <c r="B55" s="8" t="s">
        <v>98</v>
      </c>
      <c r="C55" s="3"/>
      <c r="D55" s="3"/>
      <c r="E55" s="3"/>
      <c r="F55" s="3"/>
      <c r="G55" s="13"/>
      <c r="H55" s="19"/>
    </row>
    <row r="56" spans="1:9" x14ac:dyDescent="0.25">
      <c r="A56" s="3" t="s">
        <v>114</v>
      </c>
      <c r="B56" s="6" t="s">
        <v>93</v>
      </c>
      <c r="C56" s="3"/>
      <c r="D56" s="3"/>
      <c r="E56" s="3"/>
      <c r="F56" s="3"/>
      <c r="G56" s="13"/>
      <c r="H56" s="19"/>
    </row>
    <row r="57" spans="1:9" x14ac:dyDescent="0.25">
      <c r="A57" s="3" t="s">
        <v>115</v>
      </c>
      <c r="B57" s="6" t="s">
        <v>94</v>
      </c>
      <c r="C57" s="3"/>
      <c r="D57" s="3"/>
      <c r="E57" s="3"/>
      <c r="F57" s="3"/>
      <c r="G57" s="13"/>
      <c r="H57" s="19"/>
    </row>
    <row r="58" spans="1:9" x14ac:dyDescent="0.25">
      <c r="A58" s="3" t="s">
        <v>116</v>
      </c>
      <c r="B58" s="3" t="s">
        <v>95</v>
      </c>
      <c r="C58" s="3"/>
      <c r="D58" s="3"/>
      <c r="E58" s="3"/>
      <c r="F58" s="3"/>
      <c r="G58" s="13"/>
      <c r="H58" s="19"/>
    </row>
    <row r="59" spans="1:9" ht="18.75" x14ac:dyDescent="0.25">
      <c r="A59" s="401" t="s">
        <v>117</v>
      </c>
      <c r="B59" s="401"/>
      <c r="C59" s="10"/>
      <c r="D59" s="10"/>
      <c r="E59" s="10"/>
      <c r="F59" s="10"/>
      <c r="G59" s="10"/>
      <c r="H59" s="19"/>
    </row>
    <row r="60" spans="1:9" ht="60" x14ac:dyDescent="0.25">
      <c r="A60" s="19">
        <v>1</v>
      </c>
      <c r="B60" s="7" t="s">
        <v>118</v>
      </c>
      <c r="C60" s="6"/>
      <c r="D60" s="6">
        <v>2.863</v>
      </c>
      <c r="E60" s="3"/>
      <c r="F60" s="3"/>
      <c r="G60" s="13"/>
      <c r="H60" s="19"/>
    </row>
    <row r="61" spans="1:9" ht="60" x14ac:dyDescent="0.25">
      <c r="A61" s="20" t="s">
        <v>8</v>
      </c>
      <c r="B61" s="21" t="s">
        <v>155</v>
      </c>
      <c r="C61" s="21" t="s">
        <v>129</v>
      </c>
      <c r="D61" s="22">
        <v>468</v>
      </c>
      <c r="E61" s="3" t="s">
        <v>147</v>
      </c>
      <c r="F61" s="5" t="s">
        <v>145</v>
      </c>
      <c r="G61" s="13">
        <f>137900*468*12.5*0.065</f>
        <v>52436475</v>
      </c>
      <c r="H61" s="27">
        <f>G61*1.35</f>
        <v>70789241.25</v>
      </c>
      <c r="I61" s="30"/>
    </row>
    <row r="62" spans="1:9" x14ac:dyDescent="0.25">
      <c r="A62" s="20" t="s">
        <v>10</v>
      </c>
      <c r="B62" s="21" t="s">
        <v>154</v>
      </c>
      <c r="C62" s="22" t="s">
        <v>144</v>
      </c>
      <c r="D62" s="22">
        <v>3870</v>
      </c>
      <c r="E62" s="3" t="s">
        <v>147</v>
      </c>
      <c r="F62" s="3" t="s">
        <v>146</v>
      </c>
      <c r="G62" s="13">
        <f>2890*D62</f>
        <v>11184300</v>
      </c>
      <c r="H62" s="27">
        <f t="shared" ref="H62:H74" si="0">G62*1.35</f>
        <v>15098805.000000002</v>
      </c>
    </row>
    <row r="63" spans="1:9" ht="30" x14ac:dyDescent="0.25">
      <c r="A63" s="20" t="s">
        <v>22</v>
      </c>
      <c r="B63" s="21" t="s">
        <v>153</v>
      </c>
      <c r="C63" s="22" t="s">
        <v>128</v>
      </c>
      <c r="D63" s="22">
        <v>30960</v>
      </c>
      <c r="E63" s="3" t="s">
        <v>147</v>
      </c>
      <c r="F63" s="5" t="s">
        <v>149</v>
      </c>
      <c r="G63" s="13">
        <f>11.765*126500</f>
        <v>1488272.5</v>
      </c>
      <c r="H63" s="27">
        <f t="shared" si="0"/>
        <v>2009167.8750000002</v>
      </c>
    </row>
    <row r="64" spans="1:9" ht="30" x14ac:dyDescent="0.25">
      <c r="A64" s="20" t="s">
        <v>23</v>
      </c>
      <c r="B64" s="21" t="s">
        <v>152</v>
      </c>
      <c r="C64" s="22"/>
      <c r="D64" s="22">
        <v>7740</v>
      </c>
      <c r="E64" s="3" t="s">
        <v>147</v>
      </c>
      <c r="F64" s="5" t="s">
        <v>148</v>
      </c>
      <c r="G64" s="13">
        <f>59.5*229200</f>
        <v>13637400</v>
      </c>
      <c r="H64" s="27">
        <f t="shared" si="0"/>
        <v>18410490</v>
      </c>
    </row>
    <row r="65" spans="1:8" ht="30" x14ac:dyDescent="0.25">
      <c r="A65" s="20" t="s">
        <v>24</v>
      </c>
      <c r="B65" s="21" t="s">
        <v>151</v>
      </c>
      <c r="C65" s="22"/>
      <c r="D65" s="22">
        <v>936</v>
      </c>
      <c r="E65" s="3" t="s">
        <v>147</v>
      </c>
      <c r="F65" s="5" t="s">
        <v>150</v>
      </c>
      <c r="G65" s="13">
        <f>189500*27.612</f>
        <v>5232474</v>
      </c>
      <c r="H65" s="27">
        <f t="shared" si="0"/>
        <v>7063839.9000000004</v>
      </c>
    </row>
    <row r="66" spans="1:8" ht="30" x14ac:dyDescent="0.25">
      <c r="A66" s="20" t="s">
        <v>25</v>
      </c>
      <c r="B66" s="21" t="s">
        <v>157</v>
      </c>
      <c r="C66" s="22"/>
      <c r="D66" s="22">
        <v>7740</v>
      </c>
      <c r="E66" s="3" t="s">
        <v>147</v>
      </c>
      <c r="F66" s="5" t="s">
        <v>156</v>
      </c>
      <c r="G66" s="13">
        <f>10.5264*139800</f>
        <v>1471590.7200000002</v>
      </c>
      <c r="H66" s="27">
        <f t="shared" si="0"/>
        <v>1986647.4720000003</v>
      </c>
    </row>
    <row r="67" spans="1:8" x14ac:dyDescent="0.25">
      <c r="A67" s="19" t="s">
        <v>26</v>
      </c>
      <c r="B67" s="7" t="s">
        <v>158</v>
      </c>
      <c r="C67" s="6"/>
      <c r="D67" s="6">
        <v>7740</v>
      </c>
      <c r="E67" s="3" t="s">
        <v>147</v>
      </c>
      <c r="F67" s="3"/>
      <c r="G67" s="13">
        <f>7740*96</f>
        <v>743040</v>
      </c>
      <c r="H67" s="27">
        <f t="shared" si="0"/>
        <v>1003104.0000000001</v>
      </c>
    </row>
    <row r="68" spans="1:8" x14ac:dyDescent="0.25">
      <c r="A68" s="19">
        <v>2</v>
      </c>
      <c r="B68" s="7" t="s">
        <v>127</v>
      </c>
      <c r="C68" s="6" t="s">
        <v>126</v>
      </c>
      <c r="D68" s="6">
        <v>1</v>
      </c>
      <c r="E68" s="3"/>
      <c r="F68" s="3"/>
      <c r="G68" s="13"/>
      <c r="H68" s="27">
        <f t="shared" si="0"/>
        <v>0</v>
      </c>
    </row>
    <row r="69" spans="1:8" ht="45" x14ac:dyDescent="0.25">
      <c r="A69" s="19">
        <v>3</v>
      </c>
      <c r="B69" s="7" t="s">
        <v>119</v>
      </c>
      <c r="C69" s="7" t="s">
        <v>120</v>
      </c>
      <c r="D69" s="6">
        <v>1</v>
      </c>
      <c r="E69" s="3" t="s">
        <v>147</v>
      </c>
      <c r="F69" s="3"/>
      <c r="G69" s="13">
        <f>3096000*D69</f>
        <v>3096000</v>
      </c>
      <c r="H69" s="27">
        <f t="shared" si="0"/>
        <v>4179600.0000000005</v>
      </c>
    </row>
    <row r="70" spans="1:8" ht="30" x14ac:dyDescent="0.25">
      <c r="A70" s="19">
        <v>4</v>
      </c>
      <c r="B70" s="7" t="s">
        <v>121</v>
      </c>
      <c r="C70" s="7" t="s">
        <v>120</v>
      </c>
      <c r="D70" s="6">
        <v>3</v>
      </c>
      <c r="E70" s="3" t="s">
        <v>147</v>
      </c>
      <c r="F70" s="3"/>
      <c r="G70" s="13">
        <f t="shared" ref="G70:G71" si="1">3096000*D70</f>
        <v>9288000</v>
      </c>
      <c r="H70" s="27">
        <f t="shared" si="0"/>
        <v>12538800</v>
      </c>
    </row>
    <row r="71" spans="1:8" ht="30" x14ac:dyDescent="0.25">
      <c r="A71" s="19">
        <v>5</v>
      </c>
      <c r="B71" s="7" t="s">
        <v>122</v>
      </c>
      <c r="C71" s="7" t="s">
        <v>120</v>
      </c>
      <c r="D71" s="6">
        <v>2</v>
      </c>
      <c r="E71" s="3" t="s">
        <v>147</v>
      </c>
      <c r="F71" s="3"/>
      <c r="G71" s="13">
        <f t="shared" si="1"/>
        <v>6192000</v>
      </c>
      <c r="H71" s="27">
        <f t="shared" si="0"/>
        <v>8359200.0000000009</v>
      </c>
    </row>
    <row r="72" spans="1:8" ht="30" x14ac:dyDescent="0.25">
      <c r="A72" s="19">
        <v>6</v>
      </c>
      <c r="B72" s="7" t="s">
        <v>121</v>
      </c>
      <c r="C72" s="7" t="s">
        <v>123</v>
      </c>
      <c r="D72" s="6">
        <v>1</v>
      </c>
      <c r="E72" s="3" t="s">
        <v>147</v>
      </c>
      <c r="F72" s="3"/>
      <c r="G72" s="13">
        <v>2470000</v>
      </c>
      <c r="H72" s="27">
        <f t="shared" si="0"/>
        <v>3334500</v>
      </c>
    </row>
    <row r="73" spans="1:8" ht="30" x14ac:dyDescent="0.25">
      <c r="A73" s="19">
        <v>7</v>
      </c>
      <c r="B73" s="7" t="s">
        <v>122</v>
      </c>
      <c r="C73" s="7" t="s">
        <v>123</v>
      </c>
      <c r="D73" s="6">
        <v>1</v>
      </c>
      <c r="E73" s="3" t="s">
        <v>147</v>
      </c>
      <c r="F73" s="3"/>
      <c r="G73" s="13">
        <v>2470000</v>
      </c>
      <c r="H73" s="27">
        <f t="shared" si="0"/>
        <v>3334500</v>
      </c>
    </row>
    <row r="74" spans="1:8" x14ac:dyDescent="0.25">
      <c r="A74" s="19">
        <v>8</v>
      </c>
      <c r="B74" s="7" t="s">
        <v>124</v>
      </c>
      <c r="C74" s="6" t="s">
        <v>125</v>
      </c>
      <c r="D74" s="6">
        <v>4</v>
      </c>
      <c r="E74" s="3" t="s">
        <v>147</v>
      </c>
      <c r="F74" s="3"/>
      <c r="G74" s="13">
        <f>168000*D74</f>
        <v>672000</v>
      </c>
      <c r="H74" s="27">
        <f t="shared" si="0"/>
        <v>907200.00000000012</v>
      </c>
    </row>
    <row r="75" spans="1:8" x14ac:dyDescent="0.25">
      <c r="A75" s="19">
        <v>9</v>
      </c>
      <c r="B75" s="7" t="s">
        <v>159</v>
      </c>
      <c r="C75" s="3"/>
      <c r="D75" s="3"/>
      <c r="E75" s="3"/>
      <c r="F75" s="3"/>
      <c r="G75" s="13"/>
      <c r="H75" s="19"/>
    </row>
    <row r="76" spans="1:8" x14ac:dyDescent="0.25">
      <c r="A76" s="20" t="s">
        <v>162</v>
      </c>
      <c r="B76" s="21" t="s">
        <v>160</v>
      </c>
      <c r="C76" s="23" t="s">
        <v>164</v>
      </c>
      <c r="D76" s="23"/>
      <c r="E76" s="23"/>
      <c r="F76" s="3"/>
      <c r="G76" s="13"/>
      <c r="H76" s="19"/>
    </row>
    <row r="77" spans="1:8" x14ac:dyDescent="0.25">
      <c r="A77" s="20" t="s">
        <v>163</v>
      </c>
      <c r="B77" s="21" t="s">
        <v>161</v>
      </c>
      <c r="C77" s="23"/>
      <c r="D77" s="23"/>
      <c r="E77" s="23"/>
      <c r="F77" s="3"/>
      <c r="G77" s="13"/>
      <c r="H77" s="19"/>
    </row>
    <row r="78" spans="1:8" s="1" customFormat="1" x14ac:dyDescent="0.25">
      <c r="B78" s="24" t="s">
        <v>169</v>
      </c>
      <c r="G78" s="25">
        <f>SUM(G2:G77)</f>
        <v>121667736.22</v>
      </c>
      <c r="H78" s="25">
        <f>SUM(H2:H77)</f>
        <v>169414003.89700001</v>
      </c>
    </row>
    <row r="79" spans="1:8" s="1" customFormat="1" x14ac:dyDescent="0.25">
      <c r="B79" s="1" t="s">
        <v>170</v>
      </c>
      <c r="G79" s="25"/>
      <c r="H79" s="28">
        <f>1-G78/H78</f>
        <v>0.28183188271749182</v>
      </c>
    </row>
  </sheetData>
  <mergeCells count="4">
    <mergeCell ref="H33:H34"/>
    <mergeCell ref="G33:G34"/>
    <mergeCell ref="A2:B2"/>
    <mergeCell ref="A59:B59"/>
  </mergeCells>
  <conditionalFormatting sqref="A19:A27">
    <cfRule type="duplicateValues" dxfId="1" priority="1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9"/>
  <sheetViews>
    <sheetView view="pageBreakPreview" topLeftCell="A266" zoomScale="80" zoomScaleNormal="100" zoomScaleSheetLayoutView="80" workbookViewId="0">
      <selection activeCell="G331" sqref="G331"/>
    </sheetView>
  </sheetViews>
  <sheetFormatPr defaultRowHeight="15" x14ac:dyDescent="0.25"/>
  <cols>
    <col min="2" max="2" width="60.5703125" customWidth="1"/>
    <col min="4" max="4" width="11.5703125" customWidth="1"/>
    <col min="5" max="5" width="16.140625" customWidth="1"/>
    <col min="6" max="6" width="16.28515625" customWidth="1"/>
    <col min="7" max="7" width="17.28515625" customWidth="1"/>
  </cols>
  <sheetData>
    <row r="1" spans="1:7" x14ac:dyDescent="0.25">
      <c r="A1" s="416" t="s">
        <v>226</v>
      </c>
      <c r="B1" s="432" t="s">
        <v>201</v>
      </c>
      <c r="C1" s="432" t="s">
        <v>230</v>
      </c>
      <c r="D1" s="432" t="s">
        <v>202</v>
      </c>
      <c r="E1" s="432" t="s">
        <v>703</v>
      </c>
      <c r="F1" s="432"/>
      <c r="G1" s="432"/>
    </row>
    <row r="2" spans="1:7" ht="42.75" x14ac:dyDescent="0.25">
      <c r="A2" s="416"/>
      <c r="B2" s="432"/>
      <c r="C2" s="432"/>
      <c r="D2" s="432"/>
      <c r="E2" s="91" t="s">
        <v>441</v>
      </c>
      <c r="F2" s="91" t="s">
        <v>433</v>
      </c>
      <c r="G2" s="104" t="s">
        <v>409</v>
      </c>
    </row>
    <row r="3" spans="1:7" ht="17.25" customHeight="1" x14ac:dyDescent="0.25">
      <c r="A3" s="154">
        <v>1</v>
      </c>
      <c r="B3" s="155">
        <v>2</v>
      </c>
      <c r="C3" s="155">
        <v>3</v>
      </c>
      <c r="D3" s="155">
        <v>4</v>
      </c>
      <c r="E3" s="155">
        <v>5</v>
      </c>
      <c r="F3" s="155">
        <v>6</v>
      </c>
      <c r="G3" s="155">
        <v>7</v>
      </c>
    </row>
    <row r="4" spans="1:7" ht="28.5" x14ac:dyDescent="0.25">
      <c r="A4" s="161"/>
      <c r="B4" s="180" t="s">
        <v>550</v>
      </c>
      <c r="C4" s="169"/>
      <c r="D4" s="169"/>
      <c r="E4" s="162"/>
      <c r="F4" s="163"/>
      <c r="G4" s="469">
        <f>SUM(G6:G35)</f>
        <v>751361.92999999993</v>
      </c>
    </row>
    <row r="5" spans="1:7" ht="18" customHeight="1" x14ac:dyDescent="0.25">
      <c r="A5" s="158"/>
      <c r="B5" s="86" t="s">
        <v>513</v>
      </c>
      <c r="C5" s="167"/>
      <c r="D5" s="167"/>
      <c r="E5" s="170"/>
      <c r="F5" s="87"/>
      <c r="G5" s="176"/>
    </row>
    <row r="6" spans="1:7" ht="20.25" customHeight="1" x14ac:dyDescent="0.25">
      <c r="A6" s="88">
        <v>1</v>
      </c>
      <c r="B6" s="67" t="s">
        <v>641</v>
      </c>
      <c r="C6" s="113" t="s">
        <v>193</v>
      </c>
      <c r="D6" s="171">
        <v>160</v>
      </c>
      <c r="E6" s="178">
        <v>325</v>
      </c>
      <c r="F6" s="105">
        <f>ROUND(E6*D6,2)</f>
        <v>52000</v>
      </c>
      <c r="G6" s="105">
        <f>ROUND(F6*1.2,2)</f>
        <v>62400</v>
      </c>
    </row>
    <row r="7" spans="1:7" ht="30" x14ac:dyDescent="0.25">
      <c r="A7" s="88">
        <f>A6+1</f>
        <v>2</v>
      </c>
      <c r="B7" s="67" t="s">
        <v>642</v>
      </c>
      <c r="C7" s="66" t="s">
        <v>193</v>
      </c>
      <c r="D7" s="71">
        <v>92</v>
      </c>
      <c r="E7" s="178">
        <v>2015</v>
      </c>
      <c r="F7" s="105">
        <f t="shared" ref="F7:F35" si="0">ROUND(E7*D7,2)</f>
        <v>185380</v>
      </c>
      <c r="G7" s="105">
        <f t="shared" ref="G7:G35" si="1">ROUND(F7*1.2,2)</f>
        <v>222456</v>
      </c>
    </row>
    <row r="8" spans="1:7" ht="15.75" x14ac:dyDescent="0.25">
      <c r="A8" s="88">
        <f>A7+1</f>
        <v>3</v>
      </c>
      <c r="B8" s="67" t="s">
        <v>515</v>
      </c>
      <c r="C8" s="66" t="s">
        <v>193</v>
      </c>
      <c r="D8" s="71">
        <v>5</v>
      </c>
      <c r="E8" s="178">
        <v>1777</v>
      </c>
      <c r="F8" s="105">
        <f t="shared" si="0"/>
        <v>8885</v>
      </c>
      <c r="G8" s="105">
        <f t="shared" si="1"/>
        <v>10662</v>
      </c>
    </row>
    <row r="9" spans="1:7" ht="15.75" x14ac:dyDescent="0.25">
      <c r="A9" s="88">
        <f t="shared" ref="A9:A16" si="2">A8+1</f>
        <v>4</v>
      </c>
      <c r="B9" s="67" t="s">
        <v>521</v>
      </c>
      <c r="C9" s="66" t="s">
        <v>193</v>
      </c>
      <c r="D9" s="71">
        <v>3</v>
      </c>
      <c r="E9" s="178">
        <v>1379</v>
      </c>
      <c r="F9" s="105">
        <f t="shared" si="0"/>
        <v>4137</v>
      </c>
      <c r="G9" s="105">
        <f t="shared" si="1"/>
        <v>4964.3999999999996</v>
      </c>
    </row>
    <row r="10" spans="1:7" ht="15.75" x14ac:dyDescent="0.25">
      <c r="A10" s="88">
        <f t="shared" si="2"/>
        <v>5</v>
      </c>
      <c r="B10" s="67" t="s">
        <v>522</v>
      </c>
      <c r="C10" s="66" t="s">
        <v>193</v>
      </c>
      <c r="D10" s="71">
        <v>10</v>
      </c>
      <c r="E10" s="178">
        <v>1379</v>
      </c>
      <c r="F10" s="105">
        <f t="shared" si="0"/>
        <v>13790</v>
      </c>
      <c r="G10" s="105">
        <f t="shared" si="1"/>
        <v>16548</v>
      </c>
    </row>
    <row r="11" spans="1:7" ht="15.75" x14ac:dyDescent="0.25">
      <c r="A11" s="88">
        <f t="shared" si="2"/>
        <v>6</v>
      </c>
      <c r="B11" s="67" t="s">
        <v>516</v>
      </c>
      <c r="C11" s="66" t="s">
        <v>193</v>
      </c>
      <c r="D11" s="71">
        <v>231</v>
      </c>
      <c r="E11" s="178">
        <v>125</v>
      </c>
      <c r="F11" s="105">
        <f t="shared" si="0"/>
        <v>28875</v>
      </c>
      <c r="G11" s="105">
        <f t="shared" si="1"/>
        <v>34650</v>
      </c>
    </row>
    <row r="12" spans="1:7" ht="15.75" x14ac:dyDescent="0.25">
      <c r="A12" s="88">
        <f t="shared" si="2"/>
        <v>7</v>
      </c>
      <c r="B12" s="67" t="s">
        <v>643</v>
      </c>
      <c r="C12" s="66" t="s">
        <v>193</v>
      </c>
      <c r="D12" s="71">
        <v>12</v>
      </c>
      <c r="E12" s="178">
        <v>899</v>
      </c>
      <c r="F12" s="105">
        <f t="shared" si="0"/>
        <v>10788</v>
      </c>
      <c r="G12" s="105">
        <f t="shared" si="1"/>
        <v>12945.6</v>
      </c>
    </row>
    <row r="13" spans="1:7" ht="15.75" x14ac:dyDescent="0.25">
      <c r="A13" s="88">
        <f t="shared" si="2"/>
        <v>8</v>
      </c>
      <c r="B13" s="67" t="s">
        <v>451</v>
      </c>
      <c r="C13" s="66" t="s">
        <v>193</v>
      </c>
      <c r="D13" s="71">
        <v>231</v>
      </c>
      <c r="E13" s="178">
        <v>198</v>
      </c>
      <c r="F13" s="105">
        <f t="shared" si="0"/>
        <v>45738</v>
      </c>
      <c r="G13" s="105">
        <f t="shared" si="1"/>
        <v>54885.599999999999</v>
      </c>
    </row>
    <row r="14" spans="1:7" ht="15.75" x14ac:dyDescent="0.25">
      <c r="A14" s="88">
        <f t="shared" si="2"/>
        <v>9</v>
      </c>
      <c r="B14" s="67" t="s">
        <v>644</v>
      </c>
      <c r="C14" s="66" t="s">
        <v>431</v>
      </c>
      <c r="D14" s="71">
        <v>640</v>
      </c>
      <c r="E14" s="178">
        <v>125</v>
      </c>
      <c r="F14" s="105">
        <f t="shared" si="0"/>
        <v>80000</v>
      </c>
      <c r="G14" s="105">
        <f t="shared" si="1"/>
        <v>96000</v>
      </c>
    </row>
    <row r="15" spans="1:7" ht="15.75" x14ac:dyDescent="0.25">
      <c r="A15" s="88">
        <f t="shared" si="2"/>
        <v>10</v>
      </c>
      <c r="B15" s="67" t="s">
        <v>518</v>
      </c>
      <c r="C15" s="66" t="s">
        <v>239</v>
      </c>
      <c r="D15" s="72">
        <v>22.4</v>
      </c>
      <c r="E15" s="178">
        <v>325</v>
      </c>
      <c r="F15" s="105">
        <f t="shared" si="0"/>
        <v>7280</v>
      </c>
      <c r="G15" s="105">
        <f t="shared" si="1"/>
        <v>8736</v>
      </c>
    </row>
    <row r="16" spans="1:7" ht="15.75" x14ac:dyDescent="0.25">
      <c r="A16" s="88">
        <f t="shared" si="2"/>
        <v>11</v>
      </c>
      <c r="B16" s="67" t="s">
        <v>503</v>
      </c>
      <c r="C16" s="66" t="s">
        <v>239</v>
      </c>
      <c r="D16" s="72">
        <v>22.4</v>
      </c>
      <c r="E16" s="178">
        <v>3460</v>
      </c>
      <c r="F16" s="105">
        <f t="shared" si="0"/>
        <v>77504</v>
      </c>
      <c r="G16" s="105">
        <f t="shared" si="1"/>
        <v>93004.800000000003</v>
      </c>
    </row>
    <row r="17" spans="1:7" ht="15.75" x14ac:dyDescent="0.25">
      <c r="A17" s="88"/>
      <c r="B17" s="62" t="s">
        <v>523</v>
      </c>
      <c r="C17" s="66"/>
      <c r="D17" s="71"/>
      <c r="E17" s="178"/>
      <c r="F17" s="105"/>
      <c r="G17" s="105"/>
    </row>
    <row r="18" spans="1:7" ht="30" x14ac:dyDescent="0.25">
      <c r="A18" s="88">
        <f>A16+1</f>
        <v>12</v>
      </c>
      <c r="B18" s="67" t="s">
        <v>645</v>
      </c>
      <c r="C18" s="66" t="s">
        <v>194</v>
      </c>
      <c r="D18" s="71">
        <v>35</v>
      </c>
      <c r="E18" s="178">
        <v>1017</v>
      </c>
      <c r="F18" s="105">
        <f t="shared" si="0"/>
        <v>35595</v>
      </c>
      <c r="G18" s="105">
        <f t="shared" si="1"/>
        <v>42714</v>
      </c>
    </row>
    <row r="19" spans="1:7" ht="30" x14ac:dyDescent="0.25">
      <c r="A19" s="88">
        <f>A18+1</f>
        <v>13</v>
      </c>
      <c r="B19" s="67" t="s">
        <v>646</v>
      </c>
      <c r="C19" s="66" t="s">
        <v>194</v>
      </c>
      <c r="D19" s="71">
        <v>3</v>
      </c>
      <c r="E19" s="178">
        <v>728</v>
      </c>
      <c r="F19" s="105">
        <f t="shared" si="0"/>
        <v>2184</v>
      </c>
      <c r="G19" s="105">
        <f t="shared" si="1"/>
        <v>2620.8000000000002</v>
      </c>
    </row>
    <row r="20" spans="1:7" ht="30" x14ac:dyDescent="0.25">
      <c r="A20" s="88">
        <f t="shared" ref="A20:A35" si="3">A19+1</f>
        <v>14</v>
      </c>
      <c r="B20" s="67" t="s">
        <v>647</v>
      </c>
      <c r="C20" s="66" t="s">
        <v>194</v>
      </c>
      <c r="D20" s="160">
        <v>6</v>
      </c>
      <c r="E20" s="178">
        <v>1481</v>
      </c>
      <c r="F20" s="105">
        <f t="shared" si="0"/>
        <v>8886</v>
      </c>
      <c r="G20" s="105">
        <f t="shared" si="1"/>
        <v>10663.2</v>
      </c>
    </row>
    <row r="21" spans="1:7" ht="15.75" x14ac:dyDescent="0.25">
      <c r="A21" s="88">
        <f t="shared" si="3"/>
        <v>15</v>
      </c>
      <c r="B21" s="67" t="s">
        <v>648</v>
      </c>
      <c r="C21" s="66" t="s">
        <v>194</v>
      </c>
      <c r="D21" s="71">
        <v>6</v>
      </c>
      <c r="E21" s="178">
        <v>1103</v>
      </c>
      <c r="F21" s="105">
        <f t="shared" si="0"/>
        <v>6618</v>
      </c>
      <c r="G21" s="105">
        <f t="shared" si="1"/>
        <v>7941.6</v>
      </c>
    </row>
    <row r="22" spans="1:7" ht="15.75" x14ac:dyDescent="0.25">
      <c r="A22" s="88">
        <f t="shared" si="3"/>
        <v>16</v>
      </c>
      <c r="B22" s="67" t="s">
        <v>649</v>
      </c>
      <c r="C22" s="66" t="s">
        <v>650</v>
      </c>
      <c r="D22" s="71">
        <v>1</v>
      </c>
      <c r="E22" s="178">
        <v>3280</v>
      </c>
      <c r="F22" s="105">
        <f t="shared" si="0"/>
        <v>3280</v>
      </c>
      <c r="G22" s="105">
        <f t="shared" si="1"/>
        <v>3936</v>
      </c>
    </row>
    <row r="23" spans="1:7" ht="45" x14ac:dyDescent="0.25">
      <c r="A23" s="88">
        <f t="shared" si="3"/>
        <v>17</v>
      </c>
      <c r="B23" s="67" t="s">
        <v>651</v>
      </c>
      <c r="C23" s="66" t="s">
        <v>220</v>
      </c>
      <c r="D23" s="71">
        <v>2</v>
      </c>
      <c r="E23" s="178">
        <v>2460</v>
      </c>
      <c r="F23" s="105">
        <f t="shared" si="0"/>
        <v>4920</v>
      </c>
      <c r="G23" s="105">
        <f t="shared" si="1"/>
        <v>5904</v>
      </c>
    </row>
    <row r="24" spans="1:7" ht="30" x14ac:dyDescent="0.25">
      <c r="A24" s="88">
        <f t="shared" si="3"/>
        <v>18</v>
      </c>
      <c r="B24" s="67" t="s">
        <v>652</v>
      </c>
      <c r="C24" s="66" t="s">
        <v>220</v>
      </c>
      <c r="D24" s="71">
        <v>1</v>
      </c>
      <c r="E24" s="178">
        <v>2905</v>
      </c>
      <c r="F24" s="105">
        <f t="shared" si="0"/>
        <v>2905</v>
      </c>
      <c r="G24" s="105">
        <f t="shared" si="1"/>
        <v>3486</v>
      </c>
    </row>
    <row r="25" spans="1:7" ht="15.75" x14ac:dyDescent="0.25">
      <c r="A25" s="88">
        <f t="shared" si="3"/>
        <v>19</v>
      </c>
      <c r="B25" s="67" t="s">
        <v>653</v>
      </c>
      <c r="C25" s="66" t="s">
        <v>220</v>
      </c>
      <c r="D25" s="71">
        <v>1</v>
      </c>
      <c r="E25" s="178">
        <v>4991</v>
      </c>
      <c r="F25" s="105">
        <f t="shared" si="0"/>
        <v>4991</v>
      </c>
      <c r="G25" s="105">
        <f t="shared" si="1"/>
        <v>5989.2</v>
      </c>
    </row>
    <row r="26" spans="1:7" ht="30" x14ac:dyDescent="0.25">
      <c r="A26" s="88">
        <f t="shared" si="3"/>
        <v>20</v>
      </c>
      <c r="B26" s="67" t="s">
        <v>654</v>
      </c>
      <c r="C26" s="66" t="s">
        <v>220</v>
      </c>
      <c r="D26" s="71">
        <v>2</v>
      </c>
      <c r="E26" s="178">
        <v>2496</v>
      </c>
      <c r="F26" s="105">
        <f t="shared" si="0"/>
        <v>4992</v>
      </c>
      <c r="G26" s="105">
        <f t="shared" si="1"/>
        <v>5990.4</v>
      </c>
    </row>
    <row r="27" spans="1:7" ht="30" x14ac:dyDescent="0.25">
      <c r="A27" s="88">
        <f t="shared" si="3"/>
        <v>21</v>
      </c>
      <c r="B27" s="67" t="s">
        <v>655</v>
      </c>
      <c r="C27" s="66" t="s">
        <v>220</v>
      </c>
      <c r="D27" s="71">
        <v>1</v>
      </c>
      <c r="E27" s="178">
        <v>2496</v>
      </c>
      <c r="F27" s="105">
        <f t="shared" si="0"/>
        <v>2496</v>
      </c>
      <c r="G27" s="105">
        <f t="shared" si="1"/>
        <v>2995.2</v>
      </c>
    </row>
    <row r="28" spans="1:7" ht="15.75" x14ac:dyDescent="0.25">
      <c r="A28" s="88">
        <f t="shared" si="3"/>
        <v>22</v>
      </c>
      <c r="B28" s="67" t="s">
        <v>656</v>
      </c>
      <c r="C28" s="66" t="s">
        <v>220</v>
      </c>
      <c r="D28" s="71">
        <v>1</v>
      </c>
      <c r="E28" s="178">
        <v>2495</v>
      </c>
      <c r="F28" s="105">
        <f t="shared" si="0"/>
        <v>2495</v>
      </c>
      <c r="G28" s="105">
        <f t="shared" si="1"/>
        <v>2994</v>
      </c>
    </row>
    <row r="29" spans="1:7" ht="45" x14ac:dyDescent="0.25">
      <c r="A29" s="88">
        <f t="shared" si="3"/>
        <v>23</v>
      </c>
      <c r="B29" s="67" t="s">
        <v>657</v>
      </c>
      <c r="C29" s="66" t="s">
        <v>220</v>
      </c>
      <c r="D29" s="71">
        <v>1</v>
      </c>
      <c r="E29" s="178">
        <v>3415</v>
      </c>
      <c r="F29" s="105">
        <f t="shared" si="0"/>
        <v>3415</v>
      </c>
      <c r="G29" s="105">
        <f t="shared" si="1"/>
        <v>4098</v>
      </c>
    </row>
    <row r="30" spans="1:7" ht="15.75" x14ac:dyDescent="0.25">
      <c r="A30" s="88">
        <f t="shared" si="3"/>
        <v>24</v>
      </c>
      <c r="B30" s="67" t="s">
        <v>658</v>
      </c>
      <c r="C30" s="66" t="s">
        <v>220</v>
      </c>
      <c r="D30" s="71">
        <v>1</v>
      </c>
      <c r="E30" s="178">
        <v>4952</v>
      </c>
      <c r="F30" s="105">
        <f t="shared" si="0"/>
        <v>4952</v>
      </c>
      <c r="G30" s="105">
        <f t="shared" si="1"/>
        <v>5942.4</v>
      </c>
    </row>
    <row r="31" spans="1:7" ht="15.75" x14ac:dyDescent="0.25">
      <c r="A31" s="88">
        <f t="shared" si="3"/>
        <v>25</v>
      </c>
      <c r="B31" s="67" t="s">
        <v>659</v>
      </c>
      <c r="C31" s="66" t="s">
        <v>220</v>
      </c>
      <c r="D31" s="71">
        <v>1</v>
      </c>
      <c r="E31" s="178">
        <v>1564</v>
      </c>
      <c r="F31" s="105">
        <f t="shared" si="0"/>
        <v>1564</v>
      </c>
      <c r="G31" s="105">
        <f t="shared" si="1"/>
        <v>1876.8</v>
      </c>
    </row>
    <row r="32" spans="1:7" ht="30" x14ac:dyDescent="0.25">
      <c r="A32" s="88">
        <f t="shared" si="3"/>
        <v>26</v>
      </c>
      <c r="B32" s="67" t="s">
        <v>660</v>
      </c>
      <c r="C32" s="66" t="s">
        <v>220</v>
      </c>
      <c r="D32" s="71">
        <v>1</v>
      </c>
      <c r="E32" s="178">
        <v>15186</v>
      </c>
      <c r="F32" s="105">
        <f t="shared" si="0"/>
        <v>15186</v>
      </c>
      <c r="G32" s="105">
        <f t="shared" si="1"/>
        <v>18223.2</v>
      </c>
    </row>
    <row r="33" spans="1:7" ht="30" x14ac:dyDescent="0.25">
      <c r="A33" s="88">
        <f t="shared" si="3"/>
        <v>27</v>
      </c>
      <c r="B33" s="67" t="s">
        <v>661</v>
      </c>
      <c r="C33" s="66" t="s">
        <v>220</v>
      </c>
      <c r="D33" s="71">
        <v>1</v>
      </c>
      <c r="E33" s="178">
        <v>2605</v>
      </c>
      <c r="F33" s="105">
        <f t="shared" si="0"/>
        <v>2605</v>
      </c>
      <c r="G33" s="105">
        <f t="shared" si="1"/>
        <v>3126</v>
      </c>
    </row>
    <row r="34" spans="1:7" ht="15.75" x14ac:dyDescent="0.25">
      <c r="A34" s="88">
        <f t="shared" si="3"/>
        <v>28</v>
      </c>
      <c r="B34" s="67" t="s">
        <v>662</v>
      </c>
      <c r="C34" s="66" t="s">
        <v>193</v>
      </c>
      <c r="D34" s="68">
        <v>7.0000000000000007E-2</v>
      </c>
      <c r="E34" s="178">
        <v>863</v>
      </c>
      <c r="F34" s="105">
        <f t="shared" si="0"/>
        <v>60.41</v>
      </c>
      <c r="G34" s="105">
        <f t="shared" si="1"/>
        <v>72.489999999999995</v>
      </c>
    </row>
    <row r="35" spans="1:7" ht="30" x14ac:dyDescent="0.25">
      <c r="A35" s="88">
        <f t="shared" si="3"/>
        <v>29</v>
      </c>
      <c r="B35" s="274" t="s">
        <v>1083</v>
      </c>
      <c r="C35" s="88" t="s">
        <v>193</v>
      </c>
      <c r="D35" s="236">
        <v>0.5</v>
      </c>
      <c r="E35" s="178">
        <v>9227.06</v>
      </c>
      <c r="F35" s="107">
        <f t="shared" si="0"/>
        <v>4613.53</v>
      </c>
      <c r="G35" s="107">
        <f t="shared" si="1"/>
        <v>5536.24</v>
      </c>
    </row>
    <row r="36" spans="1:7" ht="15.75" x14ac:dyDescent="0.25">
      <c r="A36" s="471"/>
      <c r="B36" s="472" t="s">
        <v>1628</v>
      </c>
      <c r="C36" s="473"/>
      <c r="D36" s="474"/>
      <c r="E36" s="475"/>
      <c r="F36" s="476"/>
      <c r="G36" s="476">
        <f>G37+G58+G78+G113+G134</f>
        <v>15124243.279999999</v>
      </c>
    </row>
    <row r="37" spans="1:7" ht="33" customHeight="1" x14ac:dyDescent="0.25">
      <c r="A37" s="161"/>
      <c r="B37" s="231" t="s">
        <v>1167</v>
      </c>
      <c r="C37" s="169"/>
      <c r="D37" s="169"/>
      <c r="E37" s="162"/>
      <c r="F37" s="163"/>
      <c r="G37" s="469">
        <f>SUM(G38:G57)</f>
        <v>1781155.3399999999</v>
      </c>
    </row>
    <row r="38" spans="1:7" x14ac:dyDescent="0.25">
      <c r="A38" s="88"/>
      <c r="B38" s="86" t="s">
        <v>513</v>
      </c>
      <c r="C38" s="88"/>
      <c r="D38" s="160"/>
      <c r="E38" s="275"/>
      <c r="F38" s="168"/>
      <c r="G38" s="276"/>
    </row>
    <row r="39" spans="1:7" ht="15.75" x14ac:dyDescent="0.25">
      <c r="A39" s="88">
        <f>A35+1</f>
        <v>30</v>
      </c>
      <c r="B39" s="253" t="s">
        <v>641</v>
      </c>
      <c r="C39" s="88" t="s">
        <v>193</v>
      </c>
      <c r="D39" s="160">
        <v>790</v>
      </c>
      <c r="E39" s="178">
        <v>325</v>
      </c>
      <c r="F39" s="107">
        <f t="shared" ref="F39:F45" si="4">ROUND(E39*D39,2)</f>
        <v>256750</v>
      </c>
      <c r="G39" s="107">
        <f t="shared" ref="G39:G48" si="5">ROUND(F39*1.2,2)</f>
        <v>308100</v>
      </c>
    </row>
    <row r="40" spans="1:7" ht="15.75" x14ac:dyDescent="0.25">
      <c r="A40" s="88">
        <f>A39+1</f>
        <v>31</v>
      </c>
      <c r="B40" s="253" t="s">
        <v>515</v>
      </c>
      <c r="C40" s="88" t="s">
        <v>193</v>
      </c>
      <c r="D40" s="160">
        <v>24</v>
      </c>
      <c r="E40" s="178">
        <v>1777</v>
      </c>
      <c r="F40" s="107">
        <f t="shared" si="4"/>
        <v>42648</v>
      </c>
      <c r="G40" s="107">
        <f t="shared" si="5"/>
        <v>51177.599999999999</v>
      </c>
    </row>
    <row r="41" spans="1:7" ht="15.75" x14ac:dyDescent="0.25">
      <c r="A41" s="88">
        <f t="shared" ref="A41:A48" si="6">A40+1</f>
        <v>32</v>
      </c>
      <c r="B41" s="253" t="s">
        <v>521</v>
      </c>
      <c r="C41" s="88" t="s">
        <v>193</v>
      </c>
      <c r="D41" s="160">
        <v>8</v>
      </c>
      <c r="E41" s="178">
        <v>1379</v>
      </c>
      <c r="F41" s="107">
        <f t="shared" si="4"/>
        <v>11032</v>
      </c>
      <c r="G41" s="107">
        <f t="shared" si="5"/>
        <v>13238.4</v>
      </c>
    </row>
    <row r="42" spans="1:7" ht="15.75" x14ac:dyDescent="0.25">
      <c r="A42" s="88">
        <f t="shared" si="6"/>
        <v>33</v>
      </c>
      <c r="B42" s="253" t="s">
        <v>522</v>
      </c>
      <c r="C42" s="88" t="s">
        <v>193</v>
      </c>
      <c r="D42" s="237">
        <v>106</v>
      </c>
      <c r="E42" s="178">
        <v>1379</v>
      </c>
      <c r="F42" s="107">
        <f t="shared" si="4"/>
        <v>146174</v>
      </c>
      <c r="G42" s="107">
        <f t="shared" si="5"/>
        <v>175408.8</v>
      </c>
    </row>
    <row r="43" spans="1:7" ht="15.75" x14ac:dyDescent="0.25">
      <c r="A43" s="88">
        <f t="shared" si="6"/>
        <v>34</v>
      </c>
      <c r="B43" s="253" t="s">
        <v>516</v>
      </c>
      <c r="C43" s="88" t="s">
        <v>193</v>
      </c>
      <c r="D43" s="160">
        <v>663</v>
      </c>
      <c r="E43" s="178">
        <v>125</v>
      </c>
      <c r="F43" s="107">
        <f t="shared" si="4"/>
        <v>82875</v>
      </c>
      <c r="G43" s="107">
        <f t="shared" si="5"/>
        <v>99450</v>
      </c>
    </row>
    <row r="44" spans="1:7" ht="15.75" x14ac:dyDescent="0.25">
      <c r="A44" s="88">
        <f t="shared" si="6"/>
        <v>35</v>
      </c>
      <c r="B44" s="253" t="s">
        <v>643</v>
      </c>
      <c r="C44" s="88" t="s">
        <v>193</v>
      </c>
      <c r="D44" s="160">
        <v>35</v>
      </c>
      <c r="E44" s="178">
        <v>899</v>
      </c>
      <c r="F44" s="107">
        <f t="shared" si="4"/>
        <v>31465</v>
      </c>
      <c r="G44" s="107">
        <f t="shared" si="5"/>
        <v>37758</v>
      </c>
    </row>
    <row r="45" spans="1:7" ht="15.75" x14ac:dyDescent="0.25">
      <c r="A45" s="88">
        <f t="shared" si="6"/>
        <v>36</v>
      </c>
      <c r="B45" s="253" t="s">
        <v>451</v>
      </c>
      <c r="C45" s="88" t="s">
        <v>193</v>
      </c>
      <c r="D45" s="160">
        <v>116</v>
      </c>
      <c r="E45" s="178">
        <v>198</v>
      </c>
      <c r="F45" s="107">
        <f t="shared" si="4"/>
        <v>22968</v>
      </c>
      <c r="G45" s="107">
        <f t="shared" si="5"/>
        <v>27561.599999999999</v>
      </c>
    </row>
    <row r="46" spans="1:7" ht="15.75" x14ac:dyDescent="0.25">
      <c r="A46" s="88">
        <f t="shared" si="6"/>
        <v>37</v>
      </c>
      <c r="B46" s="253" t="s">
        <v>644</v>
      </c>
      <c r="C46" s="88" t="s">
        <v>431</v>
      </c>
      <c r="D46" s="278">
        <v>232</v>
      </c>
      <c r="E46" s="178">
        <v>125</v>
      </c>
      <c r="F46" s="107">
        <f>ROUND(E46*D46,2)</f>
        <v>29000</v>
      </c>
      <c r="G46" s="107">
        <f t="shared" si="5"/>
        <v>34800</v>
      </c>
    </row>
    <row r="47" spans="1:7" ht="15.75" x14ac:dyDescent="0.25">
      <c r="A47" s="88">
        <f t="shared" si="6"/>
        <v>38</v>
      </c>
      <c r="B47" s="253" t="s">
        <v>518</v>
      </c>
      <c r="C47" s="88" t="s">
        <v>239</v>
      </c>
      <c r="D47" s="237">
        <v>185.6</v>
      </c>
      <c r="E47" s="178">
        <v>325</v>
      </c>
      <c r="F47" s="107">
        <f>ROUND(E47*D47,2)</f>
        <v>60320</v>
      </c>
      <c r="G47" s="107">
        <f t="shared" si="5"/>
        <v>72384</v>
      </c>
    </row>
    <row r="48" spans="1:7" ht="15.75" x14ac:dyDescent="0.25">
      <c r="A48" s="88">
        <f t="shared" si="6"/>
        <v>39</v>
      </c>
      <c r="B48" s="253" t="s">
        <v>503</v>
      </c>
      <c r="C48" s="88" t="s">
        <v>239</v>
      </c>
      <c r="D48" s="237">
        <v>185.6</v>
      </c>
      <c r="E48" s="178">
        <v>3460</v>
      </c>
      <c r="F48" s="107">
        <f>ROUND(E48*D48,2)</f>
        <v>642176</v>
      </c>
      <c r="G48" s="107">
        <f t="shared" si="5"/>
        <v>770611.19999999995</v>
      </c>
    </row>
    <row r="49" spans="1:7" x14ac:dyDescent="0.25">
      <c r="A49" s="88"/>
      <c r="B49" s="86" t="s">
        <v>523</v>
      </c>
      <c r="C49" s="88"/>
      <c r="D49" s="160"/>
      <c r="E49" s="275"/>
      <c r="F49" s="168"/>
      <c r="G49" s="276"/>
    </row>
    <row r="50" spans="1:7" ht="30" x14ac:dyDescent="0.25">
      <c r="A50" s="88">
        <f>A48+1</f>
        <v>40</v>
      </c>
      <c r="B50" s="253" t="s">
        <v>645</v>
      </c>
      <c r="C50" s="88" t="s">
        <v>194</v>
      </c>
      <c r="D50" s="160">
        <v>101</v>
      </c>
      <c r="E50" s="178">
        <v>1017</v>
      </c>
      <c r="F50" s="107">
        <f t="shared" ref="F50:F57" si="7">ROUND(E50*D50,2)</f>
        <v>102717</v>
      </c>
      <c r="G50" s="107">
        <f t="shared" ref="G50:G57" si="8">ROUND(F50*1.2,2)</f>
        <v>123260.4</v>
      </c>
    </row>
    <row r="51" spans="1:7" ht="45" x14ac:dyDescent="0.25">
      <c r="A51" s="88">
        <f>A50+1</f>
        <v>41</v>
      </c>
      <c r="B51" s="253" t="s">
        <v>1165</v>
      </c>
      <c r="C51" s="88" t="s">
        <v>194</v>
      </c>
      <c r="D51" s="160">
        <v>12</v>
      </c>
      <c r="E51" s="178">
        <v>1527</v>
      </c>
      <c r="F51" s="107">
        <f t="shared" si="7"/>
        <v>18324</v>
      </c>
      <c r="G51" s="107">
        <f t="shared" si="8"/>
        <v>21988.799999999999</v>
      </c>
    </row>
    <row r="52" spans="1:7" ht="15.75" x14ac:dyDescent="0.25">
      <c r="A52" s="88">
        <f t="shared" ref="A52:A57" si="9">A51+1</f>
        <v>42</v>
      </c>
      <c r="B52" s="253" t="s">
        <v>648</v>
      </c>
      <c r="C52" s="88" t="s">
        <v>194</v>
      </c>
      <c r="D52" s="160">
        <v>12</v>
      </c>
      <c r="E52" s="178">
        <v>1142</v>
      </c>
      <c r="F52" s="107">
        <f t="shared" si="7"/>
        <v>13704</v>
      </c>
      <c r="G52" s="107">
        <f t="shared" si="8"/>
        <v>16444.8</v>
      </c>
    </row>
    <row r="53" spans="1:7" ht="15.75" x14ac:dyDescent="0.25">
      <c r="A53" s="88">
        <f t="shared" si="9"/>
        <v>43</v>
      </c>
      <c r="B53" s="253" t="s">
        <v>649</v>
      </c>
      <c r="C53" s="88" t="s">
        <v>650</v>
      </c>
      <c r="D53" s="160">
        <v>1</v>
      </c>
      <c r="E53" s="178">
        <v>3397</v>
      </c>
      <c r="F53" s="107">
        <f t="shared" si="7"/>
        <v>3397</v>
      </c>
      <c r="G53" s="107">
        <f t="shared" si="8"/>
        <v>4076.4</v>
      </c>
    </row>
    <row r="54" spans="1:7" ht="30" x14ac:dyDescent="0.25">
      <c r="A54" s="88">
        <f t="shared" si="9"/>
        <v>44</v>
      </c>
      <c r="B54" s="253" t="s">
        <v>667</v>
      </c>
      <c r="C54" s="88" t="s">
        <v>220</v>
      </c>
      <c r="D54" s="160">
        <v>2</v>
      </c>
      <c r="E54" s="178">
        <v>3991</v>
      </c>
      <c r="F54" s="107">
        <f t="shared" si="7"/>
        <v>7982</v>
      </c>
      <c r="G54" s="107">
        <f t="shared" si="8"/>
        <v>9578.4</v>
      </c>
    </row>
    <row r="55" spans="1:7" ht="30" x14ac:dyDescent="0.25">
      <c r="A55" s="88">
        <f t="shared" si="9"/>
        <v>45</v>
      </c>
      <c r="B55" s="253" t="s">
        <v>668</v>
      </c>
      <c r="C55" s="88" t="s">
        <v>220</v>
      </c>
      <c r="D55" s="160">
        <v>2</v>
      </c>
      <c r="E55" s="178">
        <v>1463</v>
      </c>
      <c r="F55" s="107">
        <f t="shared" si="7"/>
        <v>2926</v>
      </c>
      <c r="G55" s="107">
        <f t="shared" si="8"/>
        <v>3511.2</v>
      </c>
    </row>
    <row r="56" spans="1:7" ht="45" x14ac:dyDescent="0.25">
      <c r="A56" s="88">
        <f t="shared" si="9"/>
        <v>46</v>
      </c>
      <c r="B56" s="253" t="s">
        <v>657</v>
      </c>
      <c r="C56" s="88" t="s">
        <v>220</v>
      </c>
      <c r="D56" s="160">
        <v>2</v>
      </c>
      <c r="E56" s="178">
        <v>3535</v>
      </c>
      <c r="F56" s="107">
        <f t="shared" si="7"/>
        <v>7070</v>
      </c>
      <c r="G56" s="107">
        <f t="shared" si="8"/>
        <v>8484</v>
      </c>
    </row>
    <row r="57" spans="1:7" ht="30" x14ac:dyDescent="0.25">
      <c r="A57" s="88">
        <f t="shared" si="9"/>
        <v>47</v>
      </c>
      <c r="B57" s="274" t="s">
        <v>1162</v>
      </c>
      <c r="C57" s="88" t="s">
        <v>193</v>
      </c>
      <c r="D57" s="277">
        <v>0.3</v>
      </c>
      <c r="E57" s="178">
        <v>9227.06</v>
      </c>
      <c r="F57" s="107">
        <f t="shared" si="7"/>
        <v>2768.12</v>
      </c>
      <c r="G57" s="107">
        <f t="shared" si="8"/>
        <v>3321.74</v>
      </c>
    </row>
    <row r="58" spans="1:7" ht="34.5" customHeight="1" x14ac:dyDescent="0.25">
      <c r="A58" s="161"/>
      <c r="B58" s="252" t="s">
        <v>1168</v>
      </c>
      <c r="C58" s="169"/>
      <c r="D58" s="169"/>
      <c r="E58" s="162"/>
      <c r="F58" s="163"/>
      <c r="G58" s="469">
        <f>SUM(G60:G77)</f>
        <v>781718.45</v>
      </c>
    </row>
    <row r="59" spans="1:7" x14ac:dyDescent="0.25">
      <c r="A59" s="88"/>
      <c r="B59" s="86" t="s">
        <v>513</v>
      </c>
      <c r="C59" s="88"/>
      <c r="D59" s="279"/>
      <c r="E59" s="275"/>
      <c r="F59" s="168"/>
      <c r="G59" s="276"/>
    </row>
    <row r="60" spans="1:7" ht="15.75" x14ac:dyDescent="0.25">
      <c r="A60" s="88">
        <f>A57+1</f>
        <v>48</v>
      </c>
      <c r="B60" s="253" t="s">
        <v>641</v>
      </c>
      <c r="C60" s="88" t="s">
        <v>193</v>
      </c>
      <c r="D60" s="160">
        <v>177</v>
      </c>
      <c r="E60" s="178">
        <v>325</v>
      </c>
      <c r="F60" s="107">
        <f t="shared" ref="F60:F69" si="10">ROUND(E60*D60,2)</f>
        <v>57525</v>
      </c>
      <c r="G60" s="107">
        <f t="shared" ref="G60:G69" si="11">ROUND(F60*1.2,2)</f>
        <v>69030</v>
      </c>
    </row>
    <row r="61" spans="1:7" ht="15.75" x14ac:dyDescent="0.25">
      <c r="A61" s="88">
        <f>A60+1</f>
        <v>49</v>
      </c>
      <c r="B61" s="253" t="s">
        <v>515</v>
      </c>
      <c r="C61" s="88" t="s">
        <v>193</v>
      </c>
      <c r="D61" s="237">
        <v>5.5</v>
      </c>
      <c r="E61" s="178">
        <v>1777</v>
      </c>
      <c r="F61" s="107">
        <f t="shared" si="10"/>
        <v>9773.5</v>
      </c>
      <c r="G61" s="107">
        <f t="shared" si="11"/>
        <v>11728.2</v>
      </c>
    </row>
    <row r="62" spans="1:7" ht="15.75" x14ac:dyDescent="0.25">
      <c r="A62" s="88">
        <f t="shared" ref="A62:A69" si="12">A61+1</f>
        <v>50</v>
      </c>
      <c r="B62" s="253" t="s">
        <v>521</v>
      </c>
      <c r="C62" s="88" t="s">
        <v>193</v>
      </c>
      <c r="D62" s="160">
        <v>3</v>
      </c>
      <c r="E62" s="178">
        <v>1379</v>
      </c>
      <c r="F62" s="107">
        <f t="shared" si="10"/>
        <v>4137</v>
      </c>
      <c r="G62" s="107">
        <f t="shared" si="11"/>
        <v>4964.3999999999996</v>
      </c>
    </row>
    <row r="63" spans="1:7" ht="15.75" x14ac:dyDescent="0.25">
      <c r="A63" s="88">
        <f t="shared" si="12"/>
        <v>51</v>
      </c>
      <c r="B63" s="253" t="s">
        <v>522</v>
      </c>
      <c r="C63" s="88" t="s">
        <v>193</v>
      </c>
      <c r="D63" s="237">
        <v>44</v>
      </c>
      <c r="E63" s="178">
        <v>1379</v>
      </c>
      <c r="F63" s="107">
        <f t="shared" si="10"/>
        <v>60676</v>
      </c>
      <c r="G63" s="107">
        <f t="shared" si="11"/>
        <v>72811.199999999997</v>
      </c>
    </row>
    <row r="64" spans="1:7" ht="15.75" x14ac:dyDescent="0.25">
      <c r="A64" s="88">
        <f t="shared" si="12"/>
        <v>52</v>
      </c>
      <c r="B64" s="253" t="s">
        <v>516</v>
      </c>
      <c r="C64" s="88" t="s">
        <v>193</v>
      </c>
      <c r="D64" s="160">
        <v>125</v>
      </c>
      <c r="E64" s="178">
        <v>125</v>
      </c>
      <c r="F64" s="107">
        <f t="shared" si="10"/>
        <v>15625</v>
      </c>
      <c r="G64" s="107">
        <f t="shared" si="11"/>
        <v>18750</v>
      </c>
    </row>
    <row r="65" spans="1:7" ht="15.75" x14ac:dyDescent="0.25">
      <c r="A65" s="88">
        <f t="shared" si="12"/>
        <v>53</v>
      </c>
      <c r="B65" s="253" t="s">
        <v>643</v>
      </c>
      <c r="C65" s="88" t="s">
        <v>193</v>
      </c>
      <c r="D65" s="160">
        <v>7</v>
      </c>
      <c r="E65" s="178">
        <v>899</v>
      </c>
      <c r="F65" s="107">
        <f t="shared" si="10"/>
        <v>6293</v>
      </c>
      <c r="G65" s="107">
        <f t="shared" si="11"/>
        <v>7551.6</v>
      </c>
    </row>
    <row r="66" spans="1:7" ht="15.75" x14ac:dyDescent="0.25">
      <c r="A66" s="88">
        <f t="shared" si="12"/>
        <v>54</v>
      </c>
      <c r="B66" s="253" t="s">
        <v>451</v>
      </c>
      <c r="C66" s="88" t="s">
        <v>193</v>
      </c>
      <c r="D66" s="160">
        <v>125</v>
      </c>
      <c r="E66" s="178">
        <v>198</v>
      </c>
      <c r="F66" s="107">
        <f t="shared" si="10"/>
        <v>24750</v>
      </c>
      <c r="G66" s="107">
        <f t="shared" si="11"/>
        <v>29700</v>
      </c>
    </row>
    <row r="67" spans="1:7" ht="15.75" x14ac:dyDescent="0.25">
      <c r="A67" s="88">
        <f t="shared" si="12"/>
        <v>55</v>
      </c>
      <c r="B67" s="253" t="s">
        <v>644</v>
      </c>
      <c r="C67" s="88" t="s">
        <v>431</v>
      </c>
      <c r="D67" s="160">
        <v>250</v>
      </c>
      <c r="E67" s="178">
        <v>125</v>
      </c>
      <c r="F67" s="107">
        <f t="shared" si="10"/>
        <v>31250</v>
      </c>
      <c r="G67" s="107">
        <f t="shared" si="11"/>
        <v>37500</v>
      </c>
    </row>
    <row r="68" spans="1:7" ht="15.75" x14ac:dyDescent="0.25">
      <c r="A68" s="88">
        <f t="shared" si="12"/>
        <v>56</v>
      </c>
      <c r="B68" s="253" t="s">
        <v>518</v>
      </c>
      <c r="C68" s="88" t="s">
        <v>239</v>
      </c>
      <c r="D68" s="237">
        <v>80.8</v>
      </c>
      <c r="E68" s="178">
        <v>325</v>
      </c>
      <c r="F68" s="107">
        <f t="shared" si="10"/>
        <v>26260</v>
      </c>
      <c r="G68" s="107">
        <f t="shared" si="11"/>
        <v>31512</v>
      </c>
    </row>
    <row r="69" spans="1:7" ht="15.75" x14ac:dyDescent="0.25">
      <c r="A69" s="88">
        <f t="shared" si="12"/>
        <v>57</v>
      </c>
      <c r="B69" s="253" t="s">
        <v>503</v>
      </c>
      <c r="C69" s="88" t="s">
        <v>239</v>
      </c>
      <c r="D69" s="237">
        <v>80.8</v>
      </c>
      <c r="E69" s="178">
        <v>3460</v>
      </c>
      <c r="F69" s="107">
        <f t="shared" si="10"/>
        <v>279568</v>
      </c>
      <c r="G69" s="107">
        <f t="shared" si="11"/>
        <v>335481.59999999998</v>
      </c>
    </row>
    <row r="70" spans="1:7" x14ac:dyDescent="0.25">
      <c r="A70" s="88"/>
      <c r="B70" s="86" t="s">
        <v>523</v>
      </c>
      <c r="C70" s="88"/>
      <c r="D70" s="160"/>
      <c r="E70" s="275"/>
      <c r="F70" s="168"/>
      <c r="G70" s="276"/>
    </row>
    <row r="71" spans="1:7" ht="30" x14ac:dyDescent="0.25">
      <c r="A71" s="311">
        <f>A69+1</f>
        <v>58</v>
      </c>
      <c r="B71" s="316" t="s">
        <v>1169</v>
      </c>
      <c r="C71" s="311" t="s">
        <v>194</v>
      </c>
      <c r="D71" s="317">
        <v>32</v>
      </c>
      <c r="E71" s="179">
        <v>1494.21</v>
      </c>
      <c r="F71" s="314">
        <f t="shared" ref="F71:F73" si="13">ROUND(E71*D71,2)</f>
        <v>47814.720000000001</v>
      </c>
      <c r="G71" s="314">
        <f t="shared" ref="G71:G73" si="14">ROUND(F71*1.2,2)</f>
        <v>57377.66</v>
      </c>
    </row>
    <row r="72" spans="1:7" ht="45" x14ac:dyDescent="0.25">
      <c r="A72" s="311">
        <f>A71+1</f>
        <v>59</v>
      </c>
      <c r="B72" s="316" t="s">
        <v>1172</v>
      </c>
      <c r="C72" s="311" t="s">
        <v>194</v>
      </c>
      <c r="D72" s="335">
        <v>6</v>
      </c>
      <c r="E72" s="179">
        <v>5596</v>
      </c>
      <c r="F72" s="314">
        <f t="shared" si="13"/>
        <v>33576</v>
      </c>
      <c r="G72" s="314">
        <f t="shared" si="14"/>
        <v>40291.199999999997</v>
      </c>
    </row>
    <row r="73" spans="1:7" s="254" customFormat="1" ht="15.75" x14ac:dyDescent="0.25">
      <c r="A73" s="311">
        <f t="shared" ref="A73:A74" si="15">A72+1</f>
        <v>60</v>
      </c>
      <c r="B73" s="316" t="s">
        <v>1176</v>
      </c>
      <c r="C73" s="311" t="s">
        <v>650</v>
      </c>
      <c r="D73" s="335">
        <v>1</v>
      </c>
      <c r="E73" s="179">
        <v>6715</v>
      </c>
      <c r="F73" s="314">
        <f t="shared" si="13"/>
        <v>6715</v>
      </c>
      <c r="G73" s="314">
        <f t="shared" si="14"/>
        <v>8058</v>
      </c>
    </row>
    <row r="74" spans="1:7" ht="30" x14ac:dyDescent="0.25">
      <c r="A74" s="311">
        <f t="shared" si="15"/>
        <v>61</v>
      </c>
      <c r="B74" s="316" t="s">
        <v>1170</v>
      </c>
      <c r="C74" s="311" t="s">
        <v>220</v>
      </c>
      <c r="D74" s="335">
        <v>2</v>
      </c>
      <c r="E74" s="179">
        <v>7253.94</v>
      </c>
      <c r="F74" s="314">
        <f t="shared" ref="F74" si="16">ROUND(E74*D74,2)</f>
        <v>14507.88</v>
      </c>
      <c r="G74" s="314">
        <f t="shared" ref="G74" si="17">ROUND(F74*1.2,2)</f>
        <v>17409.46</v>
      </c>
    </row>
    <row r="75" spans="1:7" ht="30" x14ac:dyDescent="0.25">
      <c r="A75" s="311">
        <f>A74+1</f>
        <v>62</v>
      </c>
      <c r="B75" s="316" t="s">
        <v>1171</v>
      </c>
      <c r="C75" s="311" t="s">
        <v>220</v>
      </c>
      <c r="D75" s="335">
        <v>2</v>
      </c>
      <c r="E75" s="179">
        <v>6691.94</v>
      </c>
      <c r="F75" s="314">
        <f t="shared" ref="F75" si="18">ROUND(E75*D75,2)</f>
        <v>13383.88</v>
      </c>
      <c r="G75" s="314">
        <f t="shared" ref="G75" si="19">ROUND(F75*1.2,2)</f>
        <v>16060.66</v>
      </c>
    </row>
    <row r="76" spans="1:7" ht="45" x14ac:dyDescent="0.25">
      <c r="A76" s="88">
        <f>A75+1</f>
        <v>63</v>
      </c>
      <c r="B76" s="253" t="s">
        <v>880</v>
      </c>
      <c r="C76" s="88" t="s">
        <v>220</v>
      </c>
      <c r="D76" s="160">
        <v>2</v>
      </c>
      <c r="E76" s="178">
        <v>5175</v>
      </c>
      <c r="F76" s="107">
        <f t="shared" ref="F76:F77" si="20">ROUND(E76*D76,2)</f>
        <v>10350</v>
      </c>
      <c r="G76" s="107">
        <f t="shared" ref="G76:G77" si="21">ROUND(F76*1.2,2)</f>
        <v>12420</v>
      </c>
    </row>
    <row r="77" spans="1:7" ht="30" x14ac:dyDescent="0.25">
      <c r="A77" s="88">
        <f>A76+1</f>
        <v>64</v>
      </c>
      <c r="B77" s="253" t="s">
        <v>1162</v>
      </c>
      <c r="C77" s="88" t="s">
        <v>193</v>
      </c>
      <c r="D77" s="160">
        <v>1</v>
      </c>
      <c r="E77" s="178">
        <v>9227.06</v>
      </c>
      <c r="F77" s="107">
        <f t="shared" si="20"/>
        <v>9227.06</v>
      </c>
      <c r="G77" s="107">
        <f t="shared" si="21"/>
        <v>11072.47</v>
      </c>
    </row>
    <row r="78" spans="1:7" ht="28.5" x14ac:dyDescent="0.25">
      <c r="A78" s="161"/>
      <c r="B78" s="252" t="s">
        <v>1211</v>
      </c>
      <c r="C78" s="169"/>
      <c r="D78" s="169"/>
      <c r="E78" s="162"/>
      <c r="F78" s="163"/>
      <c r="G78" s="469">
        <f>SUM(G80:G112)</f>
        <v>9689925.9399999995</v>
      </c>
    </row>
    <row r="79" spans="1:7" x14ac:dyDescent="0.25">
      <c r="A79" s="88"/>
      <c r="B79" s="86" t="s">
        <v>513</v>
      </c>
      <c r="C79" s="88"/>
      <c r="D79" s="279"/>
      <c r="E79" s="275"/>
      <c r="F79" s="168"/>
      <c r="G79" s="276"/>
    </row>
    <row r="80" spans="1:7" ht="15.75" x14ac:dyDescent="0.25">
      <c r="A80" s="88">
        <f>A77+1</f>
        <v>65</v>
      </c>
      <c r="B80" s="253" t="s">
        <v>641</v>
      </c>
      <c r="C80" s="88" t="s">
        <v>193</v>
      </c>
      <c r="D80" s="160">
        <v>1888</v>
      </c>
      <c r="E80" s="178">
        <v>325</v>
      </c>
      <c r="F80" s="107">
        <f t="shared" ref="F80:F89" si="22">ROUND(E80*D80,2)</f>
        <v>613600</v>
      </c>
      <c r="G80" s="107">
        <f t="shared" ref="G80:G89" si="23">ROUND(F80*1.2,2)</f>
        <v>736320</v>
      </c>
    </row>
    <row r="81" spans="1:7" ht="15.75" x14ac:dyDescent="0.25">
      <c r="A81" s="88">
        <f>A80+1</f>
        <v>66</v>
      </c>
      <c r="B81" s="253" t="s">
        <v>515</v>
      </c>
      <c r="C81" s="88" t="s">
        <v>193</v>
      </c>
      <c r="D81" s="237">
        <v>57</v>
      </c>
      <c r="E81" s="178">
        <v>1777</v>
      </c>
      <c r="F81" s="107">
        <f t="shared" si="22"/>
        <v>101289</v>
      </c>
      <c r="G81" s="107">
        <f t="shared" si="23"/>
        <v>121546.8</v>
      </c>
    </row>
    <row r="82" spans="1:7" ht="15.75" x14ac:dyDescent="0.25">
      <c r="A82" s="88">
        <f t="shared" ref="A82:A89" si="24">A81+1</f>
        <v>67</v>
      </c>
      <c r="B82" s="253" t="s">
        <v>521</v>
      </c>
      <c r="C82" s="88" t="s">
        <v>193</v>
      </c>
      <c r="D82" s="237">
        <v>27.5</v>
      </c>
      <c r="E82" s="178">
        <v>1379</v>
      </c>
      <c r="F82" s="107">
        <f t="shared" si="22"/>
        <v>37922.5</v>
      </c>
      <c r="G82" s="107">
        <f t="shared" si="23"/>
        <v>45507</v>
      </c>
    </row>
    <row r="83" spans="1:7" ht="15.75" x14ac:dyDescent="0.25">
      <c r="A83" s="88">
        <f t="shared" si="24"/>
        <v>68</v>
      </c>
      <c r="B83" s="253" t="s">
        <v>522</v>
      </c>
      <c r="C83" s="88" t="s">
        <v>193</v>
      </c>
      <c r="D83" s="237">
        <v>609</v>
      </c>
      <c r="E83" s="178">
        <v>1379</v>
      </c>
      <c r="F83" s="107">
        <f t="shared" si="22"/>
        <v>839811</v>
      </c>
      <c r="G83" s="107">
        <f t="shared" si="23"/>
        <v>1007773.2</v>
      </c>
    </row>
    <row r="84" spans="1:7" ht="15.75" x14ac:dyDescent="0.25">
      <c r="A84" s="88">
        <f t="shared" si="24"/>
        <v>69</v>
      </c>
      <c r="B84" s="253" t="s">
        <v>516</v>
      </c>
      <c r="C84" s="88" t="s">
        <v>193</v>
      </c>
      <c r="D84" s="160">
        <v>1205</v>
      </c>
      <c r="E84" s="178">
        <v>125</v>
      </c>
      <c r="F84" s="107">
        <f t="shared" si="22"/>
        <v>150625</v>
      </c>
      <c r="G84" s="107">
        <f t="shared" si="23"/>
        <v>180750</v>
      </c>
    </row>
    <row r="85" spans="1:7" ht="15.75" x14ac:dyDescent="0.25">
      <c r="A85" s="88">
        <f t="shared" si="24"/>
        <v>70</v>
      </c>
      <c r="B85" s="253" t="s">
        <v>643</v>
      </c>
      <c r="C85" s="88" t="s">
        <v>193</v>
      </c>
      <c r="D85" s="160">
        <v>63</v>
      </c>
      <c r="E85" s="178">
        <v>899</v>
      </c>
      <c r="F85" s="107">
        <f t="shared" si="22"/>
        <v>56637</v>
      </c>
      <c r="G85" s="107">
        <f t="shared" si="23"/>
        <v>67964.399999999994</v>
      </c>
    </row>
    <row r="86" spans="1:7" ht="15.75" x14ac:dyDescent="0.25">
      <c r="A86" s="88">
        <f t="shared" si="24"/>
        <v>71</v>
      </c>
      <c r="B86" s="253" t="s">
        <v>451</v>
      </c>
      <c r="C86" s="88" t="s">
        <v>193</v>
      </c>
      <c r="D86" s="160">
        <v>1205</v>
      </c>
      <c r="E86" s="178">
        <v>198</v>
      </c>
      <c r="F86" s="107">
        <f t="shared" si="22"/>
        <v>238590</v>
      </c>
      <c r="G86" s="107">
        <f t="shared" si="23"/>
        <v>286308</v>
      </c>
    </row>
    <row r="87" spans="1:7" ht="15.75" x14ac:dyDescent="0.25">
      <c r="A87" s="88">
        <f t="shared" si="24"/>
        <v>72</v>
      </c>
      <c r="B87" s="253" t="s">
        <v>644</v>
      </c>
      <c r="C87" s="88" t="s">
        <v>431</v>
      </c>
      <c r="D87" s="160">
        <v>2410</v>
      </c>
      <c r="E87" s="178">
        <v>125</v>
      </c>
      <c r="F87" s="107">
        <f t="shared" si="22"/>
        <v>301250</v>
      </c>
      <c r="G87" s="107">
        <f t="shared" si="23"/>
        <v>361500</v>
      </c>
    </row>
    <row r="88" spans="1:7" ht="15.75" x14ac:dyDescent="0.25">
      <c r="A88" s="88">
        <f t="shared" si="24"/>
        <v>73</v>
      </c>
      <c r="B88" s="253" t="s">
        <v>518</v>
      </c>
      <c r="C88" s="88" t="s">
        <v>239</v>
      </c>
      <c r="D88" s="237">
        <v>1083.2</v>
      </c>
      <c r="E88" s="178">
        <v>325</v>
      </c>
      <c r="F88" s="107">
        <f t="shared" si="22"/>
        <v>352040</v>
      </c>
      <c r="G88" s="107">
        <f t="shared" si="23"/>
        <v>422448</v>
      </c>
    </row>
    <row r="89" spans="1:7" ht="15.75" x14ac:dyDescent="0.25">
      <c r="A89" s="88">
        <f t="shared" si="24"/>
        <v>74</v>
      </c>
      <c r="B89" s="253" t="s">
        <v>503</v>
      </c>
      <c r="C89" s="88" t="s">
        <v>239</v>
      </c>
      <c r="D89" s="237">
        <v>1083.2</v>
      </c>
      <c r="E89" s="178">
        <v>3460</v>
      </c>
      <c r="F89" s="107">
        <f t="shared" si="22"/>
        <v>3747872</v>
      </c>
      <c r="G89" s="107">
        <f t="shared" si="23"/>
        <v>4497446.4000000004</v>
      </c>
    </row>
    <row r="90" spans="1:7" x14ac:dyDescent="0.25">
      <c r="A90" s="88"/>
      <c r="B90" s="86" t="s">
        <v>523</v>
      </c>
      <c r="C90" s="88"/>
      <c r="D90" s="160"/>
      <c r="E90" s="275"/>
      <c r="F90" s="168"/>
      <c r="G90" s="276"/>
    </row>
    <row r="91" spans="1:7" ht="30" x14ac:dyDescent="0.25">
      <c r="A91" s="311">
        <f>A89+1</f>
        <v>75</v>
      </c>
      <c r="B91" s="316" t="s">
        <v>1169</v>
      </c>
      <c r="C91" s="311" t="s">
        <v>194</v>
      </c>
      <c r="D91" s="317">
        <v>238</v>
      </c>
      <c r="E91" s="179">
        <v>1494.21</v>
      </c>
      <c r="F91" s="314">
        <f t="shared" ref="F91" si="25">ROUND(E91*D91,2)</f>
        <v>355621.98</v>
      </c>
      <c r="G91" s="314">
        <f t="shared" ref="G91" si="26">ROUND(F91*1.2,2)</f>
        <v>426746.38</v>
      </c>
    </row>
    <row r="92" spans="1:7" ht="30" x14ac:dyDescent="0.25">
      <c r="A92" s="311">
        <f>A91+1</f>
        <v>76</v>
      </c>
      <c r="B92" s="316" t="s">
        <v>1174</v>
      </c>
      <c r="C92" s="311" t="s">
        <v>194</v>
      </c>
      <c r="D92" s="317">
        <v>23</v>
      </c>
      <c r="E92" s="179">
        <v>1210</v>
      </c>
      <c r="F92" s="314">
        <f t="shared" ref="F92:F96" si="27">ROUND(E92*D92,2)</f>
        <v>27830</v>
      </c>
      <c r="G92" s="314">
        <f t="shared" ref="G92:G96" si="28">ROUND(F92*1.2,2)</f>
        <v>33396</v>
      </c>
    </row>
    <row r="93" spans="1:7" ht="45" x14ac:dyDescent="0.25">
      <c r="A93" s="88">
        <f>A92+1</f>
        <v>77</v>
      </c>
      <c r="B93" s="253" t="s">
        <v>1175</v>
      </c>
      <c r="C93" s="88" t="s">
        <v>194</v>
      </c>
      <c r="D93" s="160">
        <v>99</v>
      </c>
      <c r="E93" s="178">
        <v>5596</v>
      </c>
      <c r="F93" s="107">
        <f t="shared" si="27"/>
        <v>554004</v>
      </c>
      <c r="G93" s="107">
        <f t="shared" si="28"/>
        <v>664804.80000000005</v>
      </c>
    </row>
    <row r="94" spans="1:7" s="254" customFormat="1" ht="15.75" x14ac:dyDescent="0.25">
      <c r="A94" s="88">
        <f t="shared" ref="A94:A109" si="29">A93+1</f>
        <v>78</v>
      </c>
      <c r="B94" s="253" t="s">
        <v>1176</v>
      </c>
      <c r="C94" s="88" t="s">
        <v>650</v>
      </c>
      <c r="D94" s="160">
        <v>1</v>
      </c>
      <c r="E94" s="178">
        <v>6715</v>
      </c>
      <c r="F94" s="107">
        <f t="shared" si="27"/>
        <v>6715</v>
      </c>
      <c r="G94" s="107">
        <f t="shared" si="28"/>
        <v>8058</v>
      </c>
    </row>
    <row r="95" spans="1:7" ht="53.25" customHeight="1" x14ac:dyDescent="0.25">
      <c r="A95" s="88">
        <f t="shared" si="29"/>
        <v>79</v>
      </c>
      <c r="B95" s="253" t="s">
        <v>1178</v>
      </c>
      <c r="C95" s="88" t="s">
        <v>194</v>
      </c>
      <c r="D95" s="237">
        <v>10.5</v>
      </c>
      <c r="E95" s="178">
        <v>4846</v>
      </c>
      <c r="F95" s="107">
        <f t="shared" si="27"/>
        <v>50883</v>
      </c>
      <c r="G95" s="107">
        <f t="shared" si="28"/>
        <v>61059.6</v>
      </c>
    </row>
    <row r="96" spans="1:7" ht="15.75" x14ac:dyDescent="0.25">
      <c r="A96" s="88">
        <f t="shared" si="29"/>
        <v>80</v>
      </c>
      <c r="B96" s="253" t="s">
        <v>1177</v>
      </c>
      <c r="C96" s="88" t="s">
        <v>650</v>
      </c>
      <c r="D96" s="160">
        <v>1</v>
      </c>
      <c r="E96" s="178">
        <v>4504</v>
      </c>
      <c r="F96" s="107">
        <f t="shared" si="27"/>
        <v>4504</v>
      </c>
      <c r="G96" s="107">
        <f t="shared" si="28"/>
        <v>5404.8</v>
      </c>
    </row>
    <row r="97" spans="1:7" ht="45" x14ac:dyDescent="0.25">
      <c r="A97" s="88">
        <f t="shared" si="29"/>
        <v>81</v>
      </c>
      <c r="B97" s="253" t="s">
        <v>1179</v>
      </c>
      <c r="C97" s="88" t="s">
        <v>220</v>
      </c>
      <c r="D97" s="160">
        <v>1</v>
      </c>
      <c r="E97" s="178">
        <v>15859</v>
      </c>
      <c r="F97" s="107">
        <f t="shared" ref="F97" si="30">ROUND(E97*D97,2)</f>
        <v>15859</v>
      </c>
      <c r="G97" s="107">
        <f t="shared" ref="G97" si="31">ROUND(F97*1.2,2)</f>
        <v>19030.8</v>
      </c>
    </row>
    <row r="98" spans="1:7" ht="45" x14ac:dyDescent="0.25">
      <c r="A98" s="88">
        <f t="shared" si="29"/>
        <v>82</v>
      </c>
      <c r="B98" s="253" t="s">
        <v>1180</v>
      </c>
      <c r="C98" s="88" t="s">
        <v>220</v>
      </c>
      <c r="D98" s="160">
        <v>2</v>
      </c>
      <c r="E98" s="178">
        <v>5948</v>
      </c>
      <c r="F98" s="107">
        <f t="shared" ref="F98:F99" si="32">ROUND(E98*D98,2)</f>
        <v>11896</v>
      </c>
      <c r="G98" s="107">
        <f t="shared" ref="G98:G99" si="33">ROUND(F98*1.2,2)</f>
        <v>14275.2</v>
      </c>
    </row>
    <row r="99" spans="1:7" ht="20.25" customHeight="1" x14ac:dyDescent="0.25">
      <c r="A99" s="311">
        <f t="shared" si="29"/>
        <v>83</v>
      </c>
      <c r="B99" s="316" t="s">
        <v>1181</v>
      </c>
      <c r="C99" s="311" t="s">
        <v>220</v>
      </c>
      <c r="D99" s="335">
        <v>2</v>
      </c>
      <c r="E99" s="179">
        <f>7796</f>
        <v>7796</v>
      </c>
      <c r="F99" s="314">
        <f t="shared" si="32"/>
        <v>15592</v>
      </c>
      <c r="G99" s="314">
        <f t="shared" si="33"/>
        <v>18710.400000000001</v>
      </c>
    </row>
    <row r="100" spans="1:7" ht="30" x14ac:dyDescent="0.25">
      <c r="A100" s="311">
        <f t="shared" si="29"/>
        <v>84</v>
      </c>
      <c r="B100" s="316" t="s">
        <v>1170</v>
      </c>
      <c r="C100" s="311" t="s">
        <v>220</v>
      </c>
      <c r="D100" s="335">
        <v>14</v>
      </c>
      <c r="E100" s="179">
        <v>7253.94</v>
      </c>
      <c r="F100" s="314">
        <f t="shared" ref="F100:F103" si="34">ROUND(E100*D100,2)</f>
        <v>101555.16</v>
      </c>
      <c r="G100" s="314">
        <f t="shared" ref="G100:G103" si="35">ROUND(F100*1.2,2)</f>
        <v>121866.19</v>
      </c>
    </row>
    <row r="101" spans="1:7" ht="30" x14ac:dyDescent="0.25">
      <c r="A101" s="311">
        <f t="shared" si="29"/>
        <v>85</v>
      </c>
      <c r="B101" s="316" t="s">
        <v>1171</v>
      </c>
      <c r="C101" s="311" t="s">
        <v>220</v>
      </c>
      <c r="D101" s="335">
        <v>14</v>
      </c>
      <c r="E101" s="179">
        <v>6691.94</v>
      </c>
      <c r="F101" s="314">
        <f t="shared" si="34"/>
        <v>93687.16</v>
      </c>
      <c r="G101" s="314">
        <f t="shared" si="35"/>
        <v>112424.59</v>
      </c>
    </row>
    <row r="102" spans="1:7" ht="30" x14ac:dyDescent="0.25">
      <c r="A102" s="88">
        <f t="shared" si="29"/>
        <v>86</v>
      </c>
      <c r="B102" s="253" t="s">
        <v>664</v>
      </c>
      <c r="C102" s="88" t="s">
        <v>220</v>
      </c>
      <c r="D102" s="160">
        <v>2</v>
      </c>
      <c r="E102" s="178">
        <v>6794</v>
      </c>
      <c r="F102" s="107">
        <f t="shared" si="34"/>
        <v>13588</v>
      </c>
      <c r="G102" s="107">
        <f t="shared" si="35"/>
        <v>16305.6</v>
      </c>
    </row>
    <row r="103" spans="1:7" ht="30" x14ac:dyDescent="0.25">
      <c r="A103" s="88">
        <f t="shared" si="29"/>
        <v>87</v>
      </c>
      <c r="B103" s="253" t="s">
        <v>1182</v>
      </c>
      <c r="C103" s="88" t="s">
        <v>220</v>
      </c>
      <c r="D103" s="160">
        <v>2</v>
      </c>
      <c r="E103" s="178">
        <v>1463</v>
      </c>
      <c r="F103" s="107">
        <f t="shared" si="34"/>
        <v>2926</v>
      </c>
      <c r="G103" s="107">
        <f t="shared" si="35"/>
        <v>3511.2</v>
      </c>
    </row>
    <row r="104" spans="1:7" ht="30" x14ac:dyDescent="0.25">
      <c r="A104" s="311">
        <f t="shared" si="29"/>
        <v>88</v>
      </c>
      <c r="B104" s="316" t="s">
        <v>1183</v>
      </c>
      <c r="C104" s="311" t="s">
        <v>220</v>
      </c>
      <c r="D104" s="335">
        <v>1</v>
      </c>
      <c r="E104" s="179">
        <v>7253.94</v>
      </c>
      <c r="F104" s="314">
        <f t="shared" ref="F104:F106" si="36">ROUND(E104*D104,2)</f>
        <v>7253.94</v>
      </c>
      <c r="G104" s="314">
        <f t="shared" ref="G104:G106" si="37">ROUND(F104*1.2,2)</f>
        <v>8704.73</v>
      </c>
    </row>
    <row r="105" spans="1:7" ht="45" x14ac:dyDescent="0.25">
      <c r="A105" s="311">
        <f t="shared" si="29"/>
        <v>89</v>
      </c>
      <c r="B105" s="316" t="s">
        <v>676</v>
      </c>
      <c r="C105" s="311" t="s">
        <v>220</v>
      </c>
      <c r="D105" s="335">
        <v>14</v>
      </c>
      <c r="E105" s="179">
        <v>5175</v>
      </c>
      <c r="F105" s="314">
        <f t="shared" si="36"/>
        <v>72450</v>
      </c>
      <c r="G105" s="314">
        <f t="shared" si="37"/>
        <v>86940</v>
      </c>
    </row>
    <row r="106" spans="1:7" ht="45" x14ac:dyDescent="0.25">
      <c r="A106" s="311">
        <f t="shared" si="29"/>
        <v>90</v>
      </c>
      <c r="B106" s="316" t="s">
        <v>1184</v>
      </c>
      <c r="C106" s="311" t="s">
        <v>220</v>
      </c>
      <c r="D106" s="335">
        <v>2</v>
      </c>
      <c r="E106" s="179">
        <v>3415</v>
      </c>
      <c r="F106" s="314">
        <f t="shared" si="36"/>
        <v>6830</v>
      </c>
      <c r="G106" s="314">
        <f t="shared" si="37"/>
        <v>8196</v>
      </c>
    </row>
    <row r="107" spans="1:7" ht="15.75" x14ac:dyDescent="0.25">
      <c r="A107" s="311">
        <f t="shared" si="29"/>
        <v>91</v>
      </c>
      <c r="B107" s="316" t="s">
        <v>1185</v>
      </c>
      <c r="C107" s="311" t="s">
        <v>220</v>
      </c>
      <c r="D107" s="335">
        <v>2</v>
      </c>
      <c r="E107" s="179">
        <v>1526</v>
      </c>
      <c r="F107" s="314">
        <f t="shared" ref="F107:F109" si="38">ROUND(E107*D107,2)</f>
        <v>3052</v>
      </c>
      <c r="G107" s="314">
        <f t="shared" ref="G107:G109" si="39">ROUND(F107*1.2,2)</f>
        <v>3662.4</v>
      </c>
    </row>
    <row r="108" spans="1:7" ht="15.75" x14ac:dyDescent="0.25">
      <c r="A108" s="311">
        <f t="shared" si="29"/>
        <v>92</v>
      </c>
      <c r="B108" s="316" t="s">
        <v>1186</v>
      </c>
      <c r="C108" s="311" t="s">
        <v>220</v>
      </c>
      <c r="D108" s="335">
        <v>2</v>
      </c>
      <c r="E108" s="179">
        <v>1526</v>
      </c>
      <c r="F108" s="314">
        <f t="shared" si="38"/>
        <v>3052</v>
      </c>
      <c r="G108" s="314">
        <f t="shared" si="39"/>
        <v>3662.4</v>
      </c>
    </row>
    <row r="109" spans="1:7" ht="30" x14ac:dyDescent="0.25">
      <c r="A109" s="311">
        <f t="shared" si="29"/>
        <v>93</v>
      </c>
      <c r="B109" s="316" t="s">
        <v>1162</v>
      </c>
      <c r="C109" s="311" t="s">
        <v>193</v>
      </c>
      <c r="D109" s="335">
        <v>14</v>
      </c>
      <c r="E109" s="179">
        <v>9227.06</v>
      </c>
      <c r="F109" s="314">
        <f t="shared" si="38"/>
        <v>129178.84</v>
      </c>
      <c r="G109" s="314">
        <f t="shared" si="39"/>
        <v>155014.60999999999</v>
      </c>
    </row>
    <row r="110" spans="1:7" x14ac:dyDescent="0.25">
      <c r="A110" s="311"/>
      <c r="B110" s="341" t="s">
        <v>1187</v>
      </c>
      <c r="C110" s="311"/>
      <c r="D110" s="335"/>
      <c r="E110" s="372"/>
      <c r="F110" s="373"/>
      <c r="G110" s="374"/>
    </row>
    <row r="111" spans="1:7" ht="30" x14ac:dyDescent="0.25">
      <c r="A111" s="311">
        <f>A109+1</f>
        <v>94</v>
      </c>
      <c r="B111" s="316" t="s">
        <v>526</v>
      </c>
      <c r="C111" s="311" t="s">
        <v>193</v>
      </c>
      <c r="D111" s="317">
        <f>3*0.38+3*0.283+4*0.4+4*0.265+4*0.03</f>
        <v>4.769000000000001</v>
      </c>
      <c r="E111" s="179">
        <v>18174.398148148146</v>
      </c>
      <c r="F111" s="314">
        <f t="shared" ref="F111" si="40">ROUND(E111*D111,2)</f>
        <v>86673.7</v>
      </c>
      <c r="G111" s="314">
        <f t="shared" ref="G111" si="41">ROUND(F111*1.2,2)</f>
        <v>104008.44</v>
      </c>
    </row>
    <row r="112" spans="1:7" ht="30" x14ac:dyDescent="0.25">
      <c r="A112" s="311">
        <f>A111+1</f>
        <v>95</v>
      </c>
      <c r="B112" s="316" t="s">
        <v>1188</v>
      </c>
      <c r="C112" s="311" t="s">
        <v>431</v>
      </c>
      <c r="D112" s="335">
        <v>150</v>
      </c>
      <c r="E112" s="179">
        <v>481</v>
      </c>
      <c r="F112" s="314">
        <f t="shared" ref="F112" si="42">ROUND(E112*D112,2)</f>
        <v>72150</v>
      </c>
      <c r="G112" s="314">
        <f t="shared" ref="G112" si="43">ROUND(F112*1.2,2)</f>
        <v>86580</v>
      </c>
    </row>
    <row r="113" spans="1:8" ht="28.5" x14ac:dyDescent="0.25">
      <c r="A113" s="161"/>
      <c r="B113" s="252" t="s">
        <v>1160</v>
      </c>
      <c r="C113" s="169"/>
      <c r="D113" s="169"/>
      <c r="E113" s="162"/>
      <c r="F113" s="163"/>
      <c r="G113" s="469">
        <f>SUM(G115:G133)</f>
        <v>914052.52999999991</v>
      </c>
      <c r="H113" s="219"/>
    </row>
    <row r="114" spans="1:8" x14ac:dyDescent="0.25">
      <c r="A114" s="66"/>
      <c r="B114" s="62" t="s">
        <v>513</v>
      </c>
      <c r="C114" s="66"/>
      <c r="D114" s="177"/>
      <c r="E114" s="172"/>
      <c r="F114" s="168"/>
      <c r="G114" s="176"/>
    </row>
    <row r="115" spans="1:8" ht="15.75" x14ac:dyDescent="0.25">
      <c r="A115" s="66">
        <f>A35+1</f>
        <v>30</v>
      </c>
      <c r="B115" s="67" t="s">
        <v>641</v>
      </c>
      <c r="C115" s="66" t="s">
        <v>193</v>
      </c>
      <c r="D115" s="71">
        <v>465</v>
      </c>
      <c r="E115" s="178">
        <v>325</v>
      </c>
      <c r="F115" s="105">
        <f t="shared" ref="F115:F133" si="44">ROUND(E115*D115,2)</f>
        <v>151125</v>
      </c>
      <c r="G115" s="105">
        <f t="shared" ref="G115:G133" si="45">ROUND(F115*1.2,2)</f>
        <v>181350</v>
      </c>
    </row>
    <row r="116" spans="1:8" ht="15.75" x14ac:dyDescent="0.25">
      <c r="A116" s="66">
        <f t="shared" ref="A116:A133" si="46">A115+1</f>
        <v>31</v>
      </c>
      <c r="B116" s="67" t="s">
        <v>515</v>
      </c>
      <c r="C116" s="66" t="s">
        <v>193</v>
      </c>
      <c r="D116" s="71">
        <v>14</v>
      </c>
      <c r="E116" s="178">
        <v>1777</v>
      </c>
      <c r="F116" s="105">
        <f t="shared" si="44"/>
        <v>24878</v>
      </c>
      <c r="G116" s="105">
        <f t="shared" si="45"/>
        <v>29853.599999999999</v>
      </c>
    </row>
    <row r="117" spans="1:8" ht="15.75" x14ac:dyDescent="0.25">
      <c r="A117" s="66">
        <f t="shared" si="46"/>
        <v>32</v>
      </c>
      <c r="B117" s="67" t="s">
        <v>521</v>
      </c>
      <c r="C117" s="66" t="s">
        <v>193</v>
      </c>
      <c r="D117" s="71">
        <v>2</v>
      </c>
      <c r="E117" s="178">
        <v>1379</v>
      </c>
      <c r="F117" s="105">
        <f t="shared" si="44"/>
        <v>2758</v>
      </c>
      <c r="G117" s="105">
        <f t="shared" si="45"/>
        <v>3309.6</v>
      </c>
    </row>
    <row r="118" spans="1:8" ht="15.75" x14ac:dyDescent="0.25">
      <c r="A118" s="66">
        <f t="shared" si="46"/>
        <v>33</v>
      </c>
      <c r="B118" s="67" t="s">
        <v>522</v>
      </c>
      <c r="C118" s="66" t="s">
        <v>193</v>
      </c>
      <c r="D118" s="72">
        <v>9.5</v>
      </c>
      <c r="E118" s="178">
        <v>1379</v>
      </c>
      <c r="F118" s="105">
        <f t="shared" si="44"/>
        <v>13100.5</v>
      </c>
      <c r="G118" s="105">
        <f t="shared" si="45"/>
        <v>15720.6</v>
      </c>
    </row>
    <row r="119" spans="1:8" ht="15.75" x14ac:dyDescent="0.25">
      <c r="A119" s="66">
        <f t="shared" si="46"/>
        <v>34</v>
      </c>
      <c r="B119" s="67" t="s">
        <v>516</v>
      </c>
      <c r="C119" s="66" t="s">
        <v>193</v>
      </c>
      <c r="D119" s="71">
        <v>443</v>
      </c>
      <c r="E119" s="178">
        <v>125</v>
      </c>
      <c r="F119" s="105">
        <f t="shared" si="44"/>
        <v>55375</v>
      </c>
      <c r="G119" s="105">
        <f t="shared" si="45"/>
        <v>66450</v>
      </c>
    </row>
    <row r="120" spans="1:8" ht="15.75" x14ac:dyDescent="0.25">
      <c r="A120" s="66">
        <f t="shared" si="46"/>
        <v>35</v>
      </c>
      <c r="B120" s="67" t="s">
        <v>643</v>
      </c>
      <c r="C120" s="66" t="s">
        <v>193</v>
      </c>
      <c r="D120" s="71">
        <v>23</v>
      </c>
      <c r="E120" s="178">
        <v>899</v>
      </c>
      <c r="F120" s="105">
        <f t="shared" si="44"/>
        <v>20677</v>
      </c>
      <c r="G120" s="105">
        <f t="shared" si="45"/>
        <v>24812.400000000001</v>
      </c>
    </row>
    <row r="121" spans="1:8" ht="15.75" x14ac:dyDescent="0.25">
      <c r="A121" s="66">
        <f t="shared" si="46"/>
        <v>36</v>
      </c>
      <c r="B121" s="67" t="s">
        <v>451</v>
      </c>
      <c r="C121" s="66" t="s">
        <v>193</v>
      </c>
      <c r="D121" s="71">
        <v>443</v>
      </c>
      <c r="E121" s="178">
        <v>198</v>
      </c>
      <c r="F121" s="105">
        <f t="shared" si="44"/>
        <v>87714</v>
      </c>
      <c r="G121" s="105">
        <f t="shared" si="45"/>
        <v>105256.8</v>
      </c>
    </row>
    <row r="122" spans="1:8" ht="15.75" x14ac:dyDescent="0.25">
      <c r="A122" s="66">
        <f t="shared" si="46"/>
        <v>37</v>
      </c>
      <c r="B122" s="67" t="s">
        <v>644</v>
      </c>
      <c r="C122" s="66" t="s">
        <v>431</v>
      </c>
      <c r="D122" s="71">
        <v>1860</v>
      </c>
      <c r="E122" s="178">
        <v>125</v>
      </c>
      <c r="F122" s="105">
        <f t="shared" si="44"/>
        <v>232500</v>
      </c>
      <c r="G122" s="105">
        <f t="shared" si="45"/>
        <v>279000</v>
      </c>
    </row>
    <row r="123" spans="1:8" ht="15.75" x14ac:dyDescent="0.25">
      <c r="A123" s="66">
        <f t="shared" si="46"/>
        <v>38</v>
      </c>
      <c r="B123" s="67" t="s">
        <v>518</v>
      </c>
      <c r="C123" s="66" t="s">
        <v>239</v>
      </c>
      <c r="D123" s="72">
        <v>20.8</v>
      </c>
      <c r="E123" s="178">
        <v>325</v>
      </c>
      <c r="F123" s="105">
        <f t="shared" si="44"/>
        <v>6760</v>
      </c>
      <c r="G123" s="105">
        <f t="shared" si="45"/>
        <v>8112</v>
      </c>
    </row>
    <row r="124" spans="1:8" ht="15.75" x14ac:dyDescent="0.25">
      <c r="A124" s="66">
        <f t="shared" si="46"/>
        <v>39</v>
      </c>
      <c r="B124" s="67" t="s">
        <v>503</v>
      </c>
      <c r="C124" s="66" t="s">
        <v>239</v>
      </c>
      <c r="D124" s="72">
        <v>20.8</v>
      </c>
      <c r="E124" s="178">
        <v>3460</v>
      </c>
      <c r="F124" s="105">
        <f t="shared" si="44"/>
        <v>71968</v>
      </c>
      <c r="G124" s="105">
        <f t="shared" si="45"/>
        <v>86361.600000000006</v>
      </c>
    </row>
    <row r="125" spans="1:8" ht="15.75" x14ac:dyDescent="0.25">
      <c r="A125" s="66"/>
      <c r="B125" s="62" t="s">
        <v>523</v>
      </c>
      <c r="C125" s="66"/>
      <c r="D125" s="68"/>
      <c r="E125" s="178"/>
      <c r="F125" s="105"/>
      <c r="G125" s="105"/>
    </row>
    <row r="126" spans="1:8" ht="30" x14ac:dyDescent="0.25">
      <c r="A126" s="66">
        <f>A124+1</f>
        <v>40</v>
      </c>
      <c r="B126" s="67" t="s">
        <v>663</v>
      </c>
      <c r="C126" s="66" t="s">
        <v>194</v>
      </c>
      <c r="D126" s="71">
        <v>32</v>
      </c>
      <c r="E126" s="178">
        <v>1210</v>
      </c>
      <c r="F126" s="105">
        <f t="shared" si="44"/>
        <v>38720</v>
      </c>
      <c r="G126" s="105">
        <f t="shared" si="45"/>
        <v>46464</v>
      </c>
    </row>
    <row r="127" spans="1:8" ht="45" x14ac:dyDescent="0.25">
      <c r="A127" s="66">
        <f t="shared" si="46"/>
        <v>41</v>
      </c>
      <c r="B127" s="67" t="s">
        <v>1161</v>
      </c>
      <c r="C127" s="66" t="s">
        <v>194</v>
      </c>
      <c r="D127" s="72">
        <v>7.5</v>
      </c>
      <c r="E127" s="178">
        <v>1815</v>
      </c>
      <c r="F127" s="105">
        <f t="shared" si="44"/>
        <v>13612.5</v>
      </c>
      <c r="G127" s="105">
        <f t="shared" si="45"/>
        <v>16335</v>
      </c>
    </row>
    <row r="128" spans="1:8" ht="15.75" x14ac:dyDescent="0.25">
      <c r="A128" s="66">
        <f t="shared" si="46"/>
        <v>42</v>
      </c>
      <c r="B128" s="67" t="s">
        <v>648</v>
      </c>
      <c r="C128" s="66" t="s">
        <v>194</v>
      </c>
      <c r="D128" s="72">
        <v>7.5</v>
      </c>
      <c r="E128" s="178">
        <v>1211</v>
      </c>
      <c r="F128" s="105">
        <f t="shared" si="44"/>
        <v>9082.5</v>
      </c>
      <c r="G128" s="105">
        <f t="shared" si="45"/>
        <v>10899</v>
      </c>
    </row>
    <row r="129" spans="1:8" ht="15.75" x14ac:dyDescent="0.25">
      <c r="A129" s="66">
        <f t="shared" si="46"/>
        <v>43</v>
      </c>
      <c r="B129" s="67" t="s">
        <v>649</v>
      </c>
      <c r="C129" s="66" t="s">
        <v>650</v>
      </c>
      <c r="D129" s="71">
        <v>1</v>
      </c>
      <c r="E129" s="178">
        <v>3397</v>
      </c>
      <c r="F129" s="105">
        <f t="shared" si="44"/>
        <v>3397</v>
      </c>
      <c r="G129" s="105">
        <f t="shared" si="45"/>
        <v>4076.4</v>
      </c>
    </row>
    <row r="130" spans="1:8" ht="30" x14ac:dyDescent="0.25">
      <c r="A130" s="66">
        <f t="shared" si="46"/>
        <v>44</v>
      </c>
      <c r="B130" s="67" t="s">
        <v>664</v>
      </c>
      <c r="C130" s="66" t="s">
        <v>220</v>
      </c>
      <c r="D130" s="71">
        <v>2</v>
      </c>
      <c r="E130" s="178">
        <v>6794</v>
      </c>
      <c r="F130" s="105">
        <f t="shared" si="44"/>
        <v>13588</v>
      </c>
      <c r="G130" s="105">
        <f t="shared" si="45"/>
        <v>16305.6</v>
      </c>
    </row>
    <row r="131" spans="1:8" ht="30" x14ac:dyDescent="0.25">
      <c r="A131" s="66">
        <f t="shared" si="46"/>
        <v>45</v>
      </c>
      <c r="B131" s="67" t="s">
        <v>665</v>
      </c>
      <c r="C131" s="66" t="s">
        <v>220</v>
      </c>
      <c r="D131" s="71">
        <v>2</v>
      </c>
      <c r="E131" s="178">
        <v>1463</v>
      </c>
      <c r="F131" s="105">
        <f t="shared" si="44"/>
        <v>2926</v>
      </c>
      <c r="G131" s="105">
        <f t="shared" si="45"/>
        <v>3511.2</v>
      </c>
    </row>
    <row r="132" spans="1:8" ht="45" x14ac:dyDescent="0.25">
      <c r="A132" s="66">
        <f t="shared" si="46"/>
        <v>46</v>
      </c>
      <c r="B132" s="67" t="s">
        <v>666</v>
      </c>
      <c r="C132" s="66" t="s">
        <v>220</v>
      </c>
      <c r="D132" s="71">
        <v>2</v>
      </c>
      <c r="E132" s="178">
        <v>3535</v>
      </c>
      <c r="F132" s="105">
        <f t="shared" si="44"/>
        <v>7070</v>
      </c>
      <c r="G132" s="105">
        <f t="shared" si="45"/>
        <v>8484</v>
      </c>
    </row>
    <row r="133" spans="1:8" ht="30" x14ac:dyDescent="0.25">
      <c r="A133" s="88">
        <f t="shared" si="46"/>
        <v>47</v>
      </c>
      <c r="B133" s="274" t="s">
        <v>1162</v>
      </c>
      <c r="C133" s="88" t="s">
        <v>193</v>
      </c>
      <c r="D133" s="277">
        <v>0.7</v>
      </c>
      <c r="E133" s="178">
        <v>9227.06</v>
      </c>
      <c r="F133" s="107">
        <f t="shared" si="44"/>
        <v>6458.94</v>
      </c>
      <c r="G133" s="107">
        <f t="shared" si="45"/>
        <v>7750.73</v>
      </c>
    </row>
    <row r="134" spans="1:8" ht="28.5" x14ac:dyDescent="0.25">
      <c r="A134" s="161"/>
      <c r="B134" s="252" t="s">
        <v>1163</v>
      </c>
      <c r="C134" s="169"/>
      <c r="D134" s="173"/>
      <c r="E134" s="162"/>
      <c r="F134" s="163"/>
      <c r="G134" s="469">
        <f>SUM(G136:G154)</f>
        <v>1957391.0199999998</v>
      </c>
      <c r="H134" s="219"/>
    </row>
    <row r="135" spans="1:8" x14ac:dyDescent="0.25">
      <c r="A135" s="66"/>
      <c r="B135" s="62" t="s">
        <v>513</v>
      </c>
      <c r="C135" s="66"/>
      <c r="D135" s="177"/>
      <c r="E135" s="172"/>
      <c r="F135" s="168"/>
      <c r="G135" s="176"/>
    </row>
    <row r="136" spans="1:8" ht="15.75" x14ac:dyDescent="0.25">
      <c r="A136" s="66">
        <f>A133+1</f>
        <v>48</v>
      </c>
      <c r="B136" s="67" t="s">
        <v>641</v>
      </c>
      <c r="C136" s="66" t="s">
        <v>193</v>
      </c>
      <c r="D136" s="71">
        <v>310</v>
      </c>
      <c r="E136" s="178">
        <v>325</v>
      </c>
      <c r="F136" s="105">
        <f t="shared" ref="F136:F154" si="47">ROUND(E136*D136,2)</f>
        <v>100750</v>
      </c>
      <c r="G136" s="105">
        <f t="shared" ref="G136:G154" si="48">ROUND(F136*1.2,2)</f>
        <v>120900</v>
      </c>
    </row>
    <row r="137" spans="1:8" ht="15.75" x14ac:dyDescent="0.25">
      <c r="A137" s="66">
        <f>A136+1</f>
        <v>49</v>
      </c>
      <c r="B137" s="67" t="s">
        <v>515</v>
      </c>
      <c r="C137" s="66" t="s">
        <v>193</v>
      </c>
      <c r="D137" s="71">
        <v>9</v>
      </c>
      <c r="E137" s="178">
        <v>1777</v>
      </c>
      <c r="F137" s="105">
        <f t="shared" si="47"/>
        <v>15993</v>
      </c>
      <c r="G137" s="105">
        <f t="shared" si="48"/>
        <v>19191.599999999999</v>
      </c>
    </row>
    <row r="138" spans="1:8" ht="15.75" x14ac:dyDescent="0.25">
      <c r="A138" s="66">
        <f t="shared" ref="A138:A145" si="49">A137+1</f>
        <v>50</v>
      </c>
      <c r="B138" s="67" t="s">
        <v>521</v>
      </c>
      <c r="C138" s="66" t="s">
        <v>193</v>
      </c>
      <c r="D138" s="71">
        <v>3</v>
      </c>
      <c r="E138" s="178">
        <v>1379</v>
      </c>
      <c r="F138" s="105">
        <f t="shared" si="47"/>
        <v>4137</v>
      </c>
      <c r="G138" s="105">
        <f t="shared" si="48"/>
        <v>4964.3999999999996</v>
      </c>
    </row>
    <row r="139" spans="1:8" ht="15.75" x14ac:dyDescent="0.25">
      <c r="A139" s="66">
        <f t="shared" si="49"/>
        <v>51</v>
      </c>
      <c r="B139" s="67" t="s">
        <v>522</v>
      </c>
      <c r="C139" s="66" t="s">
        <v>193</v>
      </c>
      <c r="D139" s="72">
        <v>12</v>
      </c>
      <c r="E139" s="178">
        <v>1379</v>
      </c>
      <c r="F139" s="105">
        <f t="shared" si="47"/>
        <v>16548</v>
      </c>
      <c r="G139" s="105">
        <f t="shared" si="48"/>
        <v>19857.599999999999</v>
      </c>
    </row>
    <row r="140" spans="1:8" ht="15.75" x14ac:dyDescent="0.25">
      <c r="A140" s="66">
        <f t="shared" si="49"/>
        <v>52</v>
      </c>
      <c r="B140" s="67" t="s">
        <v>516</v>
      </c>
      <c r="C140" s="66" t="s">
        <v>193</v>
      </c>
      <c r="D140" s="71">
        <v>287</v>
      </c>
      <c r="E140" s="178">
        <v>125</v>
      </c>
      <c r="F140" s="105">
        <f t="shared" si="47"/>
        <v>35875</v>
      </c>
      <c r="G140" s="105">
        <f t="shared" si="48"/>
        <v>43050</v>
      </c>
    </row>
    <row r="141" spans="1:8" ht="15.75" x14ac:dyDescent="0.25">
      <c r="A141" s="66">
        <f t="shared" si="49"/>
        <v>53</v>
      </c>
      <c r="B141" s="67" t="s">
        <v>643</v>
      </c>
      <c r="C141" s="66" t="s">
        <v>193</v>
      </c>
      <c r="D141" s="71">
        <v>15</v>
      </c>
      <c r="E141" s="178">
        <v>899</v>
      </c>
      <c r="F141" s="105">
        <f t="shared" si="47"/>
        <v>13485</v>
      </c>
      <c r="G141" s="105">
        <f t="shared" si="48"/>
        <v>16182</v>
      </c>
    </row>
    <row r="142" spans="1:8" ht="15.75" x14ac:dyDescent="0.25">
      <c r="A142" s="66">
        <f t="shared" si="49"/>
        <v>54</v>
      </c>
      <c r="B142" s="67" t="s">
        <v>451</v>
      </c>
      <c r="C142" s="66" t="s">
        <v>193</v>
      </c>
      <c r="D142" s="71">
        <v>287</v>
      </c>
      <c r="E142" s="178">
        <v>198</v>
      </c>
      <c r="F142" s="105">
        <f t="shared" si="47"/>
        <v>56826</v>
      </c>
      <c r="G142" s="105">
        <f t="shared" si="48"/>
        <v>68191.199999999997</v>
      </c>
    </row>
    <row r="143" spans="1:8" ht="15.75" x14ac:dyDescent="0.25">
      <c r="A143" s="66">
        <f t="shared" si="49"/>
        <v>55</v>
      </c>
      <c r="B143" s="67" t="s">
        <v>644</v>
      </c>
      <c r="C143" s="66" t="s">
        <v>431</v>
      </c>
      <c r="D143" s="71">
        <v>9240</v>
      </c>
      <c r="E143" s="178">
        <v>125</v>
      </c>
      <c r="F143" s="105">
        <f t="shared" si="47"/>
        <v>1155000</v>
      </c>
      <c r="G143" s="105">
        <f t="shared" si="48"/>
        <v>1386000</v>
      </c>
    </row>
    <row r="144" spans="1:8" ht="15.75" x14ac:dyDescent="0.25">
      <c r="A144" s="66">
        <f t="shared" si="49"/>
        <v>56</v>
      </c>
      <c r="B144" s="67" t="s">
        <v>518</v>
      </c>
      <c r="C144" s="66" t="s">
        <v>239</v>
      </c>
      <c r="D144" s="72">
        <v>27.2</v>
      </c>
      <c r="E144" s="178">
        <v>325</v>
      </c>
      <c r="F144" s="105">
        <f t="shared" si="47"/>
        <v>8840</v>
      </c>
      <c r="G144" s="105">
        <f t="shared" si="48"/>
        <v>10608</v>
      </c>
    </row>
    <row r="145" spans="1:7" ht="15.75" x14ac:dyDescent="0.25">
      <c r="A145" s="66">
        <f t="shared" si="49"/>
        <v>57</v>
      </c>
      <c r="B145" s="67" t="s">
        <v>503</v>
      </c>
      <c r="C145" s="66" t="s">
        <v>239</v>
      </c>
      <c r="D145" s="72">
        <v>27.2</v>
      </c>
      <c r="E145" s="178">
        <v>3460</v>
      </c>
      <c r="F145" s="105">
        <f t="shared" si="47"/>
        <v>94112</v>
      </c>
      <c r="G145" s="105">
        <f t="shared" si="48"/>
        <v>112934.39999999999</v>
      </c>
    </row>
    <row r="146" spans="1:7" ht="15.75" x14ac:dyDescent="0.25">
      <c r="A146" s="66"/>
      <c r="B146" s="62" t="s">
        <v>523</v>
      </c>
      <c r="C146" s="66"/>
      <c r="D146" s="68"/>
      <c r="E146" s="178"/>
      <c r="F146" s="105"/>
      <c r="G146" s="105"/>
    </row>
    <row r="147" spans="1:7" ht="30" x14ac:dyDescent="0.25">
      <c r="A147" s="66">
        <f>A145+1</f>
        <v>58</v>
      </c>
      <c r="B147" s="67" t="s">
        <v>645</v>
      </c>
      <c r="C147" s="66" t="s">
        <v>194</v>
      </c>
      <c r="D147" s="71">
        <v>50</v>
      </c>
      <c r="E147" s="178">
        <v>1017</v>
      </c>
      <c r="F147" s="105">
        <f t="shared" si="47"/>
        <v>50850</v>
      </c>
      <c r="G147" s="105">
        <f t="shared" si="48"/>
        <v>61020</v>
      </c>
    </row>
    <row r="148" spans="1:7" ht="45" x14ac:dyDescent="0.25">
      <c r="A148" s="66">
        <f>A147+1</f>
        <v>59</v>
      </c>
      <c r="B148" s="67" t="s">
        <v>1165</v>
      </c>
      <c r="C148" s="66" t="s">
        <v>194</v>
      </c>
      <c r="D148" s="71">
        <v>17</v>
      </c>
      <c r="E148" s="178">
        <v>1527</v>
      </c>
      <c r="F148" s="105">
        <f t="shared" si="47"/>
        <v>25959</v>
      </c>
      <c r="G148" s="105">
        <f t="shared" si="48"/>
        <v>31150.799999999999</v>
      </c>
    </row>
    <row r="149" spans="1:7" ht="15.75" x14ac:dyDescent="0.25">
      <c r="A149" s="66">
        <f t="shared" ref="A149:A154" si="50">A148+1</f>
        <v>60</v>
      </c>
      <c r="B149" s="67" t="s">
        <v>648</v>
      </c>
      <c r="C149" s="66" t="s">
        <v>194</v>
      </c>
      <c r="D149" s="71">
        <v>17</v>
      </c>
      <c r="E149" s="178">
        <v>1142</v>
      </c>
      <c r="F149" s="105">
        <f t="shared" si="47"/>
        <v>19414</v>
      </c>
      <c r="G149" s="105">
        <f t="shared" si="48"/>
        <v>23296.799999999999</v>
      </c>
    </row>
    <row r="150" spans="1:7" ht="15.75" x14ac:dyDescent="0.25">
      <c r="A150" s="66">
        <f t="shared" si="50"/>
        <v>61</v>
      </c>
      <c r="B150" s="67" t="s">
        <v>649</v>
      </c>
      <c r="C150" s="66" t="s">
        <v>650</v>
      </c>
      <c r="D150" s="71">
        <v>1</v>
      </c>
      <c r="E150" s="178">
        <v>3397</v>
      </c>
      <c r="F150" s="105">
        <f t="shared" si="47"/>
        <v>3397</v>
      </c>
      <c r="G150" s="105">
        <f t="shared" si="48"/>
        <v>4076.4</v>
      </c>
    </row>
    <row r="151" spans="1:7" ht="30" x14ac:dyDescent="0.25">
      <c r="A151" s="66">
        <f t="shared" si="50"/>
        <v>62</v>
      </c>
      <c r="B151" s="67" t="s">
        <v>667</v>
      </c>
      <c r="C151" s="66" t="s">
        <v>220</v>
      </c>
      <c r="D151" s="71">
        <v>2</v>
      </c>
      <c r="E151" s="178">
        <v>3991</v>
      </c>
      <c r="F151" s="105">
        <f t="shared" si="47"/>
        <v>7982</v>
      </c>
      <c r="G151" s="105">
        <f t="shared" si="48"/>
        <v>9578.4</v>
      </c>
    </row>
    <row r="152" spans="1:7" ht="30" x14ac:dyDescent="0.25">
      <c r="A152" s="66">
        <f t="shared" si="50"/>
        <v>63</v>
      </c>
      <c r="B152" s="67" t="s">
        <v>668</v>
      </c>
      <c r="C152" s="66" t="s">
        <v>220</v>
      </c>
      <c r="D152" s="71">
        <v>2</v>
      </c>
      <c r="E152" s="178">
        <v>1463</v>
      </c>
      <c r="F152" s="105">
        <f t="shared" si="47"/>
        <v>2926</v>
      </c>
      <c r="G152" s="105">
        <f t="shared" si="48"/>
        <v>3511.2</v>
      </c>
    </row>
    <row r="153" spans="1:7" ht="45" x14ac:dyDescent="0.25">
      <c r="A153" s="66">
        <f t="shared" si="50"/>
        <v>64</v>
      </c>
      <c r="B153" s="67" t="s">
        <v>657</v>
      </c>
      <c r="C153" s="66" t="s">
        <v>220</v>
      </c>
      <c r="D153" s="71">
        <v>2</v>
      </c>
      <c r="E153" s="178">
        <v>3535</v>
      </c>
      <c r="F153" s="105">
        <f t="shared" si="47"/>
        <v>7070</v>
      </c>
      <c r="G153" s="105">
        <f t="shared" si="48"/>
        <v>8484</v>
      </c>
    </row>
    <row r="154" spans="1:7" ht="30" x14ac:dyDescent="0.25">
      <c r="A154" s="88">
        <f t="shared" si="50"/>
        <v>65</v>
      </c>
      <c r="B154" s="274" t="s">
        <v>1162</v>
      </c>
      <c r="C154" s="88" t="s">
        <v>193</v>
      </c>
      <c r="D154" s="277">
        <v>1.3</v>
      </c>
      <c r="E154" s="178">
        <v>9227.06</v>
      </c>
      <c r="F154" s="107">
        <f t="shared" si="47"/>
        <v>11995.18</v>
      </c>
      <c r="G154" s="107">
        <f t="shared" si="48"/>
        <v>14394.22</v>
      </c>
    </row>
    <row r="155" spans="1:7" ht="25.5" customHeight="1" x14ac:dyDescent="0.25">
      <c r="A155" s="161"/>
      <c r="B155" s="252" t="s">
        <v>580</v>
      </c>
      <c r="C155" s="169"/>
      <c r="D155" s="169"/>
      <c r="E155" s="162"/>
      <c r="F155" s="163"/>
      <c r="G155" s="477">
        <f>SUM(G158:G260)</f>
        <v>30984525.489999998</v>
      </c>
    </row>
    <row r="156" spans="1:7" x14ac:dyDescent="0.25">
      <c r="A156" s="88"/>
      <c r="B156" s="86" t="s">
        <v>1084</v>
      </c>
      <c r="C156" s="88"/>
      <c r="D156" s="160"/>
      <c r="E156" s="275"/>
      <c r="F156" s="168"/>
      <c r="G156" s="276"/>
    </row>
    <row r="157" spans="1:7" x14ac:dyDescent="0.25">
      <c r="A157" s="88"/>
      <c r="B157" s="86" t="s">
        <v>513</v>
      </c>
      <c r="C157" s="88"/>
      <c r="D157" s="160"/>
      <c r="E157" s="275"/>
      <c r="F157" s="168"/>
      <c r="G157" s="276"/>
    </row>
    <row r="158" spans="1:7" ht="15.75" x14ac:dyDescent="0.25">
      <c r="A158" s="88">
        <f>A154+1</f>
        <v>66</v>
      </c>
      <c r="B158" s="253" t="s">
        <v>669</v>
      </c>
      <c r="C158" s="88" t="s">
        <v>193</v>
      </c>
      <c r="D158" s="236">
        <v>9.8800000000000008</v>
      </c>
      <c r="E158" s="178">
        <v>374</v>
      </c>
      <c r="F158" s="107">
        <f t="shared" ref="F158" si="51">ROUND(E158*D158,2)</f>
        <v>3695.12</v>
      </c>
      <c r="G158" s="107">
        <f t="shared" ref="G158" si="52">ROUND(F158*1.2,2)</f>
        <v>4434.1400000000003</v>
      </c>
    </row>
    <row r="159" spans="1:7" ht="30" x14ac:dyDescent="0.25">
      <c r="A159" s="88">
        <f>A158+1</f>
        <v>67</v>
      </c>
      <c r="B159" s="253" t="s">
        <v>671</v>
      </c>
      <c r="C159" s="88" t="s">
        <v>193</v>
      </c>
      <c r="D159" s="237">
        <v>0.4</v>
      </c>
      <c r="E159" s="178">
        <v>1422</v>
      </c>
      <c r="F159" s="107">
        <f t="shared" ref="F159:F163" si="53">ROUND(E159*D159,2)</f>
        <v>568.79999999999995</v>
      </c>
      <c r="G159" s="107">
        <f t="shared" ref="G159:G163" si="54">ROUND(F159*1.2,2)</f>
        <v>682.56</v>
      </c>
    </row>
    <row r="160" spans="1:7" ht="15.75" x14ac:dyDescent="0.25">
      <c r="A160" s="88">
        <f t="shared" ref="A160:A163" si="55">A159+1</f>
        <v>68</v>
      </c>
      <c r="B160" s="253" t="s">
        <v>672</v>
      </c>
      <c r="C160" s="88" t="s">
        <v>193</v>
      </c>
      <c r="D160" s="236">
        <v>7.54</v>
      </c>
      <c r="E160" s="178">
        <v>125</v>
      </c>
      <c r="F160" s="107">
        <f t="shared" si="53"/>
        <v>942.5</v>
      </c>
      <c r="G160" s="107">
        <f t="shared" si="54"/>
        <v>1131</v>
      </c>
    </row>
    <row r="161" spans="1:8" ht="15.75" x14ac:dyDescent="0.25">
      <c r="A161" s="88">
        <f t="shared" si="55"/>
        <v>69</v>
      </c>
      <c r="B161" s="253" t="s">
        <v>451</v>
      </c>
      <c r="C161" s="88" t="s">
        <v>193</v>
      </c>
      <c r="D161" s="236">
        <v>7.54</v>
      </c>
      <c r="E161" s="178">
        <v>198</v>
      </c>
      <c r="F161" s="107">
        <f t="shared" si="53"/>
        <v>1492.92</v>
      </c>
      <c r="G161" s="107">
        <f t="shared" si="54"/>
        <v>1791.5</v>
      </c>
    </row>
    <row r="162" spans="1:8" ht="15.75" x14ac:dyDescent="0.25">
      <c r="A162" s="88">
        <f t="shared" si="55"/>
        <v>70</v>
      </c>
      <c r="B162" s="253" t="s">
        <v>518</v>
      </c>
      <c r="C162" s="88" t="s">
        <v>239</v>
      </c>
      <c r="D162" s="236">
        <v>4.4400000000000004</v>
      </c>
      <c r="E162" s="178">
        <v>325</v>
      </c>
      <c r="F162" s="107">
        <f t="shared" si="53"/>
        <v>1443</v>
      </c>
      <c r="G162" s="107">
        <f t="shared" si="54"/>
        <v>1731.6</v>
      </c>
    </row>
    <row r="163" spans="1:8" ht="15.75" x14ac:dyDescent="0.25">
      <c r="A163" s="88">
        <f t="shared" si="55"/>
        <v>71</v>
      </c>
      <c r="B163" s="253" t="s">
        <v>503</v>
      </c>
      <c r="C163" s="88" t="s">
        <v>239</v>
      </c>
      <c r="D163" s="236">
        <v>4.4400000000000004</v>
      </c>
      <c r="E163" s="178">
        <v>3460</v>
      </c>
      <c r="F163" s="107">
        <f t="shared" si="53"/>
        <v>15362.4</v>
      </c>
      <c r="G163" s="107">
        <f t="shared" si="54"/>
        <v>18434.88</v>
      </c>
    </row>
    <row r="164" spans="1:8" x14ac:dyDescent="0.25">
      <c r="A164" s="88"/>
      <c r="B164" s="86" t="s">
        <v>525</v>
      </c>
      <c r="C164" s="88"/>
      <c r="D164" s="160"/>
      <c r="E164" s="275"/>
      <c r="F164" s="168"/>
      <c r="G164" s="276"/>
    </row>
    <row r="165" spans="1:8" ht="30" x14ac:dyDescent="0.25">
      <c r="A165" s="88">
        <f>A163+1</f>
        <v>72</v>
      </c>
      <c r="B165" s="253" t="s">
        <v>526</v>
      </c>
      <c r="C165" s="88" t="s">
        <v>193</v>
      </c>
      <c r="D165" s="237">
        <f>0.18+0.1+0.242+0.16*2+0.03+0.05</f>
        <v>0.92200000000000015</v>
      </c>
      <c r="E165" s="178">
        <v>18174.398148148146</v>
      </c>
      <c r="F165" s="107">
        <f t="shared" ref="F165:F166" si="56">ROUND(E165*D165,2)</f>
        <v>16756.8</v>
      </c>
      <c r="G165" s="107">
        <f t="shared" ref="G165:G166" si="57">ROUND(F165*1.2,2)</f>
        <v>20108.16</v>
      </c>
    </row>
    <row r="166" spans="1:8" ht="45" x14ac:dyDescent="0.25">
      <c r="A166" s="311">
        <f>A165+1</f>
        <v>73</v>
      </c>
      <c r="B166" s="316" t="s">
        <v>1085</v>
      </c>
      <c r="C166" s="311" t="s">
        <v>220</v>
      </c>
      <c r="D166" s="335">
        <v>1</v>
      </c>
      <c r="E166" s="179">
        <f>12511</f>
        <v>12511</v>
      </c>
      <c r="F166" s="314">
        <f t="shared" si="56"/>
        <v>12511</v>
      </c>
      <c r="G166" s="314">
        <f t="shared" si="57"/>
        <v>15013.2</v>
      </c>
    </row>
    <row r="167" spans="1:8" ht="15.75" x14ac:dyDescent="0.25">
      <c r="A167" s="311">
        <f>A166+1</f>
        <v>74</v>
      </c>
      <c r="B167" s="316" t="s">
        <v>1086</v>
      </c>
      <c r="C167" s="311" t="s">
        <v>220</v>
      </c>
      <c r="D167" s="335">
        <v>1</v>
      </c>
      <c r="E167" s="179">
        <v>14540</v>
      </c>
      <c r="F167" s="314">
        <f t="shared" ref="F167:F169" si="58">ROUND(E167*D167,2)</f>
        <v>14540</v>
      </c>
      <c r="G167" s="314">
        <f t="shared" ref="G167:G169" si="59">ROUND(F167*1.2,2)</f>
        <v>17448</v>
      </c>
    </row>
    <row r="168" spans="1:8" ht="15.75" x14ac:dyDescent="0.25">
      <c r="A168" s="328">
        <f t="shared" ref="A168:A169" si="60">A167+1</f>
        <v>75</v>
      </c>
      <c r="B168" s="375" t="s">
        <v>921</v>
      </c>
      <c r="C168" s="328" t="s">
        <v>239</v>
      </c>
      <c r="D168" s="376">
        <f>0.45+0.25+0.6+0.4+0.2+0.492+0.48+16.2</f>
        <v>19.071999999999999</v>
      </c>
      <c r="E168" s="329">
        <f>8660/D168</f>
        <v>454.06879194630875</v>
      </c>
      <c r="F168" s="330">
        <f t="shared" si="58"/>
        <v>8660</v>
      </c>
      <c r="G168" s="330">
        <f t="shared" si="59"/>
        <v>10392</v>
      </c>
      <c r="H168" s="218" t="s">
        <v>1625</v>
      </c>
    </row>
    <row r="169" spans="1:8" ht="30" x14ac:dyDescent="0.25">
      <c r="A169" s="328">
        <f t="shared" si="60"/>
        <v>76</v>
      </c>
      <c r="B169" s="375" t="s">
        <v>855</v>
      </c>
      <c r="C169" s="328" t="s">
        <v>239</v>
      </c>
      <c r="D169" s="376">
        <f>0.45+0.25+0.6+0.4+0.2+0.492+0.48+16.2</f>
        <v>19.071999999999999</v>
      </c>
      <c r="E169" s="329">
        <v>3460</v>
      </c>
      <c r="F169" s="330">
        <f t="shared" si="58"/>
        <v>65989.119999999995</v>
      </c>
      <c r="G169" s="330">
        <f t="shared" si="59"/>
        <v>79186.94</v>
      </c>
      <c r="H169" s="218" t="s">
        <v>1625</v>
      </c>
    </row>
    <row r="170" spans="1:8" ht="42.75" x14ac:dyDescent="0.25">
      <c r="A170" s="88"/>
      <c r="B170" s="86" t="s">
        <v>1087</v>
      </c>
      <c r="C170" s="88"/>
      <c r="D170" s="160"/>
      <c r="E170" s="275"/>
      <c r="F170" s="168"/>
      <c r="G170" s="276"/>
    </row>
    <row r="171" spans="1:8" x14ac:dyDescent="0.25">
      <c r="A171" s="88"/>
      <c r="B171" s="86" t="s">
        <v>1088</v>
      </c>
      <c r="C171" s="88"/>
      <c r="D171" s="160"/>
      <c r="E171" s="275"/>
      <c r="F171" s="168"/>
      <c r="G171" s="276"/>
    </row>
    <row r="172" spans="1:8" x14ac:dyDescent="0.25">
      <c r="A172" s="88"/>
      <c r="B172" s="86" t="s">
        <v>513</v>
      </c>
      <c r="C172" s="88"/>
      <c r="D172" s="160"/>
      <c r="E172" s="275"/>
      <c r="F172" s="168"/>
      <c r="G172" s="276"/>
    </row>
    <row r="173" spans="1:8" ht="30" x14ac:dyDescent="0.25">
      <c r="A173" s="88">
        <f>A169+1</f>
        <v>77</v>
      </c>
      <c r="B173" s="253" t="s">
        <v>1090</v>
      </c>
      <c r="C173" s="88" t="s">
        <v>193</v>
      </c>
      <c r="D173" s="236">
        <v>2612.46</v>
      </c>
      <c r="E173" s="178">
        <v>374</v>
      </c>
      <c r="F173" s="107">
        <f t="shared" ref="F173:F187" si="61">ROUND(E173*D173,2)</f>
        <v>977060.04</v>
      </c>
      <c r="G173" s="107">
        <f t="shared" ref="G173:G187" si="62">ROUND(F173*1.2,2)</f>
        <v>1172472.05</v>
      </c>
    </row>
    <row r="174" spans="1:8" ht="15.75" x14ac:dyDescent="0.25">
      <c r="A174" s="88">
        <f>A173+1</f>
        <v>78</v>
      </c>
      <c r="B174" s="253" t="s">
        <v>515</v>
      </c>
      <c r="C174" s="88" t="s">
        <v>193</v>
      </c>
      <c r="D174" s="236">
        <v>80.8</v>
      </c>
      <c r="E174" s="178">
        <v>1777</v>
      </c>
      <c r="F174" s="107">
        <f t="shared" si="61"/>
        <v>143581.6</v>
      </c>
      <c r="G174" s="107">
        <f t="shared" si="62"/>
        <v>172297.92</v>
      </c>
    </row>
    <row r="175" spans="1:8" ht="15.75" x14ac:dyDescent="0.25">
      <c r="A175" s="88">
        <f t="shared" ref="A175:A187" si="63">A174+1</f>
        <v>79</v>
      </c>
      <c r="B175" s="253" t="s">
        <v>1089</v>
      </c>
      <c r="C175" s="88" t="s">
        <v>193</v>
      </c>
      <c r="D175" s="236">
        <v>30.99</v>
      </c>
      <c r="E175" s="178">
        <v>1379</v>
      </c>
      <c r="F175" s="107">
        <f t="shared" si="61"/>
        <v>42735.21</v>
      </c>
      <c r="G175" s="107">
        <f t="shared" si="62"/>
        <v>51282.25</v>
      </c>
    </row>
    <row r="176" spans="1:8" ht="15.75" x14ac:dyDescent="0.25">
      <c r="A176" s="88">
        <f t="shared" si="63"/>
        <v>80</v>
      </c>
      <c r="B176" s="253" t="s">
        <v>1117</v>
      </c>
      <c r="C176" s="88" t="s">
        <v>193</v>
      </c>
      <c r="D176" s="236">
        <v>660.24</v>
      </c>
      <c r="E176" s="178">
        <v>1379</v>
      </c>
      <c r="F176" s="107">
        <f t="shared" si="61"/>
        <v>910470.96</v>
      </c>
      <c r="G176" s="107">
        <f t="shared" si="62"/>
        <v>1092565.1499999999</v>
      </c>
    </row>
    <row r="177" spans="1:7" ht="30" x14ac:dyDescent="0.25">
      <c r="A177" s="88">
        <f t="shared" si="63"/>
        <v>81</v>
      </c>
      <c r="B177" s="253" t="s">
        <v>1091</v>
      </c>
      <c r="C177" s="88" t="s">
        <v>193</v>
      </c>
      <c r="D177" s="236">
        <v>196.21</v>
      </c>
      <c r="E177" s="178">
        <v>374</v>
      </c>
      <c r="F177" s="107">
        <f t="shared" ref="F177" si="64">ROUND(E177*D177,2)</f>
        <v>73382.539999999994</v>
      </c>
      <c r="G177" s="107">
        <f t="shared" ref="G177" si="65">ROUND(F177*1.2,2)</f>
        <v>88059.05</v>
      </c>
    </row>
    <row r="178" spans="1:7" ht="30" x14ac:dyDescent="0.25">
      <c r="A178" s="88">
        <f t="shared" si="63"/>
        <v>82</v>
      </c>
      <c r="B178" s="253" t="s">
        <v>671</v>
      </c>
      <c r="C178" s="88" t="s">
        <v>193</v>
      </c>
      <c r="D178" s="236">
        <v>4.7300000000000004</v>
      </c>
      <c r="E178" s="178">
        <v>1422</v>
      </c>
      <c r="F178" s="107">
        <f t="shared" si="61"/>
        <v>6726.06</v>
      </c>
      <c r="G178" s="107">
        <f t="shared" si="62"/>
        <v>8071.27</v>
      </c>
    </row>
    <row r="179" spans="1:7" ht="30" x14ac:dyDescent="0.25">
      <c r="A179" s="88">
        <f t="shared" si="63"/>
        <v>83</v>
      </c>
      <c r="B179" s="253" t="s">
        <v>1092</v>
      </c>
      <c r="C179" s="88" t="s">
        <v>194</v>
      </c>
      <c r="D179" s="160">
        <v>35</v>
      </c>
      <c r="E179" s="178">
        <v>4846</v>
      </c>
      <c r="F179" s="107">
        <f t="shared" ref="F179:F183" si="66">ROUND(E179*D179,2)</f>
        <v>169610</v>
      </c>
      <c r="G179" s="107">
        <f t="shared" ref="G179:G183" si="67">ROUND(F179*1.2,2)</f>
        <v>203532</v>
      </c>
    </row>
    <row r="180" spans="1:7" ht="30" x14ac:dyDescent="0.25">
      <c r="A180" s="88">
        <f t="shared" si="63"/>
        <v>84</v>
      </c>
      <c r="B180" s="253" t="s">
        <v>1093</v>
      </c>
      <c r="C180" s="88" t="s">
        <v>194</v>
      </c>
      <c r="D180" s="160">
        <v>35</v>
      </c>
      <c r="E180" s="178">
        <v>414</v>
      </c>
      <c r="F180" s="107">
        <f t="shared" si="66"/>
        <v>14490</v>
      </c>
      <c r="G180" s="107">
        <f t="shared" si="67"/>
        <v>17388</v>
      </c>
    </row>
    <row r="181" spans="1:7" ht="15.75" x14ac:dyDescent="0.25">
      <c r="A181" s="88">
        <f t="shared" si="63"/>
        <v>85</v>
      </c>
      <c r="B181" s="253" t="s">
        <v>683</v>
      </c>
      <c r="C181" s="88" t="s">
        <v>650</v>
      </c>
      <c r="D181" s="160">
        <v>1</v>
      </c>
      <c r="E181" s="178">
        <v>6715</v>
      </c>
      <c r="F181" s="107">
        <f t="shared" si="66"/>
        <v>6715</v>
      </c>
      <c r="G181" s="107">
        <f t="shared" si="67"/>
        <v>8058</v>
      </c>
    </row>
    <row r="182" spans="1:7" ht="30" x14ac:dyDescent="0.25">
      <c r="A182" s="88">
        <f t="shared" si="63"/>
        <v>86</v>
      </c>
      <c r="B182" s="253" t="s">
        <v>1094</v>
      </c>
      <c r="C182" s="88" t="s">
        <v>193</v>
      </c>
      <c r="D182" s="236">
        <v>4.62</v>
      </c>
      <c r="E182" s="178">
        <v>9227.06</v>
      </c>
      <c r="F182" s="107">
        <f t="shared" si="66"/>
        <v>42629.02</v>
      </c>
      <c r="G182" s="107">
        <f t="shared" si="67"/>
        <v>51154.82</v>
      </c>
    </row>
    <row r="183" spans="1:7" ht="30" x14ac:dyDescent="0.25">
      <c r="A183" s="88">
        <f t="shared" si="63"/>
        <v>87</v>
      </c>
      <c r="B183" s="253" t="s">
        <v>1095</v>
      </c>
      <c r="C183" s="88" t="s">
        <v>194</v>
      </c>
      <c r="D183" s="160">
        <v>35</v>
      </c>
      <c r="E183" s="178">
        <v>3703</v>
      </c>
      <c r="F183" s="107">
        <f t="shared" si="66"/>
        <v>129605</v>
      </c>
      <c r="G183" s="107">
        <f t="shared" si="67"/>
        <v>155526</v>
      </c>
    </row>
    <row r="184" spans="1:7" ht="15.75" x14ac:dyDescent="0.25">
      <c r="A184" s="88">
        <f t="shared" si="63"/>
        <v>88</v>
      </c>
      <c r="B184" s="253" t="s">
        <v>672</v>
      </c>
      <c r="C184" s="88" t="s">
        <v>193</v>
      </c>
      <c r="D184" s="236">
        <v>2101.14</v>
      </c>
      <c r="E184" s="178">
        <v>125</v>
      </c>
      <c r="F184" s="107">
        <f t="shared" si="61"/>
        <v>262642.5</v>
      </c>
      <c r="G184" s="107">
        <f t="shared" si="62"/>
        <v>315171</v>
      </c>
    </row>
    <row r="185" spans="1:7" ht="15.75" x14ac:dyDescent="0.25">
      <c r="A185" s="88">
        <f t="shared" si="63"/>
        <v>89</v>
      </c>
      <c r="B185" s="253" t="s">
        <v>451</v>
      </c>
      <c r="C185" s="88" t="s">
        <v>193</v>
      </c>
      <c r="D185" s="236">
        <v>2101.14</v>
      </c>
      <c r="E185" s="178">
        <v>198</v>
      </c>
      <c r="F185" s="107">
        <f t="shared" si="61"/>
        <v>416025.72</v>
      </c>
      <c r="G185" s="107">
        <f t="shared" si="62"/>
        <v>499230.86</v>
      </c>
    </row>
    <row r="186" spans="1:7" ht="15.75" x14ac:dyDescent="0.25">
      <c r="A186" s="88">
        <f t="shared" si="63"/>
        <v>90</v>
      </c>
      <c r="B186" s="253" t="s">
        <v>518</v>
      </c>
      <c r="C186" s="88" t="s">
        <v>239</v>
      </c>
      <c r="D186" s="236">
        <v>1437.07</v>
      </c>
      <c r="E186" s="178">
        <v>325</v>
      </c>
      <c r="F186" s="107">
        <f t="shared" si="61"/>
        <v>467047.75</v>
      </c>
      <c r="G186" s="107">
        <f t="shared" si="62"/>
        <v>560457.30000000005</v>
      </c>
    </row>
    <row r="187" spans="1:7" ht="15.75" x14ac:dyDescent="0.25">
      <c r="A187" s="88">
        <f t="shared" si="63"/>
        <v>91</v>
      </c>
      <c r="B187" s="253" t="s">
        <v>503</v>
      </c>
      <c r="C187" s="88" t="s">
        <v>239</v>
      </c>
      <c r="D187" s="236">
        <v>1437.07</v>
      </c>
      <c r="E187" s="178">
        <v>3460</v>
      </c>
      <c r="F187" s="107">
        <f t="shared" si="61"/>
        <v>4972262.2</v>
      </c>
      <c r="G187" s="107">
        <f t="shared" si="62"/>
        <v>5966714.6399999997</v>
      </c>
    </row>
    <row r="188" spans="1:7" x14ac:dyDescent="0.25">
      <c r="A188" s="88"/>
      <c r="B188" s="86" t="s">
        <v>523</v>
      </c>
      <c r="C188" s="88"/>
      <c r="D188" s="160"/>
      <c r="E188" s="275"/>
      <c r="F188" s="168"/>
      <c r="G188" s="276"/>
    </row>
    <row r="189" spans="1:7" ht="15.75" x14ac:dyDescent="0.25">
      <c r="A189" s="88">
        <f>A187+1</f>
        <v>92</v>
      </c>
      <c r="B189" s="253" t="s">
        <v>1096</v>
      </c>
      <c r="C189" s="88" t="s">
        <v>194</v>
      </c>
      <c r="D189" s="160">
        <v>215</v>
      </c>
      <c r="E189" s="178">
        <v>1455</v>
      </c>
      <c r="F189" s="107">
        <f t="shared" ref="F189" si="68">ROUND(E189*D189,2)</f>
        <v>312825</v>
      </c>
      <c r="G189" s="107">
        <f t="shared" ref="G189" si="69">ROUND(F189*1.2,2)</f>
        <v>375390</v>
      </c>
    </row>
    <row r="190" spans="1:7" x14ac:dyDescent="0.25">
      <c r="A190" s="88"/>
      <c r="B190" s="86" t="s">
        <v>525</v>
      </c>
      <c r="C190" s="88"/>
      <c r="D190" s="160"/>
      <c r="E190" s="275"/>
      <c r="F190" s="168"/>
      <c r="G190" s="276"/>
    </row>
    <row r="191" spans="1:7" ht="30" x14ac:dyDescent="0.25">
      <c r="A191" s="88">
        <f>A189+1</f>
        <v>93</v>
      </c>
      <c r="B191" s="253" t="s">
        <v>526</v>
      </c>
      <c r="C191" s="88" t="s">
        <v>193</v>
      </c>
      <c r="D191" s="237">
        <f>0.18*4+0.1*5+0.242*7+0.16*1+0.03*19+0.05*1+0.38*10+0.283*5+0.4*15+0.265*2</f>
        <v>15.438999999999998</v>
      </c>
      <c r="E191" s="178">
        <v>18174.398148148146</v>
      </c>
      <c r="F191" s="107">
        <f t="shared" ref="F191:F192" si="70">ROUND(E191*D191,2)</f>
        <v>280594.53000000003</v>
      </c>
      <c r="G191" s="107">
        <f t="shared" ref="G191:G192" si="71">ROUND(F191*1.2,2)</f>
        <v>336713.44</v>
      </c>
    </row>
    <row r="192" spans="1:7" ht="45" x14ac:dyDescent="0.25">
      <c r="A192" s="88">
        <f t="shared" ref="A192" si="72">A191+1</f>
        <v>94</v>
      </c>
      <c r="B192" s="253" t="s">
        <v>1097</v>
      </c>
      <c r="C192" s="88" t="s">
        <v>220</v>
      </c>
      <c r="D192" s="160">
        <v>15</v>
      </c>
      <c r="E192" s="178">
        <v>8927</v>
      </c>
      <c r="F192" s="107">
        <f t="shared" si="70"/>
        <v>133905</v>
      </c>
      <c r="G192" s="107">
        <f t="shared" si="71"/>
        <v>160686</v>
      </c>
    </row>
    <row r="193" spans="1:8" x14ac:dyDescent="0.25">
      <c r="A193" s="311"/>
      <c r="B193" s="341" t="s">
        <v>1098</v>
      </c>
      <c r="C193" s="311"/>
      <c r="D193" s="335"/>
      <c r="E193" s="372"/>
      <c r="F193" s="373"/>
      <c r="G193" s="374"/>
    </row>
    <row r="194" spans="1:8" ht="20.25" customHeight="1" x14ac:dyDescent="0.25">
      <c r="A194" s="311">
        <f>A192+1</f>
        <v>95</v>
      </c>
      <c r="B194" s="316" t="s">
        <v>1099</v>
      </c>
      <c r="C194" s="311" t="s">
        <v>220</v>
      </c>
      <c r="D194" s="335">
        <v>10</v>
      </c>
      <c r="E194" s="179">
        <v>14540</v>
      </c>
      <c r="F194" s="314">
        <f t="shared" ref="F194:F196" si="73">ROUND(E194*D194,2)</f>
        <v>145400</v>
      </c>
      <c r="G194" s="314">
        <f t="shared" ref="G194:G196" si="74">ROUND(F194*1.2,2)</f>
        <v>174480</v>
      </c>
    </row>
    <row r="195" spans="1:8" ht="15.75" x14ac:dyDescent="0.25">
      <c r="A195" s="328">
        <f t="shared" ref="A195:A198" si="75">A194+1</f>
        <v>96</v>
      </c>
      <c r="B195" s="375" t="s">
        <v>921</v>
      </c>
      <c r="C195" s="328" t="s">
        <v>239</v>
      </c>
      <c r="D195" s="376">
        <f>1.8+1.25+4.2+0.4+4.75+0.4+4.75+3.45+15+1.32+0.75+0.492+1.2+0.0324+0.039+0.0078+0.117</f>
        <v>39.958200000000005</v>
      </c>
      <c r="E195" s="329">
        <f>8660/D195</f>
        <v>216.7264791707334</v>
      </c>
      <c r="F195" s="330">
        <f t="shared" si="73"/>
        <v>8660</v>
      </c>
      <c r="G195" s="330">
        <f t="shared" si="74"/>
        <v>10392</v>
      </c>
      <c r="H195" s="218" t="s">
        <v>1625</v>
      </c>
    </row>
    <row r="196" spans="1:8" ht="30" x14ac:dyDescent="0.25">
      <c r="A196" s="328">
        <f t="shared" si="75"/>
        <v>97</v>
      </c>
      <c r="B196" s="375" t="s">
        <v>855</v>
      </c>
      <c r="C196" s="328" t="s">
        <v>239</v>
      </c>
      <c r="D196" s="376">
        <f>1.8+1.25+4.2+0.4+4.75+0.4+4.75+3.45+15+1.32+0.75+0.492+1.2+0.0324+0.039+0.0078+0.117</f>
        <v>39.958200000000005</v>
      </c>
      <c r="E196" s="329">
        <v>3460</v>
      </c>
      <c r="F196" s="330">
        <f t="shared" si="73"/>
        <v>138255.37</v>
      </c>
      <c r="G196" s="330">
        <f t="shared" si="74"/>
        <v>165906.44</v>
      </c>
      <c r="H196" s="218" t="s">
        <v>1625</v>
      </c>
    </row>
    <row r="197" spans="1:8" ht="15.75" x14ac:dyDescent="0.25">
      <c r="A197" s="311">
        <f t="shared" si="75"/>
        <v>98</v>
      </c>
      <c r="B197" s="316" t="s">
        <v>1100</v>
      </c>
      <c r="C197" s="311" t="s">
        <v>194</v>
      </c>
      <c r="D197" s="335">
        <v>230</v>
      </c>
      <c r="E197" s="179">
        <v>918</v>
      </c>
      <c r="F197" s="314">
        <f t="shared" ref="F197:F198" si="76">ROUND(E197*D197,2)</f>
        <v>211140</v>
      </c>
      <c r="G197" s="314">
        <f t="shared" ref="G197:G198" si="77">ROUND(F197*1.2,2)</f>
        <v>253368</v>
      </c>
    </row>
    <row r="198" spans="1:8" ht="15.75" x14ac:dyDescent="0.25">
      <c r="A198" s="311">
        <f t="shared" si="75"/>
        <v>99</v>
      </c>
      <c r="B198" s="316" t="s">
        <v>1101</v>
      </c>
      <c r="C198" s="311" t="s">
        <v>220</v>
      </c>
      <c r="D198" s="335">
        <v>2</v>
      </c>
      <c r="E198" s="179">
        <v>14540</v>
      </c>
      <c r="F198" s="314">
        <f t="shared" si="76"/>
        <v>29080</v>
      </c>
      <c r="G198" s="314">
        <f t="shared" si="77"/>
        <v>34896</v>
      </c>
    </row>
    <row r="199" spans="1:8" ht="19.5" customHeight="1" x14ac:dyDescent="0.25">
      <c r="A199" s="88"/>
      <c r="B199" s="86" t="s">
        <v>1102</v>
      </c>
      <c r="C199" s="88"/>
      <c r="D199" s="160"/>
      <c r="E199" s="275"/>
      <c r="F199" s="168"/>
      <c r="G199" s="276"/>
    </row>
    <row r="200" spans="1:8" ht="21.75" customHeight="1" x14ac:dyDescent="0.25">
      <c r="A200" s="88"/>
      <c r="B200" s="86" t="s">
        <v>513</v>
      </c>
      <c r="C200" s="88"/>
      <c r="D200" s="160"/>
      <c r="E200" s="275"/>
      <c r="F200" s="168"/>
      <c r="G200" s="276"/>
    </row>
    <row r="201" spans="1:8" ht="30" x14ac:dyDescent="0.25">
      <c r="A201" s="311">
        <v>100</v>
      </c>
      <c r="B201" s="316" t="s">
        <v>1090</v>
      </c>
      <c r="C201" s="88" t="s">
        <v>193</v>
      </c>
      <c r="D201" s="236">
        <v>279.94</v>
      </c>
      <c r="E201" s="178">
        <v>374</v>
      </c>
      <c r="F201" s="107">
        <f t="shared" ref="F201:F210" si="78">ROUND(E201*D201,2)</f>
        <v>104697.56</v>
      </c>
      <c r="G201" s="107">
        <f t="shared" ref="G201:G210" si="79">ROUND(F201*1.2,2)</f>
        <v>125637.07</v>
      </c>
    </row>
    <row r="202" spans="1:8" ht="15.75" x14ac:dyDescent="0.25">
      <c r="A202" s="311">
        <f t="shared" ref="A202:A212" si="80">A201+1</f>
        <v>101</v>
      </c>
      <c r="B202" s="316" t="s">
        <v>515</v>
      </c>
      <c r="C202" s="88" t="s">
        <v>193</v>
      </c>
      <c r="D202" s="236">
        <v>8.6999999999999993</v>
      </c>
      <c r="E202" s="178">
        <v>1777</v>
      </c>
      <c r="F202" s="107">
        <f t="shared" si="78"/>
        <v>15459.9</v>
      </c>
      <c r="G202" s="107">
        <f t="shared" si="79"/>
        <v>18551.88</v>
      </c>
    </row>
    <row r="203" spans="1:8" ht="15.75" x14ac:dyDescent="0.25">
      <c r="A203" s="311">
        <f t="shared" si="80"/>
        <v>102</v>
      </c>
      <c r="B203" s="316" t="s">
        <v>1089</v>
      </c>
      <c r="C203" s="88" t="s">
        <v>193</v>
      </c>
      <c r="D203" s="236">
        <v>7.1</v>
      </c>
      <c r="E203" s="178">
        <v>1379</v>
      </c>
      <c r="F203" s="107">
        <f t="shared" si="78"/>
        <v>9790.9</v>
      </c>
      <c r="G203" s="107">
        <f t="shared" si="79"/>
        <v>11749.08</v>
      </c>
    </row>
    <row r="204" spans="1:8" ht="15.75" x14ac:dyDescent="0.25">
      <c r="A204" s="311">
        <f t="shared" si="80"/>
        <v>103</v>
      </c>
      <c r="B204" s="316" t="s">
        <v>1117</v>
      </c>
      <c r="C204" s="88" t="s">
        <v>193</v>
      </c>
      <c r="D204" s="236">
        <v>103.41</v>
      </c>
      <c r="E204" s="178">
        <v>1379</v>
      </c>
      <c r="F204" s="107">
        <f t="shared" si="78"/>
        <v>142602.39000000001</v>
      </c>
      <c r="G204" s="107">
        <f t="shared" si="79"/>
        <v>171122.87</v>
      </c>
    </row>
    <row r="205" spans="1:8" ht="30" x14ac:dyDescent="0.25">
      <c r="A205" s="311">
        <f t="shared" si="80"/>
        <v>104</v>
      </c>
      <c r="B205" s="316" t="s">
        <v>1091</v>
      </c>
      <c r="C205" s="88" t="s">
        <v>193</v>
      </c>
      <c r="D205" s="236">
        <v>18.72</v>
      </c>
      <c r="E205" s="178">
        <v>374</v>
      </c>
      <c r="F205" s="107">
        <f t="shared" si="78"/>
        <v>7001.28</v>
      </c>
      <c r="G205" s="107">
        <f t="shared" si="79"/>
        <v>8401.5400000000009</v>
      </c>
    </row>
    <row r="206" spans="1:8" ht="30" x14ac:dyDescent="0.25">
      <c r="A206" s="311">
        <f t="shared" si="80"/>
        <v>105</v>
      </c>
      <c r="B206" s="316" t="s">
        <v>671</v>
      </c>
      <c r="C206" s="88" t="s">
        <v>193</v>
      </c>
      <c r="D206" s="236">
        <v>0.8</v>
      </c>
      <c r="E206" s="178">
        <v>1422</v>
      </c>
      <c r="F206" s="107">
        <f t="shared" si="78"/>
        <v>1137.5999999999999</v>
      </c>
      <c r="G206" s="107">
        <f t="shared" si="79"/>
        <v>1365.12</v>
      </c>
    </row>
    <row r="207" spans="1:8" ht="15.75" x14ac:dyDescent="0.25">
      <c r="A207" s="311">
        <f t="shared" si="80"/>
        <v>106</v>
      </c>
      <c r="B207" s="316" t="s">
        <v>672</v>
      </c>
      <c r="C207" s="88" t="s">
        <v>193</v>
      </c>
      <c r="D207" s="236">
        <v>189.59</v>
      </c>
      <c r="E207" s="178">
        <v>125</v>
      </c>
      <c r="F207" s="107">
        <f t="shared" si="78"/>
        <v>23698.75</v>
      </c>
      <c r="G207" s="107">
        <f t="shared" si="79"/>
        <v>28438.5</v>
      </c>
    </row>
    <row r="208" spans="1:8" ht="15.75" x14ac:dyDescent="0.25">
      <c r="A208" s="311">
        <f t="shared" si="80"/>
        <v>107</v>
      </c>
      <c r="B208" s="316" t="s">
        <v>451</v>
      </c>
      <c r="C208" s="88" t="s">
        <v>193</v>
      </c>
      <c r="D208" s="236">
        <v>189.59</v>
      </c>
      <c r="E208" s="178">
        <v>198</v>
      </c>
      <c r="F208" s="107">
        <f t="shared" si="78"/>
        <v>37538.82</v>
      </c>
      <c r="G208" s="107">
        <f t="shared" si="79"/>
        <v>45046.58</v>
      </c>
    </row>
    <row r="209" spans="1:7" ht="15.75" x14ac:dyDescent="0.25">
      <c r="A209" s="311">
        <f t="shared" si="80"/>
        <v>108</v>
      </c>
      <c r="B209" s="316" t="s">
        <v>518</v>
      </c>
      <c r="C209" s="88" t="s">
        <v>239</v>
      </c>
      <c r="D209" s="236">
        <v>221.55</v>
      </c>
      <c r="E209" s="178">
        <v>325</v>
      </c>
      <c r="F209" s="107">
        <f t="shared" si="78"/>
        <v>72003.75</v>
      </c>
      <c r="G209" s="107">
        <f t="shared" si="79"/>
        <v>86404.5</v>
      </c>
    </row>
    <row r="210" spans="1:7" ht="15.75" x14ac:dyDescent="0.25">
      <c r="A210" s="311">
        <f t="shared" si="80"/>
        <v>109</v>
      </c>
      <c r="B210" s="316" t="s">
        <v>503</v>
      </c>
      <c r="C210" s="88" t="s">
        <v>239</v>
      </c>
      <c r="D210" s="236">
        <v>221.55</v>
      </c>
      <c r="E210" s="178">
        <v>3460</v>
      </c>
      <c r="F210" s="107">
        <f t="shared" si="78"/>
        <v>766563</v>
      </c>
      <c r="G210" s="107">
        <f t="shared" si="79"/>
        <v>919875.6</v>
      </c>
    </row>
    <row r="211" spans="1:7" ht="21" customHeight="1" x14ac:dyDescent="0.25">
      <c r="A211" s="311">
        <f t="shared" si="80"/>
        <v>110</v>
      </c>
      <c r="B211" s="341" t="s">
        <v>523</v>
      </c>
      <c r="C211" s="88"/>
      <c r="D211" s="160"/>
      <c r="E211" s="275"/>
      <c r="F211" s="168"/>
      <c r="G211" s="276"/>
    </row>
    <row r="212" spans="1:7" ht="18.75" customHeight="1" x14ac:dyDescent="0.25">
      <c r="A212" s="311">
        <f t="shared" si="80"/>
        <v>111</v>
      </c>
      <c r="B212" s="316" t="s">
        <v>1096</v>
      </c>
      <c r="C212" s="88" t="s">
        <v>194</v>
      </c>
      <c r="D212" s="160">
        <v>27</v>
      </c>
      <c r="E212" s="178">
        <v>1455</v>
      </c>
      <c r="F212" s="107">
        <f t="shared" ref="F212" si="81">ROUND(E212*D212,2)</f>
        <v>39285</v>
      </c>
      <c r="G212" s="107">
        <f t="shared" ref="G212" si="82">ROUND(F212*1.2,2)</f>
        <v>47142</v>
      </c>
    </row>
    <row r="213" spans="1:7" ht="33" customHeight="1" x14ac:dyDescent="0.25">
      <c r="A213" s="88"/>
      <c r="B213" s="86" t="s">
        <v>1103</v>
      </c>
      <c r="C213" s="88"/>
      <c r="D213" s="160"/>
      <c r="E213" s="275"/>
      <c r="F213" s="168"/>
      <c r="G213" s="276"/>
    </row>
    <row r="214" spans="1:7" ht="30" x14ac:dyDescent="0.25">
      <c r="A214" s="88">
        <f>A212+1</f>
        <v>112</v>
      </c>
      <c r="B214" s="253" t="s">
        <v>526</v>
      </c>
      <c r="C214" s="88" t="s">
        <v>193</v>
      </c>
      <c r="D214" s="237">
        <f>2*0.18+2*0.1+2*0.242</f>
        <v>1.044</v>
      </c>
      <c r="E214" s="178">
        <v>18174.398148148146</v>
      </c>
      <c r="F214" s="107">
        <f t="shared" ref="F214" si="83">ROUND(E214*D214,2)</f>
        <v>18974.07</v>
      </c>
      <c r="G214" s="107">
        <f t="shared" ref="G214" si="84">ROUND(F214*1.2,2)</f>
        <v>22768.880000000001</v>
      </c>
    </row>
    <row r="215" spans="1:7" ht="15.75" x14ac:dyDescent="0.25">
      <c r="A215" s="311">
        <f>A214+1</f>
        <v>113</v>
      </c>
      <c r="B215" s="316" t="s">
        <v>1104</v>
      </c>
      <c r="C215" s="311" t="s">
        <v>220</v>
      </c>
      <c r="D215" s="335">
        <v>2</v>
      </c>
      <c r="E215" s="179">
        <v>2285</v>
      </c>
      <c r="F215" s="314">
        <f t="shared" ref="F215" si="85">ROUND(E215*D215,2)</f>
        <v>4570</v>
      </c>
      <c r="G215" s="314">
        <f t="shared" ref="G215" si="86">ROUND(F215*1.2,2)</f>
        <v>5484</v>
      </c>
    </row>
    <row r="216" spans="1:7" ht="21" customHeight="1" x14ac:dyDescent="0.25">
      <c r="A216" s="88"/>
      <c r="B216" s="86" t="s">
        <v>1105</v>
      </c>
      <c r="C216" s="88"/>
      <c r="D216" s="160"/>
      <c r="E216" s="275"/>
      <c r="F216" s="168"/>
      <c r="G216" s="276"/>
    </row>
    <row r="217" spans="1:7" x14ac:dyDescent="0.25">
      <c r="A217" s="88"/>
      <c r="B217" s="86" t="s">
        <v>513</v>
      </c>
      <c r="C217" s="88"/>
      <c r="D217" s="160"/>
      <c r="E217" s="275"/>
      <c r="F217" s="168"/>
      <c r="G217" s="276"/>
    </row>
    <row r="218" spans="1:7" ht="30" x14ac:dyDescent="0.25">
      <c r="A218" s="88">
        <f>A215+1</f>
        <v>114</v>
      </c>
      <c r="B218" s="253" t="s">
        <v>1090</v>
      </c>
      <c r="C218" s="88" t="s">
        <v>193</v>
      </c>
      <c r="D218" s="236">
        <v>1686.55</v>
      </c>
      <c r="E218" s="178">
        <v>374</v>
      </c>
      <c r="F218" s="107">
        <f t="shared" ref="F218:F232" si="87">ROUND(E218*D218,2)</f>
        <v>630769.69999999995</v>
      </c>
      <c r="G218" s="107">
        <f t="shared" ref="G218:G232" si="88">ROUND(F218*1.2,2)</f>
        <v>756923.64</v>
      </c>
    </row>
    <row r="219" spans="1:7" ht="15.75" x14ac:dyDescent="0.25">
      <c r="A219" s="88">
        <f>A218+1</f>
        <v>115</v>
      </c>
      <c r="B219" s="253" t="s">
        <v>515</v>
      </c>
      <c r="C219" s="88" t="s">
        <v>193</v>
      </c>
      <c r="D219" s="236">
        <v>52.41</v>
      </c>
      <c r="E219" s="178">
        <v>1777</v>
      </c>
      <c r="F219" s="107">
        <f t="shared" si="87"/>
        <v>93132.57</v>
      </c>
      <c r="G219" s="107">
        <f t="shared" si="88"/>
        <v>111759.08</v>
      </c>
    </row>
    <row r="220" spans="1:7" ht="15.75" x14ac:dyDescent="0.25">
      <c r="A220" s="88">
        <f t="shared" ref="A220:A232" si="89">A219+1</f>
        <v>116</v>
      </c>
      <c r="B220" s="253" t="s">
        <v>1089</v>
      </c>
      <c r="C220" s="88" t="s">
        <v>193</v>
      </c>
      <c r="D220" s="236">
        <v>61.32</v>
      </c>
      <c r="E220" s="178">
        <v>1379</v>
      </c>
      <c r="F220" s="107">
        <f t="shared" si="87"/>
        <v>84560.28</v>
      </c>
      <c r="G220" s="107">
        <f t="shared" si="88"/>
        <v>101472.34</v>
      </c>
    </row>
    <row r="221" spans="1:7" ht="15.75" x14ac:dyDescent="0.25">
      <c r="A221" s="88">
        <f t="shared" si="89"/>
        <v>117</v>
      </c>
      <c r="B221" s="253" t="s">
        <v>1117</v>
      </c>
      <c r="C221" s="88" t="s">
        <v>193</v>
      </c>
      <c r="D221" s="236">
        <v>1048.56</v>
      </c>
      <c r="E221" s="178">
        <v>1379</v>
      </c>
      <c r="F221" s="107">
        <f t="shared" si="87"/>
        <v>1445964.24</v>
      </c>
      <c r="G221" s="107">
        <f t="shared" si="88"/>
        <v>1735157.09</v>
      </c>
    </row>
    <row r="222" spans="1:7" ht="30" x14ac:dyDescent="0.25">
      <c r="A222" s="88">
        <f t="shared" si="89"/>
        <v>118</v>
      </c>
      <c r="B222" s="253" t="s">
        <v>1091</v>
      </c>
      <c r="C222" s="88" t="s">
        <v>193</v>
      </c>
      <c r="D222" s="236">
        <v>62.19</v>
      </c>
      <c r="E222" s="178">
        <v>374</v>
      </c>
      <c r="F222" s="107">
        <f t="shared" si="87"/>
        <v>23259.06</v>
      </c>
      <c r="G222" s="107">
        <f t="shared" si="88"/>
        <v>27910.87</v>
      </c>
    </row>
    <row r="223" spans="1:7" ht="30" x14ac:dyDescent="0.25">
      <c r="A223" s="88">
        <f t="shared" si="89"/>
        <v>119</v>
      </c>
      <c r="B223" s="253" t="s">
        <v>671</v>
      </c>
      <c r="C223" s="88" t="s">
        <v>193</v>
      </c>
      <c r="D223" s="236">
        <v>1.8</v>
      </c>
      <c r="E223" s="178">
        <v>1422</v>
      </c>
      <c r="F223" s="107">
        <f t="shared" si="87"/>
        <v>2559.6</v>
      </c>
      <c r="G223" s="107">
        <f t="shared" si="88"/>
        <v>3071.52</v>
      </c>
    </row>
    <row r="224" spans="1:7" ht="30" x14ac:dyDescent="0.25">
      <c r="A224" s="88">
        <f t="shared" si="89"/>
        <v>120</v>
      </c>
      <c r="B224" s="253" t="s">
        <v>1106</v>
      </c>
      <c r="C224" s="88" t="s">
        <v>194</v>
      </c>
      <c r="D224" s="160">
        <v>14</v>
      </c>
      <c r="E224" s="178">
        <v>12481</v>
      </c>
      <c r="F224" s="107">
        <f t="shared" si="87"/>
        <v>174734</v>
      </c>
      <c r="G224" s="107">
        <f t="shared" si="88"/>
        <v>209680.8</v>
      </c>
    </row>
    <row r="225" spans="1:7" ht="30" x14ac:dyDescent="0.25">
      <c r="A225" s="88">
        <f t="shared" si="89"/>
        <v>121</v>
      </c>
      <c r="B225" s="253" t="s">
        <v>673</v>
      </c>
      <c r="C225" s="88" t="s">
        <v>194</v>
      </c>
      <c r="D225" s="160">
        <v>14</v>
      </c>
      <c r="E225" s="178">
        <v>414</v>
      </c>
      <c r="F225" s="107">
        <f t="shared" si="87"/>
        <v>5796</v>
      </c>
      <c r="G225" s="107">
        <f t="shared" si="88"/>
        <v>6955.2</v>
      </c>
    </row>
    <row r="226" spans="1:7" ht="15.75" x14ac:dyDescent="0.25">
      <c r="A226" s="88">
        <f t="shared" si="89"/>
        <v>122</v>
      </c>
      <c r="B226" s="253" t="s">
        <v>1107</v>
      </c>
      <c r="C226" s="88" t="s">
        <v>650</v>
      </c>
      <c r="D226" s="160">
        <v>1</v>
      </c>
      <c r="E226" s="178">
        <v>19252</v>
      </c>
      <c r="F226" s="107">
        <f t="shared" si="87"/>
        <v>19252</v>
      </c>
      <c r="G226" s="107">
        <f t="shared" si="88"/>
        <v>23102.400000000001</v>
      </c>
    </row>
    <row r="227" spans="1:7" ht="30" x14ac:dyDescent="0.25">
      <c r="A227" s="88">
        <f t="shared" si="89"/>
        <v>123</v>
      </c>
      <c r="B227" s="253" t="s">
        <v>1109</v>
      </c>
      <c r="C227" s="88" t="s">
        <v>194</v>
      </c>
      <c r="D227" s="160">
        <v>14</v>
      </c>
      <c r="E227" s="178">
        <v>3703</v>
      </c>
      <c r="F227" s="107">
        <f t="shared" ref="F227" si="90">ROUND(E227*D227,2)</f>
        <v>51842</v>
      </c>
      <c r="G227" s="107">
        <f t="shared" ref="G227" si="91">ROUND(F227*1.2,2)</f>
        <v>62210.400000000001</v>
      </c>
    </row>
    <row r="228" spans="1:7" ht="30" x14ac:dyDescent="0.25">
      <c r="A228" s="88">
        <f>A226+1</f>
        <v>123</v>
      </c>
      <c r="B228" s="253" t="s">
        <v>1108</v>
      </c>
      <c r="C228" s="88" t="s">
        <v>193</v>
      </c>
      <c r="D228" s="236">
        <v>6.33</v>
      </c>
      <c r="E228" s="178">
        <v>9227.06</v>
      </c>
      <c r="F228" s="107">
        <f t="shared" si="87"/>
        <v>58407.29</v>
      </c>
      <c r="G228" s="107">
        <f t="shared" si="88"/>
        <v>70088.75</v>
      </c>
    </row>
    <row r="229" spans="1:7" ht="15.75" x14ac:dyDescent="0.25">
      <c r="A229" s="88">
        <f>A227+1</f>
        <v>124</v>
      </c>
      <c r="B229" s="253" t="s">
        <v>672</v>
      </c>
      <c r="C229" s="88" t="s">
        <v>193</v>
      </c>
      <c r="D229" s="236">
        <v>513.4</v>
      </c>
      <c r="E229" s="178">
        <v>125</v>
      </c>
      <c r="F229" s="107">
        <f t="shared" si="87"/>
        <v>64175</v>
      </c>
      <c r="G229" s="107">
        <f t="shared" si="88"/>
        <v>77010</v>
      </c>
    </row>
    <row r="230" spans="1:7" ht="15.75" x14ac:dyDescent="0.25">
      <c r="A230" s="88">
        <f t="shared" si="89"/>
        <v>125</v>
      </c>
      <c r="B230" s="253" t="s">
        <v>451</v>
      </c>
      <c r="C230" s="88" t="s">
        <v>193</v>
      </c>
      <c r="D230" s="236">
        <v>513.4</v>
      </c>
      <c r="E230" s="178">
        <v>198</v>
      </c>
      <c r="F230" s="107">
        <f t="shared" si="87"/>
        <v>101653.2</v>
      </c>
      <c r="G230" s="107">
        <f t="shared" si="88"/>
        <v>121983.84</v>
      </c>
    </row>
    <row r="231" spans="1:7" ht="15.75" x14ac:dyDescent="0.25">
      <c r="A231" s="88">
        <f t="shared" si="89"/>
        <v>126</v>
      </c>
      <c r="B231" s="253" t="s">
        <v>518</v>
      </c>
      <c r="C231" s="88" t="s">
        <v>239</v>
      </c>
      <c r="D231" s="236">
        <v>2343.96</v>
      </c>
      <c r="E231" s="178">
        <v>325</v>
      </c>
      <c r="F231" s="107">
        <f t="shared" si="87"/>
        <v>761787</v>
      </c>
      <c r="G231" s="107">
        <f t="shared" si="88"/>
        <v>914144.4</v>
      </c>
    </row>
    <row r="232" spans="1:7" ht="18" customHeight="1" x14ac:dyDescent="0.25">
      <c r="A232" s="88">
        <f t="shared" si="89"/>
        <v>127</v>
      </c>
      <c r="B232" s="253" t="s">
        <v>503</v>
      </c>
      <c r="C232" s="88" t="s">
        <v>239</v>
      </c>
      <c r="D232" s="236">
        <v>2343.96</v>
      </c>
      <c r="E232" s="178">
        <v>3460</v>
      </c>
      <c r="F232" s="107">
        <f t="shared" si="87"/>
        <v>8110101.5999999996</v>
      </c>
      <c r="G232" s="107">
        <f t="shared" si="88"/>
        <v>9732121.9199999999</v>
      </c>
    </row>
    <row r="233" spans="1:7" ht="19.5" customHeight="1" x14ac:dyDescent="0.25">
      <c r="A233" s="88"/>
      <c r="B233" s="86" t="s">
        <v>523</v>
      </c>
      <c r="C233" s="88"/>
      <c r="D233" s="160"/>
      <c r="E233" s="275"/>
      <c r="F233" s="168"/>
      <c r="G233" s="276"/>
    </row>
    <row r="234" spans="1:7" ht="18.75" customHeight="1" x14ac:dyDescent="0.25">
      <c r="A234" s="88">
        <f>A232+1</f>
        <v>128</v>
      </c>
      <c r="B234" s="253" t="s">
        <v>674</v>
      </c>
      <c r="C234" s="88" t="s">
        <v>194</v>
      </c>
      <c r="D234" s="160">
        <v>132</v>
      </c>
      <c r="E234" s="178">
        <v>4629</v>
      </c>
      <c r="F234" s="107">
        <f t="shared" ref="F234" si="92">ROUND(E234*D234,2)</f>
        <v>611028</v>
      </c>
      <c r="G234" s="107">
        <f t="shared" ref="G234" si="93">ROUND(F234*1.2,2)</f>
        <v>733233.6</v>
      </c>
    </row>
    <row r="235" spans="1:7" ht="21.75" customHeight="1" x14ac:dyDescent="0.25">
      <c r="A235" s="88"/>
      <c r="B235" s="86" t="s">
        <v>525</v>
      </c>
      <c r="C235" s="88"/>
      <c r="D235" s="160"/>
      <c r="E235" s="275"/>
      <c r="F235" s="168"/>
      <c r="G235" s="276"/>
    </row>
    <row r="236" spans="1:7" ht="30" x14ac:dyDescent="0.25">
      <c r="A236" s="88">
        <f>A234+1</f>
        <v>129</v>
      </c>
      <c r="B236" s="253" t="s">
        <v>526</v>
      </c>
      <c r="C236" s="88" t="s">
        <v>193</v>
      </c>
      <c r="D236" s="237">
        <f>2*0.59+4*0.53+3*0.587+1*0.389+0.03*6</f>
        <v>5.63</v>
      </c>
      <c r="E236" s="178">
        <v>18174.398148148146</v>
      </c>
      <c r="F236" s="107">
        <f t="shared" ref="F236" si="94">ROUND(E236*D236,2)</f>
        <v>102321.86</v>
      </c>
      <c r="G236" s="107">
        <f t="shared" ref="G236" si="95">ROUND(F236*1.2,2)</f>
        <v>122786.23</v>
      </c>
    </row>
    <row r="237" spans="1:7" ht="45" x14ac:dyDescent="0.25">
      <c r="A237" s="88">
        <f>A236+1</f>
        <v>130</v>
      </c>
      <c r="B237" s="253" t="s">
        <v>1110</v>
      </c>
      <c r="C237" s="88" t="s">
        <v>220</v>
      </c>
      <c r="D237" s="160">
        <v>6</v>
      </c>
      <c r="E237" s="178">
        <v>19252</v>
      </c>
      <c r="F237" s="107">
        <f t="shared" ref="F237" si="96">ROUND(E237*D237,2)</f>
        <v>115512</v>
      </c>
      <c r="G237" s="107">
        <f t="shared" ref="G237" si="97">ROUND(F237*1.2,2)</f>
        <v>138614.39999999999</v>
      </c>
    </row>
    <row r="238" spans="1:7" ht="22.5" customHeight="1" x14ac:dyDescent="0.25">
      <c r="A238" s="88"/>
      <c r="B238" s="86" t="s">
        <v>713</v>
      </c>
      <c r="C238" s="88"/>
      <c r="D238" s="160"/>
      <c r="E238" s="275"/>
      <c r="F238" s="168"/>
      <c r="G238" s="276"/>
    </row>
    <row r="239" spans="1:7" ht="30" x14ac:dyDescent="0.25">
      <c r="A239" s="311">
        <f>A237+1</f>
        <v>131</v>
      </c>
      <c r="B239" s="316" t="s">
        <v>1114</v>
      </c>
      <c r="C239" s="311" t="s">
        <v>220</v>
      </c>
      <c r="D239" s="335">
        <v>2</v>
      </c>
      <c r="E239" s="433">
        <v>14540</v>
      </c>
      <c r="F239" s="433">
        <f t="shared" ref="F239:F242" si="98">ROUND(E239*D239,2)</f>
        <v>29080</v>
      </c>
      <c r="G239" s="433">
        <f t="shared" ref="G239:G242" si="99">ROUND(F239*1.2,2)</f>
        <v>34896</v>
      </c>
    </row>
    <row r="240" spans="1:7" ht="15.75" customHeight="1" x14ac:dyDescent="0.25">
      <c r="A240" s="311">
        <f>A239+1</f>
        <v>132</v>
      </c>
      <c r="B240" s="316" t="s">
        <v>1113</v>
      </c>
      <c r="C240" s="311" t="s">
        <v>220</v>
      </c>
      <c r="D240" s="335">
        <v>2</v>
      </c>
      <c r="E240" s="434"/>
      <c r="F240" s="434">
        <f t="shared" si="98"/>
        <v>0</v>
      </c>
      <c r="G240" s="434">
        <f t="shared" si="99"/>
        <v>0</v>
      </c>
    </row>
    <row r="241" spans="1:7" ht="15.75" customHeight="1" x14ac:dyDescent="0.25">
      <c r="A241" s="311">
        <f>A240+1</f>
        <v>133</v>
      </c>
      <c r="B241" s="316" t="s">
        <v>1111</v>
      </c>
      <c r="C241" s="311" t="s">
        <v>220</v>
      </c>
      <c r="D241" s="335">
        <v>2</v>
      </c>
      <c r="E241" s="435"/>
      <c r="F241" s="435">
        <f t="shared" si="98"/>
        <v>0</v>
      </c>
      <c r="G241" s="435">
        <f t="shared" si="99"/>
        <v>0</v>
      </c>
    </row>
    <row r="242" spans="1:7" ht="15.75" x14ac:dyDescent="0.25">
      <c r="A242" s="311">
        <f>A241+1</f>
        <v>134</v>
      </c>
      <c r="B242" s="316" t="s">
        <v>1112</v>
      </c>
      <c r="C242" s="311" t="s">
        <v>194</v>
      </c>
      <c r="D242" s="335">
        <v>132</v>
      </c>
      <c r="E242" s="179">
        <v>2054</v>
      </c>
      <c r="F242" s="314">
        <f t="shared" si="98"/>
        <v>271128</v>
      </c>
      <c r="G242" s="314">
        <f t="shared" si="99"/>
        <v>325353.59999999998</v>
      </c>
    </row>
    <row r="243" spans="1:7" ht="20.25" customHeight="1" x14ac:dyDescent="0.25">
      <c r="A243" s="88"/>
      <c r="B243" s="86" t="s">
        <v>1115</v>
      </c>
      <c r="C243" s="88"/>
      <c r="D243" s="160"/>
      <c r="E243" s="275"/>
      <c r="F243" s="168"/>
      <c r="G243" s="276"/>
    </row>
    <row r="244" spans="1:7" ht="21" customHeight="1" x14ac:dyDescent="0.25">
      <c r="A244" s="88"/>
      <c r="B244" s="86" t="s">
        <v>513</v>
      </c>
      <c r="C244" s="88"/>
      <c r="D244" s="160"/>
      <c r="E244" s="275"/>
      <c r="F244" s="168"/>
      <c r="G244" s="276"/>
    </row>
    <row r="245" spans="1:7" ht="30" x14ac:dyDescent="0.25">
      <c r="A245" s="88">
        <f>A242+1</f>
        <v>135</v>
      </c>
      <c r="B245" s="253" t="s">
        <v>1090</v>
      </c>
      <c r="C245" s="88" t="s">
        <v>193</v>
      </c>
      <c r="D245" s="236">
        <v>216.6</v>
      </c>
      <c r="E245" s="178">
        <v>374</v>
      </c>
      <c r="F245" s="107">
        <f t="shared" ref="F245:F248" si="100">ROUND(E245*D245,2)</f>
        <v>81008.399999999994</v>
      </c>
      <c r="G245" s="107">
        <f t="shared" ref="G245:G248" si="101">ROUND(F245*1.2,2)</f>
        <v>97210.08</v>
      </c>
    </row>
    <row r="246" spans="1:7" ht="15.75" x14ac:dyDescent="0.25">
      <c r="A246" s="88">
        <f>A245+1</f>
        <v>136</v>
      </c>
      <c r="B246" s="253" t="s">
        <v>515</v>
      </c>
      <c r="C246" s="88" t="s">
        <v>193</v>
      </c>
      <c r="D246" s="236">
        <v>6.7</v>
      </c>
      <c r="E246" s="178">
        <v>1777</v>
      </c>
      <c r="F246" s="107">
        <f t="shared" si="100"/>
        <v>11905.9</v>
      </c>
      <c r="G246" s="107">
        <f t="shared" si="101"/>
        <v>14287.08</v>
      </c>
    </row>
    <row r="247" spans="1:7" ht="15.75" x14ac:dyDescent="0.25">
      <c r="A247" s="88">
        <f>A246+1</f>
        <v>137</v>
      </c>
      <c r="B247" s="253" t="s">
        <v>1089</v>
      </c>
      <c r="C247" s="88" t="s">
        <v>193</v>
      </c>
      <c r="D247" s="236">
        <v>7.58</v>
      </c>
      <c r="E247" s="178">
        <v>1379</v>
      </c>
      <c r="F247" s="107">
        <f t="shared" si="100"/>
        <v>10452.82</v>
      </c>
      <c r="G247" s="107">
        <f t="shared" si="101"/>
        <v>12543.38</v>
      </c>
    </row>
    <row r="248" spans="1:7" ht="15.75" x14ac:dyDescent="0.25">
      <c r="A248" s="88">
        <f>A247+1</f>
        <v>138</v>
      </c>
      <c r="B248" s="253" t="s">
        <v>1116</v>
      </c>
      <c r="C248" s="88" t="s">
        <v>193</v>
      </c>
      <c r="D248" s="236">
        <v>155.19999999999999</v>
      </c>
      <c r="E248" s="178">
        <v>1379</v>
      </c>
      <c r="F248" s="107">
        <f t="shared" si="100"/>
        <v>214020.8</v>
      </c>
      <c r="G248" s="107">
        <f t="shared" si="101"/>
        <v>256824.95999999999</v>
      </c>
    </row>
    <row r="249" spans="1:7" ht="30" x14ac:dyDescent="0.25">
      <c r="A249" s="311">
        <f t="shared" ref="A249:A255" si="102">A248+1</f>
        <v>139</v>
      </c>
      <c r="B249" s="377" t="s">
        <v>1120</v>
      </c>
      <c r="C249" s="311" t="s">
        <v>194</v>
      </c>
      <c r="D249" s="313">
        <v>6</v>
      </c>
      <c r="E249" s="179">
        <v>6784</v>
      </c>
      <c r="F249" s="314">
        <f t="shared" ref="F249:F255" si="103">ROUND(E249*D249,2)</f>
        <v>40704</v>
      </c>
      <c r="G249" s="314">
        <f t="shared" ref="G249:G255" si="104">ROUND(F249*1.2,2)</f>
        <v>48844.800000000003</v>
      </c>
    </row>
    <row r="250" spans="1:7" ht="30" x14ac:dyDescent="0.25">
      <c r="A250" s="311">
        <f t="shared" si="102"/>
        <v>140</v>
      </c>
      <c r="B250" s="377" t="s">
        <v>1119</v>
      </c>
      <c r="C250" s="311" t="s">
        <v>194</v>
      </c>
      <c r="D250" s="313">
        <v>6</v>
      </c>
      <c r="E250" s="179">
        <f>580</f>
        <v>580</v>
      </c>
      <c r="F250" s="314">
        <f t="shared" si="103"/>
        <v>3480</v>
      </c>
      <c r="G250" s="314">
        <f t="shared" si="104"/>
        <v>4176</v>
      </c>
    </row>
    <row r="251" spans="1:7" ht="30" x14ac:dyDescent="0.25">
      <c r="A251" s="311">
        <f t="shared" si="102"/>
        <v>141</v>
      </c>
      <c r="B251" s="377" t="s">
        <v>1118</v>
      </c>
      <c r="C251" s="311" t="s">
        <v>194</v>
      </c>
      <c r="D251" s="313">
        <v>6</v>
      </c>
      <c r="E251" s="179">
        <v>5184</v>
      </c>
      <c r="F251" s="314">
        <f t="shared" si="103"/>
        <v>31104</v>
      </c>
      <c r="G251" s="314">
        <f t="shared" si="104"/>
        <v>37324.800000000003</v>
      </c>
    </row>
    <row r="252" spans="1:7" ht="15.75" x14ac:dyDescent="0.25">
      <c r="A252" s="88">
        <f t="shared" si="102"/>
        <v>142</v>
      </c>
      <c r="B252" s="253" t="s">
        <v>672</v>
      </c>
      <c r="C252" s="88" t="s">
        <v>193</v>
      </c>
      <c r="D252" s="236">
        <v>50.81</v>
      </c>
      <c r="E252" s="178">
        <v>125</v>
      </c>
      <c r="F252" s="107">
        <f t="shared" si="103"/>
        <v>6351.25</v>
      </c>
      <c r="G252" s="107">
        <f t="shared" si="104"/>
        <v>7621.5</v>
      </c>
    </row>
    <row r="253" spans="1:7" ht="15.75" x14ac:dyDescent="0.25">
      <c r="A253" s="88">
        <f t="shared" si="102"/>
        <v>143</v>
      </c>
      <c r="B253" s="253" t="s">
        <v>451</v>
      </c>
      <c r="C253" s="88" t="s">
        <v>193</v>
      </c>
      <c r="D253" s="236">
        <v>50.81</v>
      </c>
      <c r="E253" s="178">
        <v>198</v>
      </c>
      <c r="F253" s="107">
        <f t="shared" si="103"/>
        <v>10060.379999999999</v>
      </c>
      <c r="G253" s="107">
        <f t="shared" si="104"/>
        <v>12072.46</v>
      </c>
    </row>
    <row r="254" spans="1:7" ht="15.75" x14ac:dyDescent="0.25">
      <c r="A254" s="88">
        <f t="shared" si="102"/>
        <v>144</v>
      </c>
      <c r="B254" s="253" t="s">
        <v>518</v>
      </c>
      <c r="C254" s="88" t="s">
        <v>239</v>
      </c>
      <c r="D254" s="236">
        <v>327.63</v>
      </c>
      <c r="E254" s="178">
        <v>325</v>
      </c>
      <c r="F254" s="107">
        <f t="shared" si="103"/>
        <v>106479.75</v>
      </c>
      <c r="G254" s="107">
        <f t="shared" si="104"/>
        <v>127775.7</v>
      </c>
    </row>
    <row r="255" spans="1:7" ht="15.75" x14ac:dyDescent="0.25">
      <c r="A255" s="88">
        <f t="shared" si="102"/>
        <v>145</v>
      </c>
      <c r="B255" s="253" t="s">
        <v>503</v>
      </c>
      <c r="C255" s="88" t="s">
        <v>239</v>
      </c>
      <c r="D255" s="236">
        <v>327.63</v>
      </c>
      <c r="E255" s="178">
        <v>3460</v>
      </c>
      <c r="F255" s="107">
        <f t="shared" si="103"/>
        <v>1133599.8</v>
      </c>
      <c r="G255" s="107">
        <f t="shared" si="104"/>
        <v>1360319.76</v>
      </c>
    </row>
    <row r="256" spans="1:7" ht="15.75" x14ac:dyDescent="0.25">
      <c r="A256" s="88"/>
      <c r="B256" s="86" t="s">
        <v>523</v>
      </c>
      <c r="C256" s="88"/>
      <c r="D256" s="236"/>
      <c r="E256" s="178"/>
      <c r="F256" s="107"/>
      <c r="G256" s="107"/>
    </row>
    <row r="257" spans="1:8" ht="15.75" x14ac:dyDescent="0.25">
      <c r="A257" s="88">
        <f>A255+1</f>
        <v>146</v>
      </c>
      <c r="B257" s="274" t="s">
        <v>675</v>
      </c>
      <c r="C257" s="88" t="s">
        <v>194</v>
      </c>
      <c r="D257" s="160">
        <v>31</v>
      </c>
      <c r="E257" s="178">
        <v>2791</v>
      </c>
      <c r="F257" s="107">
        <f t="shared" ref="F257" si="105">ROUND(E257*D257,2)</f>
        <v>86521</v>
      </c>
      <c r="G257" s="107">
        <f t="shared" ref="G257" si="106">ROUND(F257*1.2,2)</f>
        <v>103825.2</v>
      </c>
    </row>
    <row r="258" spans="1:8" ht="28.5" x14ac:dyDescent="0.25">
      <c r="A258" s="88"/>
      <c r="B258" s="86" t="s">
        <v>1121</v>
      </c>
      <c r="C258" s="88"/>
      <c r="D258" s="236"/>
      <c r="E258" s="178"/>
      <c r="F258" s="107"/>
      <c r="G258" s="107"/>
    </row>
    <row r="259" spans="1:8" ht="30" x14ac:dyDescent="0.25">
      <c r="A259" s="88">
        <f>A257+1</f>
        <v>147</v>
      </c>
      <c r="B259" s="253" t="s">
        <v>526</v>
      </c>
      <c r="C259" s="88" t="s">
        <v>193</v>
      </c>
      <c r="D259" s="237">
        <f>2*0.59+0.03*2</f>
        <v>1.24</v>
      </c>
      <c r="E259" s="178">
        <v>18174.398148148146</v>
      </c>
      <c r="F259" s="107">
        <f t="shared" ref="F259:F260" si="107">ROUND(E259*D259,2)</f>
        <v>22536.25</v>
      </c>
      <c r="G259" s="107">
        <f t="shared" ref="G259:G260" si="108">ROUND(F259*1.2,2)</f>
        <v>27043.5</v>
      </c>
    </row>
    <row r="260" spans="1:8" ht="45" x14ac:dyDescent="0.25">
      <c r="A260" s="311">
        <f>A259+1</f>
        <v>148</v>
      </c>
      <c r="B260" s="316" t="s">
        <v>1122</v>
      </c>
      <c r="C260" s="311" t="s">
        <v>220</v>
      </c>
      <c r="D260" s="335">
        <v>2</v>
      </c>
      <c r="E260" s="179">
        <v>12511</v>
      </c>
      <c r="F260" s="314">
        <f t="shared" si="107"/>
        <v>25022</v>
      </c>
      <c r="G260" s="314">
        <f t="shared" si="108"/>
        <v>30026.400000000001</v>
      </c>
    </row>
    <row r="261" spans="1:8" ht="22.5" customHeight="1" x14ac:dyDescent="0.25">
      <c r="A261" s="161"/>
      <c r="B261" s="180" t="s">
        <v>604</v>
      </c>
      <c r="C261" s="169"/>
      <c r="D261" s="169"/>
      <c r="E261" s="162"/>
      <c r="F261" s="163"/>
      <c r="G261" s="477">
        <f>SUM(G263:G290)</f>
        <v>9411632.1699999999</v>
      </c>
      <c r="H261" s="218"/>
    </row>
    <row r="262" spans="1:8" x14ac:dyDescent="0.25">
      <c r="A262" s="66"/>
      <c r="B262" s="62" t="s">
        <v>513</v>
      </c>
      <c r="C262" s="66"/>
      <c r="D262" s="71"/>
      <c r="E262" s="89"/>
      <c r="F262" s="168"/>
      <c r="G262" s="176"/>
    </row>
    <row r="263" spans="1:8" ht="15.75" x14ac:dyDescent="0.25">
      <c r="A263" s="66">
        <f>A260+1</f>
        <v>149</v>
      </c>
      <c r="B263" s="67" t="s">
        <v>669</v>
      </c>
      <c r="C263" s="66" t="s">
        <v>193</v>
      </c>
      <c r="D263" s="68">
        <v>1584.21</v>
      </c>
      <c r="E263" s="178">
        <v>374</v>
      </c>
      <c r="F263" s="105">
        <f t="shared" ref="F263:F290" si="109">ROUND(E263*D263,2)</f>
        <v>592494.54</v>
      </c>
      <c r="G263" s="105">
        <f t="shared" ref="G263:G290" si="110">ROUND(F263*1.2,2)</f>
        <v>710993.45</v>
      </c>
    </row>
    <row r="264" spans="1:8" ht="15.75" x14ac:dyDescent="0.25">
      <c r="A264" s="66">
        <f>A263+1</f>
        <v>150</v>
      </c>
      <c r="B264" s="67" t="s">
        <v>515</v>
      </c>
      <c r="C264" s="66" t="s">
        <v>193</v>
      </c>
      <c r="D264" s="68">
        <v>47.53</v>
      </c>
      <c r="E264" s="178">
        <v>1777</v>
      </c>
      <c r="F264" s="105">
        <f t="shared" si="109"/>
        <v>84460.81</v>
      </c>
      <c r="G264" s="105">
        <f t="shared" si="110"/>
        <v>101352.97</v>
      </c>
    </row>
    <row r="265" spans="1:8" ht="15.75" x14ac:dyDescent="0.25">
      <c r="A265" s="66">
        <f>A264+1</f>
        <v>151</v>
      </c>
      <c r="B265" s="67" t="s">
        <v>521</v>
      </c>
      <c r="C265" s="66" t="s">
        <v>193</v>
      </c>
      <c r="D265" s="72">
        <v>27.43</v>
      </c>
      <c r="E265" s="178">
        <v>1379</v>
      </c>
      <c r="F265" s="105">
        <f t="shared" si="109"/>
        <v>37825.97</v>
      </c>
      <c r="G265" s="105">
        <f t="shared" si="110"/>
        <v>45391.16</v>
      </c>
    </row>
    <row r="266" spans="1:8" ht="15.75" x14ac:dyDescent="0.25">
      <c r="A266" s="66">
        <f t="shared" ref="A266:A272" si="111">A265+1</f>
        <v>152</v>
      </c>
      <c r="B266" s="67" t="s">
        <v>522</v>
      </c>
      <c r="C266" s="66" t="s">
        <v>193</v>
      </c>
      <c r="D266" s="68">
        <v>220.77</v>
      </c>
      <c r="E266" s="178">
        <v>1379</v>
      </c>
      <c r="F266" s="105">
        <f t="shared" si="109"/>
        <v>304441.83</v>
      </c>
      <c r="G266" s="105">
        <f t="shared" si="110"/>
        <v>365330.2</v>
      </c>
    </row>
    <row r="267" spans="1:8" ht="30" x14ac:dyDescent="0.25">
      <c r="A267" s="66">
        <f t="shared" si="111"/>
        <v>153</v>
      </c>
      <c r="B267" s="67" t="s">
        <v>670</v>
      </c>
      <c r="C267" s="66" t="s">
        <v>193</v>
      </c>
      <c r="D267" s="68">
        <v>1396.26</v>
      </c>
      <c r="E267" s="178">
        <v>374</v>
      </c>
      <c r="F267" s="105">
        <f t="shared" si="109"/>
        <v>522201.24</v>
      </c>
      <c r="G267" s="105">
        <f t="shared" si="110"/>
        <v>626641.49</v>
      </c>
    </row>
    <row r="268" spans="1:8" ht="30" x14ac:dyDescent="0.25">
      <c r="A268" s="66">
        <f t="shared" si="111"/>
        <v>154</v>
      </c>
      <c r="B268" s="67" t="s">
        <v>671</v>
      </c>
      <c r="C268" s="66" t="s">
        <v>193</v>
      </c>
      <c r="D268" s="68">
        <v>30.73</v>
      </c>
      <c r="E268" s="178">
        <v>1422</v>
      </c>
      <c r="F268" s="105">
        <f t="shared" si="109"/>
        <v>43698.06</v>
      </c>
      <c r="G268" s="105">
        <f t="shared" si="110"/>
        <v>52437.67</v>
      </c>
    </row>
    <row r="269" spans="1:8" ht="15.75" x14ac:dyDescent="0.25">
      <c r="A269" s="66">
        <f t="shared" si="111"/>
        <v>155</v>
      </c>
      <c r="B269" s="67" t="s">
        <v>672</v>
      </c>
      <c r="C269" s="66" t="s">
        <v>193</v>
      </c>
      <c r="D269" s="68">
        <v>1002.5</v>
      </c>
      <c r="E269" s="178">
        <v>125</v>
      </c>
      <c r="F269" s="105">
        <f t="shared" si="109"/>
        <v>125312.5</v>
      </c>
      <c r="G269" s="105">
        <f t="shared" si="110"/>
        <v>150375</v>
      </c>
    </row>
    <row r="270" spans="1:8" ht="15.75" x14ac:dyDescent="0.25">
      <c r="A270" s="66">
        <f t="shared" si="111"/>
        <v>156</v>
      </c>
      <c r="B270" s="67" t="s">
        <v>451</v>
      </c>
      <c r="C270" s="66" t="s">
        <v>193</v>
      </c>
      <c r="D270" s="68">
        <v>1002.5</v>
      </c>
      <c r="E270" s="178">
        <v>198</v>
      </c>
      <c r="F270" s="105">
        <f t="shared" si="109"/>
        <v>198495</v>
      </c>
      <c r="G270" s="105">
        <f t="shared" si="110"/>
        <v>238194</v>
      </c>
    </row>
    <row r="271" spans="1:8" ht="15.75" x14ac:dyDescent="0.25">
      <c r="A271" s="66">
        <f t="shared" si="111"/>
        <v>157</v>
      </c>
      <c r="B271" s="67" t="s">
        <v>518</v>
      </c>
      <c r="C271" s="66" t="s">
        <v>239</v>
      </c>
      <c r="D271" s="68">
        <v>1251.0999999999999</v>
      </c>
      <c r="E271" s="178">
        <v>325</v>
      </c>
      <c r="F271" s="105">
        <f t="shared" si="109"/>
        <v>406607.5</v>
      </c>
      <c r="G271" s="105">
        <f t="shared" si="110"/>
        <v>487929</v>
      </c>
    </row>
    <row r="272" spans="1:8" ht="15.75" x14ac:dyDescent="0.25">
      <c r="A272" s="66">
        <f t="shared" si="111"/>
        <v>158</v>
      </c>
      <c r="B272" s="67" t="s">
        <v>503</v>
      </c>
      <c r="C272" s="66" t="s">
        <v>239</v>
      </c>
      <c r="D272" s="68">
        <v>1251.0999999999999</v>
      </c>
      <c r="E272" s="178">
        <v>3460</v>
      </c>
      <c r="F272" s="105">
        <f t="shared" si="109"/>
        <v>4328806</v>
      </c>
      <c r="G272" s="105">
        <f t="shared" si="110"/>
        <v>5194567.2</v>
      </c>
    </row>
    <row r="273" spans="1:8" ht="15.75" x14ac:dyDescent="0.25">
      <c r="A273" s="66"/>
      <c r="B273" s="62" t="s">
        <v>523</v>
      </c>
      <c r="C273" s="66"/>
      <c r="D273" s="71"/>
      <c r="E273" s="178"/>
      <c r="F273" s="105"/>
      <c r="G273" s="105"/>
    </row>
    <row r="274" spans="1:8" ht="15.75" x14ac:dyDescent="0.25">
      <c r="A274" s="66">
        <f>A272+1</f>
        <v>159</v>
      </c>
      <c r="B274" s="67" t="s">
        <v>677</v>
      </c>
      <c r="C274" s="66" t="s">
        <v>194</v>
      </c>
      <c r="D274" s="72">
        <v>29.8</v>
      </c>
      <c r="E274" s="178">
        <v>4846</v>
      </c>
      <c r="F274" s="105">
        <f t="shared" si="109"/>
        <v>144410.79999999999</v>
      </c>
      <c r="G274" s="105">
        <f t="shared" si="110"/>
        <v>173292.96</v>
      </c>
      <c r="H274" s="219"/>
    </row>
    <row r="275" spans="1:8" ht="30" x14ac:dyDescent="0.25">
      <c r="A275" s="66">
        <f t="shared" ref="A275:A286" si="112">A274+1</f>
        <v>160</v>
      </c>
      <c r="B275" s="67" t="s">
        <v>678</v>
      </c>
      <c r="C275" s="66" t="s">
        <v>194</v>
      </c>
      <c r="D275" s="72">
        <v>29.8</v>
      </c>
      <c r="E275" s="178">
        <v>414</v>
      </c>
      <c r="F275" s="105">
        <f t="shared" si="109"/>
        <v>12337.2</v>
      </c>
      <c r="G275" s="105">
        <f t="shared" si="110"/>
        <v>14804.64</v>
      </c>
    </row>
    <row r="276" spans="1:8" ht="30" x14ac:dyDescent="0.25">
      <c r="A276" s="66">
        <f t="shared" si="112"/>
        <v>161</v>
      </c>
      <c r="B276" s="67" t="s">
        <v>685</v>
      </c>
      <c r="C276" s="66" t="s">
        <v>194</v>
      </c>
      <c r="D276" s="72">
        <v>29.8</v>
      </c>
      <c r="E276" s="178">
        <v>3703</v>
      </c>
      <c r="F276" s="105">
        <f t="shared" si="109"/>
        <v>110349.4</v>
      </c>
      <c r="G276" s="105">
        <f t="shared" si="110"/>
        <v>132419.28</v>
      </c>
    </row>
    <row r="277" spans="1:8" ht="15.75" x14ac:dyDescent="0.25">
      <c r="A277" s="66">
        <f t="shared" si="112"/>
        <v>162</v>
      </c>
      <c r="B277" s="67" t="s">
        <v>679</v>
      </c>
      <c r="C277" s="66" t="s">
        <v>650</v>
      </c>
      <c r="D277" s="71">
        <v>1</v>
      </c>
      <c r="E277" s="178">
        <v>4504</v>
      </c>
      <c r="F277" s="105">
        <f t="shared" si="109"/>
        <v>4504</v>
      </c>
      <c r="G277" s="105">
        <f t="shared" si="110"/>
        <v>5404.8</v>
      </c>
    </row>
    <row r="278" spans="1:8" ht="15.75" x14ac:dyDescent="0.25">
      <c r="A278" s="66">
        <f t="shared" si="112"/>
        <v>163</v>
      </c>
      <c r="B278" s="67" t="s">
        <v>680</v>
      </c>
      <c r="C278" s="66" t="s">
        <v>194</v>
      </c>
      <c r="D278" s="71">
        <v>29</v>
      </c>
      <c r="E278" s="178">
        <v>4846</v>
      </c>
      <c r="F278" s="105">
        <f t="shared" si="109"/>
        <v>140534</v>
      </c>
      <c r="G278" s="105">
        <f t="shared" si="110"/>
        <v>168640.8</v>
      </c>
      <c r="H278" s="219"/>
    </row>
    <row r="279" spans="1:8" ht="30" x14ac:dyDescent="0.25">
      <c r="A279" s="66">
        <f t="shared" si="112"/>
        <v>164</v>
      </c>
      <c r="B279" s="67" t="s">
        <v>681</v>
      </c>
      <c r="C279" s="66" t="s">
        <v>194</v>
      </c>
      <c r="D279" s="71">
        <v>29</v>
      </c>
      <c r="E279" s="178">
        <v>414</v>
      </c>
      <c r="F279" s="105">
        <f t="shared" si="109"/>
        <v>12006</v>
      </c>
      <c r="G279" s="105">
        <f t="shared" si="110"/>
        <v>14407.2</v>
      </c>
    </row>
    <row r="280" spans="1:8" ht="30" x14ac:dyDescent="0.25">
      <c r="A280" s="66">
        <f t="shared" si="112"/>
        <v>165</v>
      </c>
      <c r="B280" s="67" t="s">
        <v>682</v>
      </c>
      <c r="C280" s="66" t="s">
        <v>194</v>
      </c>
      <c r="D280" s="71">
        <v>29</v>
      </c>
      <c r="E280" s="178">
        <v>3703</v>
      </c>
      <c r="F280" s="105">
        <f t="shared" si="109"/>
        <v>107387</v>
      </c>
      <c r="G280" s="105">
        <f t="shared" si="110"/>
        <v>128864.4</v>
      </c>
    </row>
    <row r="281" spans="1:8" ht="15.75" x14ac:dyDescent="0.25">
      <c r="A281" s="66">
        <f t="shared" si="112"/>
        <v>166</v>
      </c>
      <c r="B281" s="67" t="s">
        <v>683</v>
      </c>
      <c r="C281" s="66" t="s">
        <v>650</v>
      </c>
      <c r="D281" s="71">
        <v>1</v>
      </c>
      <c r="E281" s="178">
        <v>6715</v>
      </c>
      <c r="F281" s="105">
        <f t="shared" si="109"/>
        <v>6715</v>
      </c>
      <c r="G281" s="105">
        <f t="shared" si="110"/>
        <v>8058</v>
      </c>
    </row>
    <row r="282" spans="1:8" ht="15.75" x14ac:dyDescent="0.25">
      <c r="A282" s="66">
        <f t="shared" si="112"/>
        <v>167</v>
      </c>
      <c r="B282" s="67" t="s">
        <v>686</v>
      </c>
      <c r="C282" s="66" t="s">
        <v>194</v>
      </c>
      <c r="D282" s="71">
        <v>108</v>
      </c>
      <c r="E282" s="178">
        <v>1017</v>
      </c>
      <c r="F282" s="105">
        <f t="shared" si="109"/>
        <v>109836</v>
      </c>
      <c r="G282" s="105">
        <f t="shared" si="110"/>
        <v>131803.20000000001</v>
      </c>
      <c r="H282" s="219"/>
    </row>
    <row r="283" spans="1:8" ht="15.75" x14ac:dyDescent="0.25">
      <c r="A283" s="66">
        <f t="shared" si="112"/>
        <v>168</v>
      </c>
      <c r="B283" s="80" t="s">
        <v>687</v>
      </c>
      <c r="C283" s="66" t="s">
        <v>194</v>
      </c>
      <c r="D283" s="72">
        <v>223.3</v>
      </c>
      <c r="E283" s="178">
        <v>1455</v>
      </c>
      <c r="F283" s="105">
        <f t="shared" si="109"/>
        <v>324901.5</v>
      </c>
      <c r="G283" s="105">
        <f t="shared" si="110"/>
        <v>389881.8</v>
      </c>
      <c r="H283" s="219"/>
    </row>
    <row r="284" spans="1:8" x14ac:dyDescent="0.25">
      <c r="A284" s="311">
        <f t="shared" si="112"/>
        <v>169</v>
      </c>
      <c r="B284" s="316" t="s">
        <v>1254</v>
      </c>
      <c r="C284" s="311" t="s">
        <v>220</v>
      </c>
      <c r="D284" s="335">
        <v>1</v>
      </c>
      <c r="E284" s="378">
        <v>1526</v>
      </c>
      <c r="F284" s="314">
        <f t="shared" si="109"/>
        <v>1526</v>
      </c>
      <c r="G284" s="314">
        <f t="shared" si="110"/>
        <v>1831.2</v>
      </c>
      <c r="H284" s="219"/>
    </row>
    <row r="285" spans="1:8" x14ac:dyDescent="0.25">
      <c r="A285" s="311">
        <f t="shared" si="112"/>
        <v>170</v>
      </c>
      <c r="B285" s="316" t="s">
        <v>1255</v>
      </c>
      <c r="C285" s="311" t="s">
        <v>220</v>
      </c>
      <c r="D285" s="335">
        <v>1</v>
      </c>
      <c r="E285" s="378">
        <v>2250</v>
      </c>
      <c r="F285" s="314">
        <f t="shared" si="109"/>
        <v>2250</v>
      </c>
      <c r="G285" s="314">
        <f t="shared" si="110"/>
        <v>2700</v>
      </c>
      <c r="H285" s="219"/>
    </row>
    <row r="286" spans="1:8" x14ac:dyDescent="0.25">
      <c r="A286" s="311">
        <f t="shared" si="112"/>
        <v>171</v>
      </c>
      <c r="B286" s="316" t="s">
        <v>1256</v>
      </c>
      <c r="C286" s="311" t="s">
        <v>220</v>
      </c>
      <c r="D286" s="335">
        <v>1</v>
      </c>
      <c r="E286" s="378">
        <v>1526</v>
      </c>
      <c r="F286" s="314">
        <f t="shared" si="109"/>
        <v>1526</v>
      </c>
      <c r="G286" s="314">
        <f t="shared" si="110"/>
        <v>1831.2</v>
      </c>
      <c r="H286" s="219"/>
    </row>
    <row r="287" spans="1:8" ht="15.75" x14ac:dyDescent="0.25">
      <c r="A287" s="66"/>
      <c r="B287" s="62" t="s">
        <v>525</v>
      </c>
      <c r="C287" s="66"/>
      <c r="D287" s="71"/>
      <c r="E287" s="179"/>
      <c r="F287" s="105"/>
      <c r="G287" s="105"/>
    </row>
    <row r="288" spans="1:8" ht="30" x14ac:dyDescent="0.25">
      <c r="A288" s="66">
        <f>A286+1</f>
        <v>172</v>
      </c>
      <c r="B288" s="67" t="s">
        <v>526</v>
      </c>
      <c r="C288" s="66" t="s">
        <v>193</v>
      </c>
      <c r="D288" s="68">
        <v>5.88</v>
      </c>
      <c r="E288" s="178">
        <v>18174.398148148146</v>
      </c>
      <c r="F288" s="105">
        <f t="shared" si="109"/>
        <v>106865.46</v>
      </c>
      <c r="G288" s="105">
        <f t="shared" si="110"/>
        <v>128238.55</v>
      </c>
    </row>
    <row r="289" spans="1:8" ht="45" x14ac:dyDescent="0.25">
      <c r="A289" s="66">
        <f>A288+1</f>
        <v>173</v>
      </c>
      <c r="B289" s="67" t="s">
        <v>684</v>
      </c>
      <c r="C289" s="66" t="s">
        <v>220</v>
      </c>
      <c r="D289" s="71">
        <v>9</v>
      </c>
      <c r="E289" s="178">
        <v>3415</v>
      </c>
      <c r="F289" s="105">
        <f t="shared" si="109"/>
        <v>30735</v>
      </c>
      <c r="G289" s="105">
        <f t="shared" si="110"/>
        <v>36882</v>
      </c>
      <c r="H289" s="219"/>
    </row>
    <row r="290" spans="1:8" ht="45" x14ac:dyDescent="0.25">
      <c r="A290" s="66">
        <f>A289+1</f>
        <v>174</v>
      </c>
      <c r="B290" s="67" t="s">
        <v>676</v>
      </c>
      <c r="C290" s="66" t="s">
        <v>220</v>
      </c>
      <c r="D290" s="71">
        <v>16</v>
      </c>
      <c r="E290" s="178">
        <v>5175</v>
      </c>
      <c r="F290" s="105">
        <f t="shared" si="109"/>
        <v>82800</v>
      </c>
      <c r="G290" s="105">
        <f t="shared" si="110"/>
        <v>99360</v>
      </c>
      <c r="H290" s="219"/>
    </row>
    <row r="291" spans="1:8" ht="24.75" customHeight="1" x14ac:dyDescent="0.25">
      <c r="A291" s="161"/>
      <c r="B291" s="180" t="s">
        <v>615</v>
      </c>
      <c r="C291" s="169"/>
      <c r="D291" s="169"/>
      <c r="E291" s="162"/>
      <c r="F291" s="163"/>
      <c r="G291" s="477">
        <f>SUM(G293:G324)</f>
        <v>41812188.090000011</v>
      </c>
    </row>
    <row r="292" spans="1:8" x14ac:dyDescent="0.25">
      <c r="A292" s="66"/>
      <c r="B292" s="62" t="s">
        <v>688</v>
      </c>
      <c r="C292" s="66"/>
      <c r="D292" s="71"/>
      <c r="E292" s="172"/>
      <c r="F292" s="168"/>
      <c r="G292" s="176"/>
    </row>
    <row r="293" spans="1:8" ht="15.75" x14ac:dyDescent="0.25">
      <c r="A293" s="66">
        <f>A290+1</f>
        <v>175</v>
      </c>
      <c r="B293" s="67" t="s">
        <v>689</v>
      </c>
      <c r="C293" s="66" t="s">
        <v>193</v>
      </c>
      <c r="D293" s="68">
        <v>2488.65</v>
      </c>
      <c r="E293" s="178">
        <v>325</v>
      </c>
      <c r="F293" s="105">
        <f t="shared" ref="F293" si="113">ROUND(E293*D293,2)</f>
        <v>808811.25</v>
      </c>
      <c r="G293" s="105">
        <f t="shared" ref="G293" si="114">ROUND(F293*1.2,2)</f>
        <v>970573.5</v>
      </c>
    </row>
    <row r="294" spans="1:8" ht="30" x14ac:dyDescent="0.25">
      <c r="A294" s="66">
        <f>A293+1</f>
        <v>176</v>
      </c>
      <c r="B294" s="67" t="s">
        <v>690</v>
      </c>
      <c r="C294" s="66" t="s">
        <v>193</v>
      </c>
      <c r="D294" s="68">
        <v>2488.65</v>
      </c>
      <c r="E294" s="178">
        <v>325</v>
      </c>
      <c r="F294" s="105">
        <f t="shared" ref="F294:F296" si="115">ROUND(E294*D294,2)</f>
        <v>808811.25</v>
      </c>
      <c r="G294" s="105">
        <f t="shared" ref="G294:G296" si="116">ROUND(F294*1.2,2)</f>
        <v>970573.5</v>
      </c>
    </row>
    <row r="295" spans="1:8" ht="15.75" x14ac:dyDescent="0.25">
      <c r="A295" s="66">
        <f t="shared" ref="A295:A299" si="117">A294+1</f>
        <v>177</v>
      </c>
      <c r="B295" s="67" t="s">
        <v>518</v>
      </c>
      <c r="C295" s="66" t="s">
        <v>239</v>
      </c>
      <c r="D295" s="68">
        <f>2488.65*1.75</f>
        <v>4355.1374999999998</v>
      </c>
      <c r="E295" s="178">
        <v>325</v>
      </c>
      <c r="F295" s="105">
        <f t="shared" si="115"/>
        <v>1415419.69</v>
      </c>
      <c r="G295" s="105">
        <f t="shared" si="116"/>
        <v>1698503.63</v>
      </c>
    </row>
    <row r="296" spans="1:8" ht="15.75" x14ac:dyDescent="0.25">
      <c r="A296" s="66">
        <f t="shared" si="117"/>
        <v>178</v>
      </c>
      <c r="B296" s="67" t="s">
        <v>503</v>
      </c>
      <c r="C296" s="66" t="s">
        <v>239</v>
      </c>
      <c r="D296" s="68">
        <f>2488.65*1.75</f>
        <v>4355.1374999999998</v>
      </c>
      <c r="E296" s="178">
        <v>3460</v>
      </c>
      <c r="F296" s="105">
        <f t="shared" si="115"/>
        <v>15068775.75</v>
      </c>
      <c r="G296" s="105">
        <f t="shared" si="116"/>
        <v>18082530.899999999</v>
      </c>
    </row>
    <row r="297" spans="1:8" ht="15.75" x14ac:dyDescent="0.25">
      <c r="A297" s="66">
        <f t="shared" si="117"/>
        <v>179</v>
      </c>
      <c r="B297" s="67" t="s">
        <v>1213</v>
      </c>
      <c r="C297" s="66" t="s">
        <v>193</v>
      </c>
      <c r="D297" s="68">
        <v>56</v>
      </c>
      <c r="E297" s="178">
        <v>325</v>
      </c>
      <c r="F297" s="105">
        <f t="shared" ref="F297" si="118">ROUND(E297*D297,2)</f>
        <v>18200</v>
      </c>
      <c r="G297" s="105">
        <f t="shared" ref="G297" si="119">ROUND(F297*1.2,2)</f>
        <v>21840</v>
      </c>
    </row>
    <row r="298" spans="1:8" ht="30" x14ac:dyDescent="0.25">
      <c r="A298" s="328">
        <f t="shared" si="117"/>
        <v>180</v>
      </c>
      <c r="B298" s="375" t="s">
        <v>1214</v>
      </c>
      <c r="C298" s="328" t="s">
        <v>193</v>
      </c>
      <c r="D298" s="343">
        <v>104</v>
      </c>
      <c r="E298" s="329">
        <v>0</v>
      </c>
      <c r="F298" s="330">
        <f t="shared" ref="F298" si="120">ROUND(E298*D298,2)</f>
        <v>0</v>
      </c>
      <c r="G298" s="330">
        <f t="shared" ref="G298" si="121">ROUND(F298*1.2,2)</f>
        <v>0</v>
      </c>
      <c r="H298" s="219" t="s">
        <v>1267</v>
      </c>
    </row>
    <row r="299" spans="1:8" ht="15.75" x14ac:dyDescent="0.25">
      <c r="A299" s="311">
        <f t="shared" si="117"/>
        <v>181</v>
      </c>
      <c r="B299" s="316" t="s">
        <v>1215</v>
      </c>
      <c r="C299" s="311" t="s">
        <v>193</v>
      </c>
      <c r="D299" s="335">
        <v>104</v>
      </c>
      <c r="E299" s="179">
        <v>442</v>
      </c>
      <c r="F299" s="314">
        <f t="shared" ref="F299" si="122">ROUND(E299*D299,2)</f>
        <v>45968</v>
      </c>
      <c r="G299" s="314">
        <f t="shared" ref="G299" si="123">ROUND(F299*1.2,2)</f>
        <v>55161.599999999999</v>
      </c>
    </row>
    <row r="300" spans="1:8" ht="20.25" customHeight="1" x14ac:dyDescent="0.25">
      <c r="A300" s="66"/>
      <c r="B300" s="62" t="s">
        <v>616</v>
      </c>
      <c r="C300" s="66"/>
      <c r="D300" s="68"/>
      <c r="E300" s="178"/>
      <c r="F300" s="105"/>
      <c r="G300" s="105"/>
    </row>
    <row r="301" spans="1:8" ht="30" x14ac:dyDescent="0.25">
      <c r="A301" s="66">
        <f>A299+1</f>
        <v>182</v>
      </c>
      <c r="B301" s="67" t="s">
        <v>617</v>
      </c>
      <c r="C301" s="66" t="s">
        <v>194</v>
      </c>
      <c r="D301" s="71">
        <v>163</v>
      </c>
      <c r="E301" s="178">
        <v>4694</v>
      </c>
      <c r="F301" s="105">
        <f t="shared" ref="F301:F302" si="124">ROUND(E301*D301,2)</f>
        <v>765122</v>
      </c>
      <c r="G301" s="105">
        <f t="shared" ref="G301:G302" si="125">ROUND(F301*1.2,2)</f>
        <v>918146.4</v>
      </c>
    </row>
    <row r="302" spans="1:8" ht="34.5" customHeight="1" x14ac:dyDescent="0.25">
      <c r="A302" s="66">
        <f>A301+1</f>
        <v>183</v>
      </c>
      <c r="B302" s="67" t="s">
        <v>618</v>
      </c>
      <c r="C302" s="66" t="s">
        <v>194</v>
      </c>
      <c r="D302" s="71">
        <v>163</v>
      </c>
      <c r="E302" s="178">
        <v>554</v>
      </c>
      <c r="F302" s="105">
        <f t="shared" si="124"/>
        <v>90302</v>
      </c>
      <c r="G302" s="105">
        <f t="shared" si="125"/>
        <v>108362.4</v>
      </c>
    </row>
    <row r="303" spans="1:8" ht="15.75" x14ac:dyDescent="0.25">
      <c r="A303" s="66"/>
      <c r="B303" s="62" t="s">
        <v>1216</v>
      </c>
      <c r="C303" s="66"/>
      <c r="D303" s="68"/>
      <c r="E303" s="178"/>
      <c r="F303" s="105"/>
      <c r="G303" s="105"/>
    </row>
    <row r="304" spans="1:8" ht="30" x14ac:dyDescent="0.25">
      <c r="A304" s="66">
        <f>A302+1</f>
        <v>184</v>
      </c>
      <c r="B304" s="67" t="s">
        <v>620</v>
      </c>
      <c r="C304" s="66" t="s">
        <v>431</v>
      </c>
      <c r="D304" s="68">
        <v>5940.5</v>
      </c>
      <c r="E304" s="178">
        <v>1140</v>
      </c>
      <c r="F304" s="105">
        <f t="shared" ref="F304:F309" si="126">ROUND(E304*D304,2)</f>
        <v>6772170</v>
      </c>
      <c r="G304" s="105">
        <f t="shared" ref="G304:G309" si="127">ROUND(F304*1.2,2)</f>
        <v>8126604</v>
      </c>
    </row>
    <row r="305" spans="1:8" ht="30" x14ac:dyDescent="0.25">
      <c r="A305" s="66">
        <f>A304+1</f>
        <v>185</v>
      </c>
      <c r="B305" s="67" t="s">
        <v>691</v>
      </c>
      <c r="C305" s="66" t="s">
        <v>193</v>
      </c>
      <c r="D305" s="68">
        <v>499</v>
      </c>
      <c r="E305" s="178">
        <v>1754</v>
      </c>
      <c r="F305" s="105">
        <f t="shared" si="126"/>
        <v>875246</v>
      </c>
      <c r="G305" s="105">
        <f t="shared" si="127"/>
        <v>1050295.2</v>
      </c>
    </row>
    <row r="306" spans="1:8" ht="30" x14ac:dyDescent="0.25">
      <c r="A306" s="66">
        <f t="shared" ref="A306:A309" si="128">A305+1</f>
        <v>186</v>
      </c>
      <c r="B306" s="67" t="s">
        <v>692</v>
      </c>
      <c r="C306" s="66" t="s">
        <v>193</v>
      </c>
      <c r="D306" s="68">
        <v>935.63</v>
      </c>
      <c r="E306" s="178">
        <v>1754</v>
      </c>
      <c r="F306" s="105">
        <f t="shared" si="126"/>
        <v>1641095.02</v>
      </c>
      <c r="G306" s="105">
        <f t="shared" si="127"/>
        <v>1969314.02</v>
      </c>
    </row>
    <row r="307" spans="1:8" ht="15.75" x14ac:dyDescent="0.25">
      <c r="A307" s="66">
        <f t="shared" si="128"/>
        <v>187</v>
      </c>
      <c r="B307" s="67" t="s">
        <v>623</v>
      </c>
      <c r="C307" s="66" t="s">
        <v>193</v>
      </c>
      <c r="D307" s="68">
        <v>1960.36</v>
      </c>
      <c r="E307" s="178">
        <v>1111</v>
      </c>
      <c r="F307" s="105">
        <f t="shared" si="126"/>
        <v>2177959.96</v>
      </c>
      <c r="G307" s="105">
        <f t="shared" si="127"/>
        <v>2613551.9500000002</v>
      </c>
    </row>
    <row r="308" spans="1:8" ht="30" x14ac:dyDescent="0.25">
      <c r="A308" s="66">
        <f t="shared" si="128"/>
        <v>188</v>
      </c>
      <c r="B308" s="67" t="s">
        <v>624</v>
      </c>
      <c r="C308" s="66" t="s">
        <v>193</v>
      </c>
      <c r="D308" s="68">
        <v>1960.36</v>
      </c>
      <c r="E308" s="178">
        <v>1111</v>
      </c>
      <c r="F308" s="105">
        <f t="shared" si="126"/>
        <v>2177959.96</v>
      </c>
      <c r="G308" s="105">
        <f t="shared" si="127"/>
        <v>2613551.9500000002</v>
      </c>
    </row>
    <row r="309" spans="1:8" s="379" customFormat="1" ht="15.75" x14ac:dyDescent="0.25">
      <c r="A309" s="311">
        <f t="shared" si="128"/>
        <v>189</v>
      </c>
      <c r="B309" s="316" t="s">
        <v>1217</v>
      </c>
      <c r="C309" s="311" t="s">
        <v>220</v>
      </c>
      <c r="D309" s="335">
        <v>144</v>
      </c>
      <c r="E309" s="179">
        <v>1637</v>
      </c>
      <c r="F309" s="314">
        <f t="shared" si="126"/>
        <v>235728</v>
      </c>
      <c r="G309" s="314">
        <f t="shared" si="127"/>
        <v>282873.59999999998</v>
      </c>
    </row>
    <row r="310" spans="1:8" s="379" customFormat="1" ht="22.5" customHeight="1" x14ac:dyDescent="0.25">
      <c r="A310" s="311"/>
      <c r="B310" s="341" t="s">
        <v>1218</v>
      </c>
      <c r="C310" s="311"/>
      <c r="D310" s="313"/>
      <c r="E310" s="179"/>
      <c r="F310" s="314"/>
      <c r="G310" s="314"/>
    </row>
    <row r="311" spans="1:8" s="379" customFormat="1" ht="30" x14ac:dyDescent="0.25">
      <c r="A311" s="311">
        <f>A309+1</f>
        <v>190</v>
      </c>
      <c r="B311" s="316" t="s">
        <v>1220</v>
      </c>
      <c r="C311" s="311" t="s">
        <v>431</v>
      </c>
      <c r="D311" s="313">
        <v>297.02999999999997</v>
      </c>
      <c r="E311" s="179">
        <f>57066/D311</f>
        <v>192.12200787799213</v>
      </c>
      <c r="F311" s="314">
        <f t="shared" ref="F311:F315" si="129">ROUND(E311*D311,2)</f>
        <v>57066</v>
      </c>
      <c r="G311" s="314">
        <f t="shared" ref="G311:G315" si="130">ROUND(F311*1.2,2)</f>
        <v>68479.199999999997</v>
      </c>
    </row>
    <row r="312" spans="1:8" s="379" customFormat="1" ht="30" x14ac:dyDescent="0.25">
      <c r="A312" s="311">
        <f>A311+1</f>
        <v>191</v>
      </c>
      <c r="B312" s="316" t="s">
        <v>1221</v>
      </c>
      <c r="C312" s="311" t="s">
        <v>193</v>
      </c>
      <c r="D312" s="313">
        <v>499</v>
      </c>
      <c r="E312" s="179">
        <f>20.5+320</f>
        <v>340.5</v>
      </c>
      <c r="F312" s="314">
        <f t="shared" si="129"/>
        <v>169909.5</v>
      </c>
      <c r="G312" s="314">
        <f t="shared" si="130"/>
        <v>203891.4</v>
      </c>
    </row>
    <row r="313" spans="1:8" s="379" customFormat="1" ht="30" x14ac:dyDescent="0.25">
      <c r="A313" s="311">
        <f t="shared" ref="A313:A315" si="131">A312+1</f>
        <v>192</v>
      </c>
      <c r="B313" s="316" t="s">
        <v>1222</v>
      </c>
      <c r="C313" s="311" t="s">
        <v>193</v>
      </c>
      <c r="D313" s="313">
        <v>935.63</v>
      </c>
      <c r="E313" s="179">
        <v>320</v>
      </c>
      <c r="F313" s="314">
        <f t="shared" si="129"/>
        <v>299401.59999999998</v>
      </c>
      <c r="G313" s="314">
        <f t="shared" si="130"/>
        <v>359281.91999999998</v>
      </c>
    </row>
    <row r="314" spans="1:8" s="379" customFormat="1" ht="30" x14ac:dyDescent="0.25">
      <c r="A314" s="311">
        <f t="shared" si="131"/>
        <v>193</v>
      </c>
      <c r="B314" s="316" t="s">
        <v>1223</v>
      </c>
      <c r="C314" s="311" t="s">
        <v>193</v>
      </c>
      <c r="D314" s="313">
        <v>1960.36</v>
      </c>
      <c r="E314" s="179">
        <f>83</f>
        <v>83</v>
      </c>
      <c r="F314" s="314">
        <f t="shared" si="129"/>
        <v>162709.88</v>
      </c>
      <c r="G314" s="314">
        <f t="shared" si="130"/>
        <v>195251.86</v>
      </c>
    </row>
    <row r="315" spans="1:8" s="379" customFormat="1" ht="15.75" x14ac:dyDescent="0.25">
      <c r="A315" s="311">
        <f t="shared" si="131"/>
        <v>194</v>
      </c>
      <c r="B315" s="316" t="s">
        <v>1219</v>
      </c>
      <c r="C315" s="311" t="s">
        <v>220</v>
      </c>
      <c r="D315" s="335">
        <v>136</v>
      </c>
      <c r="E315" s="179">
        <v>1169</v>
      </c>
      <c r="F315" s="314">
        <f t="shared" si="129"/>
        <v>158984</v>
      </c>
      <c r="G315" s="314">
        <f t="shared" si="130"/>
        <v>190780.79999999999</v>
      </c>
    </row>
    <row r="316" spans="1:8" s="379" customFormat="1" ht="15.75" x14ac:dyDescent="0.25">
      <c r="A316" s="311"/>
      <c r="B316" s="341" t="s">
        <v>1224</v>
      </c>
      <c r="C316" s="311"/>
      <c r="D316" s="313"/>
      <c r="E316" s="179"/>
      <c r="F316" s="314"/>
      <c r="G316" s="314"/>
    </row>
    <row r="317" spans="1:8" s="379" customFormat="1" ht="30" x14ac:dyDescent="0.25">
      <c r="A317" s="311">
        <f>A315+1</f>
        <v>195</v>
      </c>
      <c r="B317" s="316" t="s">
        <v>1225</v>
      </c>
      <c r="C317" s="311" t="s">
        <v>193</v>
      </c>
      <c r="D317" s="313">
        <v>565.42999999999995</v>
      </c>
      <c r="E317" s="179">
        <v>1754</v>
      </c>
      <c r="F317" s="314">
        <f t="shared" ref="F317" si="132">ROUND(E317*D317,2)</f>
        <v>991764.22</v>
      </c>
      <c r="G317" s="314">
        <f t="shared" ref="G317" si="133">ROUND(F317*1.2,2)</f>
        <v>1190117.06</v>
      </c>
    </row>
    <row r="318" spans="1:8" s="379" customFormat="1" ht="20.25" customHeight="1" x14ac:dyDescent="0.25">
      <c r="A318" s="311"/>
      <c r="B318" s="341" t="s">
        <v>1226</v>
      </c>
      <c r="C318" s="311"/>
      <c r="D318" s="313"/>
      <c r="E318" s="179"/>
      <c r="F318" s="314"/>
      <c r="G318" s="314"/>
    </row>
    <row r="319" spans="1:8" s="379" customFormat="1" ht="15.75" x14ac:dyDescent="0.25">
      <c r="A319" s="311">
        <f>A317+1</f>
        <v>196</v>
      </c>
      <c r="B319" s="316" t="s">
        <v>1227</v>
      </c>
      <c r="C319" s="311" t="s">
        <v>220</v>
      </c>
      <c r="D319" s="335">
        <v>22</v>
      </c>
      <c r="E319" s="179">
        <v>295</v>
      </c>
      <c r="F319" s="314">
        <f t="shared" ref="F319:F322" si="134">ROUND(E319*D319,2)</f>
        <v>6490</v>
      </c>
      <c r="G319" s="314">
        <f t="shared" ref="G319:G322" si="135">ROUND(F319*1.2,2)</f>
        <v>7788</v>
      </c>
      <c r="H319" s="380" t="s">
        <v>1268</v>
      </c>
    </row>
    <row r="320" spans="1:8" s="379" customFormat="1" ht="15.75" x14ac:dyDescent="0.25">
      <c r="A320" s="311">
        <f>A319+1</f>
        <v>197</v>
      </c>
      <c r="B320" s="316" t="s">
        <v>1228</v>
      </c>
      <c r="C320" s="311" t="s">
        <v>220</v>
      </c>
      <c r="D320" s="335">
        <v>44</v>
      </c>
      <c r="E320" s="179">
        <v>107</v>
      </c>
      <c r="F320" s="314">
        <f t="shared" si="134"/>
        <v>4708</v>
      </c>
      <c r="G320" s="314">
        <f t="shared" si="135"/>
        <v>5649.6</v>
      </c>
      <c r="H320" s="380" t="s">
        <v>1269</v>
      </c>
    </row>
    <row r="321" spans="1:8" s="379" customFormat="1" ht="15.75" x14ac:dyDescent="0.25">
      <c r="A321" s="311">
        <f>A320+1</f>
        <v>198</v>
      </c>
      <c r="B321" s="316" t="s">
        <v>1229</v>
      </c>
      <c r="C321" s="311" t="s">
        <v>220</v>
      </c>
      <c r="D321" s="335">
        <v>22</v>
      </c>
      <c r="E321" s="179">
        <v>34</v>
      </c>
      <c r="F321" s="314">
        <f t="shared" si="134"/>
        <v>748</v>
      </c>
      <c r="G321" s="314">
        <f t="shared" si="135"/>
        <v>897.6</v>
      </c>
      <c r="H321" s="380" t="s">
        <v>1270</v>
      </c>
    </row>
    <row r="322" spans="1:8" s="379" customFormat="1" ht="15.75" x14ac:dyDescent="0.25">
      <c r="A322" s="311">
        <f t="shared" ref="A322" si="136">A321+1</f>
        <v>199</v>
      </c>
      <c r="B322" s="316" t="s">
        <v>1230</v>
      </c>
      <c r="C322" s="311" t="s">
        <v>220</v>
      </c>
      <c r="D322" s="335">
        <v>44</v>
      </c>
      <c r="E322" s="179">
        <v>205</v>
      </c>
      <c r="F322" s="314">
        <f t="shared" si="134"/>
        <v>9020</v>
      </c>
      <c r="G322" s="314">
        <f t="shared" si="135"/>
        <v>10824</v>
      </c>
      <c r="H322" s="380" t="s">
        <v>1271</v>
      </c>
    </row>
    <row r="323" spans="1:8" s="379" customFormat="1" ht="22.5" customHeight="1" x14ac:dyDescent="0.25">
      <c r="A323" s="311"/>
      <c r="B323" s="341" t="s">
        <v>1232</v>
      </c>
      <c r="C323" s="311"/>
      <c r="D323" s="313"/>
      <c r="E323" s="179"/>
      <c r="F323" s="314"/>
      <c r="G323" s="314"/>
    </row>
    <row r="324" spans="1:8" s="379" customFormat="1" ht="15.75" x14ac:dyDescent="0.25">
      <c r="A324" s="311">
        <f>A322+1</f>
        <v>200</v>
      </c>
      <c r="B324" s="316" t="s">
        <v>1233</v>
      </c>
      <c r="C324" s="311" t="s">
        <v>431</v>
      </c>
      <c r="D324" s="335">
        <v>520</v>
      </c>
      <c r="E324" s="179">
        <v>156</v>
      </c>
      <c r="F324" s="314">
        <f t="shared" ref="F324" si="137">ROUND(E324*D324,2)</f>
        <v>81120</v>
      </c>
      <c r="G324" s="314">
        <f t="shared" ref="G324" si="138">ROUND(F324*1.2,2)</f>
        <v>97344</v>
      </c>
    </row>
    <row r="325" spans="1:8" ht="22.5" customHeight="1" x14ac:dyDescent="0.25">
      <c r="A325" s="161"/>
      <c r="B325" s="180" t="s">
        <v>1238</v>
      </c>
      <c r="C325" s="169"/>
      <c r="D325" s="169"/>
      <c r="E325" s="162"/>
      <c r="F325" s="163"/>
      <c r="G325" s="477">
        <f>SUM(G327:G330)</f>
        <v>265324.87</v>
      </c>
    </row>
    <row r="326" spans="1:8" x14ac:dyDescent="0.25">
      <c r="A326" s="66"/>
      <c r="B326" s="62" t="s">
        <v>625</v>
      </c>
      <c r="C326" s="66"/>
      <c r="D326" s="68"/>
      <c r="E326" s="172"/>
      <c r="F326" s="168"/>
      <c r="G326" s="176"/>
    </row>
    <row r="327" spans="1:8" ht="45" x14ac:dyDescent="0.25">
      <c r="A327" s="66">
        <f>A324+1</f>
        <v>201</v>
      </c>
      <c r="B327" s="67" t="s">
        <v>1236</v>
      </c>
      <c r="C327" s="66" t="s">
        <v>194</v>
      </c>
      <c r="D327" s="71">
        <f>450+30</f>
        <v>480</v>
      </c>
      <c r="E327" s="178">
        <v>289</v>
      </c>
      <c r="F327" s="105">
        <f t="shared" ref="F327:F329" si="139">ROUND(E327*D327,2)</f>
        <v>138720</v>
      </c>
      <c r="G327" s="105">
        <f t="shared" ref="G327:G329" si="140">ROUND(F327*1.2,2)</f>
        <v>166464</v>
      </c>
    </row>
    <row r="328" spans="1:8" ht="15.75" x14ac:dyDescent="0.25">
      <c r="A328" s="66">
        <f>A327+1</f>
        <v>202</v>
      </c>
      <c r="B328" s="67" t="s">
        <v>693</v>
      </c>
      <c r="C328" s="66" t="s">
        <v>194</v>
      </c>
      <c r="D328" s="71">
        <v>80</v>
      </c>
      <c r="E328" s="178">
        <v>378</v>
      </c>
      <c r="F328" s="105">
        <f t="shared" si="139"/>
        <v>30240</v>
      </c>
      <c r="G328" s="105">
        <f t="shared" si="140"/>
        <v>36288</v>
      </c>
    </row>
    <row r="329" spans="1:8" ht="15.75" x14ac:dyDescent="0.25">
      <c r="A329" s="66">
        <f t="shared" ref="A329:A330" si="141">A328+1</f>
        <v>203</v>
      </c>
      <c r="B329" s="67" t="s">
        <v>1240</v>
      </c>
      <c r="C329" s="66" t="s">
        <v>220</v>
      </c>
      <c r="D329" s="71">
        <v>4</v>
      </c>
      <c r="E329" s="178">
        <v>12542</v>
      </c>
      <c r="F329" s="105">
        <f t="shared" si="139"/>
        <v>50168</v>
      </c>
      <c r="G329" s="105">
        <f t="shared" si="140"/>
        <v>60201.599999999999</v>
      </c>
    </row>
    <row r="330" spans="1:8" ht="15.75" x14ac:dyDescent="0.25">
      <c r="A330" s="311">
        <f t="shared" si="141"/>
        <v>204</v>
      </c>
      <c r="B330" s="316" t="s">
        <v>1237</v>
      </c>
      <c r="C330" s="311" t="s">
        <v>220</v>
      </c>
      <c r="D330" s="335">
        <v>1</v>
      </c>
      <c r="E330" s="179">
        <v>1976.06</v>
      </c>
      <c r="F330" s="314">
        <f t="shared" ref="F330" si="142">ROUND(E330*D330,2)</f>
        <v>1976.06</v>
      </c>
      <c r="G330" s="314">
        <f t="shared" ref="G330" si="143">ROUND(F330*1.2,2)</f>
        <v>2371.27</v>
      </c>
    </row>
    <row r="331" spans="1:8" ht="23.25" customHeight="1" x14ac:dyDescent="0.25">
      <c r="A331" s="161"/>
      <c r="B331" s="180" t="s">
        <v>1239</v>
      </c>
      <c r="C331" s="169"/>
      <c r="D331" s="169"/>
      <c r="E331" s="162"/>
      <c r="F331" s="163"/>
      <c r="G331" s="477">
        <f>SUM(G333:G386)</f>
        <v>1962902.88</v>
      </c>
    </row>
    <row r="332" spans="1:8" x14ac:dyDescent="0.25">
      <c r="A332" s="66"/>
      <c r="B332" s="62" t="s">
        <v>632</v>
      </c>
      <c r="C332" s="66"/>
      <c r="D332" s="68"/>
      <c r="E332" s="172"/>
      <c r="F332" s="168"/>
      <c r="G332" s="176"/>
    </row>
    <row r="333" spans="1:8" ht="15.75" x14ac:dyDescent="0.25">
      <c r="A333" s="66">
        <f>A330+1</f>
        <v>205</v>
      </c>
      <c r="B333" s="67" t="s">
        <v>697</v>
      </c>
      <c r="C333" s="66" t="s">
        <v>194</v>
      </c>
      <c r="D333" s="71">
        <v>180</v>
      </c>
      <c r="E333" s="178">
        <v>176</v>
      </c>
      <c r="F333" s="105">
        <f t="shared" ref="F333:F386" si="144">ROUND(E333*D333,2)</f>
        <v>31680</v>
      </c>
      <c r="G333" s="105">
        <f t="shared" ref="G333:G386" si="145">ROUND(F333*1.2,2)</f>
        <v>38016</v>
      </c>
    </row>
    <row r="334" spans="1:8" ht="15.75" x14ac:dyDescent="0.25">
      <c r="A334" s="66">
        <f>A333+1</f>
        <v>206</v>
      </c>
      <c r="B334" s="67" t="s">
        <v>698</v>
      </c>
      <c r="C334" s="66" t="s">
        <v>194</v>
      </c>
      <c r="D334" s="71">
        <v>120</v>
      </c>
      <c r="E334" s="178">
        <v>84</v>
      </c>
      <c r="F334" s="105">
        <f t="shared" si="144"/>
        <v>10080</v>
      </c>
      <c r="G334" s="105">
        <f t="shared" si="145"/>
        <v>12096</v>
      </c>
    </row>
    <row r="335" spans="1:8" ht="15.75" x14ac:dyDescent="0.25">
      <c r="A335" s="66">
        <f>A334+1</f>
        <v>207</v>
      </c>
      <c r="B335" s="67" t="s">
        <v>630</v>
      </c>
      <c r="C335" s="66" t="s">
        <v>194</v>
      </c>
      <c r="D335" s="71">
        <v>12</v>
      </c>
      <c r="E335" s="178">
        <v>7069</v>
      </c>
      <c r="F335" s="105">
        <f t="shared" si="144"/>
        <v>84828</v>
      </c>
      <c r="G335" s="105">
        <f t="shared" si="145"/>
        <v>101793.60000000001</v>
      </c>
    </row>
    <row r="336" spans="1:8" ht="15.75" x14ac:dyDescent="0.25">
      <c r="A336" s="66">
        <f t="shared" ref="A336:A338" si="146">A335+1</f>
        <v>208</v>
      </c>
      <c r="B336" s="67" t="s">
        <v>631</v>
      </c>
      <c r="C336" s="66" t="s">
        <v>194</v>
      </c>
      <c r="D336" s="71">
        <v>180</v>
      </c>
      <c r="E336" s="178">
        <v>154</v>
      </c>
      <c r="F336" s="105">
        <f t="shared" si="144"/>
        <v>27720</v>
      </c>
      <c r="G336" s="105">
        <f t="shared" si="145"/>
        <v>33264</v>
      </c>
    </row>
    <row r="337" spans="1:7" ht="15.75" x14ac:dyDescent="0.25">
      <c r="A337" s="311">
        <f t="shared" si="146"/>
        <v>209</v>
      </c>
      <c r="B337" s="377" t="s">
        <v>1242</v>
      </c>
      <c r="C337" s="311" t="s">
        <v>194</v>
      </c>
      <c r="D337" s="335">
        <v>60</v>
      </c>
      <c r="E337" s="179">
        <v>18.45</v>
      </c>
      <c r="F337" s="314">
        <f t="shared" si="144"/>
        <v>1107</v>
      </c>
      <c r="G337" s="314">
        <f t="shared" si="145"/>
        <v>1328.4</v>
      </c>
    </row>
    <row r="338" spans="1:7" ht="15.75" x14ac:dyDescent="0.25">
      <c r="A338" s="311">
        <f t="shared" si="146"/>
        <v>210</v>
      </c>
      <c r="B338" s="377" t="s">
        <v>1243</v>
      </c>
      <c r="C338" s="311" t="s">
        <v>220</v>
      </c>
      <c r="D338" s="335">
        <v>1</v>
      </c>
      <c r="E338" s="179">
        <v>1976.06</v>
      </c>
      <c r="F338" s="314">
        <f t="shared" si="144"/>
        <v>1976.06</v>
      </c>
      <c r="G338" s="314">
        <f t="shared" si="145"/>
        <v>2371.27</v>
      </c>
    </row>
    <row r="339" spans="1:7" ht="15.75" x14ac:dyDescent="0.25">
      <c r="A339" s="311"/>
      <c r="B339" s="341" t="s">
        <v>513</v>
      </c>
      <c r="C339" s="311"/>
      <c r="D339" s="335"/>
      <c r="E339" s="179"/>
      <c r="F339" s="314"/>
      <c r="G339" s="314"/>
    </row>
    <row r="340" spans="1:7" ht="15.75" x14ac:dyDescent="0.25">
      <c r="A340" s="66">
        <f>A338+1</f>
        <v>211</v>
      </c>
      <c r="B340" s="67" t="s">
        <v>695</v>
      </c>
      <c r="C340" s="66" t="s">
        <v>193</v>
      </c>
      <c r="D340" s="68">
        <v>72</v>
      </c>
      <c r="E340" s="178">
        <v>1777</v>
      </c>
      <c r="F340" s="105">
        <f t="shared" si="144"/>
        <v>127944</v>
      </c>
      <c r="G340" s="105">
        <f t="shared" si="145"/>
        <v>153532.79999999999</v>
      </c>
    </row>
    <row r="341" spans="1:7" ht="15.75" x14ac:dyDescent="0.25">
      <c r="A341" s="66">
        <f>A340+1</f>
        <v>212</v>
      </c>
      <c r="B341" s="67" t="s">
        <v>696</v>
      </c>
      <c r="C341" s="66" t="s">
        <v>193</v>
      </c>
      <c r="D341" s="68">
        <v>55.4</v>
      </c>
      <c r="E341" s="178">
        <v>899</v>
      </c>
      <c r="F341" s="105">
        <f t="shared" si="144"/>
        <v>49804.6</v>
      </c>
      <c r="G341" s="105">
        <f t="shared" si="145"/>
        <v>59765.52</v>
      </c>
    </row>
    <row r="342" spans="1:7" ht="15.75" x14ac:dyDescent="0.25">
      <c r="A342" s="66">
        <f>A341+1</f>
        <v>213</v>
      </c>
      <c r="B342" s="67" t="s">
        <v>1116</v>
      </c>
      <c r="C342" s="66" t="s">
        <v>193</v>
      </c>
      <c r="D342" s="68">
        <v>16.7</v>
      </c>
      <c r="E342" s="178">
        <v>1379</v>
      </c>
      <c r="F342" s="105">
        <f t="shared" ref="F342" si="147">ROUND(E342*D342,2)</f>
        <v>23029.3</v>
      </c>
      <c r="G342" s="105">
        <f t="shared" ref="G342" si="148">ROUND(F342*1.2,2)</f>
        <v>27635.16</v>
      </c>
    </row>
    <row r="343" spans="1:7" ht="15.75" x14ac:dyDescent="0.25">
      <c r="A343" s="66">
        <f>A342+1</f>
        <v>214</v>
      </c>
      <c r="B343" s="67" t="s">
        <v>518</v>
      </c>
      <c r="C343" s="66" t="s">
        <v>239</v>
      </c>
      <c r="D343" s="68">
        <f>16.7*1.75</f>
        <v>29.224999999999998</v>
      </c>
      <c r="E343" s="178">
        <v>325</v>
      </c>
      <c r="F343" s="105">
        <f t="shared" si="144"/>
        <v>9498.1299999999992</v>
      </c>
      <c r="G343" s="105">
        <f t="shared" si="145"/>
        <v>11397.76</v>
      </c>
    </row>
    <row r="344" spans="1:7" ht="15.75" x14ac:dyDescent="0.25">
      <c r="A344" s="66">
        <f t="shared" ref="A344" si="149">A343+1</f>
        <v>215</v>
      </c>
      <c r="B344" s="67" t="s">
        <v>503</v>
      </c>
      <c r="C344" s="66" t="s">
        <v>239</v>
      </c>
      <c r="D344" s="68">
        <f>16.7*1.75</f>
        <v>29.224999999999998</v>
      </c>
      <c r="E344" s="178">
        <v>3460</v>
      </c>
      <c r="F344" s="105">
        <f t="shared" si="144"/>
        <v>101118.5</v>
      </c>
      <c r="G344" s="105">
        <f t="shared" si="145"/>
        <v>121342.2</v>
      </c>
    </row>
    <row r="345" spans="1:7" ht="15.75" x14ac:dyDescent="0.25">
      <c r="A345" s="66"/>
      <c r="B345" s="62" t="s">
        <v>636</v>
      </c>
      <c r="C345" s="66"/>
      <c r="D345" s="68"/>
      <c r="E345" s="178"/>
      <c r="F345" s="105"/>
      <c r="G345" s="105"/>
    </row>
    <row r="346" spans="1:7" ht="15.75" x14ac:dyDescent="0.25">
      <c r="A346" s="66">
        <f>A341+1</f>
        <v>213</v>
      </c>
      <c r="B346" s="67" t="s">
        <v>699</v>
      </c>
      <c r="C346" s="66" t="s">
        <v>194</v>
      </c>
      <c r="D346" s="71">
        <v>60</v>
      </c>
      <c r="E346" s="178">
        <v>176</v>
      </c>
      <c r="F346" s="105">
        <f t="shared" si="144"/>
        <v>10560</v>
      </c>
      <c r="G346" s="105">
        <f t="shared" si="145"/>
        <v>12672</v>
      </c>
    </row>
    <row r="347" spans="1:7" ht="15.75" x14ac:dyDescent="0.25">
      <c r="A347" s="66">
        <f t="shared" ref="A347:A351" si="150">A346+1</f>
        <v>214</v>
      </c>
      <c r="B347" s="67" t="s">
        <v>700</v>
      </c>
      <c r="C347" s="66" t="s">
        <v>194</v>
      </c>
      <c r="D347" s="71">
        <v>20</v>
      </c>
      <c r="E347" s="178">
        <v>84</v>
      </c>
      <c r="F347" s="105">
        <f t="shared" si="144"/>
        <v>1680</v>
      </c>
      <c r="G347" s="105">
        <f t="shared" si="145"/>
        <v>2016</v>
      </c>
    </row>
    <row r="348" spans="1:7" ht="15.75" x14ac:dyDescent="0.25">
      <c r="A348" s="66">
        <f t="shared" si="150"/>
        <v>215</v>
      </c>
      <c r="B348" s="67" t="s">
        <v>630</v>
      </c>
      <c r="C348" s="66" t="s">
        <v>194</v>
      </c>
      <c r="D348" s="71">
        <v>4</v>
      </c>
      <c r="E348" s="178">
        <v>7069</v>
      </c>
      <c r="F348" s="105">
        <f t="shared" si="144"/>
        <v>28276</v>
      </c>
      <c r="G348" s="105">
        <f t="shared" si="145"/>
        <v>33931.199999999997</v>
      </c>
    </row>
    <row r="349" spans="1:7" ht="15.75" x14ac:dyDescent="0.25">
      <c r="A349" s="66">
        <f t="shared" si="150"/>
        <v>216</v>
      </c>
      <c r="B349" s="67" t="s">
        <v>631</v>
      </c>
      <c r="C349" s="66" t="s">
        <v>194</v>
      </c>
      <c r="D349" s="71">
        <v>60</v>
      </c>
      <c r="E349" s="178">
        <v>154</v>
      </c>
      <c r="F349" s="105">
        <f t="shared" si="144"/>
        <v>9240</v>
      </c>
      <c r="G349" s="105">
        <f t="shared" si="145"/>
        <v>11088</v>
      </c>
    </row>
    <row r="350" spans="1:7" ht="15.75" x14ac:dyDescent="0.25">
      <c r="A350" s="311">
        <f t="shared" si="150"/>
        <v>217</v>
      </c>
      <c r="B350" s="377" t="s">
        <v>1242</v>
      </c>
      <c r="C350" s="311" t="s">
        <v>194</v>
      </c>
      <c r="D350" s="335">
        <v>30</v>
      </c>
      <c r="E350" s="179">
        <v>18.45</v>
      </c>
      <c r="F350" s="314">
        <f t="shared" ref="F350:F351" si="151">ROUND(E350*D350,2)</f>
        <v>553.5</v>
      </c>
      <c r="G350" s="314">
        <f t="shared" ref="G350:G351" si="152">ROUND(F350*1.2,2)</f>
        <v>664.2</v>
      </c>
    </row>
    <row r="351" spans="1:7" ht="15.75" x14ac:dyDescent="0.25">
      <c r="A351" s="311">
        <f t="shared" si="150"/>
        <v>218</v>
      </c>
      <c r="B351" s="377" t="s">
        <v>1243</v>
      </c>
      <c r="C351" s="311" t="s">
        <v>220</v>
      </c>
      <c r="D351" s="335">
        <v>1</v>
      </c>
      <c r="E351" s="179">
        <v>1976.06</v>
      </c>
      <c r="F351" s="314">
        <f t="shared" si="151"/>
        <v>1976.06</v>
      </c>
      <c r="G351" s="314">
        <f t="shared" si="152"/>
        <v>2371.27</v>
      </c>
    </row>
    <row r="352" spans="1:7" ht="15.75" x14ac:dyDescent="0.25">
      <c r="A352" s="66"/>
      <c r="B352" s="62" t="s">
        <v>513</v>
      </c>
      <c r="C352" s="66"/>
      <c r="D352" s="71"/>
      <c r="E352" s="178"/>
      <c r="F352" s="105"/>
      <c r="G352" s="105"/>
    </row>
    <row r="353" spans="1:7" ht="15.75" x14ac:dyDescent="0.25">
      <c r="A353" s="66">
        <f>A349+1</f>
        <v>217</v>
      </c>
      <c r="B353" s="67" t="s">
        <v>695</v>
      </c>
      <c r="C353" s="66" t="s">
        <v>193</v>
      </c>
      <c r="D353" s="68">
        <v>25.2</v>
      </c>
      <c r="E353" s="178">
        <v>1777</v>
      </c>
      <c r="F353" s="105">
        <f t="shared" si="144"/>
        <v>44780.4</v>
      </c>
      <c r="G353" s="105">
        <f t="shared" si="145"/>
        <v>53736.480000000003</v>
      </c>
    </row>
    <row r="354" spans="1:7" ht="15.75" x14ac:dyDescent="0.25">
      <c r="A354" s="66">
        <f>A353+1</f>
        <v>218</v>
      </c>
      <c r="B354" s="67" t="s">
        <v>696</v>
      </c>
      <c r="C354" s="66" t="s">
        <v>193</v>
      </c>
      <c r="D354" s="68">
        <v>19.600000000000001</v>
      </c>
      <c r="E354" s="178">
        <v>899</v>
      </c>
      <c r="F354" s="105">
        <f t="shared" si="144"/>
        <v>17620.400000000001</v>
      </c>
      <c r="G354" s="105">
        <f t="shared" si="145"/>
        <v>21144.48</v>
      </c>
    </row>
    <row r="355" spans="1:7" ht="15.75" x14ac:dyDescent="0.25">
      <c r="A355" s="66">
        <f>A354+1</f>
        <v>219</v>
      </c>
      <c r="B355" s="67" t="s">
        <v>1116</v>
      </c>
      <c r="C355" s="66" t="s">
        <v>193</v>
      </c>
      <c r="D355" s="68">
        <v>5.6</v>
      </c>
      <c r="E355" s="178">
        <v>1379</v>
      </c>
      <c r="F355" s="105">
        <f t="shared" si="144"/>
        <v>7722.4</v>
      </c>
      <c r="G355" s="105">
        <f t="shared" si="145"/>
        <v>9266.8799999999992</v>
      </c>
    </row>
    <row r="356" spans="1:7" ht="15.75" x14ac:dyDescent="0.25">
      <c r="A356" s="66">
        <f>A354+1</f>
        <v>219</v>
      </c>
      <c r="B356" s="67" t="s">
        <v>518</v>
      </c>
      <c r="C356" s="66" t="s">
        <v>239</v>
      </c>
      <c r="D356" s="68">
        <f>5.6*1.75</f>
        <v>9.7999999999999989</v>
      </c>
      <c r="E356" s="178">
        <v>325</v>
      </c>
      <c r="F356" s="105">
        <f t="shared" ref="F356:F357" si="153">ROUND(E356*D356,2)</f>
        <v>3185</v>
      </c>
      <c r="G356" s="105">
        <f t="shared" ref="G356:G357" si="154">ROUND(F356*1.2,2)</f>
        <v>3822</v>
      </c>
    </row>
    <row r="357" spans="1:7" ht="15.75" x14ac:dyDescent="0.25">
      <c r="A357" s="66">
        <f t="shared" ref="A357" si="155">A356+1</f>
        <v>220</v>
      </c>
      <c r="B357" s="67" t="s">
        <v>503</v>
      </c>
      <c r="C357" s="66" t="s">
        <v>239</v>
      </c>
      <c r="D357" s="68">
        <f>5.6*1.75</f>
        <v>9.7999999999999989</v>
      </c>
      <c r="E357" s="178">
        <v>3460</v>
      </c>
      <c r="F357" s="105">
        <f t="shared" si="153"/>
        <v>33908</v>
      </c>
      <c r="G357" s="105">
        <f t="shared" si="154"/>
        <v>40689.599999999999</v>
      </c>
    </row>
    <row r="358" spans="1:7" ht="15.75" x14ac:dyDescent="0.25">
      <c r="A358" s="66"/>
      <c r="B358" s="62" t="s">
        <v>628</v>
      </c>
      <c r="C358" s="66"/>
      <c r="D358" s="71"/>
      <c r="E358" s="178"/>
      <c r="F358" s="105"/>
      <c r="G358" s="105"/>
    </row>
    <row r="359" spans="1:7" ht="15.75" x14ac:dyDescent="0.25">
      <c r="A359" s="66">
        <f>A357+1</f>
        <v>221</v>
      </c>
      <c r="B359" s="67" t="s">
        <v>694</v>
      </c>
      <c r="C359" s="66" t="s">
        <v>194</v>
      </c>
      <c r="D359" s="71">
        <v>160</v>
      </c>
      <c r="E359" s="178">
        <v>221</v>
      </c>
      <c r="F359" s="105">
        <f t="shared" ref="F359:F363" si="156">ROUND(E359*D359,2)</f>
        <v>35360</v>
      </c>
      <c r="G359" s="105">
        <f t="shared" ref="G359:G363" si="157">ROUND(F359*1.2,2)</f>
        <v>42432</v>
      </c>
    </row>
    <row r="360" spans="1:7" ht="15.75" x14ac:dyDescent="0.25">
      <c r="A360" s="66">
        <f t="shared" ref="A360:A366" si="158">A359+1</f>
        <v>222</v>
      </c>
      <c r="B360" s="67" t="s">
        <v>630</v>
      </c>
      <c r="C360" s="66" t="s">
        <v>220</v>
      </c>
      <c r="D360" s="71">
        <v>16</v>
      </c>
      <c r="E360" s="178">
        <v>7069</v>
      </c>
      <c r="F360" s="105">
        <f t="shared" si="156"/>
        <v>113104</v>
      </c>
      <c r="G360" s="105">
        <f t="shared" si="157"/>
        <v>135724.79999999999</v>
      </c>
    </row>
    <row r="361" spans="1:7" ht="15.75" x14ac:dyDescent="0.25">
      <c r="A361" s="66">
        <f t="shared" si="158"/>
        <v>223</v>
      </c>
      <c r="B361" s="67" t="s">
        <v>631</v>
      </c>
      <c r="C361" s="66" t="s">
        <v>220</v>
      </c>
      <c r="D361" s="71">
        <v>160</v>
      </c>
      <c r="E361" s="178">
        <v>157</v>
      </c>
      <c r="F361" s="105">
        <f t="shared" si="156"/>
        <v>25120</v>
      </c>
      <c r="G361" s="105">
        <f t="shared" si="157"/>
        <v>30144</v>
      </c>
    </row>
    <row r="362" spans="1:7" ht="15.75" x14ac:dyDescent="0.25">
      <c r="A362" s="311">
        <f t="shared" si="158"/>
        <v>224</v>
      </c>
      <c r="B362" s="377" t="s">
        <v>1242</v>
      </c>
      <c r="C362" s="311" t="s">
        <v>194</v>
      </c>
      <c r="D362" s="335">
        <v>60</v>
      </c>
      <c r="E362" s="179">
        <v>18.45</v>
      </c>
      <c r="F362" s="314">
        <f t="shared" si="156"/>
        <v>1107</v>
      </c>
      <c r="G362" s="314">
        <f t="shared" si="157"/>
        <v>1328.4</v>
      </c>
    </row>
    <row r="363" spans="1:7" ht="15.75" x14ac:dyDescent="0.25">
      <c r="A363" s="311">
        <f t="shared" si="158"/>
        <v>225</v>
      </c>
      <c r="B363" s="377" t="s">
        <v>1243</v>
      </c>
      <c r="C363" s="311" t="s">
        <v>220</v>
      </c>
      <c r="D363" s="335">
        <v>1</v>
      </c>
      <c r="E363" s="179">
        <v>1976.06</v>
      </c>
      <c r="F363" s="314">
        <f t="shared" si="156"/>
        <v>1976.06</v>
      </c>
      <c r="G363" s="314">
        <f t="shared" si="157"/>
        <v>2371.27</v>
      </c>
    </row>
    <row r="364" spans="1:7" ht="15.75" x14ac:dyDescent="0.25">
      <c r="A364" s="66"/>
      <c r="B364" s="62" t="s">
        <v>513</v>
      </c>
      <c r="C364" s="66"/>
      <c r="D364" s="71"/>
      <c r="E364" s="178"/>
      <c r="F364" s="105"/>
      <c r="G364" s="105"/>
    </row>
    <row r="365" spans="1:7" ht="15.75" x14ac:dyDescent="0.25">
      <c r="A365" s="66">
        <f>A361+1</f>
        <v>224</v>
      </c>
      <c r="B365" s="67" t="s">
        <v>695</v>
      </c>
      <c r="C365" s="66" t="s">
        <v>193</v>
      </c>
      <c r="D365" s="68">
        <v>66.400000000000006</v>
      </c>
      <c r="E365" s="178">
        <v>1777</v>
      </c>
      <c r="F365" s="105">
        <f t="shared" ref="F365:F369" si="159">ROUND(E365*D365,2)</f>
        <v>117992.8</v>
      </c>
      <c r="G365" s="105">
        <f t="shared" ref="G365:G369" si="160">ROUND(F365*1.2,2)</f>
        <v>141591.35999999999</v>
      </c>
    </row>
    <row r="366" spans="1:7" ht="15.75" x14ac:dyDescent="0.25">
      <c r="A366" s="66">
        <f t="shared" si="158"/>
        <v>225</v>
      </c>
      <c r="B366" s="67" t="s">
        <v>696</v>
      </c>
      <c r="C366" s="66" t="s">
        <v>193</v>
      </c>
      <c r="D366" s="68">
        <v>51.4</v>
      </c>
      <c r="E366" s="178">
        <v>899</v>
      </c>
      <c r="F366" s="105">
        <f t="shared" si="159"/>
        <v>46208.6</v>
      </c>
      <c r="G366" s="105">
        <f t="shared" si="160"/>
        <v>55450.32</v>
      </c>
    </row>
    <row r="367" spans="1:7" ht="15.75" x14ac:dyDescent="0.25">
      <c r="A367" s="66">
        <f>A366+1</f>
        <v>226</v>
      </c>
      <c r="B367" s="67" t="s">
        <v>1116</v>
      </c>
      <c r="C367" s="66" t="s">
        <v>193</v>
      </c>
      <c r="D367" s="68">
        <v>15</v>
      </c>
      <c r="E367" s="178">
        <v>1379</v>
      </c>
      <c r="F367" s="105">
        <f t="shared" si="159"/>
        <v>20685</v>
      </c>
      <c r="G367" s="105">
        <f t="shared" si="160"/>
        <v>24822</v>
      </c>
    </row>
    <row r="368" spans="1:7" ht="15.75" x14ac:dyDescent="0.25">
      <c r="A368" s="66">
        <f>A366+1</f>
        <v>226</v>
      </c>
      <c r="B368" s="67" t="s">
        <v>518</v>
      </c>
      <c r="C368" s="66" t="s">
        <v>239</v>
      </c>
      <c r="D368" s="68">
        <f>15*1.75</f>
        <v>26.25</v>
      </c>
      <c r="E368" s="178">
        <v>325</v>
      </c>
      <c r="F368" s="105">
        <f t="shared" si="159"/>
        <v>8531.25</v>
      </c>
      <c r="G368" s="105">
        <f t="shared" si="160"/>
        <v>10237.5</v>
      </c>
    </row>
    <row r="369" spans="1:7" ht="15.75" x14ac:dyDescent="0.25">
      <c r="A369" s="66">
        <f t="shared" ref="A369" si="161">A368+1</f>
        <v>227</v>
      </c>
      <c r="B369" s="67" t="s">
        <v>503</v>
      </c>
      <c r="C369" s="66" t="s">
        <v>239</v>
      </c>
      <c r="D369" s="68">
        <f>15*1.75</f>
        <v>26.25</v>
      </c>
      <c r="E369" s="178">
        <v>3460</v>
      </c>
      <c r="F369" s="105">
        <f t="shared" si="159"/>
        <v>90825</v>
      </c>
      <c r="G369" s="105">
        <f t="shared" si="160"/>
        <v>108990</v>
      </c>
    </row>
    <row r="370" spans="1:7" ht="15.75" x14ac:dyDescent="0.25">
      <c r="A370" s="66"/>
      <c r="B370" s="62" t="s">
        <v>638</v>
      </c>
      <c r="C370" s="66"/>
      <c r="D370" s="68"/>
      <c r="E370" s="178"/>
      <c r="F370" s="105"/>
      <c r="G370" s="105"/>
    </row>
    <row r="371" spans="1:7" ht="15.75" x14ac:dyDescent="0.25">
      <c r="A371" s="66">
        <f>A354+1</f>
        <v>219</v>
      </c>
      <c r="B371" s="67" t="s">
        <v>701</v>
      </c>
      <c r="C371" s="66" t="s">
        <v>194</v>
      </c>
      <c r="D371" s="71">
        <v>50</v>
      </c>
      <c r="E371" s="178">
        <v>122</v>
      </c>
      <c r="F371" s="105">
        <f t="shared" si="144"/>
        <v>6100</v>
      </c>
      <c r="G371" s="105">
        <f t="shared" si="145"/>
        <v>7320</v>
      </c>
    </row>
    <row r="372" spans="1:7" ht="15.75" x14ac:dyDescent="0.25">
      <c r="A372" s="311">
        <f>A371+1</f>
        <v>220</v>
      </c>
      <c r="B372" s="316" t="s">
        <v>1245</v>
      </c>
      <c r="C372" s="311" t="s">
        <v>194</v>
      </c>
      <c r="D372" s="335">
        <v>160</v>
      </c>
      <c r="E372" s="179">
        <v>133</v>
      </c>
      <c r="F372" s="314">
        <f t="shared" si="144"/>
        <v>21280</v>
      </c>
      <c r="G372" s="314">
        <f t="shared" si="145"/>
        <v>25536</v>
      </c>
    </row>
    <row r="373" spans="1:7" ht="15.75" x14ac:dyDescent="0.25">
      <c r="A373" s="311">
        <f t="shared" ref="A373:A380" si="162">A372+1</f>
        <v>221</v>
      </c>
      <c r="B373" s="316" t="s">
        <v>694</v>
      </c>
      <c r="C373" s="311" t="s">
        <v>194</v>
      </c>
      <c r="D373" s="335">
        <v>210</v>
      </c>
      <c r="E373" s="179">
        <v>221</v>
      </c>
      <c r="F373" s="314">
        <f t="shared" si="144"/>
        <v>46410</v>
      </c>
      <c r="G373" s="314">
        <f t="shared" si="145"/>
        <v>55692</v>
      </c>
    </row>
    <row r="374" spans="1:7" ht="15.75" x14ac:dyDescent="0.25">
      <c r="A374" s="311">
        <f t="shared" si="162"/>
        <v>222</v>
      </c>
      <c r="B374" s="316" t="s">
        <v>702</v>
      </c>
      <c r="C374" s="311" t="s">
        <v>220</v>
      </c>
      <c r="D374" s="335">
        <v>2</v>
      </c>
      <c r="E374" s="179">
        <v>7069</v>
      </c>
      <c r="F374" s="314">
        <f t="shared" si="144"/>
        <v>14138</v>
      </c>
      <c r="G374" s="314">
        <f t="shared" si="145"/>
        <v>16965.599999999999</v>
      </c>
    </row>
    <row r="375" spans="1:7" ht="15.75" x14ac:dyDescent="0.25">
      <c r="A375" s="311">
        <f t="shared" si="162"/>
        <v>223</v>
      </c>
      <c r="B375" s="316" t="s">
        <v>1244</v>
      </c>
      <c r="C375" s="311" t="s">
        <v>220</v>
      </c>
      <c r="D375" s="335">
        <v>2</v>
      </c>
      <c r="E375" s="179">
        <v>12542</v>
      </c>
      <c r="F375" s="314">
        <f t="shared" ref="F375" si="163">ROUND(E375*D375,2)</f>
        <v>25084</v>
      </c>
      <c r="G375" s="314">
        <f t="shared" ref="G375" si="164">ROUND(F375*1.2,2)</f>
        <v>30100.799999999999</v>
      </c>
    </row>
    <row r="376" spans="1:7" ht="15.75" x14ac:dyDescent="0.25">
      <c r="A376" s="311">
        <f t="shared" si="162"/>
        <v>224</v>
      </c>
      <c r="B376" s="316" t="s">
        <v>631</v>
      </c>
      <c r="C376" s="311" t="s">
        <v>194</v>
      </c>
      <c r="D376" s="335">
        <v>50</v>
      </c>
      <c r="E376" s="179">
        <v>157</v>
      </c>
      <c r="F376" s="314">
        <f t="shared" si="144"/>
        <v>7850</v>
      </c>
      <c r="G376" s="314">
        <f t="shared" si="145"/>
        <v>9420</v>
      </c>
    </row>
    <row r="377" spans="1:7" ht="15.75" x14ac:dyDescent="0.25">
      <c r="A377" s="311">
        <f t="shared" si="162"/>
        <v>225</v>
      </c>
      <c r="B377" s="377" t="s">
        <v>1246</v>
      </c>
      <c r="C377" s="311" t="s">
        <v>194</v>
      </c>
      <c r="D377" s="335">
        <v>160</v>
      </c>
      <c r="E377" s="179">
        <v>419</v>
      </c>
      <c r="F377" s="314">
        <f t="shared" ref="F377" si="165">ROUND(E377*D377,2)</f>
        <v>67040</v>
      </c>
      <c r="G377" s="314">
        <f t="shared" ref="G377" si="166">ROUND(F377*1.2,2)</f>
        <v>80448</v>
      </c>
    </row>
    <row r="378" spans="1:7" ht="15.75" x14ac:dyDescent="0.25">
      <c r="A378" s="311">
        <f t="shared" si="162"/>
        <v>226</v>
      </c>
      <c r="B378" s="377" t="s">
        <v>1242</v>
      </c>
      <c r="C378" s="311" t="s">
        <v>194</v>
      </c>
      <c r="D378" s="335">
        <v>100</v>
      </c>
      <c r="E378" s="179">
        <v>18.45</v>
      </c>
      <c r="F378" s="314">
        <f t="shared" si="144"/>
        <v>1845</v>
      </c>
      <c r="G378" s="314">
        <f t="shared" si="145"/>
        <v>2214</v>
      </c>
    </row>
    <row r="379" spans="1:7" ht="15.75" x14ac:dyDescent="0.25">
      <c r="A379" s="311">
        <f t="shared" si="162"/>
        <v>227</v>
      </c>
      <c r="B379" s="377" t="s">
        <v>1243</v>
      </c>
      <c r="C379" s="311" t="s">
        <v>220</v>
      </c>
      <c r="D379" s="335">
        <v>1</v>
      </c>
      <c r="E379" s="179">
        <v>1976.06</v>
      </c>
      <c r="F379" s="314">
        <f t="shared" si="144"/>
        <v>1976.06</v>
      </c>
      <c r="G379" s="314">
        <f t="shared" si="145"/>
        <v>2371.27</v>
      </c>
    </row>
    <row r="380" spans="1:7" ht="30" x14ac:dyDescent="0.25">
      <c r="A380" s="311">
        <f t="shared" si="162"/>
        <v>228</v>
      </c>
      <c r="B380" s="377" t="s">
        <v>1247</v>
      </c>
      <c r="C380" s="311" t="s">
        <v>220</v>
      </c>
      <c r="D380" s="335">
        <v>320</v>
      </c>
      <c r="E380" s="179">
        <v>181</v>
      </c>
      <c r="F380" s="314">
        <f t="shared" ref="F380" si="167">ROUND(E380*D380,2)</f>
        <v>57920</v>
      </c>
      <c r="G380" s="314">
        <f t="shared" ref="G380" si="168">ROUND(F380*1.2,2)</f>
        <v>69504</v>
      </c>
    </row>
    <row r="381" spans="1:7" ht="15.75" x14ac:dyDescent="0.25">
      <c r="A381" s="311"/>
      <c r="B381" s="341" t="s">
        <v>513</v>
      </c>
      <c r="C381" s="311"/>
      <c r="D381" s="335"/>
      <c r="E381" s="179"/>
      <c r="F381" s="314"/>
      <c r="G381" s="314"/>
    </row>
    <row r="382" spans="1:7" ht="15.75" x14ac:dyDescent="0.25">
      <c r="A382" s="66">
        <f>A380+1</f>
        <v>229</v>
      </c>
      <c r="B382" s="67" t="s">
        <v>695</v>
      </c>
      <c r="C382" s="66" t="s">
        <v>193</v>
      </c>
      <c r="D382" s="68">
        <v>71.400000000000006</v>
      </c>
      <c r="E382" s="178">
        <v>1777</v>
      </c>
      <c r="F382" s="105">
        <f t="shared" si="144"/>
        <v>126877.8</v>
      </c>
      <c r="G382" s="105">
        <f t="shared" si="145"/>
        <v>152253.35999999999</v>
      </c>
    </row>
    <row r="383" spans="1:7" ht="15.75" x14ac:dyDescent="0.25">
      <c r="A383" s="66">
        <f>A382+1</f>
        <v>230</v>
      </c>
      <c r="B383" s="67" t="s">
        <v>696</v>
      </c>
      <c r="C383" s="66" t="s">
        <v>193</v>
      </c>
      <c r="D383" s="68">
        <v>56.5</v>
      </c>
      <c r="E383" s="178">
        <v>899</v>
      </c>
      <c r="F383" s="105">
        <f t="shared" si="144"/>
        <v>50793.5</v>
      </c>
      <c r="G383" s="105">
        <f t="shared" si="145"/>
        <v>60952.2</v>
      </c>
    </row>
    <row r="384" spans="1:7" ht="15.75" x14ac:dyDescent="0.25">
      <c r="A384" s="66">
        <f>A383+1</f>
        <v>231</v>
      </c>
      <c r="B384" s="67" t="s">
        <v>1116</v>
      </c>
      <c r="C384" s="66" t="s">
        <v>193</v>
      </c>
      <c r="D384" s="68">
        <v>14.9</v>
      </c>
      <c r="E384" s="178">
        <v>1379</v>
      </c>
      <c r="F384" s="105">
        <f t="shared" si="144"/>
        <v>20547.099999999999</v>
      </c>
      <c r="G384" s="105">
        <f t="shared" si="145"/>
        <v>24656.52</v>
      </c>
    </row>
    <row r="385" spans="1:8" ht="15.75" x14ac:dyDescent="0.25">
      <c r="A385" s="66">
        <f>A383+1</f>
        <v>231</v>
      </c>
      <c r="B385" s="67" t="s">
        <v>518</v>
      </c>
      <c r="C385" s="66" t="s">
        <v>239</v>
      </c>
      <c r="D385" s="68">
        <f>14.9*1.75</f>
        <v>26.074999999999999</v>
      </c>
      <c r="E385" s="178">
        <v>325</v>
      </c>
      <c r="F385" s="105">
        <f t="shared" si="144"/>
        <v>8474.3799999999992</v>
      </c>
      <c r="G385" s="105">
        <f t="shared" si="145"/>
        <v>10169.26</v>
      </c>
    </row>
    <row r="386" spans="1:8" ht="15.75" x14ac:dyDescent="0.25">
      <c r="A386" s="66">
        <f t="shared" ref="A386" si="169">A385+1</f>
        <v>232</v>
      </c>
      <c r="B386" s="67" t="s">
        <v>503</v>
      </c>
      <c r="C386" s="66" t="s">
        <v>239</v>
      </c>
      <c r="D386" s="68">
        <f>14.9*1.75</f>
        <v>26.074999999999999</v>
      </c>
      <c r="E386" s="178">
        <v>3460</v>
      </c>
      <c r="F386" s="105">
        <f t="shared" si="144"/>
        <v>90219.5</v>
      </c>
      <c r="G386" s="105">
        <f t="shared" si="145"/>
        <v>108263.4</v>
      </c>
    </row>
    <row r="387" spans="1:8" x14ac:dyDescent="0.25">
      <c r="A387" s="174"/>
      <c r="B387" s="429" t="s">
        <v>721</v>
      </c>
      <c r="C387" s="430"/>
      <c r="D387" s="430"/>
      <c r="E387" s="431"/>
      <c r="F387" s="165">
        <f>SUM(F6:F386)</f>
        <v>83593482.279999956</v>
      </c>
      <c r="G387" s="165">
        <f>SUM(G6:G386)</f>
        <v>214997238.76999998</v>
      </c>
    </row>
    <row r="388" spans="1:8" x14ac:dyDescent="0.25">
      <c r="A388" s="411" t="s">
        <v>722</v>
      </c>
      <c r="B388" s="412"/>
      <c r="C388" s="412"/>
      <c r="D388" s="412"/>
      <c r="E388" s="413"/>
      <c r="F388" s="220">
        <f>ROUND(F387*0.03,2)</f>
        <v>2507804.4700000002</v>
      </c>
      <c r="G388" s="220">
        <f>ROUND(G387*0.03,2)</f>
        <v>6449917.1600000001</v>
      </c>
      <c r="H388" s="52"/>
    </row>
    <row r="389" spans="1:8" x14ac:dyDescent="0.25">
      <c r="A389" s="411" t="s">
        <v>723</v>
      </c>
      <c r="B389" s="412"/>
      <c r="C389" s="412"/>
      <c r="D389" s="412"/>
      <c r="E389" s="413"/>
      <c r="F389" s="220">
        <f>F387+F388</f>
        <v>86101286.749999955</v>
      </c>
      <c r="G389" s="220">
        <f>G387+G388</f>
        <v>221447155.92999998</v>
      </c>
      <c r="H389" s="52"/>
    </row>
  </sheetData>
  <mergeCells count="11">
    <mergeCell ref="B387:E387"/>
    <mergeCell ref="A388:E388"/>
    <mergeCell ref="A389:E389"/>
    <mergeCell ref="E1:G1"/>
    <mergeCell ref="D1:D2"/>
    <mergeCell ref="C1:C2"/>
    <mergeCell ref="B1:B2"/>
    <mergeCell ref="A1:A2"/>
    <mergeCell ref="E239:E241"/>
    <mergeCell ref="F239:F241"/>
    <mergeCell ref="G239:G241"/>
  </mergeCells>
  <pageMargins left="0.7" right="0.7" top="0.75" bottom="0.75" header="0.3" footer="0.3"/>
  <pageSetup paperSize="9" scale="6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0"/>
  <sheetViews>
    <sheetView view="pageBreakPreview" topLeftCell="A7" zoomScale="70" zoomScaleNormal="100" zoomScaleSheetLayoutView="70" workbookViewId="0">
      <selection activeCell="E233" sqref="E233"/>
    </sheetView>
  </sheetViews>
  <sheetFormatPr defaultRowHeight="15" x14ac:dyDescent="0.25"/>
  <cols>
    <col min="1" max="1" width="7.42578125" customWidth="1"/>
    <col min="2" max="2" width="64" customWidth="1"/>
    <col min="4" max="4" width="9.28515625" bestFit="1" customWidth="1"/>
    <col min="5" max="5" width="14.140625" bestFit="1" customWidth="1"/>
    <col min="6" max="6" width="17.42578125" customWidth="1"/>
    <col min="7" max="7" width="17.28515625" customWidth="1"/>
  </cols>
  <sheetData>
    <row r="1" spans="1:7" ht="19.5" customHeight="1" x14ac:dyDescent="0.25">
      <c r="A1" s="405" t="s">
        <v>226</v>
      </c>
      <c r="B1" s="428" t="s">
        <v>201</v>
      </c>
      <c r="C1" s="405" t="s">
        <v>705</v>
      </c>
      <c r="D1" s="405" t="s">
        <v>202</v>
      </c>
      <c r="E1" s="427" t="s">
        <v>703</v>
      </c>
      <c r="F1" s="427"/>
      <c r="G1" s="427"/>
    </row>
    <row r="2" spans="1:7" s="54" customFormat="1" ht="28.5" x14ac:dyDescent="0.25">
      <c r="A2" s="405"/>
      <c r="B2" s="428"/>
      <c r="C2" s="405"/>
      <c r="D2" s="405"/>
      <c r="E2" s="93" t="s">
        <v>704</v>
      </c>
      <c r="F2" s="109" t="s">
        <v>197</v>
      </c>
      <c r="G2" s="109" t="s">
        <v>198</v>
      </c>
    </row>
    <row r="3" spans="1:7" ht="13.5" customHeight="1" x14ac:dyDescent="0.25">
      <c r="A3" s="154">
        <v>1</v>
      </c>
      <c r="B3" s="155">
        <v>2</v>
      </c>
      <c r="C3" s="155">
        <v>3</v>
      </c>
      <c r="D3" s="155">
        <v>4</v>
      </c>
      <c r="E3" s="155">
        <v>5</v>
      </c>
      <c r="F3" s="155">
        <v>6</v>
      </c>
      <c r="G3" s="155">
        <v>7</v>
      </c>
    </row>
    <row r="4" spans="1:7" x14ac:dyDescent="0.25">
      <c r="A4" s="161"/>
      <c r="B4" s="414" t="s">
        <v>550</v>
      </c>
      <c r="C4" s="436"/>
      <c r="D4" s="415"/>
      <c r="E4" s="163"/>
      <c r="F4" s="164"/>
      <c r="G4" s="131"/>
    </row>
    <row r="5" spans="1:7" x14ac:dyDescent="0.25">
      <c r="A5" s="88">
        <v>1</v>
      </c>
      <c r="B5" s="67" t="s">
        <v>234</v>
      </c>
      <c r="C5" s="66" t="s">
        <v>193</v>
      </c>
      <c r="D5" s="71">
        <v>13</v>
      </c>
      <c r="E5" s="98">
        <v>1320</v>
      </c>
      <c r="F5" s="105">
        <f>ROUND(E5*D5,2)</f>
        <v>17160</v>
      </c>
      <c r="G5" s="105">
        <f>ROUND(F5*1.2,2)</f>
        <v>20592</v>
      </c>
    </row>
    <row r="6" spans="1:7" ht="30" x14ac:dyDescent="0.25">
      <c r="A6" s="88">
        <f>A5+1</f>
        <v>2</v>
      </c>
      <c r="B6" s="67" t="s">
        <v>551</v>
      </c>
      <c r="C6" s="66" t="s">
        <v>194</v>
      </c>
      <c r="D6" s="71">
        <v>35</v>
      </c>
      <c r="E6" s="98">
        <v>396.00000000000006</v>
      </c>
      <c r="F6" s="105">
        <f t="shared" ref="F6:F27" si="0">ROUND(E6*D6,2)</f>
        <v>13860</v>
      </c>
      <c r="G6" s="105">
        <f t="shared" ref="G6:G27" si="1">ROUND(F6*1.2,2)</f>
        <v>16632</v>
      </c>
    </row>
    <row r="7" spans="1:7" ht="30" x14ac:dyDescent="0.25">
      <c r="A7" s="88">
        <f>A6+1</f>
        <v>3</v>
      </c>
      <c r="B7" s="67" t="s">
        <v>552</v>
      </c>
      <c r="C7" s="66" t="s">
        <v>194</v>
      </c>
      <c r="D7" s="71">
        <v>3</v>
      </c>
      <c r="E7" s="98">
        <v>473.00000000000006</v>
      </c>
      <c r="F7" s="105">
        <f t="shared" si="0"/>
        <v>1419</v>
      </c>
      <c r="G7" s="105">
        <f t="shared" si="1"/>
        <v>1702.8</v>
      </c>
    </row>
    <row r="8" spans="1:7" x14ac:dyDescent="0.25">
      <c r="A8" s="88">
        <f t="shared" ref="A8:A27" si="2">A7+1</f>
        <v>4</v>
      </c>
      <c r="B8" s="67" t="s">
        <v>553</v>
      </c>
      <c r="C8" s="66" t="s">
        <v>194</v>
      </c>
      <c r="D8" s="71">
        <v>6</v>
      </c>
      <c r="E8" s="98">
        <v>4730</v>
      </c>
      <c r="F8" s="105">
        <f t="shared" si="0"/>
        <v>28380</v>
      </c>
      <c r="G8" s="105">
        <f t="shared" si="1"/>
        <v>34056</v>
      </c>
    </row>
    <row r="9" spans="1:7" ht="45" x14ac:dyDescent="0.25">
      <c r="A9" s="88">
        <f t="shared" si="2"/>
        <v>5</v>
      </c>
      <c r="B9" s="67" t="s">
        <v>554</v>
      </c>
      <c r="C9" s="66" t="s">
        <v>220</v>
      </c>
      <c r="D9" s="71">
        <v>2</v>
      </c>
      <c r="E9" s="98">
        <v>14801</v>
      </c>
      <c r="F9" s="105">
        <f t="shared" si="0"/>
        <v>29602</v>
      </c>
      <c r="G9" s="105">
        <f t="shared" si="1"/>
        <v>35522.400000000001</v>
      </c>
    </row>
    <row r="10" spans="1:7" x14ac:dyDescent="0.25">
      <c r="A10" s="88">
        <f t="shared" si="2"/>
        <v>6</v>
      </c>
      <c r="B10" s="67" t="s">
        <v>555</v>
      </c>
      <c r="C10" s="66" t="s">
        <v>220</v>
      </c>
      <c r="D10" s="71">
        <v>1</v>
      </c>
      <c r="E10" s="98">
        <v>18370</v>
      </c>
      <c r="F10" s="105">
        <f t="shared" si="0"/>
        <v>18370</v>
      </c>
      <c r="G10" s="105">
        <f t="shared" si="1"/>
        <v>22044</v>
      </c>
    </row>
    <row r="11" spans="1:7" x14ac:dyDescent="0.25">
      <c r="A11" s="88">
        <f t="shared" si="2"/>
        <v>7</v>
      </c>
      <c r="B11" s="67" t="s">
        <v>556</v>
      </c>
      <c r="C11" s="66" t="s">
        <v>220</v>
      </c>
      <c r="D11" s="71">
        <v>2</v>
      </c>
      <c r="E11" s="98">
        <v>7260.0000000000009</v>
      </c>
      <c r="F11" s="105">
        <f t="shared" si="0"/>
        <v>14520</v>
      </c>
      <c r="G11" s="105">
        <f t="shared" si="1"/>
        <v>17424</v>
      </c>
    </row>
    <row r="12" spans="1:7" x14ac:dyDescent="0.25">
      <c r="A12" s="88">
        <f t="shared" si="2"/>
        <v>8</v>
      </c>
      <c r="B12" s="67" t="s">
        <v>557</v>
      </c>
      <c r="C12" s="66" t="s">
        <v>220</v>
      </c>
      <c r="D12" s="71">
        <v>1</v>
      </c>
      <c r="E12" s="98">
        <v>7260.0000000000009</v>
      </c>
      <c r="F12" s="105">
        <f t="shared" si="0"/>
        <v>7260</v>
      </c>
      <c r="G12" s="105">
        <f t="shared" si="1"/>
        <v>8712</v>
      </c>
    </row>
    <row r="13" spans="1:7" x14ac:dyDescent="0.25">
      <c r="A13" s="88">
        <f t="shared" si="2"/>
        <v>9</v>
      </c>
      <c r="B13" s="67" t="s">
        <v>558</v>
      </c>
      <c r="C13" s="66" t="s">
        <v>220</v>
      </c>
      <c r="D13" s="71">
        <v>1</v>
      </c>
      <c r="E13" s="98">
        <v>616</v>
      </c>
      <c r="F13" s="105">
        <f t="shared" si="0"/>
        <v>616</v>
      </c>
      <c r="G13" s="105">
        <f t="shared" si="1"/>
        <v>739.2</v>
      </c>
    </row>
    <row r="14" spans="1:7" x14ac:dyDescent="0.25">
      <c r="A14" s="88">
        <f t="shared" si="2"/>
        <v>10</v>
      </c>
      <c r="B14" s="67" t="s">
        <v>559</v>
      </c>
      <c r="C14" s="74" t="s">
        <v>254</v>
      </c>
      <c r="D14" s="68">
        <f>32*0.137</f>
        <v>4.3840000000000003</v>
      </c>
      <c r="E14" s="98">
        <v>127</v>
      </c>
      <c r="F14" s="105">
        <f t="shared" si="0"/>
        <v>556.77</v>
      </c>
      <c r="G14" s="105">
        <f t="shared" si="1"/>
        <v>668.12</v>
      </c>
    </row>
    <row r="15" spans="1:7" x14ac:dyDescent="0.25">
      <c r="A15" s="88">
        <f t="shared" si="2"/>
        <v>11</v>
      </c>
      <c r="B15" s="67" t="s">
        <v>560</v>
      </c>
      <c r="C15" s="74" t="s">
        <v>254</v>
      </c>
      <c r="D15" s="68">
        <f>16*0.243</f>
        <v>3.8879999999999999</v>
      </c>
      <c r="E15" s="98">
        <v>127</v>
      </c>
      <c r="F15" s="105">
        <f t="shared" si="0"/>
        <v>493.78</v>
      </c>
      <c r="G15" s="105">
        <f t="shared" si="1"/>
        <v>592.54</v>
      </c>
    </row>
    <row r="16" spans="1:7" x14ac:dyDescent="0.25">
      <c r="A16" s="88">
        <f t="shared" si="2"/>
        <v>12</v>
      </c>
      <c r="B16" s="67" t="s">
        <v>561</v>
      </c>
      <c r="C16" s="74" t="s">
        <v>254</v>
      </c>
      <c r="D16" s="68">
        <f>32*0.032</f>
        <v>1.024</v>
      </c>
      <c r="E16" s="98">
        <v>147</v>
      </c>
      <c r="F16" s="105">
        <f t="shared" si="0"/>
        <v>150.53</v>
      </c>
      <c r="G16" s="105">
        <f t="shared" si="1"/>
        <v>180.64</v>
      </c>
    </row>
    <row r="17" spans="1:7" x14ac:dyDescent="0.25">
      <c r="A17" s="88">
        <f t="shared" si="2"/>
        <v>13</v>
      </c>
      <c r="B17" s="67" t="s">
        <v>562</v>
      </c>
      <c r="C17" s="74" t="s">
        <v>254</v>
      </c>
      <c r="D17" s="68">
        <f>16*0.071</f>
        <v>1.1359999999999999</v>
      </c>
      <c r="E17" s="98">
        <v>147</v>
      </c>
      <c r="F17" s="105">
        <f t="shared" si="0"/>
        <v>166.99</v>
      </c>
      <c r="G17" s="105">
        <f t="shared" si="1"/>
        <v>200.39</v>
      </c>
    </row>
    <row r="18" spans="1:7" x14ac:dyDescent="0.25">
      <c r="A18" s="88">
        <f t="shared" si="2"/>
        <v>14</v>
      </c>
      <c r="B18" s="67" t="s">
        <v>563</v>
      </c>
      <c r="C18" s="74" t="s">
        <v>254</v>
      </c>
      <c r="D18" s="68">
        <f>64*0.013</f>
        <v>0.83199999999999996</v>
      </c>
      <c r="E18" s="98">
        <v>198.00000000000003</v>
      </c>
      <c r="F18" s="105">
        <f t="shared" si="0"/>
        <v>164.74</v>
      </c>
      <c r="G18" s="105">
        <f t="shared" si="1"/>
        <v>197.69</v>
      </c>
    </row>
    <row r="19" spans="1:7" x14ac:dyDescent="0.25">
      <c r="A19" s="88">
        <f t="shared" si="2"/>
        <v>15</v>
      </c>
      <c r="B19" s="67" t="s">
        <v>564</v>
      </c>
      <c r="C19" s="74" t="s">
        <v>254</v>
      </c>
      <c r="D19" s="68">
        <f>32*0.0172</f>
        <v>0.5504</v>
      </c>
      <c r="E19" s="98">
        <v>198.00000000000003</v>
      </c>
      <c r="F19" s="105">
        <f t="shared" si="0"/>
        <v>108.98</v>
      </c>
      <c r="G19" s="105">
        <f t="shared" si="1"/>
        <v>130.78</v>
      </c>
    </row>
    <row r="20" spans="1:7" ht="30" x14ac:dyDescent="0.25">
      <c r="A20" s="88">
        <f t="shared" si="2"/>
        <v>16</v>
      </c>
      <c r="B20" s="67" t="s">
        <v>565</v>
      </c>
      <c r="C20" s="74" t="s">
        <v>220</v>
      </c>
      <c r="D20" s="71">
        <v>4</v>
      </c>
      <c r="E20" s="98">
        <v>28</v>
      </c>
      <c r="F20" s="105">
        <f t="shared" si="0"/>
        <v>112</v>
      </c>
      <c r="G20" s="105">
        <f t="shared" si="1"/>
        <v>134.4</v>
      </c>
    </row>
    <row r="21" spans="1:7" ht="30" x14ac:dyDescent="0.25">
      <c r="A21" s="88">
        <f t="shared" si="2"/>
        <v>17</v>
      </c>
      <c r="B21" s="67" t="s">
        <v>566</v>
      </c>
      <c r="C21" s="74" t="s">
        <v>220</v>
      </c>
      <c r="D21" s="71">
        <v>2</v>
      </c>
      <c r="E21" s="98">
        <v>33</v>
      </c>
      <c r="F21" s="105">
        <f t="shared" si="0"/>
        <v>66</v>
      </c>
      <c r="G21" s="105">
        <f t="shared" si="1"/>
        <v>79.2</v>
      </c>
    </row>
    <row r="22" spans="1:7" ht="30" x14ac:dyDescent="0.25">
      <c r="A22" s="88">
        <f t="shared" si="2"/>
        <v>18</v>
      </c>
      <c r="B22" s="67" t="s">
        <v>567</v>
      </c>
      <c r="C22" s="66" t="s">
        <v>220</v>
      </c>
      <c r="D22" s="71">
        <v>1</v>
      </c>
      <c r="E22" s="98">
        <v>770.00000000000011</v>
      </c>
      <c r="F22" s="105">
        <f t="shared" si="0"/>
        <v>770</v>
      </c>
      <c r="G22" s="105">
        <f t="shared" si="1"/>
        <v>924</v>
      </c>
    </row>
    <row r="23" spans="1:7" x14ac:dyDescent="0.25">
      <c r="A23" s="88">
        <f t="shared" si="2"/>
        <v>19</v>
      </c>
      <c r="B23" s="67" t="s">
        <v>568</v>
      </c>
      <c r="C23" s="66" t="s">
        <v>220</v>
      </c>
      <c r="D23" s="71">
        <v>1</v>
      </c>
      <c r="E23" s="98">
        <v>1320</v>
      </c>
      <c r="F23" s="105">
        <f t="shared" si="0"/>
        <v>1320</v>
      </c>
      <c r="G23" s="105">
        <f t="shared" si="1"/>
        <v>1584</v>
      </c>
    </row>
    <row r="24" spans="1:7" x14ac:dyDescent="0.25">
      <c r="A24" s="88">
        <f t="shared" si="2"/>
        <v>20</v>
      </c>
      <c r="B24" s="67" t="s">
        <v>569</v>
      </c>
      <c r="C24" s="66" t="s">
        <v>220</v>
      </c>
      <c r="D24" s="71">
        <v>1</v>
      </c>
      <c r="E24" s="98">
        <v>1870.0000000000002</v>
      </c>
      <c r="F24" s="105">
        <f t="shared" si="0"/>
        <v>1870</v>
      </c>
      <c r="G24" s="105">
        <f t="shared" si="1"/>
        <v>2244</v>
      </c>
    </row>
    <row r="25" spans="1:7" x14ac:dyDescent="0.25">
      <c r="A25" s="88">
        <f t="shared" si="2"/>
        <v>21</v>
      </c>
      <c r="B25" s="67" t="s">
        <v>570</v>
      </c>
      <c r="C25" s="66" t="s">
        <v>220</v>
      </c>
      <c r="D25" s="71">
        <v>1</v>
      </c>
      <c r="E25" s="98">
        <v>5280</v>
      </c>
      <c r="F25" s="105">
        <f t="shared" si="0"/>
        <v>5280</v>
      </c>
      <c r="G25" s="105">
        <f t="shared" si="1"/>
        <v>6336</v>
      </c>
    </row>
    <row r="26" spans="1:7" ht="32.25" customHeight="1" x14ac:dyDescent="0.25">
      <c r="A26" s="88">
        <f t="shared" si="2"/>
        <v>22</v>
      </c>
      <c r="B26" s="67" t="s">
        <v>571</v>
      </c>
      <c r="C26" s="66" t="s">
        <v>193</v>
      </c>
      <c r="D26" s="68">
        <v>7.0000000000000007E-2</v>
      </c>
      <c r="E26" s="98">
        <v>5587</v>
      </c>
      <c r="F26" s="105">
        <f t="shared" si="0"/>
        <v>391.09</v>
      </c>
      <c r="G26" s="105">
        <f t="shared" si="1"/>
        <v>469.31</v>
      </c>
    </row>
    <row r="27" spans="1:7" ht="21.75" customHeight="1" x14ac:dyDescent="0.25">
      <c r="A27" s="88">
        <f t="shared" si="2"/>
        <v>23</v>
      </c>
      <c r="B27" s="67" t="s">
        <v>760</v>
      </c>
      <c r="C27" s="66" t="s">
        <v>193</v>
      </c>
      <c r="D27" s="72">
        <v>0.5</v>
      </c>
      <c r="E27" s="98">
        <v>3850</v>
      </c>
      <c r="F27" s="105">
        <f t="shared" si="0"/>
        <v>1925</v>
      </c>
      <c r="G27" s="105">
        <f t="shared" si="1"/>
        <v>2310</v>
      </c>
    </row>
    <row r="28" spans="1:7" ht="30.75" customHeight="1" x14ac:dyDescent="0.25">
      <c r="A28" s="161"/>
      <c r="B28" s="437" t="s">
        <v>1167</v>
      </c>
      <c r="C28" s="438"/>
      <c r="D28" s="438"/>
      <c r="E28" s="163"/>
      <c r="F28" s="164"/>
      <c r="G28" s="131"/>
    </row>
    <row r="29" spans="1:7" x14ac:dyDescent="0.25">
      <c r="A29" s="66">
        <f>A27+1</f>
        <v>24</v>
      </c>
      <c r="B29" s="67" t="s">
        <v>234</v>
      </c>
      <c r="C29" s="66" t="s">
        <v>193</v>
      </c>
      <c r="D29" s="71">
        <v>114</v>
      </c>
      <c r="E29" s="98">
        <v>1320</v>
      </c>
      <c r="F29" s="105">
        <f t="shared" ref="F29" si="3">ROUND(E29*D29,2)</f>
        <v>150480</v>
      </c>
      <c r="G29" s="105">
        <f t="shared" ref="G29" si="4">ROUND(F29*1.2,2)</f>
        <v>180576</v>
      </c>
    </row>
    <row r="30" spans="1:7" x14ac:dyDescent="0.25">
      <c r="A30" s="66">
        <f>A29+1</f>
        <v>25</v>
      </c>
      <c r="B30" s="67" t="s">
        <v>1189</v>
      </c>
      <c r="C30" s="74" t="s">
        <v>194</v>
      </c>
      <c r="D30" s="71">
        <v>101</v>
      </c>
      <c r="E30" s="98">
        <v>396.00000000000006</v>
      </c>
      <c r="F30" s="105">
        <f t="shared" ref="F30:F40" si="5">ROUND(E30*D30,2)</f>
        <v>39996</v>
      </c>
      <c r="G30" s="105">
        <f t="shared" ref="G30:G40" si="6">ROUND(F30*1.2,2)</f>
        <v>47995.199999999997</v>
      </c>
    </row>
    <row r="31" spans="1:7" x14ac:dyDescent="0.25">
      <c r="A31" s="66">
        <f>A30+1</f>
        <v>26</v>
      </c>
      <c r="B31" s="67" t="s">
        <v>553</v>
      </c>
      <c r="C31" s="66" t="s">
        <v>194</v>
      </c>
      <c r="D31" s="71">
        <v>12</v>
      </c>
      <c r="E31" s="98">
        <v>4730</v>
      </c>
      <c r="F31" s="105">
        <f t="shared" si="5"/>
        <v>56760</v>
      </c>
      <c r="G31" s="105">
        <f t="shared" si="6"/>
        <v>68112</v>
      </c>
    </row>
    <row r="32" spans="1:7" s="57" customFormat="1" x14ac:dyDescent="0.25">
      <c r="A32" s="88">
        <f>A31+1</f>
        <v>27</v>
      </c>
      <c r="B32" s="253" t="s">
        <v>1166</v>
      </c>
      <c r="C32" s="88" t="s">
        <v>220</v>
      </c>
      <c r="D32" s="160">
        <v>5</v>
      </c>
      <c r="E32" s="255">
        <v>570</v>
      </c>
      <c r="F32" s="107">
        <f t="shared" si="5"/>
        <v>2850</v>
      </c>
      <c r="G32" s="107">
        <f t="shared" si="6"/>
        <v>3420</v>
      </c>
    </row>
    <row r="33" spans="1:7" x14ac:dyDescent="0.25">
      <c r="A33" s="66">
        <f>A32+1</f>
        <v>28</v>
      </c>
      <c r="B33" s="67" t="s">
        <v>557</v>
      </c>
      <c r="C33" s="66" t="s">
        <v>220</v>
      </c>
      <c r="D33" s="71">
        <v>2</v>
      </c>
      <c r="E33" s="98">
        <v>7260.0000000000009</v>
      </c>
      <c r="F33" s="105">
        <f t="shared" si="5"/>
        <v>14520</v>
      </c>
      <c r="G33" s="105">
        <f t="shared" si="6"/>
        <v>17424</v>
      </c>
    </row>
    <row r="34" spans="1:7" x14ac:dyDescent="0.25">
      <c r="A34" s="66">
        <f>A33+1</f>
        <v>29</v>
      </c>
      <c r="B34" s="67" t="s">
        <v>558</v>
      </c>
      <c r="C34" s="66" t="s">
        <v>220</v>
      </c>
      <c r="D34" s="71">
        <v>2</v>
      </c>
      <c r="E34" s="98">
        <v>616</v>
      </c>
      <c r="F34" s="105">
        <f t="shared" si="5"/>
        <v>1232</v>
      </c>
      <c r="G34" s="105">
        <f t="shared" si="6"/>
        <v>1478.4</v>
      </c>
    </row>
    <row r="35" spans="1:7" x14ac:dyDescent="0.25">
      <c r="A35" s="66">
        <f t="shared" ref="A35:A39" si="7">A34+1</f>
        <v>30</v>
      </c>
      <c r="B35" s="67" t="s">
        <v>577</v>
      </c>
      <c r="C35" s="74" t="s">
        <v>254</v>
      </c>
      <c r="D35" s="68">
        <f>16*0.137</f>
        <v>2.1920000000000002</v>
      </c>
      <c r="E35" s="98">
        <v>127</v>
      </c>
      <c r="F35" s="105">
        <f t="shared" si="5"/>
        <v>278.38</v>
      </c>
      <c r="G35" s="105">
        <f t="shared" si="6"/>
        <v>334.06</v>
      </c>
    </row>
    <row r="36" spans="1:7" x14ac:dyDescent="0.25">
      <c r="A36" s="66">
        <f t="shared" si="7"/>
        <v>31</v>
      </c>
      <c r="B36" s="67" t="s">
        <v>405</v>
      </c>
      <c r="C36" s="74" t="s">
        <v>254</v>
      </c>
      <c r="D36" s="68">
        <f>16*0.032</f>
        <v>0.51200000000000001</v>
      </c>
      <c r="E36" s="98">
        <v>147</v>
      </c>
      <c r="F36" s="105">
        <f t="shared" si="5"/>
        <v>75.260000000000005</v>
      </c>
      <c r="G36" s="105">
        <f t="shared" si="6"/>
        <v>90.31</v>
      </c>
    </row>
    <row r="37" spans="1:7" x14ac:dyDescent="0.25">
      <c r="A37" s="66">
        <f t="shared" si="7"/>
        <v>32</v>
      </c>
      <c r="B37" s="67" t="s">
        <v>578</v>
      </c>
      <c r="C37" s="74" t="s">
        <v>254</v>
      </c>
      <c r="D37" s="68">
        <f>32*0.013</f>
        <v>0.41599999999999998</v>
      </c>
      <c r="E37" s="98">
        <v>198.00000000000003</v>
      </c>
      <c r="F37" s="105">
        <f t="shared" si="5"/>
        <v>82.37</v>
      </c>
      <c r="G37" s="105">
        <f t="shared" si="6"/>
        <v>98.84</v>
      </c>
    </row>
    <row r="38" spans="1:7" ht="30" x14ac:dyDescent="0.25">
      <c r="A38" s="66">
        <f t="shared" si="7"/>
        <v>33</v>
      </c>
      <c r="B38" s="67" t="s">
        <v>406</v>
      </c>
      <c r="C38" s="66" t="s">
        <v>220</v>
      </c>
      <c r="D38" s="71">
        <v>2</v>
      </c>
      <c r="E38" s="98">
        <v>33</v>
      </c>
      <c r="F38" s="105">
        <f t="shared" si="5"/>
        <v>66</v>
      </c>
      <c r="G38" s="105">
        <f t="shared" si="6"/>
        <v>79.2</v>
      </c>
    </row>
    <row r="39" spans="1:7" ht="30" x14ac:dyDescent="0.25">
      <c r="A39" s="66">
        <f t="shared" si="7"/>
        <v>34</v>
      </c>
      <c r="B39" s="67" t="s">
        <v>576</v>
      </c>
      <c r="C39" s="66" t="s">
        <v>220</v>
      </c>
      <c r="D39" s="71">
        <v>2</v>
      </c>
      <c r="E39" s="98">
        <v>770.00000000000011</v>
      </c>
      <c r="F39" s="105">
        <f t="shared" si="5"/>
        <v>1540</v>
      </c>
      <c r="G39" s="105">
        <f t="shared" si="6"/>
        <v>1848</v>
      </c>
    </row>
    <row r="40" spans="1:7" ht="21.75" customHeight="1" x14ac:dyDescent="0.25">
      <c r="A40" s="88">
        <f t="shared" ref="A40" si="8">A39+1</f>
        <v>35</v>
      </c>
      <c r="B40" s="253" t="s">
        <v>760</v>
      </c>
      <c r="C40" s="88" t="s">
        <v>193</v>
      </c>
      <c r="D40" s="237">
        <v>0.3</v>
      </c>
      <c r="E40" s="255">
        <v>3850</v>
      </c>
      <c r="F40" s="107">
        <f t="shared" si="5"/>
        <v>1155</v>
      </c>
      <c r="G40" s="107">
        <f t="shared" si="6"/>
        <v>1386</v>
      </c>
    </row>
    <row r="41" spans="1:7" ht="30" customHeight="1" x14ac:dyDescent="0.25">
      <c r="A41" s="161"/>
      <c r="B41" s="437" t="s">
        <v>1168</v>
      </c>
      <c r="C41" s="438"/>
      <c r="D41" s="438"/>
      <c r="E41" s="163"/>
      <c r="F41" s="164"/>
      <c r="G41" s="131"/>
    </row>
    <row r="42" spans="1:7" x14ac:dyDescent="0.25">
      <c r="A42" s="66">
        <f>A40+1</f>
        <v>36</v>
      </c>
      <c r="B42" s="67" t="s">
        <v>234</v>
      </c>
      <c r="C42" s="66" t="s">
        <v>193</v>
      </c>
      <c r="D42" s="71">
        <v>47</v>
      </c>
      <c r="E42" s="98">
        <v>1320</v>
      </c>
      <c r="F42" s="105">
        <f t="shared" ref="F42" si="9">ROUND(E42*D42,2)</f>
        <v>62040</v>
      </c>
      <c r="G42" s="105">
        <f t="shared" ref="G42" si="10">ROUND(F42*1.2,2)</f>
        <v>74448</v>
      </c>
    </row>
    <row r="43" spans="1:7" s="57" customFormat="1" x14ac:dyDescent="0.25">
      <c r="A43" s="88">
        <f>A42+1</f>
        <v>37</v>
      </c>
      <c r="B43" s="253" t="s">
        <v>1190</v>
      </c>
      <c r="C43" s="88" t="s">
        <v>194</v>
      </c>
      <c r="D43" s="160">
        <v>32</v>
      </c>
      <c r="E43" s="255">
        <v>3663</v>
      </c>
      <c r="F43" s="107">
        <f t="shared" ref="F43" si="11">ROUND(E43*D43,2)</f>
        <v>117216</v>
      </c>
      <c r="G43" s="107">
        <f t="shared" ref="G43" si="12">ROUND(F43*1.2,2)</f>
        <v>140659.20000000001</v>
      </c>
    </row>
    <row r="44" spans="1:7" s="57" customFormat="1" x14ac:dyDescent="0.25">
      <c r="A44" s="88">
        <f>A43+1</f>
        <v>38</v>
      </c>
      <c r="B44" s="253" t="s">
        <v>1191</v>
      </c>
      <c r="C44" s="88" t="s">
        <v>194</v>
      </c>
      <c r="D44" s="160">
        <v>6</v>
      </c>
      <c r="E44" s="255">
        <v>13793</v>
      </c>
      <c r="F44" s="107">
        <f t="shared" ref="F44" si="13">ROUND(E44*D44,2)</f>
        <v>82758</v>
      </c>
      <c r="G44" s="107">
        <f t="shared" ref="G44" si="14">ROUND(F44*1.2,2)</f>
        <v>99309.6</v>
      </c>
    </row>
    <row r="45" spans="1:7" s="57" customFormat="1" x14ac:dyDescent="0.25">
      <c r="A45" s="88">
        <f t="shared" ref="A45:A46" si="15">A44+1</f>
        <v>39</v>
      </c>
      <c r="B45" s="253" t="s">
        <v>1193</v>
      </c>
      <c r="C45" s="88" t="s">
        <v>220</v>
      </c>
      <c r="D45" s="160">
        <v>3</v>
      </c>
      <c r="E45" s="255">
        <v>966</v>
      </c>
      <c r="F45" s="107">
        <f t="shared" ref="F45" si="16">ROUND(E45*D45,2)</f>
        <v>2898</v>
      </c>
      <c r="G45" s="107">
        <f t="shared" ref="G45" si="17">ROUND(F45*1.2,2)</f>
        <v>3477.6</v>
      </c>
    </row>
    <row r="46" spans="1:7" s="57" customFormat="1" x14ac:dyDescent="0.25">
      <c r="A46" s="88">
        <f t="shared" si="15"/>
        <v>40</v>
      </c>
      <c r="B46" s="253" t="s">
        <v>783</v>
      </c>
      <c r="C46" s="88" t="s">
        <v>220</v>
      </c>
      <c r="D46" s="160">
        <v>2</v>
      </c>
      <c r="E46" s="255">
        <v>5360</v>
      </c>
      <c r="F46" s="107">
        <f t="shared" ref="F46:F47" si="18">ROUND(E46*D46,2)</f>
        <v>10720</v>
      </c>
      <c r="G46" s="107">
        <f t="shared" ref="G46:G47" si="19">ROUND(F46*1.2,2)</f>
        <v>12864</v>
      </c>
    </row>
    <row r="47" spans="1:7" s="57" customFormat="1" x14ac:dyDescent="0.25">
      <c r="A47" s="88">
        <f t="shared" ref="A47:A53" si="20">A46+1</f>
        <v>41</v>
      </c>
      <c r="B47" s="253" t="s">
        <v>785</v>
      </c>
      <c r="C47" s="88" t="s">
        <v>220</v>
      </c>
      <c r="D47" s="160">
        <v>2</v>
      </c>
      <c r="E47" s="255">
        <v>3038</v>
      </c>
      <c r="F47" s="107">
        <f t="shared" si="18"/>
        <v>6076</v>
      </c>
      <c r="G47" s="107">
        <f t="shared" si="19"/>
        <v>7291.2</v>
      </c>
    </row>
    <row r="48" spans="1:7" x14ac:dyDescent="0.25">
      <c r="A48" s="66">
        <f t="shared" si="20"/>
        <v>42</v>
      </c>
      <c r="B48" s="67" t="s">
        <v>799</v>
      </c>
      <c r="C48" s="66" t="s">
        <v>254</v>
      </c>
      <c r="D48" s="68">
        <f>24*0.243</f>
        <v>5.8319999999999999</v>
      </c>
      <c r="E48" s="98">
        <v>127</v>
      </c>
      <c r="F48" s="105">
        <f t="shared" ref="F48:F53" si="21">ROUND(E48*D48,2)</f>
        <v>740.66</v>
      </c>
      <c r="G48" s="105">
        <f t="shared" ref="G48:G53" si="22">ROUND(F48*1.2,2)</f>
        <v>888.79</v>
      </c>
    </row>
    <row r="49" spans="1:7" x14ac:dyDescent="0.25">
      <c r="A49" s="66">
        <f t="shared" si="20"/>
        <v>43</v>
      </c>
      <c r="B49" s="67" t="s">
        <v>1192</v>
      </c>
      <c r="C49" s="66" t="s">
        <v>254</v>
      </c>
      <c r="D49" s="68">
        <f>24*0.071</f>
        <v>1.7039999999999997</v>
      </c>
      <c r="E49" s="98">
        <v>147</v>
      </c>
      <c r="F49" s="105">
        <f t="shared" si="21"/>
        <v>250.49</v>
      </c>
      <c r="G49" s="105">
        <f t="shared" si="22"/>
        <v>300.58999999999997</v>
      </c>
    </row>
    <row r="50" spans="1:7" x14ac:dyDescent="0.25">
      <c r="A50" s="66">
        <f t="shared" si="20"/>
        <v>44</v>
      </c>
      <c r="B50" s="67" t="s">
        <v>801</v>
      </c>
      <c r="C50" s="66" t="s">
        <v>254</v>
      </c>
      <c r="D50" s="68">
        <f>48*0.0172</f>
        <v>0.8256</v>
      </c>
      <c r="E50" s="98">
        <v>198.00000000000003</v>
      </c>
      <c r="F50" s="105">
        <f t="shared" si="21"/>
        <v>163.47</v>
      </c>
      <c r="G50" s="105">
        <f t="shared" si="22"/>
        <v>196.16</v>
      </c>
    </row>
    <row r="51" spans="1:7" s="57" customFormat="1" ht="30" x14ac:dyDescent="0.25">
      <c r="A51" s="88">
        <f t="shared" si="20"/>
        <v>45</v>
      </c>
      <c r="B51" s="253" t="s">
        <v>798</v>
      </c>
      <c r="C51" s="88" t="s">
        <v>220</v>
      </c>
      <c r="D51" s="160">
        <v>2</v>
      </c>
      <c r="E51" s="255">
        <v>143.16</v>
      </c>
      <c r="F51" s="107">
        <f t="shared" si="21"/>
        <v>286.32</v>
      </c>
      <c r="G51" s="107">
        <f t="shared" si="22"/>
        <v>343.58</v>
      </c>
    </row>
    <row r="52" spans="1:7" ht="30" x14ac:dyDescent="0.25">
      <c r="A52" s="66">
        <f t="shared" si="20"/>
        <v>46</v>
      </c>
      <c r="B52" s="67" t="s">
        <v>598</v>
      </c>
      <c r="C52" s="66" t="s">
        <v>220</v>
      </c>
      <c r="D52" s="71">
        <v>2</v>
      </c>
      <c r="E52" s="98">
        <v>3410.0000000000005</v>
      </c>
      <c r="F52" s="105">
        <f t="shared" si="21"/>
        <v>6820</v>
      </c>
      <c r="G52" s="105">
        <f t="shared" si="22"/>
        <v>8184</v>
      </c>
    </row>
    <row r="53" spans="1:7" x14ac:dyDescent="0.25">
      <c r="A53" s="88">
        <f t="shared" si="20"/>
        <v>47</v>
      </c>
      <c r="B53" s="253" t="s">
        <v>760</v>
      </c>
      <c r="C53" s="88" t="s">
        <v>193</v>
      </c>
      <c r="D53" s="237">
        <v>1</v>
      </c>
      <c r="E53" s="255">
        <v>3850</v>
      </c>
      <c r="F53" s="107">
        <f t="shared" si="21"/>
        <v>3850</v>
      </c>
      <c r="G53" s="107">
        <f t="shared" si="22"/>
        <v>4620</v>
      </c>
    </row>
    <row r="54" spans="1:7" ht="28.5" x14ac:dyDescent="0.25">
      <c r="A54" s="161"/>
      <c r="B54" s="252" t="s">
        <v>1173</v>
      </c>
      <c r="C54" s="169"/>
      <c r="D54" s="169"/>
      <c r="E54" s="162"/>
      <c r="F54" s="163"/>
      <c r="G54" s="175"/>
    </row>
    <row r="55" spans="1:7" x14ac:dyDescent="0.25">
      <c r="A55" s="66">
        <f>A53+1</f>
        <v>48</v>
      </c>
      <c r="B55" s="67" t="s">
        <v>234</v>
      </c>
      <c r="C55" s="66" t="s">
        <v>193</v>
      </c>
      <c r="D55" s="71">
        <v>636.5</v>
      </c>
      <c r="E55" s="98">
        <v>1320</v>
      </c>
      <c r="F55" s="105">
        <f t="shared" ref="F55:F56" si="23">ROUND(E55*D55,2)</f>
        <v>840180</v>
      </c>
      <c r="G55" s="105">
        <f t="shared" ref="G55:G56" si="24">ROUND(F55*1.2,2)</f>
        <v>1008216</v>
      </c>
    </row>
    <row r="56" spans="1:7" s="57" customFormat="1" x14ac:dyDescent="0.25">
      <c r="A56" s="88">
        <f>A55+1</f>
        <v>49</v>
      </c>
      <c r="B56" s="253" t="s">
        <v>1190</v>
      </c>
      <c r="C56" s="88" t="s">
        <v>194</v>
      </c>
      <c r="D56" s="160">
        <v>238</v>
      </c>
      <c r="E56" s="255">
        <v>3288.6</v>
      </c>
      <c r="F56" s="107">
        <f t="shared" si="23"/>
        <v>782686.8</v>
      </c>
      <c r="G56" s="107">
        <f t="shared" si="24"/>
        <v>939224.16</v>
      </c>
    </row>
    <row r="57" spans="1:7" s="57" customFormat="1" x14ac:dyDescent="0.25">
      <c r="A57" s="88">
        <f t="shared" ref="A57:A91" si="25">A56+1</f>
        <v>50</v>
      </c>
      <c r="B57" s="253" t="s">
        <v>1194</v>
      </c>
      <c r="C57" s="88" t="s">
        <v>194</v>
      </c>
      <c r="D57" s="160">
        <v>23</v>
      </c>
      <c r="E57" s="255">
        <v>945</v>
      </c>
      <c r="F57" s="107">
        <f t="shared" ref="F57:F63" si="26">ROUND(E57*D57,2)</f>
        <v>21735</v>
      </c>
      <c r="G57" s="107">
        <f t="shared" ref="G57:G63" si="27">ROUND(F57*1.2,2)</f>
        <v>26082</v>
      </c>
    </row>
    <row r="58" spans="1:7" s="57" customFormat="1" x14ac:dyDescent="0.25">
      <c r="A58" s="88">
        <f t="shared" si="25"/>
        <v>51</v>
      </c>
      <c r="B58" s="253" t="s">
        <v>1191</v>
      </c>
      <c r="C58" s="88" t="s">
        <v>194</v>
      </c>
      <c r="D58" s="160">
        <v>99</v>
      </c>
      <c r="E58" s="255">
        <v>12633</v>
      </c>
      <c r="F58" s="107">
        <f t="shared" si="26"/>
        <v>1250667</v>
      </c>
      <c r="G58" s="107">
        <f t="shared" si="27"/>
        <v>1500800.4</v>
      </c>
    </row>
    <row r="59" spans="1:7" s="57" customFormat="1" x14ac:dyDescent="0.25">
      <c r="A59" s="88">
        <f t="shared" si="25"/>
        <v>52</v>
      </c>
      <c r="B59" s="253" t="s">
        <v>1195</v>
      </c>
      <c r="C59" s="260" t="s">
        <v>194</v>
      </c>
      <c r="D59" s="237">
        <v>10.5</v>
      </c>
      <c r="E59" s="255">
        <v>5048</v>
      </c>
      <c r="F59" s="107">
        <f t="shared" si="26"/>
        <v>53004</v>
      </c>
      <c r="G59" s="107">
        <f t="shared" si="27"/>
        <v>63604.800000000003</v>
      </c>
    </row>
    <row r="60" spans="1:7" s="57" customFormat="1" x14ac:dyDescent="0.25">
      <c r="A60" s="88">
        <f t="shared" si="25"/>
        <v>53</v>
      </c>
      <c r="B60" s="253" t="s">
        <v>1193</v>
      </c>
      <c r="C60" s="88" t="s">
        <v>220</v>
      </c>
      <c r="D60" s="160">
        <v>2</v>
      </c>
      <c r="E60" s="255">
        <v>1728</v>
      </c>
      <c r="F60" s="107">
        <f t="shared" ref="F60:F61" si="28">ROUND(E60*D60,2)</f>
        <v>3456</v>
      </c>
      <c r="G60" s="107">
        <f t="shared" ref="G60:G61" si="29">ROUND(F60*1.2,2)</f>
        <v>4147.2</v>
      </c>
    </row>
    <row r="61" spans="1:7" s="57" customFormat="1" x14ac:dyDescent="0.25">
      <c r="A61" s="88">
        <f t="shared" si="25"/>
        <v>54</v>
      </c>
      <c r="B61" s="253" t="s">
        <v>1207</v>
      </c>
      <c r="C61" s="88" t="s">
        <v>220</v>
      </c>
      <c r="D61" s="160">
        <v>3</v>
      </c>
      <c r="E61" s="255">
        <v>968</v>
      </c>
      <c r="F61" s="107">
        <f t="shared" si="28"/>
        <v>2904</v>
      </c>
      <c r="G61" s="107">
        <f t="shared" si="29"/>
        <v>3484.8</v>
      </c>
    </row>
    <row r="62" spans="1:7" x14ac:dyDescent="0.25">
      <c r="A62" s="66">
        <f t="shared" si="25"/>
        <v>55</v>
      </c>
      <c r="B62" s="67" t="s">
        <v>603</v>
      </c>
      <c r="C62" s="66" t="s">
        <v>220</v>
      </c>
      <c r="D62" s="71">
        <v>1</v>
      </c>
      <c r="E62" s="98">
        <v>121000.00000000001</v>
      </c>
      <c r="F62" s="105">
        <f t="shared" si="26"/>
        <v>121000</v>
      </c>
      <c r="G62" s="105">
        <f t="shared" si="27"/>
        <v>145200</v>
      </c>
    </row>
    <row r="63" spans="1:7" x14ac:dyDescent="0.25">
      <c r="A63" s="66">
        <f t="shared" si="25"/>
        <v>56</v>
      </c>
      <c r="B63" s="67" t="s">
        <v>602</v>
      </c>
      <c r="C63" s="66" t="s">
        <v>220</v>
      </c>
      <c r="D63" s="71">
        <v>2</v>
      </c>
      <c r="E63" s="98">
        <v>32619</v>
      </c>
      <c r="F63" s="105">
        <f t="shared" si="26"/>
        <v>65238</v>
      </c>
      <c r="G63" s="105">
        <f t="shared" si="27"/>
        <v>78285.600000000006</v>
      </c>
    </row>
    <row r="64" spans="1:7" s="57" customFormat="1" x14ac:dyDescent="0.25">
      <c r="A64" s="88">
        <f t="shared" si="25"/>
        <v>57</v>
      </c>
      <c r="B64" s="253" t="s">
        <v>1196</v>
      </c>
      <c r="C64" s="88" t="s">
        <v>220</v>
      </c>
      <c r="D64" s="160">
        <v>2</v>
      </c>
      <c r="E64" s="255">
        <v>17270</v>
      </c>
      <c r="F64" s="107">
        <f t="shared" ref="F64:F66" si="30">ROUND(E64*D64,2)</f>
        <v>34540</v>
      </c>
      <c r="G64" s="107">
        <f t="shared" ref="G64:G66" si="31">ROUND(F64*1.2,2)</f>
        <v>41448</v>
      </c>
    </row>
    <row r="65" spans="1:7" s="57" customFormat="1" x14ac:dyDescent="0.25">
      <c r="A65" s="88">
        <f t="shared" si="25"/>
        <v>58</v>
      </c>
      <c r="B65" s="253" t="s">
        <v>783</v>
      </c>
      <c r="C65" s="88" t="s">
        <v>220</v>
      </c>
      <c r="D65" s="160">
        <v>14</v>
      </c>
      <c r="E65" s="255">
        <v>2940</v>
      </c>
      <c r="F65" s="107">
        <f t="shared" si="30"/>
        <v>41160</v>
      </c>
      <c r="G65" s="107">
        <f t="shared" si="31"/>
        <v>49392</v>
      </c>
    </row>
    <row r="66" spans="1:7" s="57" customFormat="1" x14ac:dyDescent="0.25">
      <c r="A66" s="88">
        <f t="shared" si="25"/>
        <v>59</v>
      </c>
      <c r="B66" s="253" t="s">
        <v>785</v>
      </c>
      <c r="C66" s="88" t="s">
        <v>220</v>
      </c>
      <c r="D66" s="160">
        <v>14</v>
      </c>
      <c r="E66" s="255">
        <v>2777</v>
      </c>
      <c r="F66" s="107">
        <f t="shared" si="30"/>
        <v>38878</v>
      </c>
      <c r="G66" s="107">
        <f t="shared" si="31"/>
        <v>46653.599999999999</v>
      </c>
    </row>
    <row r="67" spans="1:7" s="57" customFormat="1" x14ac:dyDescent="0.25">
      <c r="A67" s="88">
        <f t="shared" si="25"/>
        <v>60</v>
      </c>
      <c r="B67" s="253" t="s">
        <v>1197</v>
      </c>
      <c r="C67" s="88" t="s">
        <v>220</v>
      </c>
      <c r="D67" s="160">
        <v>2</v>
      </c>
      <c r="E67" s="255">
        <v>1530</v>
      </c>
      <c r="F67" s="107">
        <f t="shared" ref="F67:F68" si="32">ROUND(E67*D67,2)</f>
        <v>3060</v>
      </c>
      <c r="G67" s="107">
        <f t="shared" ref="G67:G68" si="33">ROUND(F67*1.2,2)</f>
        <v>3672</v>
      </c>
    </row>
    <row r="68" spans="1:7" s="57" customFormat="1" x14ac:dyDescent="0.25">
      <c r="A68" s="88">
        <f t="shared" si="25"/>
        <v>61</v>
      </c>
      <c r="B68" s="253" t="s">
        <v>1198</v>
      </c>
      <c r="C68" s="88" t="s">
        <v>220</v>
      </c>
      <c r="D68" s="160">
        <v>2</v>
      </c>
      <c r="E68" s="255">
        <v>496</v>
      </c>
      <c r="F68" s="107">
        <f t="shared" si="32"/>
        <v>992</v>
      </c>
      <c r="G68" s="107">
        <f t="shared" si="33"/>
        <v>1190.4000000000001</v>
      </c>
    </row>
    <row r="69" spans="1:7" s="57" customFormat="1" x14ac:dyDescent="0.25">
      <c r="A69" s="88">
        <f t="shared" si="25"/>
        <v>62</v>
      </c>
      <c r="B69" s="253" t="s">
        <v>1199</v>
      </c>
      <c r="C69" s="88" t="s">
        <v>220</v>
      </c>
      <c r="D69" s="160">
        <v>1</v>
      </c>
      <c r="E69" s="255">
        <v>350</v>
      </c>
      <c r="F69" s="107">
        <f t="shared" ref="F69:F72" si="34">ROUND(E69*D69,2)</f>
        <v>350</v>
      </c>
      <c r="G69" s="107">
        <f t="shared" ref="G69:G72" si="35">ROUND(F69*1.2,2)</f>
        <v>420</v>
      </c>
    </row>
    <row r="70" spans="1:7" x14ac:dyDescent="0.25">
      <c r="A70" s="66">
        <f t="shared" si="25"/>
        <v>63</v>
      </c>
      <c r="B70" s="67" t="s">
        <v>1200</v>
      </c>
      <c r="C70" s="66" t="s">
        <v>254</v>
      </c>
      <c r="D70" s="68">
        <f>196*0.243</f>
        <v>47.628</v>
      </c>
      <c r="E70" s="98">
        <v>127</v>
      </c>
      <c r="F70" s="105">
        <f t="shared" si="34"/>
        <v>6048.76</v>
      </c>
      <c r="G70" s="105">
        <f t="shared" si="35"/>
        <v>7258.51</v>
      </c>
    </row>
    <row r="71" spans="1:7" x14ac:dyDescent="0.25">
      <c r="A71" s="66">
        <f t="shared" si="25"/>
        <v>64</v>
      </c>
      <c r="B71" s="67" t="s">
        <v>1201</v>
      </c>
      <c r="C71" s="66" t="s">
        <v>254</v>
      </c>
      <c r="D71" s="68">
        <f>196*0.071</f>
        <v>13.915999999999999</v>
      </c>
      <c r="E71" s="98">
        <v>147</v>
      </c>
      <c r="F71" s="105">
        <f t="shared" si="34"/>
        <v>2045.65</v>
      </c>
      <c r="G71" s="105">
        <f t="shared" si="35"/>
        <v>2454.7800000000002</v>
      </c>
    </row>
    <row r="72" spans="1:7" ht="15.75" customHeight="1" x14ac:dyDescent="0.25">
      <c r="A72" s="66">
        <f t="shared" si="25"/>
        <v>65</v>
      </c>
      <c r="B72" s="67" t="s">
        <v>1202</v>
      </c>
      <c r="C72" s="66" t="s">
        <v>254</v>
      </c>
      <c r="D72" s="68">
        <f>392*0.0172</f>
        <v>6.7423999999999999</v>
      </c>
      <c r="E72" s="98">
        <v>198.00000000000003</v>
      </c>
      <c r="F72" s="105">
        <f t="shared" si="34"/>
        <v>1335</v>
      </c>
      <c r="G72" s="105">
        <f t="shared" si="35"/>
        <v>1602</v>
      </c>
    </row>
    <row r="73" spans="1:7" s="57" customFormat="1" ht="30" x14ac:dyDescent="0.25">
      <c r="A73" s="88">
        <f t="shared" si="25"/>
        <v>66</v>
      </c>
      <c r="B73" s="253" t="s">
        <v>798</v>
      </c>
      <c r="C73" s="88" t="s">
        <v>220</v>
      </c>
      <c r="D73" s="160">
        <v>2</v>
      </c>
      <c r="E73" s="255">
        <v>90</v>
      </c>
      <c r="F73" s="107">
        <f t="shared" ref="F73" si="36">ROUND(E73*D73,2)</f>
        <v>180</v>
      </c>
      <c r="G73" s="107">
        <f t="shared" ref="G73" si="37">ROUND(F73*1.2,2)</f>
        <v>216</v>
      </c>
    </row>
    <row r="74" spans="1:7" ht="30" x14ac:dyDescent="0.25">
      <c r="A74" s="66">
        <f t="shared" si="25"/>
        <v>67</v>
      </c>
      <c r="B74" s="67" t="s">
        <v>1203</v>
      </c>
      <c r="C74" s="66" t="s">
        <v>220</v>
      </c>
      <c r="D74" s="71">
        <v>2</v>
      </c>
      <c r="E74" s="98">
        <v>33</v>
      </c>
      <c r="F74" s="105">
        <f t="shared" ref="F74:F86" si="38">ROUND(E74*D74,2)</f>
        <v>66</v>
      </c>
      <c r="G74" s="105">
        <f t="shared" ref="G74:G86" si="39">ROUND(F74*1.2,2)</f>
        <v>79.2</v>
      </c>
    </row>
    <row r="75" spans="1:7" ht="30" x14ac:dyDescent="0.25">
      <c r="A75" s="66">
        <f t="shared" si="25"/>
        <v>68</v>
      </c>
      <c r="B75" s="67" t="s">
        <v>598</v>
      </c>
      <c r="C75" s="66" t="s">
        <v>220</v>
      </c>
      <c r="D75" s="71">
        <v>14</v>
      </c>
      <c r="E75" s="98">
        <v>3410.0000000000005</v>
      </c>
      <c r="F75" s="105">
        <f t="shared" si="38"/>
        <v>47740</v>
      </c>
      <c r="G75" s="105">
        <f t="shared" si="39"/>
        <v>57288</v>
      </c>
    </row>
    <row r="76" spans="1:7" ht="30" x14ac:dyDescent="0.25">
      <c r="A76" s="66">
        <f t="shared" si="25"/>
        <v>69</v>
      </c>
      <c r="B76" s="67" t="s">
        <v>601</v>
      </c>
      <c r="C76" s="66" t="s">
        <v>220</v>
      </c>
      <c r="D76" s="71">
        <v>2</v>
      </c>
      <c r="E76" s="98">
        <v>1496.0000000000002</v>
      </c>
      <c r="F76" s="105">
        <f t="shared" si="38"/>
        <v>2992</v>
      </c>
      <c r="G76" s="105">
        <f t="shared" si="39"/>
        <v>3590.4</v>
      </c>
    </row>
    <row r="77" spans="1:7" s="57" customFormat="1" x14ac:dyDescent="0.25">
      <c r="A77" s="88">
        <f t="shared" si="25"/>
        <v>70</v>
      </c>
      <c r="B77" s="253" t="s">
        <v>1204</v>
      </c>
      <c r="C77" s="88" t="s">
        <v>220</v>
      </c>
      <c r="D77" s="160">
        <v>2</v>
      </c>
      <c r="E77" s="255">
        <v>25314</v>
      </c>
      <c r="F77" s="107">
        <f t="shared" si="38"/>
        <v>50628</v>
      </c>
      <c r="G77" s="107">
        <f t="shared" si="39"/>
        <v>60753.599999999999</v>
      </c>
    </row>
    <row r="78" spans="1:7" s="57" customFormat="1" x14ac:dyDescent="0.25">
      <c r="A78" s="88">
        <f t="shared" si="25"/>
        <v>71</v>
      </c>
      <c r="B78" s="253" t="s">
        <v>1205</v>
      </c>
      <c r="C78" s="88" t="s">
        <v>220</v>
      </c>
      <c r="D78" s="160">
        <v>2</v>
      </c>
      <c r="E78" s="255">
        <v>23120</v>
      </c>
      <c r="F78" s="107">
        <f t="shared" si="38"/>
        <v>46240</v>
      </c>
      <c r="G78" s="107">
        <f t="shared" si="39"/>
        <v>55488</v>
      </c>
    </row>
    <row r="79" spans="1:7" x14ac:dyDescent="0.25">
      <c r="A79" s="66">
        <f t="shared" si="25"/>
        <v>72</v>
      </c>
      <c r="B79" s="253" t="s">
        <v>760</v>
      </c>
      <c r="C79" s="88" t="s">
        <v>193</v>
      </c>
      <c r="D79" s="160">
        <v>14</v>
      </c>
      <c r="E79" s="255">
        <v>3850</v>
      </c>
      <c r="F79" s="107">
        <f t="shared" si="38"/>
        <v>53900</v>
      </c>
      <c r="G79" s="107">
        <f t="shared" si="39"/>
        <v>64680</v>
      </c>
    </row>
    <row r="80" spans="1:7" x14ac:dyDescent="0.25">
      <c r="A80" s="66">
        <f t="shared" si="25"/>
        <v>73</v>
      </c>
      <c r="B80" s="253" t="s">
        <v>761</v>
      </c>
      <c r="C80" s="88" t="s">
        <v>220</v>
      </c>
      <c r="D80" s="160">
        <v>3</v>
      </c>
      <c r="E80" s="255">
        <v>4565</v>
      </c>
      <c r="F80" s="107">
        <f t="shared" si="38"/>
        <v>13695</v>
      </c>
      <c r="G80" s="107">
        <f t="shared" si="39"/>
        <v>16434</v>
      </c>
    </row>
    <row r="81" spans="1:8" x14ac:dyDescent="0.25">
      <c r="A81" s="66">
        <f t="shared" si="25"/>
        <v>74</v>
      </c>
      <c r="B81" s="253" t="s">
        <v>1133</v>
      </c>
      <c r="C81" s="88" t="s">
        <v>220</v>
      </c>
      <c r="D81" s="160">
        <v>3</v>
      </c>
      <c r="E81" s="255">
        <v>4290</v>
      </c>
      <c r="F81" s="107">
        <f t="shared" si="38"/>
        <v>12870</v>
      </c>
      <c r="G81" s="107">
        <f t="shared" si="39"/>
        <v>15444</v>
      </c>
    </row>
    <row r="82" spans="1:8" x14ac:dyDescent="0.25">
      <c r="A82" s="66">
        <f t="shared" si="25"/>
        <v>75</v>
      </c>
      <c r="B82" s="253" t="s">
        <v>1134</v>
      </c>
      <c r="C82" s="88" t="s">
        <v>220</v>
      </c>
      <c r="D82" s="160">
        <v>4</v>
      </c>
      <c r="E82" s="255">
        <v>5060</v>
      </c>
      <c r="F82" s="107">
        <f t="shared" si="38"/>
        <v>20240</v>
      </c>
      <c r="G82" s="107">
        <f t="shared" si="39"/>
        <v>24288</v>
      </c>
    </row>
    <row r="83" spans="1:8" x14ac:dyDescent="0.25">
      <c r="A83" s="66">
        <f t="shared" si="25"/>
        <v>76</v>
      </c>
      <c r="B83" s="253" t="s">
        <v>1135</v>
      </c>
      <c r="C83" s="88" t="s">
        <v>220</v>
      </c>
      <c r="D83" s="160">
        <v>4</v>
      </c>
      <c r="E83" s="255">
        <v>4070.0000000000005</v>
      </c>
      <c r="F83" s="107">
        <f t="shared" si="38"/>
        <v>16280</v>
      </c>
      <c r="G83" s="107">
        <f t="shared" si="39"/>
        <v>19536</v>
      </c>
    </row>
    <row r="84" spans="1:8" x14ac:dyDescent="0.25">
      <c r="A84" s="66">
        <f t="shared" si="25"/>
        <v>77</v>
      </c>
      <c r="B84" s="253" t="s">
        <v>590</v>
      </c>
      <c r="C84" s="88" t="s">
        <v>220</v>
      </c>
      <c r="D84" s="256" t="s">
        <v>586</v>
      </c>
      <c r="E84" s="255">
        <v>791</v>
      </c>
      <c r="F84" s="107">
        <f t="shared" si="38"/>
        <v>3164</v>
      </c>
      <c r="G84" s="107">
        <f t="shared" si="39"/>
        <v>3796.8</v>
      </c>
    </row>
    <row r="85" spans="1:8" x14ac:dyDescent="0.25">
      <c r="A85" s="66">
        <f t="shared" si="25"/>
        <v>78</v>
      </c>
      <c r="B85" s="253" t="s">
        <v>1128</v>
      </c>
      <c r="C85" s="88" t="s">
        <v>220</v>
      </c>
      <c r="D85" s="256" t="s">
        <v>1148</v>
      </c>
      <c r="E85" s="255">
        <v>15180.000000000002</v>
      </c>
      <c r="F85" s="107">
        <f t="shared" si="38"/>
        <v>45540</v>
      </c>
      <c r="G85" s="107">
        <f t="shared" si="39"/>
        <v>54648</v>
      </c>
    </row>
    <row r="86" spans="1:8" ht="17.25" customHeight="1" x14ac:dyDescent="0.25">
      <c r="A86" s="66">
        <f t="shared" si="25"/>
        <v>79</v>
      </c>
      <c r="B86" s="253" t="s">
        <v>1208</v>
      </c>
      <c r="C86" s="88" t="s">
        <v>254</v>
      </c>
      <c r="D86" s="256" t="s">
        <v>770</v>
      </c>
      <c r="E86" s="255">
        <v>702</v>
      </c>
      <c r="F86" s="107">
        <f t="shared" si="38"/>
        <v>16146</v>
      </c>
      <c r="G86" s="107">
        <f t="shared" si="39"/>
        <v>19375.2</v>
      </c>
    </row>
    <row r="87" spans="1:8" s="57" customFormat="1" x14ac:dyDescent="0.25">
      <c r="A87" s="88">
        <f t="shared" si="25"/>
        <v>80</v>
      </c>
      <c r="B87" s="253" t="s">
        <v>1209</v>
      </c>
      <c r="C87" s="88" t="s">
        <v>254</v>
      </c>
      <c r="D87" s="236">
        <f>18*0.92</f>
        <v>16.560000000000002</v>
      </c>
      <c r="E87" s="255">
        <v>429</v>
      </c>
      <c r="F87" s="107">
        <f t="shared" ref="F87:F88" si="40">ROUND(E87*D87,2)</f>
        <v>7104.24</v>
      </c>
      <c r="G87" s="107">
        <f t="shared" ref="G87:G88" si="41">ROUND(F87*1.2,2)</f>
        <v>8525.09</v>
      </c>
    </row>
    <row r="88" spans="1:8" s="57" customFormat="1" x14ac:dyDescent="0.25">
      <c r="A88" s="88">
        <f t="shared" si="25"/>
        <v>81</v>
      </c>
      <c r="B88" s="253" t="s">
        <v>1210</v>
      </c>
      <c r="C88" s="88" t="s">
        <v>254</v>
      </c>
      <c r="D88" s="236">
        <f>18*0.94</f>
        <v>16.919999999999998</v>
      </c>
      <c r="E88" s="255">
        <v>288</v>
      </c>
      <c r="F88" s="107">
        <f t="shared" si="40"/>
        <v>4872.96</v>
      </c>
      <c r="G88" s="107">
        <f t="shared" si="41"/>
        <v>5847.55</v>
      </c>
    </row>
    <row r="89" spans="1:8" x14ac:dyDescent="0.25">
      <c r="A89" s="66">
        <f t="shared" si="25"/>
        <v>82</v>
      </c>
      <c r="B89" s="67" t="s">
        <v>773</v>
      </c>
      <c r="C89" s="88" t="s">
        <v>387</v>
      </c>
      <c r="D89" s="72">
        <f>15.5*20/16</f>
        <v>19.375</v>
      </c>
      <c r="E89" s="255">
        <v>250</v>
      </c>
      <c r="F89" s="107">
        <f t="shared" ref="F89:F90" si="42">ROUND(E89*D89,2)</f>
        <v>4843.75</v>
      </c>
      <c r="G89" s="107">
        <f t="shared" ref="G89:G90" si="43">ROUND(F89*1.2,2)</f>
        <v>5812.5</v>
      </c>
    </row>
    <row r="90" spans="1:8" x14ac:dyDescent="0.25">
      <c r="A90" s="66">
        <f t="shared" si="25"/>
        <v>83</v>
      </c>
      <c r="B90" s="67" t="s">
        <v>388</v>
      </c>
      <c r="C90" s="88" t="s">
        <v>254</v>
      </c>
      <c r="D90" s="71">
        <f>102</f>
        <v>102</v>
      </c>
      <c r="E90" s="255">
        <v>312</v>
      </c>
      <c r="F90" s="107">
        <f t="shared" si="42"/>
        <v>31824</v>
      </c>
      <c r="G90" s="107">
        <f t="shared" si="43"/>
        <v>38188.800000000003</v>
      </c>
    </row>
    <row r="91" spans="1:8" x14ac:dyDescent="0.25">
      <c r="A91" s="66">
        <f t="shared" si="25"/>
        <v>84</v>
      </c>
      <c r="B91" s="67" t="s">
        <v>776</v>
      </c>
      <c r="C91" s="74" t="s">
        <v>193</v>
      </c>
      <c r="D91" s="71">
        <v>2</v>
      </c>
      <c r="E91" s="98">
        <v>1368</v>
      </c>
      <c r="F91" s="105">
        <f t="shared" ref="F91" si="44">ROUND(E91*D91,2)</f>
        <v>2736</v>
      </c>
      <c r="G91" s="105">
        <f t="shared" ref="G91" si="45">ROUND(F91*1.2,2)</f>
        <v>3283.2</v>
      </c>
    </row>
    <row r="92" spans="1:8" ht="36" customHeight="1" x14ac:dyDescent="0.25">
      <c r="A92" s="161"/>
      <c r="B92" s="437" t="s">
        <v>1160</v>
      </c>
      <c r="C92" s="438"/>
      <c r="D92" s="438"/>
      <c r="E92" s="163"/>
      <c r="F92" s="164"/>
      <c r="G92" s="131"/>
      <c r="H92" s="219"/>
    </row>
    <row r="93" spans="1:8" x14ac:dyDescent="0.25">
      <c r="A93" s="66">
        <f>A27+1</f>
        <v>24</v>
      </c>
      <c r="B93" s="67" t="s">
        <v>234</v>
      </c>
      <c r="C93" s="66" t="s">
        <v>193</v>
      </c>
      <c r="D93" s="72">
        <f>9.5+2</f>
        <v>11.5</v>
      </c>
      <c r="E93" s="98">
        <v>1320</v>
      </c>
      <c r="F93" s="105">
        <f t="shared" ref="F93:F104" si="46">ROUND(E93*D93,2)</f>
        <v>15180</v>
      </c>
      <c r="G93" s="105">
        <f t="shared" ref="G93:G104" si="47">ROUND(F93*1.2,2)</f>
        <v>18216</v>
      </c>
    </row>
    <row r="94" spans="1:8" ht="30" x14ac:dyDescent="0.25">
      <c r="A94" s="66">
        <f t="shared" ref="A94:A104" si="48">A93+1</f>
        <v>25</v>
      </c>
      <c r="B94" s="67" t="s">
        <v>572</v>
      </c>
      <c r="C94" s="74" t="s">
        <v>194</v>
      </c>
      <c r="D94" s="71">
        <v>32</v>
      </c>
      <c r="E94" s="98">
        <v>825.00000000000011</v>
      </c>
      <c r="F94" s="105">
        <f t="shared" si="46"/>
        <v>26400</v>
      </c>
      <c r="G94" s="105">
        <f t="shared" si="47"/>
        <v>31680</v>
      </c>
    </row>
    <row r="95" spans="1:8" x14ac:dyDescent="0.25">
      <c r="A95" s="66">
        <f t="shared" si="48"/>
        <v>26</v>
      </c>
      <c r="B95" s="67" t="s">
        <v>573</v>
      </c>
      <c r="C95" s="74" t="s">
        <v>194</v>
      </c>
      <c r="D95" s="72">
        <v>7.5</v>
      </c>
      <c r="E95" s="98">
        <v>6050.0000000000009</v>
      </c>
      <c r="F95" s="105">
        <f t="shared" si="46"/>
        <v>45375</v>
      </c>
      <c r="G95" s="105">
        <f t="shared" si="47"/>
        <v>54450</v>
      </c>
    </row>
    <row r="96" spans="1:8" s="57" customFormat="1" x14ac:dyDescent="0.25">
      <c r="A96" s="88">
        <f>A95+1</f>
        <v>27</v>
      </c>
      <c r="B96" s="253" t="s">
        <v>1164</v>
      </c>
      <c r="C96" s="88" t="s">
        <v>220</v>
      </c>
      <c r="D96" s="237">
        <v>3</v>
      </c>
      <c r="E96" s="255">
        <v>968</v>
      </c>
      <c r="F96" s="107">
        <f t="shared" ref="F96" si="49">ROUND(E96*D96,2)</f>
        <v>2904</v>
      </c>
      <c r="G96" s="107">
        <f t="shared" ref="G96" si="50">ROUND(F96*1.2,2)</f>
        <v>3484.8</v>
      </c>
    </row>
    <row r="97" spans="1:8" x14ac:dyDescent="0.25">
      <c r="A97" s="66">
        <f>A96+1</f>
        <v>28</v>
      </c>
      <c r="B97" s="67" t="s">
        <v>574</v>
      </c>
      <c r="C97" s="66" t="s">
        <v>220</v>
      </c>
      <c r="D97" s="71">
        <v>2</v>
      </c>
      <c r="E97" s="98">
        <v>10164</v>
      </c>
      <c r="F97" s="105">
        <f t="shared" si="46"/>
        <v>20328</v>
      </c>
      <c r="G97" s="105">
        <f t="shared" si="47"/>
        <v>24393.599999999999</v>
      </c>
    </row>
    <row r="98" spans="1:8" ht="30" x14ac:dyDescent="0.25">
      <c r="A98" s="66">
        <f t="shared" si="48"/>
        <v>29</v>
      </c>
      <c r="B98" s="67" t="s">
        <v>575</v>
      </c>
      <c r="C98" s="66" t="s">
        <v>220</v>
      </c>
      <c r="D98" s="71">
        <v>2</v>
      </c>
      <c r="E98" s="98">
        <v>770.00000000000011</v>
      </c>
      <c r="F98" s="105">
        <f t="shared" si="46"/>
        <v>1540</v>
      </c>
      <c r="G98" s="105">
        <f t="shared" si="47"/>
        <v>1848</v>
      </c>
    </row>
    <row r="99" spans="1:8" x14ac:dyDescent="0.25">
      <c r="A99" s="66">
        <f t="shared" si="48"/>
        <v>30</v>
      </c>
      <c r="B99" s="67" t="s">
        <v>560</v>
      </c>
      <c r="C99" s="74" t="s">
        <v>254</v>
      </c>
      <c r="D99" s="68">
        <f>16*0.243</f>
        <v>3.8879999999999999</v>
      </c>
      <c r="E99" s="98">
        <v>127</v>
      </c>
      <c r="F99" s="105">
        <f t="shared" si="46"/>
        <v>493.78</v>
      </c>
      <c r="G99" s="105">
        <f t="shared" si="47"/>
        <v>592.54</v>
      </c>
    </row>
    <row r="100" spans="1:8" x14ac:dyDescent="0.25">
      <c r="A100" s="66">
        <f t="shared" si="48"/>
        <v>31</v>
      </c>
      <c r="B100" s="67" t="s">
        <v>562</v>
      </c>
      <c r="C100" s="74" t="s">
        <v>254</v>
      </c>
      <c r="D100" s="68">
        <f>16*0.071</f>
        <v>1.1359999999999999</v>
      </c>
      <c r="E100" s="98">
        <v>147</v>
      </c>
      <c r="F100" s="105">
        <f t="shared" si="46"/>
        <v>166.99</v>
      </c>
      <c r="G100" s="105">
        <f t="shared" si="47"/>
        <v>200.39</v>
      </c>
    </row>
    <row r="101" spans="1:8" x14ac:dyDescent="0.25">
      <c r="A101" s="66">
        <f t="shared" si="48"/>
        <v>32</v>
      </c>
      <c r="B101" s="67" t="s">
        <v>564</v>
      </c>
      <c r="C101" s="74" t="s">
        <v>254</v>
      </c>
      <c r="D101" s="68">
        <f>32*0.0172</f>
        <v>0.5504</v>
      </c>
      <c r="E101" s="98">
        <v>198.00000000000003</v>
      </c>
      <c r="F101" s="105">
        <f t="shared" si="46"/>
        <v>108.98</v>
      </c>
      <c r="G101" s="105">
        <f t="shared" si="47"/>
        <v>130.78</v>
      </c>
    </row>
    <row r="102" spans="1:8" ht="30" x14ac:dyDescent="0.25">
      <c r="A102" s="66">
        <f t="shared" si="48"/>
        <v>33</v>
      </c>
      <c r="B102" s="67" t="s">
        <v>406</v>
      </c>
      <c r="C102" s="66" t="s">
        <v>220</v>
      </c>
      <c r="D102" s="71">
        <v>2</v>
      </c>
      <c r="E102" s="98">
        <v>33</v>
      </c>
      <c r="F102" s="105">
        <f t="shared" si="46"/>
        <v>66</v>
      </c>
      <c r="G102" s="105">
        <f t="shared" si="47"/>
        <v>79.2</v>
      </c>
    </row>
    <row r="103" spans="1:8" ht="30.75" customHeight="1" x14ac:dyDescent="0.25">
      <c r="A103" s="66">
        <f t="shared" si="48"/>
        <v>34</v>
      </c>
      <c r="B103" s="67" t="s">
        <v>576</v>
      </c>
      <c r="C103" s="66" t="s">
        <v>220</v>
      </c>
      <c r="D103" s="71">
        <v>2</v>
      </c>
      <c r="E103" s="98">
        <v>770.00000000000011</v>
      </c>
      <c r="F103" s="105">
        <f t="shared" si="46"/>
        <v>1540</v>
      </c>
      <c r="G103" s="105">
        <f t="shared" si="47"/>
        <v>1848</v>
      </c>
    </row>
    <row r="104" spans="1:8" ht="21.75" customHeight="1" x14ac:dyDescent="0.25">
      <c r="A104" s="88">
        <f t="shared" si="48"/>
        <v>35</v>
      </c>
      <c r="B104" s="253" t="s">
        <v>760</v>
      </c>
      <c r="C104" s="88" t="s">
        <v>193</v>
      </c>
      <c r="D104" s="237">
        <v>0.7</v>
      </c>
      <c r="E104" s="255">
        <v>3850</v>
      </c>
      <c r="F104" s="107">
        <f t="shared" si="46"/>
        <v>2695</v>
      </c>
      <c r="G104" s="107">
        <f t="shared" si="47"/>
        <v>3234</v>
      </c>
    </row>
    <row r="105" spans="1:8" ht="29.25" customHeight="1" x14ac:dyDescent="0.25">
      <c r="A105" s="161"/>
      <c r="B105" s="437" t="s">
        <v>1163</v>
      </c>
      <c r="C105" s="438"/>
      <c r="D105" s="438"/>
      <c r="E105" s="163"/>
      <c r="F105" s="164"/>
      <c r="G105" s="131"/>
      <c r="H105" s="219"/>
    </row>
    <row r="106" spans="1:8" x14ac:dyDescent="0.25">
      <c r="A106" s="66">
        <f>A104+1</f>
        <v>36</v>
      </c>
      <c r="B106" s="67" t="s">
        <v>234</v>
      </c>
      <c r="C106" s="66" t="s">
        <v>193</v>
      </c>
      <c r="D106" s="71">
        <f>12+3</f>
        <v>15</v>
      </c>
      <c r="E106" s="98">
        <v>1320</v>
      </c>
      <c r="F106" s="105">
        <f t="shared" ref="F106:F117" si="51">ROUND(E106*D106,2)</f>
        <v>19800</v>
      </c>
      <c r="G106" s="105">
        <f t="shared" ref="G106:G117" si="52">ROUND(F106*1.2,2)</f>
        <v>23760</v>
      </c>
    </row>
    <row r="107" spans="1:8" ht="30" x14ac:dyDescent="0.25">
      <c r="A107" s="66">
        <f>A106+1</f>
        <v>37</v>
      </c>
      <c r="B107" s="67" t="s">
        <v>551</v>
      </c>
      <c r="C107" s="66" t="s">
        <v>194</v>
      </c>
      <c r="D107" s="71">
        <v>50</v>
      </c>
      <c r="E107" s="98">
        <v>396.00000000000006</v>
      </c>
      <c r="F107" s="105">
        <f t="shared" si="51"/>
        <v>19800</v>
      </c>
      <c r="G107" s="105">
        <f t="shared" si="52"/>
        <v>23760</v>
      </c>
    </row>
    <row r="108" spans="1:8" x14ac:dyDescent="0.25">
      <c r="A108" s="66">
        <f t="shared" ref="A108:A117" si="53">A107+1</f>
        <v>38</v>
      </c>
      <c r="B108" s="67" t="s">
        <v>553</v>
      </c>
      <c r="C108" s="66" t="s">
        <v>194</v>
      </c>
      <c r="D108" s="71">
        <v>17</v>
      </c>
      <c r="E108" s="98">
        <v>4730</v>
      </c>
      <c r="F108" s="105">
        <f t="shared" si="51"/>
        <v>80410</v>
      </c>
      <c r="G108" s="105">
        <f t="shared" si="52"/>
        <v>96492</v>
      </c>
    </row>
    <row r="109" spans="1:8" s="57" customFormat="1" x14ac:dyDescent="0.25">
      <c r="A109" s="88">
        <f>A108+1</f>
        <v>39</v>
      </c>
      <c r="B109" s="253" t="s">
        <v>1166</v>
      </c>
      <c r="C109" s="88" t="s">
        <v>220</v>
      </c>
      <c r="D109" s="237">
        <v>5</v>
      </c>
      <c r="E109" s="255">
        <v>830</v>
      </c>
      <c r="F109" s="107">
        <f t="shared" si="51"/>
        <v>4150</v>
      </c>
      <c r="G109" s="107">
        <f t="shared" si="52"/>
        <v>4980</v>
      </c>
    </row>
    <row r="110" spans="1:8" x14ac:dyDescent="0.25">
      <c r="A110" s="66">
        <f>A108+1</f>
        <v>39</v>
      </c>
      <c r="B110" s="67" t="s">
        <v>557</v>
      </c>
      <c r="C110" s="66" t="s">
        <v>220</v>
      </c>
      <c r="D110" s="71">
        <v>2</v>
      </c>
      <c r="E110" s="98">
        <v>7260.0000000000009</v>
      </c>
      <c r="F110" s="105">
        <f t="shared" si="51"/>
        <v>14520</v>
      </c>
      <c r="G110" s="105">
        <f t="shared" si="52"/>
        <v>17424</v>
      </c>
    </row>
    <row r="111" spans="1:8" x14ac:dyDescent="0.25">
      <c r="A111" s="66">
        <f t="shared" si="53"/>
        <v>40</v>
      </c>
      <c r="B111" s="67" t="s">
        <v>558</v>
      </c>
      <c r="C111" s="66" t="s">
        <v>220</v>
      </c>
      <c r="D111" s="71">
        <v>2</v>
      </c>
      <c r="E111" s="98">
        <v>616</v>
      </c>
      <c r="F111" s="105">
        <f t="shared" si="51"/>
        <v>1232</v>
      </c>
      <c r="G111" s="105">
        <f t="shared" si="52"/>
        <v>1478.4</v>
      </c>
    </row>
    <row r="112" spans="1:8" x14ac:dyDescent="0.25">
      <c r="A112" s="66">
        <f t="shared" si="53"/>
        <v>41</v>
      </c>
      <c r="B112" s="67" t="s">
        <v>577</v>
      </c>
      <c r="C112" s="74" t="s">
        <v>254</v>
      </c>
      <c r="D112" s="68">
        <f>16*0.137</f>
        <v>2.1920000000000002</v>
      </c>
      <c r="E112" s="98">
        <v>127</v>
      </c>
      <c r="F112" s="105">
        <f t="shared" si="51"/>
        <v>278.38</v>
      </c>
      <c r="G112" s="105">
        <f t="shared" si="52"/>
        <v>334.06</v>
      </c>
    </row>
    <row r="113" spans="1:7" x14ac:dyDescent="0.25">
      <c r="A113" s="66">
        <f t="shared" si="53"/>
        <v>42</v>
      </c>
      <c r="B113" s="67" t="s">
        <v>405</v>
      </c>
      <c r="C113" s="74" t="s">
        <v>254</v>
      </c>
      <c r="D113" s="68">
        <f>16*0.032</f>
        <v>0.51200000000000001</v>
      </c>
      <c r="E113" s="98">
        <v>147</v>
      </c>
      <c r="F113" s="105">
        <f t="shared" si="51"/>
        <v>75.260000000000005</v>
      </c>
      <c r="G113" s="105">
        <f t="shared" si="52"/>
        <v>90.31</v>
      </c>
    </row>
    <row r="114" spans="1:7" x14ac:dyDescent="0.25">
      <c r="A114" s="66">
        <f t="shared" si="53"/>
        <v>43</v>
      </c>
      <c r="B114" s="67" t="s">
        <v>578</v>
      </c>
      <c r="C114" s="74" t="s">
        <v>254</v>
      </c>
      <c r="D114" s="68">
        <f>32*0.013</f>
        <v>0.41599999999999998</v>
      </c>
      <c r="E114" s="98">
        <v>198.00000000000003</v>
      </c>
      <c r="F114" s="105">
        <f t="shared" si="51"/>
        <v>82.37</v>
      </c>
      <c r="G114" s="105">
        <f t="shared" si="52"/>
        <v>98.84</v>
      </c>
    </row>
    <row r="115" spans="1:7" ht="30" x14ac:dyDescent="0.25">
      <c r="A115" s="66">
        <f t="shared" si="53"/>
        <v>44</v>
      </c>
      <c r="B115" s="67" t="s">
        <v>565</v>
      </c>
      <c r="C115" s="74" t="s">
        <v>220</v>
      </c>
      <c r="D115" s="71">
        <v>2</v>
      </c>
      <c r="E115" s="98">
        <v>28</v>
      </c>
      <c r="F115" s="105">
        <f t="shared" si="51"/>
        <v>56</v>
      </c>
      <c r="G115" s="105">
        <f t="shared" si="52"/>
        <v>67.2</v>
      </c>
    </row>
    <row r="116" spans="1:7" ht="30" x14ac:dyDescent="0.25">
      <c r="A116" s="66">
        <f t="shared" si="53"/>
        <v>45</v>
      </c>
      <c r="B116" s="67" t="s">
        <v>579</v>
      </c>
      <c r="C116" s="66" t="s">
        <v>220</v>
      </c>
      <c r="D116" s="71">
        <v>2</v>
      </c>
      <c r="E116" s="98">
        <v>770.00000000000011</v>
      </c>
      <c r="F116" s="105">
        <f t="shared" si="51"/>
        <v>1540</v>
      </c>
      <c r="G116" s="105">
        <f t="shared" si="52"/>
        <v>1848</v>
      </c>
    </row>
    <row r="117" spans="1:7" ht="21.75" customHeight="1" x14ac:dyDescent="0.25">
      <c r="A117" s="88">
        <f t="shared" si="53"/>
        <v>46</v>
      </c>
      <c r="B117" s="253" t="s">
        <v>760</v>
      </c>
      <c r="C117" s="88" t="s">
        <v>193</v>
      </c>
      <c r="D117" s="237">
        <v>1.3</v>
      </c>
      <c r="E117" s="255">
        <v>3850</v>
      </c>
      <c r="F117" s="107">
        <f t="shared" si="51"/>
        <v>5005</v>
      </c>
      <c r="G117" s="107">
        <f t="shared" si="52"/>
        <v>6006</v>
      </c>
    </row>
    <row r="118" spans="1:7" x14ac:dyDescent="0.25">
      <c r="A118" s="161"/>
      <c r="B118" s="414" t="s">
        <v>580</v>
      </c>
      <c r="C118" s="436"/>
      <c r="D118" s="436"/>
      <c r="E118" s="163"/>
      <c r="F118" s="164"/>
      <c r="G118" s="131"/>
    </row>
    <row r="119" spans="1:7" x14ac:dyDescent="0.25">
      <c r="A119" s="88">
        <f>A117+1</f>
        <v>47</v>
      </c>
      <c r="B119" s="253" t="s">
        <v>234</v>
      </c>
      <c r="C119" s="88" t="s">
        <v>193</v>
      </c>
      <c r="D119" s="237">
        <f>107+1964</f>
        <v>2071</v>
      </c>
      <c r="E119" s="255">
        <v>1320</v>
      </c>
      <c r="F119" s="107">
        <f t="shared" ref="F119:F120" si="54">ROUND(E119*D119,2)</f>
        <v>2733720</v>
      </c>
      <c r="G119" s="107">
        <f t="shared" ref="G119:G120" si="55">ROUND(F119*1.2,2)</f>
        <v>3280464</v>
      </c>
    </row>
    <row r="120" spans="1:7" x14ac:dyDescent="0.25">
      <c r="A120" s="88">
        <f>A119+1</f>
        <v>48</v>
      </c>
      <c r="B120" s="253" t="s">
        <v>160</v>
      </c>
      <c r="C120" s="260" t="s">
        <v>193</v>
      </c>
      <c r="D120" s="236">
        <v>7.73</v>
      </c>
      <c r="E120" s="255">
        <v>1368</v>
      </c>
      <c r="F120" s="107">
        <f t="shared" si="54"/>
        <v>10574.64</v>
      </c>
      <c r="G120" s="107">
        <f t="shared" si="55"/>
        <v>12689.57</v>
      </c>
    </row>
    <row r="121" spans="1:7" x14ac:dyDescent="0.25">
      <c r="A121" s="88">
        <f t="shared" ref="A121:A122" si="56">A120+1</f>
        <v>49</v>
      </c>
      <c r="B121" s="253" t="s">
        <v>718</v>
      </c>
      <c r="C121" s="261" t="s">
        <v>193</v>
      </c>
      <c r="D121" s="262">
        <v>50</v>
      </c>
      <c r="E121" s="107">
        <v>1375</v>
      </c>
      <c r="F121" s="107">
        <f>ROUND(E121*D121,2)</f>
        <v>68750</v>
      </c>
      <c r="G121" s="107">
        <f>ROUND(F121*1.2,2)</f>
        <v>82500</v>
      </c>
    </row>
    <row r="122" spans="1:7" x14ac:dyDescent="0.25">
      <c r="A122" s="88">
        <f t="shared" si="56"/>
        <v>50</v>
      </c>
      <c r="B122" s="253" t="s">
        <v>584</v>
      </c>
      <c r="C122" s="260" t="s">
        <v>194</v>
      </c>
      <c r="D122" s="236">
        <f>242+0.9+0.86+0.96+1+0.9+1.4</f>
        <v>248.02000000000004</v>
      </c>
      <c r="E122" s="255">
        <v>4070.0000000000005</v>
      </c>
      <c r="F122" s="107">
        <f t="shared" ref="F122:F131" si="57">ROUND(E122*D122,2)</f>
        <v>1009441.4</v>
      </c>
      <c r="G122" s="107">
        <f t="shared" ref="G122:G131" si="58">ROUND(F122*1.2,2)</f>
        <v>1211329.68</v>
      </c>
    </row>
    <row r="123" spans="1:7" x14ac:dyDescent="0.25">
      <c r="A123" s="88">
        <f t="shared" ref="A123:A133" si="59">A122+1</f>
        <v>51</v>
      </c>
      <c r="B123" s="253" t="s">
        <v>582</v>
      </c>
      <c r="C123" s="260" t="s">
        <v>194</v>
      </c>
      <c r="D123" s="160">
        <v>132</v>
      </c>
      <c r="E123" s="255">
        <v>45045</v>
      </c>
      <c r="F123" s="107">
        <f t="shared" si="57"/>
        <v>5945940</v>
      </c>
      <c r="G123" s="107">
        <f t="shared" si="58"/>
        <v>7135128</v>
      </c>
    </row>
    <row r="124" spans="1:7" x14ac:dyDescent="0.25">
      <c r="A124" s="88">
        <f t="shared" si="59"/>
        <v>52</v>
      </c>
      <c r="B124" s="253" t="s">
        <v>583</v>
      </c>
      <c r="C124" s="260" t="s">
        <v>194</v>
      </c>
      <c r="D124" s="160">
        <v>31</v>
      </c>
      <c r="E124" s="255">
        <v>13310.000000000002</v>
      </c>
      <c r="F124" s="107">
        <f t="shared" si="57"/>
        <v>412610</v>
      </c>
      <c r="G124" s="107">
        <f t="shared" si="58"/>
        <v>495132</v>
      </c>
    </row>
    <row r="125" spans="1:7" s="57" customFormat="1" ht="17.25" customHeight="1" x14ac:dyDescent="0.25">
      <c r="A125" s="88">
        <f t="shared" si="59"/>
        <v>53</v>
      </c>
      <c r="B125" s="253" t="s">
        <v>1155</v>
      </c>
      <c r="C125" s="88" t="s">
        <v>220</v>
      </c>
      <c r="D125" s="160">
        <v>6</v>
      </c>
      <c r="E125" s="255">
        <v>2900</v>
      </c>
      <c r="F125" s="107">
        <f t="shared" ref="F125:F128" si="60">ROUND(E125*D125,2)</f>
        <v>17400</v>
      </c>
      <c r="G125" s="107">
        <f t="shared" ref="G125:G128" si="61">ROUND(F125*1.2,2)</f>
        <v>20880</v>
      </c>
    </row>
    <row r="126" spans="1:7" s="57" customFormat="1" x14ac:dyDescent="0.25">
      <c r="A126" s="88">
        <f t="shared" si="59"/>
        <v>54</v>
      </c>
      <c r="B126" s="253" t="s">
        <v>1156</v>
      </c>
      <c r="C126" s="88" t="s">
        <v>220</v>
      </c>
      <c r="D126" s="160">
        <v>6</v>
      </c>
      <c r="E126" s="255">
        <v>22000</v>
      </c>
      <c r="F126" s="107">
        <f t="shared" si="60"/>
        <v>132000</v>
      </c>
      <c r="G126" s="107">
        <f t="shared" si="61"/>
        <v>158400</v>
      </c>
    </row>
    <row r="127" spans="1:7" s="57" customFormat="1" x14ac:dyDescent="0.25">
      <c r="A127" s="88">
        <f t="shared" si="59"/>
        <v>55</v>
      </c>
      <c r="B127" s="253" t="s">
        <v>1157</v>
      </c>
      <c r="C127" s="88" t="s">
        <v>220</v>
      </c>
      <c r="D127" s="160">
        <v>6</v>
      </c>
      <c r="E127" s="255">
        <v>5040</v>
      </c>
      <c r="F127" s="107">
        <f t="shared" si="60"/>
        <v>30240</v>
      </c>
      <c r="G127" s="107">
        <f t="shared" si="61"/>
        <v>36288</v>
      </c>
    </row>
    <row r="128" spans="1:7" s="57" customFormat="1" x14ac:dyDescent="0.25">
      <c r="A128" s="88">
        <f t="shared" si="59"/>
        <v>56</v>
      </c>
      <c r="B128" s="253" t="s">
        <v>1158</v>
      </c>
      <c r="C128" s="88" t="s">
        <v>220</v>
      </c>
      <c r="D128" s="160">
        <v>4</v>
      </c>
      <c r="E128" s="255">
        <v>1300</v>
      </c>
      <c r="F128" s="107">
        <f t="shared" si="60"/>
        <v>5200</v>
      </c>
      <c r="G128" s="107">
        <f t="shared" si="61"/>
        <v>6240</v>
      </c>
    </row>
    <row r="129" spans="1:7" s="57" customFormat="1" x14ac:dyDescent="0.25">
      <c r="A129" s="88">
        <f t="shared" ref="A129" si="62">A128+1</f>
        <v>57</v>
      </c>
      <c r="B129" s="253" t="s">
        <v>1159</v>
      </c>
      <c r="C129" s="88" t="s">
        <v>220</v>
      </c>
      <c r="D129" s="160">
        <v>2</v>
      </c>
      <c r="E129" s="255">
        <v>1100</v>
      </c>
      <c r="F129" s="107">
        <f t="shared" ref="F129" si="63">ROUND(E129*D129,2)</f>
        <v>2200</v>
      </c>
      <c r="G129" s="107">
        <f t="shared" ref="G129" si="64">ROUND(F129*1.2,2)</f>
        <v>2640</v>
      </c>
    </row>
    <row r="130" spans="1:7" x14ac:dyDescent="0.25">
      <c r="A130" s="88">
        <f>A124+1</f>
        <v>53</v>
      </c>
      <c r="B130" s="253" t="s">
        <v>581</v>
      </c>
      <c r="C130" s="260" t="s">
        <v>194</v>
      </c>
      <c r="D130" s="160">
        <v>14</v>
      </c>
      <c r="E130" s="255">
        <v>84700</v>
      </c>
      <c r="F130" s="107">
        <f t="shared" si="57"/>
        <v>1185800</v>
      </c>
      <c r="G130" s="107">
        <f t="shared" si="58"/>
        <v>1422960</v>
      </c>
    </row>
    <row r="131" spans="1:7" x14ac:dyDescent="0.25">
      <c r="A131" s="88">
        <f t="shared" si="59"/>
        <v>54</v>
      </c>
      <c r="B131" s="253" t="s">
        <v>599</v>
      </c>
      <c r="C131" s="260" t="s">
        <v>194</v>
      </c>
      <c r="D131" s="160">
        <v>39</v>
      </c>
      <c r="E131" s="255">
        <v>11220</v>
      </c>
      <c r="F131" s="107">
        <f t="shared" si="57"/>
        <v>437580</v>
      </c>
      <c r="G131" s="107">
        <f t="shared" si="58"/>
        <v>525096</v>
      </c>
    </row>
    <row r="132" spans="1:7" x14ac:dyDescent="0.25">
      <c r="A132" s="88">
        <f t="shared" si="59"/>
        <v>55</v>
      </c>
      <c r="B132" s="253" t="s">
        <v>1154</v>
      </c>
      <c r="C132" s="260" t="s">
        <v>194</v>
      </c>
      <c r="D132" s="160">
        <v>6</v>
      </c>
      <c r="E132" s="255">
        <v>11110</v>
      </c>
      <c r="F132" s="107">
        <f t="shared" ref="F132" si="65">ROUND(E132*D132,2)</f>
        <v>66660</v>
      </c>
      <c r="G132" s="107">
        <f t="shared" ref="G132" si="66">ROUND(F132*1.2,2)</f>
        <v>79992</v>
      </c>
    </row>
    <row r="133" spans="1:7" ht="18.75" customHeight="1" x14ac:dyDescent="0.25">
      <c r="A133" s="88">
        <f t="shared" si="59"/>
        <v>56</v>
      </c>
      <c r="B133" s="253" t="s">
        <v>760</v>
      </c>
      <c r="C133" s="88" t="s">
        <v>193</v>
      </c>
      <c r="D133" s="247">
        <f>1.88+6.33</f>
        <v>8.2100000000000009</v>
      </c>
      <c r="E133" s="255">
        <v>3850</v>
      </c>
      <c r="F133" s="107">
        <f t="shared" ref="F133" si="67">ROUND(E133*D133,2)</f>
        <v>31608.5</v>
      </c>
      <c r="G133" s="107">
        <f t="shared" ref="G133" si="68">ROUND(F133*1.2,2)</f>
        <v>37930.199999999997</v>
      </c>
    </row>
    <row r="134" spans="1:7" ht="21.75" customHeight="1" x14ac:dyDescent="0.25">
      <c r="A134" s="88"/>
      <c r="B134" s="235" t="s">
        <v>1123</v>
      </c>
      <c r="C134" s="263"/>
      <c r="D134" s="264"/>
      <c r="E134" s="255"/>
      <c r="F134" s="107"/>
      <c r="G134" s="107"/>
    </row>
    <row r="135" spans="1:7" x14ac:dyDescent="0.25">
      <c r="A135" s="88">
        <f>A133+1</f>
        <v>57</v>
      </c>
      <c r="B135" s="253" t="s">
        <v>1124</v>
      </c>
      <c r="C135" s="88" t="s">
        <v>220</v>
      </c>
      <c r="D135" s="160">
        <v>1</v>
      </c>
      <c r="E135" s="255">
        <v>1745</v>
      </c>
      <c r="F135" s="107">
        <f t="shared" ref="F135:F138" si="69">ROUND(E135*D135,2)</f>
        <v>1745</v>
      </c>
      <c r="G135" s="107">
        <f t="shared" ref="G135:G138" si="70">ROUND(F135*1.2,2)</f>
        <v>2094</v>
      </c>
    </row>
    <row r="136" spans="1:7" x14ac:dyDescent="0.25">
      <c r="A136" s="88">
        <f>A135+1</f>
        <v>58</v>
      </c>
      <c r="B136" s="253" t="s">
        <v>1125</v>
      </c>
      <c r="C136" s="88" t="s">
        <v>220</v>
      </c>
      <c r="D136" s="160">
        <v>1</v>
      </c>
      <c r="E136" s="255">
        <v>1503</v>
      </c>
      <c r="F136" s="107">
        <f t="shared" si="69"/>
        <v>1503</v>
      </c>
      <c r="G136" s="107">
        <f t="shared" si="70"/>
        <v>1803.6</v>
      </c>
    </row>
    <row r="137" spans="1:7" x14ac:dyDescent="0.25">
      <c r="A137" s="88">
        <f>A136+1</f>
        <v>59</v>
      </c>
      <c r="B137" s="253" t="s">
        <v>1126</v>
      </c>
      <c r="C137" s="88" t="s">
        <v>220</v>
      </c>
      <c r="D137" s="160">
        <v>1</v>
      </c>
      <c r="E137" s="255">
        <v>2632</v>
      </c>
      <c r="F137" s="107">
        <f t="shared" si="69"/>
        <v>2632</v>
      </c>
      <c r="G137" s="107">
        <f t="shared" si="70"/>
        <v>3158.4</v>
      </c>
    </row>
    <row r="138" spans="1:7" x14ac:dyDescent="0.25">
      <c r="A138" s="88">
        <f t="shared" ref="A138:A145" si="71">A137+1</f>
        <v>60</v>
      </c>
      <c r="B138" s="253" t="s">
        <v>1127</v>
      </c>
      <c r="C138" s="88" t="s">
        <v>220</v>
      </c>
      <c r="D138" s="160">
        <v>2</v>
      </c>
      <c r="E138" s="255">
        <v>0</v>
      </c>
      <c r="F138" s="107">
        <f t="shared" si="69"/>
        <v>0</v>
      </c>
      <c r="G138" s="107">
        <f t="shared" si="70"/>
        <v>0</v>
      </c>
    </row>
    <row r="139" spans="1:7" x14ac:dyDescent="0.25">
      <c r="A139" s="88">
        <f t="shared" si="71"/>
        <v>61</v>
      </c>
      <c r="B139" s="253" t="s">
        <v>590</v>
      </c>
      <c r="C139" s="88" t="s">
        <v>220</v>
      </c>
      <c r="D139" s="256" t="s">
        <v>762</v>
      </c>
      <c r="E139" s="255">
        <v>791</v>
      </c>
      <c r="F139" s="107">
        <f t="shared" ref="F139:F141" si="72">ROUND(E139*D139,2)</f>
        <v>791</v>
      </c>
      <c r="G139" s="107">
        <f t="shared" ref="G139:G141" si="73">ROUND(F139*1.2,2)</f>
        <v>949.2</v>
      </c>
    </row>
    <row r="140" spans="1:7" x14ac:dyDescent="0.25">
      <c r="A140" s="88">
        <f t="shared" si="71"/>
        <v>62</v>
      </c>
      <c r="B140" s="253" t="s">
        <v>591</v>
      </c>
      <c r="C140" s="88" t="s">
        <v>220</v>
      </c>
      <c r="D140" s="256" t="s">
        <v>762</v>
      </c>
      <c r="E140" s="255">
        <v>1452.0000000000002</v>
      </c>
      <c r="F140" s="107">
        <f t="shared" si="72"/>
        <v>1452</v>
      </c>
      <c r="G140" s="107">
        <f t="shared" si="73"/>
        <v>1742.4</v>
      </c>
    </row>
    <row r="141" spans="1:7" x14ac:dyDescent="0.25">
      <c r="A141" s="88">
        <f t="shared" si="71"/>
        <v>63</v>
      </c>
      <c r="B141" s="253" t="s">
        <v>1128</v>
      </c>
      <c r="C141" s="88" t="s">
        <v>220</v>
      </c>
      <c r="D141" s="256" t="s">
        <v>762</v>
      </c>
      <c r="E141" s="255">
        <v>15180.000000000002</v>
      </c>
      <c r="F141" s="107">
        <f t="shared" si="72"/>
        <v>15180</v>
      </c>
      <c r="G141" s="107">
        <f t="shared" si="73"/>
        <v>18216</v>
      </c>
    </row>
    <row r="142" spans="1:7" s="57" customFormat="1" ht="30" x14ac:dyDescent="0.25">
      <c r="A142" s="88">
        <f t="shared" si="71"/>
        <v>64</v>
      </c>
      <c r="B142" s="253" t="s">
        <v>1132</v>
      </c>
      <c r="C142" s="88" t="s">
        <v>220</v>
      </c>
      <c r="D142" s="256" t="s">
        <v>762</v>
      </c>
      <c r="E142" s="255">
        <v>14313</v>
      </c>
      <c r="F142" s="107">
        <f t="shared" ref="F142" si="74">ROUND(E142*D142,2)</f>
        <v>14313</v>
      </c>
      <c r="G142" s="107">
        <f t="shared" ref="G142" si="75">ROUND(F142*1.2,2)</f>
        <v>17175.599999999999</v>
      </c>
    </row>
    <row r="143" spans="1:7" ht="18" customHeight="1" x14ac:dyDescent="0.25">
      <c r="A143" s="88">
        <f t="shared" si="71"/>
        <v>65</v>
      </c>
      <c r="B143" s="253" t="s">
        <v>1129</v>
      </c>
      <c r="C143" s="88" t="s">
        <v>254</v>
      </c>
      <c r="D143" s="256" t="s">
        <v>1130</v>
      </c>
      <c r="E143" s="255">
        <v>702</v>
      </c>
      <c r="F143" s="107">
        <f t="shared" ref="F143:F145" si="76">ROUND(E143*D143,2)</f>
        <v>11372.4</v>
      </c>
      <c r="G143" s="107">
        <f t="shared" ref="G143:G145" si="77">ROUND(F143*1.2,2)</f>
        <v>13646.88</v>
      </c>
    </row>
    <row r="144" spans="1:7" x14ac:dyDescent="0.25">
      <c r="A144" s="88">
        <f t="shared" si="71"/>
        <v>66</v>
      </c>
      <c r="B144" s="253" t="s">
        <v>595</v>
      </c>
      <c r="C144" s="88" t="s">
        <v>387</v>
      </c>
      <c r="D144" s="265">
        <f>6.38*20/16</f>
        <v>7.9749999999999996</v>
      </c>
      <c r="E144" s="255">
        <v>250</v>
      </c>
      <c r="F144" s="107">
        <f t="shared" si="76"/>
        <v>1993.75</v>
      </c>
      <c r="G144" s="107">
        <f t="shared" si="77"/>
        <v>2392.5</v>
      </c>
    </row>
    <row r="145" spans="1:7" x14ac:dyDescent="0.25">
      <c r="A145" s="88">
        <f t="shared" si="71"/>
        <v>67</v>
      </c>
      <c r="B145" s="253" t="s">
        <v>388</v>
      </c>
      <c r="C145" s="88" t="s">
        <v>254</v>
      </c>
      <c r="D145" s="256" t="s">
        <v>1131</v>
      </c>
      <c r="E145" s="255">
        <v>312</v>
      </c>
      <c r="F145" s="107">
        <f t="shared" si="76"/>
        <v>11366.16</v>
      </c>
      <c r="G145" s="107">
        <f t="shared" si="77"/>
        <v>13639.39</v>
      </c>
    </row>
    <row r="146" spans="1:7" ht="42.75" x14ac:dyDescent="0.25">
      <c r="A146" s="88"/>
      <c r="B146" s="86" t="s">
        <v>1087</v>
      </c>
      <c r="C146" s="88"/>
      <c r="D146" s="256"/>
      <c r="E146" s="255"/>
      <c r="F146" s="107"/>
      <c r="G146" s="107"/>
    </row>
    <row r="147" spans="1:7" x14ac:dyDescent="0.25">
      <c r="A147" s="88">
        <f>A145+1</f>
        <v>68</v>
      </c>
      <c r="B147" s="253" t="s">
        <v>1124</v>
      </c>
      <c r="C147" s="88" t="s">
        <v>220</v>
      </c>
      <c r="D147" s="160">
        <v>4</v>
      </c>
      <c r="E147" s="255">
        <v>1745</v>
      </c>
      <c r="F147" s="107">
        <f t="shared" ref="F147:F164" si="78">ROUND(E147*D147,2)</f>
        <v>6980</v>
      </c>
      <c r="G147" s="107">
        <f t="shared" ref="G147:G164" si="79">ROUND(F147*1.2,2)</f>
        <v>8376</v>
      </c>
    </row>
    <row r="148" spans="1:7" x14ac:dyDescent="0.25">
      <c r="A148" s="88">
        <f>A147+1</f>
        <v>69</v>
      </c>
      <c r="B148" s="253" t="s">
        <v>1125</v>
      </c>
      <c r="C148" s="88" t="s">
        <v>220</v>
      </c>
      <c r="D148" s="160">
        <v>5</v>
      </c>
      <c r="E148" s="255">
        <v>1503</v>
      </c>
      <c r="F148" s="107">
        <f t="shared" si="78"/>
        <v>7515</v>
      </c>
      <c r="G148" s="107">
        <f t="shared" si="79"/>
        <v>9018</v>
      </c>
    </row>
    <row r="149" spans="1:7" x14ac:dyDescent="0.25">
      <c r="A149" s="88">
        <f t="shared" ref="A149:A164" si="80">A148+1</f>
        <v>70</v>
      </c>
      <c r="B149" s="253" t="s">
        <v>1126</v>
      </c>
      <c r="C149" s="88" t="s">
        <v>220</v>
      </c>
      <c r="D149" s="160">
        <v>7</v>
      </c>
      <c r="E149" s="255">
        <v>2632</v>
      </c>
      <c r="F149" s="107">
        <f t="shared" si="78"/>
        <v>18424</v>
      </c>
      <c r="G149" s="107">
        <f t="shared" si="79"/>
        <v>22108.799999999999</v>
      </c>
    </row>
    <row r="150" spans="1:7" s="57" customFormat="1" x14ac:dyDescent="0.25">
      <c r="A150" s="88">
        <f t="shared" si="80"/>
        <v>71</v>
      </c>
      <c r="B150" s="253" t="s">
        <v>1127</v>
      </c>
      <c r="C150" s="88" t="s">
        <v>220</v>
      </c>
      <c r="D150" s="160">
        <v>2</v>
      </c>
      <c r="E150" s="255">
        <v>1500</v>
      </c>
      <c r="F150" s="107">
        <f t="shared" si="78"/>
        <v>3000</v>
      </c>
      <c r="G150" s="107">
        <f t="shared" si="79"/>
        <v>3600</v>
      </c>
    </row>
    <row r="151" spans="1:7" x14ac:dyDescent="0.25">
      <c r="A151" s="88">
        <f t="shared" si="80"/>
        <v>72</v>
      </c>
      <c r="B151" s="253" t="s">
        <v>761</v>
      </c>
      <c r="C151" s="88" t="s">
        <v>220</v>
      </c>
      <c r="D151" s="160">
        <v>10</v>
      </c>
      <c r="E151" s="255">
        <v>4565</v>
      </c>
      <c r="F151" s="107">
        <f t="shared" ref="F151:F154" si="81">ROUND(E151*D151,2)</f>
        <v>45650</v>
      </c>
      <c r="G151" s="107">
        <f t="shared" ref="G151:G154" si="82">ROUND(F151*1.2,2)</f>
        <v>54780</v>
      </c>
    </row>
    <row r="152" spans="1:7" x14ac:dyDescent="0.25">
      <c r="A152" s="88">
        <f t="shared" si="80"/>
        <v>73</v>
      </c>
      <c r="B152" s="253" t="s">
        <v>1133</v>
      </c>
      <c r="C152" s="88" t="s">
        <v>220</v>
      </c>
      <c r="D152" s="160">
        <v>5</v>
      </c>
      <c r="E152" s="255">
        <v>4290</v>
      </c>
      <c r="F152" s="107">
        <f t="shared" si="81"/>
        <v>21450</v>
      </c>
      <c r="G152" s="107">
        <f t="shared" si="82"/>
        <v>25740</v>
      </c>
    </row>
    <row r="153" spans="1:7" x14ac:dyDescent="0.25">
      <c r="A153" s="88">
        <f t="shared" si="80"/>
        <v>74</v>
      </c>
      <c r="B153" s="253" t="s">
        <v>1134</v>
      </c>
      <c r="C153" s="88" t="s">
        <v>220</v>
      </c>
      <c r="D153" s="160">
        <v>15</v>
      </c>
      <c r="E153" s="255">
        <v>5060</v>
      </c>
      <c r="F153" s="107">
        <f t="shared" si="81"/>
        <v>75900</v>
      </c>
      <c r="G153" s="107">
        <f t="shared" si="82"/>
        <v>91080</v>
      </c>
    </row>
    <row r="154" spans="1:7" x14ac:dyDescent="0.25">
      <c r="A154" s="88">
        <f t="shared" si="80"/>
        <v>75</v>
      </c>
      <c r="B154" s="253" t="s">
        <v>1135</v>
      </c>
      <c r="C154" s="88" t="s">
        <v>220</v>
      </c>
      <c r="D154" s="160">
        <v>2</v>
      </c>
      <c r="E154" s="255">
        <v>4070.0000000000005</v>
      </c>
      <c r="F154" s="107">
        <f t="shared" si="81"/>
        <v>8140</v>
      </c>
      <c r="G154" s="107">
        <f t="shared" si="82"/>
        <v>9768</v>
      </c>
    </row>
    <row r="155" spans="1:7" x14ac:dyDescent="0.25">
      <c r="A155" s="88">
        <f t="shared" si="80"/>
        <v>76</v>
      </c>
      <c r="B155" s="253" t="s">
        <v>590</v>
      </c>
      <c r="C155" s="88" t="s">
        <v>220</v>
      </c>
      <c r="D155" s="256" t="s">
        <v>1136</v>
      </c>
      <c r="E155" s="255">
        <v>791</v>
      </c>
      <c r="F155" s="107">
        <f t="shared" si="78"/>
        <v>15029</v>
      </c>
      <c r="G155" s="107">
        <f t="shared" si="79"/>
        <v>18034.8</v>
      </c>
    </row>
    <row r="156" spans="1:7" x14ac:dyDescent="0.25">
      <c r="A156" s="88">
        <f t="shared" si="80"/>
        <v>77</v>
      </c>
      <c r="B156" s="253" t="s">
        <v>591</v>
      </c>
      <c r="C156" s="88" t="s">
        <v>220</v>
      </c>
      <c r="D156" s="256" t="s">
        <v>762</v>
      </c>
      <c r="E156" s="255">
        <v>1452.0000000000002</v>
      </c>
      <c r="F156" s="107">
        <f t="shared" si="78"/>
        <v>1452</v>
      </c>
      <c r="G156" s="107">
        <f t="shared" si="79"/>
        <v>1742.4</v>
      </c>
    </row>
    <row r="157" spans="1:7" x14ac:dyDescent="0.25">
      <c r="A157" s="88">
        <f t="shared" si="80"/>
        <v>78</v>
      </c>
      <c r="B157" s="253" t="s">
        <v>1128</v>
      </c>
      <c r="C157" s="88" t="s">
        <v>220</v>
      </c>
      <c r="D157" s="256" t="s">
        <v>600</v>
      </c>
      <c r="E157" s="255">
        <v>15180.000000000002</v>
      </c>
      <c r="F157" s="107">
        <f t="shared" si="78"/>
        <v>151800</v>
      </c>
      <c r="G157" s="107">
        <f t="shared" si="79"/>
        <v>182160</v>
      </c>
    </row>
    <row r="158" spans="1:7" s="57" customFormat="1" ht="30" x14ac:dyDescent="0.25">
      <c r="A158" s="88">
        <f t="shared" si="80"/>
        <v>79</v>
      </c>
      <c r="B158" s="253" t="s">
        <v>1137</v>
      </c>
      <c r="C158" s="88" t="s">
        <v>220</v>
      </c>
      <c r="D158" s="256" t="s">
        <v>838</v>
      </c>
      <c r="E158" s="255">
        <v>2801</v>
      </c>
      <c r="F158" s="107">
        <f t="shared" si="78"/>
        <v>42015</v>
      </c>
      <c r="G158" s="107">
        <f t="shared" si="79"/>
        <v>50418</v>
      </c>
    </row>
    <row r="159" spans="1:7" ht="21.75" customHeight="1" x14ac:dyDescent="0.25">
      <c r="A159" s="88">
        <f t="shared" si="80"/>
        <v>80</v>
      </c>
      <c r="B159" s="253" t="s">
        <v>1129</v>
      </c>
      <c r="C159" s="88" t="s">
        <v>254</v>
      </c>
      <c r="D159" s="256" t="s">
        <v>1141</v>
      </c>
      <c r="E159" s="255">
        <v>702</v>
      </c>
      <c r="F159" s="107">
        <f t="shared" si="78"/>
        <v>22744.799999999999</v>
      </c>
      <c r="G159" s="107">
        <f t="shared" si="79"/>
        <v>27293.759999999998</v>
      </c>
    </row>
    <row r="160" spans="1:7" ht="21.75" customHeight="1" x14ac:dyDescent="0.25">
      <c r="A160" s="88">
        <f t="shared" si="80"/>
        <v>81</v>
      </c>
      <c r="B160" s="253" t="s">
        <v>1138</v>
      </c>
      <c r="C160" s="88" t="s">
        <v>254</v>
      </c>
      <c r="D160" s="256" t="s">
        <v>1142</v>
      </c>
      <c r="E160" s="255">
        <v>702</v>
      </c>
      <c r="F160" s="107">
        <f t="shared" si="78"/>
        <v>27378</v>
      </c>
      <c r="G160" s="107">
        <f t="shared" si="79"/>
        <v>32853.599999999999</v>
      </c>
    </row>
    <row r="161" spans="1:7" ht="21.75" customHeight="1" x14ac:dyDescent="0.25">
      <c r="A161" s="88">
        <f t="shared" si="80"/>
        <v>82</v>
      </c>
      <c r="B161" s="253" t="s">
        <v>1139</v>
      </c>
      <c r="C161" s="88" t="s">
        <v>254</v>
      </c>
      <c r="D161" s="256" t="s">
        <v>1143</v>
      </c>
      <c r="E161" s="255">
        <v>702</v>
      </c>
      <c r="F161" s="107">
        <f t="shared" si="78"/>
        <v>5475.6</v>
      </c>
      <c r="G161" s="107">
        <f t="shared" si="79"/>
        <v>6570.72</v>
      </c>
    </row>
    <row r="162" spans="1:7" ht="21.75" customHeight="1" x14ac:dyDescent="0.25">
      <c r="A162" s="88">
        <f t="shared" si="80"/>
        <v>83</v>
      </c>
      <c r="B162" s="253" t="s">
        <v>1140</v>
      </c>
      <c r="C162" s="88" t="s">
        <v>254</v>
      </c>
      <c r="D162" s="256" t="s">
        <v>1144</v>
      </c>
      <c r="E162" s="255">
        <v>702</v>
      </c>
      <c r="F162" s="107">
        <f t="shared" si="78"/>
        <v>82134</v>
      </c>
      <c r="G162" s="107">
        <f t="shared" si="79"/>
        <v>98560.8</v>
      </c>
    </row>
    <row r="163" spans="1:7" x14ac:dyDescent="0.25">
      <c r="A163" s="88">
        <f t="shared" si="80"/>
        <v>84</v>
      </c>
      <c r="B163" s="253" t="s">
        <v>595</v>
      </c>
      <c r="C163" s="88" t="s">
        <v>387</v>
      </c>
      <c r="D163" s="265">
        <f>51*20/16</f>
        <v>63.75</v>
      </c>
      <c r="E163" s="255">
        <v>250</v>
      </c>
      <c r="F163" s="107">
        <f t="shared" si="78"/>
        <v>15937.5</v>
      </c>
      <c r="G163" s="107">
        <f t="shared" si="79"/>
        <v>19125</v>
      </c>
    </row>
    <row r="164" spans="1:7" x14ac:dyDescent="0.25">
      <c r="A164" s="88">
        <f t="shared" si="80"/>
        <v>85</v>
      </c>
      <c r="B164" s="253" t="s">
        <v>388</v>
      </c>
      <c r="C164" s="88" t="s">
        <v>254</v>
      </c>
      <c r="D164" s="256" t="s">
        <v>1145</v>
      </c>
      <c r="E164" s="255">
        <v>312</v>
      </c>
      <c r="F164" s="107">
        <f t="shared" si="78"/>
        <v>90480</v>
      </c>
      <c r="G164" s="107">
        <f t="shared" si="79"/>
        <v>108576</v>
      </c>
    </row>
    <row r="165" spans="1:7" ht="30" customHeight="1" x14ac:dyDescent="0.25">
      <c r="A165" s="88"/>
      <c r="B165" s="86" t="s">
        <v>1103</v>
      </c>
      <c r="C165" s="88"/>
      <c r="D165" s="256"/>
      <c r="E165" s="255"/>
      <c r="F165" s="107"/>
      <c r="G165" s="107"/>
    </row>
    <row r="166" spans="1:7" x14ac:dyDescent="0.25">
      <c r="A166" s="88">
        <f>A164+1</f>
        <v>86</v>
      </c>
      <c r="B166" s="253" t="s">
        <v>1124</v>
      </c>
      <c r="C166" s="88" t="s">
        <v>220</v>
      </c>
      <c r="D166" s="160">
        <v>2</v>
      </c>
      <c r="E166" s="255">
        <v>1745</v>
      </c>
      <c r="F166" s="107">
        <f t="shared" ref="F166:F168" si="83">ROUND(E166*D166,2)</f>
        <v>3490</v>
      </c>
      <c r="G166" s="107">
        <f t="shared" ref="G166:G168" si="84">ROUND(F166*1.2,2)</f>
        <v>4188</v>
      </c>
    </row>
    <row r="167" spans="1:7" ht="18.75" customHeight="1" x14ac:dyDescent="0.25">
      <c r="A167" s="88">
        <f>A166+1</f>
        <v>87</v>
      </c>
      <c r="B167" s="253" t="s">
        <v>1125</v>
      </c>
      <c r="C167" s="88" t="s">
        <v>220</v>
      </c>
      <c r="D167" s="160">
        <v>2</v>
      </c>
      <c r="E167" s="255">
        <v>1503</v>
      </c>
      <c r="F167" s="107">
        <f t="shared" si="83"/>
        <v>3006</v>
      </c>
      <c r="G167" s="107">
        <f t="shared" si="84"/>
        <v>3607.2</v>
      </c>
    </row>
    <row r="168" spans="1:7" ht="15.75" customHeight="1" x14ac:dyDescent="0.25">
      <c r="A168" s="88">
        <f>A167+1</f>
        <v>88</v>
      </c>
      <c r="B168" s="253" t="s">
        <v>1126</v>
      </c>
      <c r="C168" s="88" t="s">
        <v>220</v>
      </c>
      <c r="D168" s="160">
        <v>2</v>
      </c>
      <c r="E168" s="255">
        <v>2632</v>
      </c>
      <c r="F168" s="107">
        <f t="shared" si="83"/>
        <v>5264</v>
      </c>
      <c r="G168" s="107">
        <f t="shared" si="84"/>
        <v>6316.8</v>
      </c>
    </row>
    <row r="169" spans="1:7" s="57" customFormat="1" ht="20.25" customHeight="1" x14ac:dyDescent="0.25">
      <c r="A169" s="88">
        <f>A168+1</f>
        <v>89</v>
      </c>
      <c r="B169" s="253" t="s">
        <v>1146</v>
      </c>
      <c r="C169" s="88" t="s">
        <v>220</v>
      </c>
      <c r="D169" s="256" t="s">
        <v>765</v>
      </c>
      <c r="E169" s="255">
        <v>6240</v>
      </c>
      <c r="F169" s="107">
        <f t="shared" ref="F169:F171" si="85">ROUND(E169*D169,2)</f>
        <v>12480</v>
      </c>
      <c r="G169" s="107">
        <f t="shared" ref="G169:G171" si="86">ROUND(F169*1.2,2)</f>
        <v>14976</v>
      </c>
    </row>
    <row r="170" spans="1:7" ht="15.75" customHeight="1" x14ac:dyDescent="0.25">
      <c r="A170" s="88">
        <f t="shared" ref="A170:A171" si="87">A169+1</f>
        <v>90</v>
      </c>
      <c r="B170" s="253" t="s">
        <v>595</v>
      </c>
      <c r="C170" s="88" t="s">
        <v>387</v>
      </c>
      <c r="D170" s="266">
        <f>5.49*20/16</f>
        <v>6.8625000000000007</v>
      </c>
      <c r="E170" s="255">
        <v>250</v>
      </c>
      <c r="F170" s="107">
        <f t="shared" si="85"/>
        <v>1715.63</v>
      </c>
      <c r="G170" s="107">
        <f t="shared" si="86"/>
        <v>2058.7600000000002</v>
      </c>
    </row>
    <row r="171" spans="1:7" ht="18" customHeight="1" x14ac:dyDescent="0.25">
      <c r="A171" s="88">
        <f t="shared" si="87"/>
        <v>91</v>
      </c>
      <c r="B171" s="253" t="s">
        <v>388</v>
      </c>
      <c r="C171" s="88" t="s">
        <v>254</v>
      </c>
      <c r="D171" s="256" t="s">
        <v>1147</v>
      </c>
      <c r="E171" s="255">
        <v>312</v>
      </c>
      <c r="F171" s="107">
        <f t="shared" si="85"/>
        <v>9796.7999999999993</v>
      </c>
      <c r="G171" s="107">
        <f t="shared" si="86"/>
        <v>11756.16</v>
      </c>
    </row>
    <row r="172" spans="1:7" ht="23.25" customHeight="1" x14ac:dyDescent="0.25">
      <c r="A172" s="88"/>
      <c r="B172" s="86" t="s">
        <v>1105</v>
      </c>
      <c r="C172" s="88"/>
      <c r="D172" s="256"/>
      <c r="E172" s="255"/>
      <c r="F172" s="107"/>
      <c r="G172" s="107"/>
    </row>
    <row r="173" spans="1:7" ht="15.75" customHeight="1" x14ac:dyDescent="0.25">
      <c r="A173" s="88">
        <f>A171+1</f>
        <v>92</v>
      </c>
      <c r="B173" s="253" t="s">
        <v>585</v>
      </c>
      <c r="C173" s="88" t="s">
        <v>220</v>
      </c>
      <c r="D173" s="256" t="s">
        <v>765</v>
      </c>
      <c r="E173" s="255">
        <v>10753</v>
      </c>
      <c r="F173" s="107">
        <f t="shared" ref="F173:F184" si="88">ROUND(E173*D173,2)</f>
        <v>21506</v>
      </c>
      <c r="G173" s="107">
        <f t="shared" ref="G173:G184" si="89">ROUND(F173*1.2,2)</f>
        <v>25807.200000000001</v>
      </c>
    </row>
    <row r="174" spans="1:7" ht="15.75" customHeight="1" x14ac:dyDescent="0.25">
      <c r="A174" s="88">
        <f>A173+1</f>
        <v>93</v>
      </c>
      <c r="B174" s="253" t="s">
        <v>587</v>
      </c>
      <c r="C174" s="88" t="s">
        <v>220</v>
      </c>
      <c r="D174" s="256" t="s">
        <v>586</v>
      </c>
      <c r="E174" s="255">
        <v>11385.000000000002</v>
      </c>
      <c r="F174" s="107">
        <f t="shared" si="88"/>
        <v>45540</v>
      </c>
      <c r="G174" s="107">
        <f t="shared" si="89"/>
        <v>54648</v>
      </c>
    </row>
    <row r="175" spans="1:7" ht="15.75" customHeight="1" x14ac:dyDescent="0.25">
      <c r="A175" s="88">
        <f t="shared" ref="A175:A184" si="90">A174+1</f>
        <v>94</v>
      </c>
      <c r="B175" s="253" t="s">
        <v>588</v>
      </c>
      <c r="C175" s="88" t="s">
        <v>220</v>
      </c>
      <c r="D175" s="256" t="s">
        <v>1148</v>
      </c>
      <c r="E175" s="255">
        <v>11006</v>
      </c>
      <c r="F175" s="107">
        <f t="shared" si="88"/>
        <v>33018</v>
      </c>
      <c r="G175" s="107">
        <f t="shared" si="89"/>
        <v>39621.599999999999</v>
      </c>
    </row>
    <row r="176" spans="1:7" ht="15.75" customHeight="1" x14ac:dyDescent="0.25">
      <c r="A176" s="88">
        <f t="shared" si="90"/>
        <v>95</v>
      </c>
      <c r="B176" s="253" t="s">
        <v>589</v>
      </c>
      <c r="C176" s="88" t="s">
        <v>220</v>
      </c>
      <c r="D176" s="256" t="s">
        <v>762</v>
      </c>
      <c r="E176" s="255">
        <v>10247</v>
      </c>
      <c r="F176" s="107">
        <f t="shared" si="88"/>
        <v>10247</v>
      </c>
      <c r="G176" s="107">
        <f t="shared" si="89"/>
        <v>12296.4</v>
      </c>
    </row>
    <row r="177" spans="1:7" ht="15.75" customHeight="1" x14ac:dyDescent="0.25">
      <c r="A177" s="88">
        <f t="shared" si="90"/>
        <v>96</v>
      </c>
      <c r="B177" s="253" t="s">
        <v>590</v>
      </c>
      <c r="C177" s="88" t="s">
        <v>220</v>
      </c>
      <c r="D177" s="256" t="s">
        <v>781</v>
      </c>
      <c r="E177" s="255">
        <v>6199</v>
      </c>
      <c r="F177" s="107">
        <f t="shared" si="88"/>
        <v>37194</v>
      </c>
      <c r="G177" s="107">
        <f t="shared" si="89"/>
        <v>44632.800000000003</v>
      </c>
    </row>
    <row r="178" spans="1:7" ht="15.75" customHeight="1" x14ac:dyDescent="0.25">
      <c r="A178" s="88">
        <f t="shared" si="90"/>
        <v>97</v>
      </c>
      <c r="B178" s="253" t="s">
        <v>1128</v>
      </c>
      <c r="C178" s="88" t="s">
        <v>220</v>
      </c>
      <c r="D178" s="256" t="s">
        <v>586</v>
      </c>
      <c r="E178" s="255">
        <v>15180.000000000002</v>
      </c>
      <c r="F178" s="107">
        <f t="shared" si="88"/>
        <v>60720</v>
      </c>
      <c r="G178" s="107">
        <f t="shared" si="89"/>
        <v>72864</v>
      </c>
    </row>
    <row r="179" spans="1:7" ht="19.5" customHeight="1" x14ac:dyDescent="0.25">
      <c r="A179" s="88">
        <f t="shared" si="90"/>
        <v>98</v>
      </c>
      <c r="B179" s="253" t="s">
        <v>1149</v>
      </c>
      <c r="C179" s="88" t="s">
        <v>254</v>
      </c>
      <c r="D179" s="256" t="s">
        <v>1150</v>
      </c>
      <c r="E179" s="255">
        <v>702</v>
      </c>
      <c r="F179" s="107">
        <f t="shared" si="88"/>
        <v>6809.4</v>
      </c>
      <c r="G179" s="107">
        <f t="shared" si="89"/>
        <v>8171.28</v>
      </c>
    </row>
    <row r="180" spans="1:7" ht="19.5" customHeight="1" x14ac:dyDescent="0.25">
      <c r="A180" s="88">
        <f t="shared" si="90"/>
        <v>99</v>
      </c>
      <c r="B180" s="253" t="s">
        <v>1129</v>
      </c>
      <c r="C180" s="88" t="s">
        <v>254</v>
      </c>
      <c r="D180" s="256" t="s">
        <v>1130</v>
      </c>
      <c r="E180" s="255">
        <v>702</v>
      </c>
      <c r="F180" s="107">
        <f t="shared" si="88"/>
        <v>11372.4</v>
      </c>
      <c r="G180" s="107">
        <f t="shared" si="89"/>
        <v>13646.88</v>
      </c>
    </row>
    <row r="181" spans="1:7" ht="19.5" customHeight="1" x14ac:dyDescent="0.25">
      <c r="A181" s="88">
        <f t="shared" si="90"/>
        <v>100</v>
      </c>
      <c r="B181" s="253" t="s">
        <v>1138</v>
      </c>
      <c r="C181" s="88" t="s">
        <v>254</v>
      </c>
      <c r="D181" s="256" t="s">
        <v>1142</v>
      </c>
      <c r="E181" s="255">
        <v>702</v>
      </c>
      <c r="F181" s="107">
        <f t="shared" si="88"/>
        <v>27378</v>
      </c>
      <c r="G181" s="107">
        <f t="shared" si="89"/>
        <v>32853.599999999999</v>
      </c>
    </row>
    <row r="182" spans="1:7" s="57" customFormat="1" ht="30" x14ac:dyDescent="0.25">
      <c r="A182" s="88">
        <f t="shared" si="90"/>
        <v>101</v>
      </c>
      <c r="B182" s="253" t="s">
        <v>1151</v>
      </c>
      <c r="C182" s="88" t="s">
        <v>220</v>
      </c>
      <c r="D182" s="160">
        <v>2</v>
      </c>
      <c r="E182" s="255">
        <v>17580</v>
      </c>
      <c r="F182" s="107">
        <f t="shared" si="88"/>
        <v>35160</v>
      </c>
      <c r="G182" s="107">
        <f t="shared" si="89"/>
        <v>42192</v>
      </c>
    </row>
    <row r="183" spans="1:7" ht="18.75" customHeight="1" x14ac:dyDescent="0.25">
      <c r="A183" s="88">
        <f t="shared" si="90"/>
        <v>102</v>
      </c>
      <c r="B183" s="253" t="s">
        <v>595</v>
      </c>
      <c r="C183" s="88" t="s">
        <v>387</v>
      </c>
      <c r="D183" s="266">
        <f>25.5*20/16</f>
        <v>31.875</v>
      </c>
      <c r="E183" s="255">
        <v>250</v>
      </c>
      <c r="F183" s="107">
        <f t="shared" si="88"/>
        <v>7968.75</v>
      </c>
      <c r="G183" s="107">
        <f t="shared" si="89"/>
        <v>9562.5</v>
      </c>
    </row>
    <row r="184" spans="1:7" ht="18.75" customHeight="1" x14ac:dyDescent="0.25">
      <c r="A184" s="88">
        <f t="shared" si="90"/>
        <v>103</v>
      </c>
      <c r="B184" s="253" t="s">
        <v>388</v>
      </c>
      <c r="C184" s="88" t="s">
        <v>254</v>
      </c>
      <c r="D184" s="256" t="s">
        <v>597</v>
      </c>
      <c r="E184" s="255">
        <v>312</v>
      </c>
      <c r="F184" s="107">
        <f t="shared" si="88"/>
        <v>45458.400000000001</v>
      </c>
      <c r="G184" s="107">
        <f t="shared" si="89"/>
        <v>54550.080000000002</v>
      </c>
    </row>
    <row r="185" spans="1:7" ht="19.5" customHeight="1" x14ac:dyDescent="0.25">
      <c r="A185" s="88"/>
      <c r="B185" s="86" t="s">
        <v>1115</v>
      </c>
      <c r="C185" s="88"/>
      <c r="D185" s="256"/>
      <c r="E185" s="255"/>
      <c r="F185" s="107"/>
      <c r="G185" s="107"/>
    </row>
    <row r="186" spans="1:7" ht="19.5" customHeight="1" x14ac:dyDescent="0.25">
      <c r="A186" s="88">
        <f>A184+1</f>
        <v>104</v>
      </c>
      <c r="B186" s="253" t="s">
        <v>587</v>
      </c>
      <c r="C186" s="88" t="s">
        <v>220</v>
      </c>
      <c r="D186" s="256" t="s">
        <v>765</v>
      </c>
      <c r="E186" s="255">
        <v>11385.000000000002</v>
      </c>
      <c r="F186" s="107">
        <f t="shared" ref="F186:F192" si="91">ROUND(E186*D186,2)</f>
        <v>22770</v>
      </c>
      <c r="G186" s="107">
        <f t="shared" ref="G186:G192" si="92">ROUND(F186*1.2,2)</f>
        <v>27324</v>
      </c>
    </row>
    <row r="187" spans="1:7" x14ac:dyDescent="0.25">
      <c r="A187" s="88">
        <f>A186+1</f>
        <v>105</v>
      </c>
      <c r="B187" s="253" t="s">
        <v>590</v>
      </c>
      <c r="C187" s="88" t="s">
        <v>220</v>
      </c>
      <c r="D187" s="256" t="s">
        <v>765</v>
      </c>
      <c r="E187" s="255">
        <v>6199</v>
      </c>
      <c r="F187" s="107">
        <f t="shared" si="91"/>
        <v>12398</v>
      </c>
      <c r="G187" s="107">
        <f t="shared" si="92"/>
        <v>14877.6</v>
      </c>
    </row>
    <row r="188" spans="1:7" x14ac:dyDescent="0.25">
      <c r="A188" s="88">
        <f t="shared" ref="A188:A192" si="93">A187+1</f>
        <v>106</v>
      </c>
      <c r="B188" s="253" t="s">
        <v>1128</v>
      </c>
      <c r="C188" s="88" t="s">
        <v>220</v>
      </c>
      <c r="D188" s="256" t="s">
        <v>765</v>
      </c>
      <c r="E188" s="255">
        <v>15180.000000000002</v>
      </c>
      <c r="F188" s="107">
        <f t="shared" si="91"/>
        <v>30360</v>
      </c>
      <c r="G188" s="107">
        <f t="shared" si="92"/>
        <v>36432</v>
      </c>
    </row>
    <row r="189" spans="1:7" s="57" customFormat="1" ht="30" x14ac:dyDescent="0.25">
      <c r="A189" s="88">
        <f t="shared" si="93"/>
        <v>107</v>
      </c>
      <c r="B189" s="253" t="s">
        <v>1152</v>
      </c>
      <c r="C189" s="88" t="s">
        <v>220</v>
      </c>
      <c r="D189" s="160">
        <v>2</v>
      </c>
      <c r="E189" s="255">
        <v>14313</v>
      </c>
      <c r="F189" s="107">
        <f t="shared" si="91"/>
        <v>28626</v>
      </c>
      <c r="G189" s="107">
        <f t="shared" si="92"/>
        <v>34351.199999999997</v>
      </c>
    </row>
    <row r="190" spans="1:7" ht="20.25" customHeight="1" x14ac:dyDescent="0.25">
      <c r="A190" s="88">
        <f t="shared" si="93"/>
        <v>108</v>
      </c>
      <c r="B190" s="253" t="s">
        <v>1138</v>
      </c>
      <c r="C190" s="88" t="s">
        <v>254</v>
      </c>
      <c r="D190" s="256" t="s">
        <v>1153</v>
      </c>
      <c r="E190" s="255">
        <v>702</v>
      </c>
      <c r="F190" s="107">
        <f t="shared" si="91"/>
        <v>13689</v>
      </c>
      <c r="G190" s="107">
        <f t="shared" si="92"/>
        <v>16426.8</v>
      </c>
    </row>
    <row r="191" spans="1:7" x14ac:dyDescent="0.25">
      <c r="A191" s="88">
        <f t="shared" si="93"/>
        <v>109</v>
      </c>
      <c r="B191" s="253" t="s">
        <v>595</v>
      </c>
      <c r="C191" s="88" t="s">
        <v>387</v>
      </c>
      <c r="D191" s="266">
        <f>6.38*20/16</f>
        <v>7.9749999999999996</v>
      </c>
      <c r="E191" s="255">
        <v>250</v>
      </c>
      <c r="F191" s="107">
        <f t="shared" si="91"/>
        <v>1993.75</v>
      </c>
      <c r="G191" s="107">
        <f t="shared" si="92"/>
        <v>2392.5</v>
      </c>
    </row>
    <row r="192" spans="1:7" x14ac:dyDescent="0.25">
      <c r="A192" s="88">
        <f t="shared" si="93"/>
        <v>110</v>
      </c>
      <c r="B192" s="253" t="s">
        <v>388</v>
      </c>
      <c r="C192" s="88" t="s">
        <v>254</v>
      </c>
      <c r="D192" s="256" t="s">
        <v>1131</v>
      </c>
      <c r="E192" s="255">
        <v>312</v>
      </c>
      <c r="F192" s="107">
        <f t="shared" si="91"/>
        <v>11366.16</v>
      </c>
      <c r="G192" s="107">
        <f t="shared" si="92"/>
        <v>13639.39</v>
      </c>
    </row>
    <row r="193" spans="1:8" x14ac:dyDescent="0.25">
      <c r="A193" s="161"/>
      <c r="B193" s="437" t="s">
        <v>604</v>
      </c>
      <c r="C193" s="438"/>
      <c r="D193" s="438"/>
      <c r="E193" s="163"/>
      <c r="F193" s="164"/>
      <c r="G193" s="131"/>
      <c r="H193" s="218"/>
    </row>
    <row r="194" spans="1:8" x14ac:dyDescent="0.25">
      <c r="A194" s="66">
        <f>A192+1</f>
        <v>111</v>
      </c>
      <c r="B194" s="67" t="s">
        <v>234</v>
      </c>
      <c r="C194" s="66" t="s">
        <v>193</v>
      </c>
      <c r="D194" s="68">
        <f>27.43+220.77</f>
        <v>248.20000000000002</v>
      </c>
      <c r="E194" s="98">
        <v>1320</v>
      </c>
      <c r="F194" s="105">
        <f t="shared" ref="F194:F211" si="94">ROUND(E194*D194,2)</f>
        <v>327624</v>
      </c>
      <c r="G194" s="105">
        <f t="shared" ref="G194:G211" si="95">ROUND(F194*1.2,2)</f>
        <v>393148.8</v>
      </c>
    </row>
    <row r="195" spans="1:8" x14ac:dyDescent="0.25">
      <c r="A195" s="66">
        <f>A194+1</f>
        <v>112</v>
      </c>
      <c r="B195" s="67" t="s">
        <v>160</v>
      </c>
      <c r="C195" s="74" t="s">
        <v>193</v>
      </c>
      <c r="D195" s="68">
        <v>30.73</v>
      </c>
      <c r="E195" s="98">
        <v>1368</v>
      </c>
      <c r="F195" s="105">
        <f t="shared" si="94"/>
        <v>42038.64</v>
      </c>
      <c r="G195" s="105">
        <f t="shared" si="95"/>
        <v>50446.37</v>
      </c>
    </row>
    <row r="196" spans="1:8" x14ac:dyDescent="0.25">
      <c r="A196" s="66">
        <f t="shared" ref="A196:A215" si="96">A195+1</f>
        <v>113</v>
      </c>
      <c r="B196" s="67" t="s">
        <v>605</v>
      </c>
      <c r="C196" s="74" t="s">
        <v>194</v>
      </c>
      <c r="D196" s="72">
        <v>29.8</v>
      </c>
      <c r="E196" s="98">
        <v>6050.0000000000009</v>
      </c>
      <c r="F196" s="105">
        <f t="shared" si="94"/>
        <v>180290</v>
      </c>
      <c r="G196" s="105">
        <f t="shared" si="95"/>
        <v>216348</v>
      </c>
      <c r="H196" s="218"/>
    </row>
    <row r="197" spans="1:8" x14ac:dyDescent="0.25">
      <c r="A197" s="66">
        <f t="shared" si="96"/>
        <v>114</v>
      </c>
      <c r="B197" s="67" t="s">
        <v>599</v>
      </c>
      <c r="C197" s="74" t="s">
        <v>194</v>
      </c>
      <c r="D197" s="72">
        <v>29</v>
      </c>
      <c r="E197" s="98">
        <v>11220</v>
      </c>
      <c r="F197" s="105">
        <f t="shared" si="94"/>
        <v>325380</v>
      </c>
      <c r="G197" s="105">
        <f t="shared" si="95"/>
        <v>390456</v>
      </c>
      <c r="H197" s="218"/>
    </row>
    <row r="198" spans="1:8" x14ac:dyDescent="0.25">
      <c r="A198" s="66">
        <f t="shared" si="96"/>
        <v>115</v>
      </c>
      <c r="B198" s="67" t="s">
        <v>606</v>
      </c>
      <c r="C198" s="74" t="s">
        <v>194</v>
      </c>
      <c r="D198" s="71">
        <v>108</v>
      </c>
      <c r="E198" s="98">
        <v>1056</v>
      </c>
      <c r="F198" s="105">
        <f t="shared" si="94"/>
        <v>114048</v>
      </c>
      <c r="G198" s="105">
        <f t="shared" si="95"/>
        <v>136857.60000000001</v>
      </c>
      <c r="H198" s="218"/>
    </row>
    <row r="199" spans="1:8" x14ac:dyDescent="0.25">
      <c r="A199" s="66">
        <f t="shared" si="96"/>
        <v>116</v>
      </c>
      <c r="B199" s="67" t="s">
        <v>607</v>
      </c>
      <c r="C199" s="74" t="s">
        <v>194</v>
      </c>
      <c r="D199" s="72">
        <f>222+1.29</f>
        <v>223.29</v>
      </c>
      <c r="E199" s="98">
        <v>4070.0000000000005</v>
      </c>
      <c r="F199" s="105">
        <f t="shared" si="94"/>
        <v>908790.3</v>
      </c>
      <c r="G199" s="105">
        <f t="shared" si="95"/>
        <v>1090548.3600000001</v>
      </c>
      <c r="H199" s="218"/>
    </row>
    <row r="200" spans="1:8" x14ac:dyDescent="0.25">
      <c r="A200" s="66">
        <f t="shared" si="96"/>
        <v>117</v>
      </c>
      <c r="B200" s="67" t="s">
        <v>608</v>
      </c>
      <c r="C200" s="66" t="s">
        <v>220</v>
      </c>
      <c r="D200" s="159" t="s">
        <v>609</v>
      </c>
      <c r="E200" s="98">
        <v>1745</v>
      </c>
      <c r="F200" s="105">
        <f t="shared" si="94"/>
        <v>12215</v>
      </c>
      <c r="G200" s="105">
        <f t="shared" si="95"/>
        <v>14658</v>
      </c>
    </row>
    <row r="201" spans="1:8" x14ac:dyDescent="0.25">
      <c r="A201" s="66">
        <f t="shared" si="96"/>
        <v>118</v>
      </c>
      <c r="B201" s="67" t="s">
        <v>610</v>
      </c>
      <c r="C201" s="66" t="s">
        <v>220</v>
      </c>
      <c r="D201" s="159" t="s">
        <v>609</v>
      </c>
      <c r="E201" s="98">
        <v>1503</v>
      </c>
      <c r="F201" s="105">
        <f t="shared" si="94"/>
        <v>10521</v>
      </c>
      <c r="G201" s="105">
        <f t="shared" si="95"/>
        <v>12625.2</v>
      </c>
    </row>
    <row r="202" spans="1:8" x14ac:dyDescent="0.25">
      <c r="A202" s="66">
        <f t="shared" si="96"/>
        <v>119</v>
      </c>
      <c r="B202" s="67" t="s">
        <v>611</v>
      </c>
      <c r="C202" s="66" t="s">
        <v>220</v>
      </c>
      <c r="D202" s="159" t="s">
        <v>612</v>
      </c>
      <c r="E202" s="98">
        <v>2632</v>
      </c>
      <c r="F202" s="105">
        <f t="shared" si="94"/>
        <v>36848</v>
      </c>
      <c r="G202" s="105">
        <f t="shared" si="95"/>
        <v>44217.599999999999</v>
      </c>
    </row>
    <row r="203" spans="1:8" x14ac:dyDescent="0.25">
      <c r="A203" s="66">
        <f t="shared" si="96"/>
        <v>120</v>
      </c>
      <c r="B203" s="67" t="s">
        <v>590</v>
      </c>
      <c r="C203" s="66" t="s">
        <v>220</v>
      </c>
      <c r="D203" s="159" t="s">
        <v>609</v>
      </c>
      <c r="E203" s="98">
        <v>791</v>
      </c>
      <c r="F203" s="105">
        <f t="shared" si="94"/>
        <v>5537</v>
      </c>
      <c r="G203" s="105">
        <f t="shared" si="95"/>
        <v>6644.4</v>
      </c>
    </row>
    <row r="204" spans="1:8" x14ac:dyDescent="0.25">
      <c r="A204" s="66">
        <f t="shared" si="96"/>
        <v>121</v>
      </c>
      <c r="B204" s="67" t="s">
        <v>591</v>
      </c>
      <c r="C204" s="66" t="s">
        <v>220</v>
      </c>
      <c r="D204" s="159" t="s">
        <v>609</v>
      </c>
      <c r="E204" s="98">
        <v>1452.0000000000002</v>
      </c>
      <c r="F204" s="105">
        <f t="shared" si="94"/>
        <v>10164</v>
      </c>
      <c r="G204" s="105">
        <f t="shared" si="95"/>
        <v>12196.8</v>
      </c>
    </row>
    <row r="205" spans="1:8" x14ac:dyDescent="0.25">
      <c r="A205" s="66">
        <f t="shared" si="96"/>
        <v>122</v>
      </c>
      <c r="B205" s="67" t="s">
        <v>592</v>
      </c>
      <c r="C205" s="66" t="s">
        <v>220</v>
      </c>
      <c r="D205" s="159" t="s">
        <v>609</v>
      </c>
      <c r="E205" s="98">
        <v>15180.000000000002</v>
      </c>
      <c r="F205" s="105">
        <f t="shared" si="94"/>
        <v>106260</v>
      </c>
      <c r="G205" s="105">
        <f t="shared" si="95"/>
        <v>127512</v>
      </c>
    </row>
    <row r="206" spans="1:8" ht="30" x14ac:dyDescent="0.25">
      <c r="A206" s="66">
        <f t="shared" si="96"/>
        <v>123</v>
      </c>
      <c r="B206" s="67" t="s">
        <v>593</v>
      </c>
      <c r="C206" s="66" t="s">
        <v>254</v>
      </c>
      <c r="D206" s="159" t="s">
        <v>594</v>
      </c>
      <c r="E206" s="98">
        <v>702</v>
      </c>
      <c r="F206" s="105">
        <f t="shared" si="94"/>
        <v>95823</v>
      </c>
      <c r="G206" s="105">
        <f t="shared" si="95"/>
        <v>114987.6</v>
      </c>
    </row>
    <row r="207" spans="1:8" x14ac:dyDescent="0.25">
      <c r="A207" s="66">
        <f t="shared" si="96"/>
        <v>124</v>
      </c>
      <c r="B207" s="67" t="s">
        <v>595</v>
      </c>
      <c r="C207" s="66" t="s">
        <v>387</v>
      </c>
      <c r="D207" s="134">
        <f>19.23*20/16</f>
        <v>24.037500000000001</v>
      </c>
      <c r="E207" s="98">
        <v>250</v>
      </c>
      <c r="F207" s="105">
        <f t="shared" si="94"/>
        <v>6009.38</v>
      </c>
      <c r="G207" s="105">
        <f t="shared" si="95"/>
        <v>7211.26</v>
      </c>
    </row>
    <row r="208" spans="1:8" x14ac:dyDescent="0.25">
      <c r="A208" s="66">
        <f t="shared" si="96"/>
        <v>125</v>
      </c>
      <c r="B208" s="67" t="s">
        <v>596</v>
      </c>
      <c r="C208" s="66" t="s">
        <v>254</v>
      </c>
      <c r="D208" s="159" t="s">
        <v>613</v>
      </c>
      <c r="E208" s="98">
        <v>312</v>
      </c>
      <c r="F208" s="105">
        <f t="shared" si="94"/>
        <v>34288.800000000003</v>
      </c>
      <c r="G208" s="105">
        <f t="shared" si="95"/>
        <v>41146.559999999998</v>
      </c>
    </row>
    <row r="209" spans="1:8" ht="30" x14ac:dyDescent="0.25">
      <c r="A209" s="66">
        <f t="shared" si="96"/>
        <v>126</v>
      </c>
      <c r="B209" s="67" t="s">
        <v>614</v>
      </c>
      <c r="C209" s="66" t="s">
        <v>220</v>
      </c>
      <c r="D209" s="258">
        <v>9</v>
      </c>
      <c r="E209" s="98">
        <v>1496.0000000000002</v>
      </c>
      <c r="F209" s="105">
        <f t="shared" si="94"/>
        <v>13464</v>
      </c>
      <c r="G209" s="105">
        <f t="shared" si="95"/>
        <v>16156.8</v>
      </c>
      <c r="H209" s="218"/>
    </row>
    <row r="210" spans="1:8" ht="30" x14ac:dyDescent="0.25">
      <c r="A210" s="66">
        <f t="shared" si="96"/>
        <v>127</v>
      </c>
      <c r="B210" s="67" t="s">
        <v>598</v>
      </c>
      <c r="C210" s="66" t="s">
        <v>220</v>
      </c>
      <c r="D210" s="258">
        <v>16</v>
      </c>
      <c r="E210" s="98">
        <v>3410.0000000000005</v>
      </c>
      <c r="F210" s="105">
        <f t="shared" si="94"/>
        <v>54560</v>
      </c>
      <c r="G210" s="105">
        <f t="shared" si="95"/>
        <v>65472</v>
      </c>
      <c r="H210" s="218"/>
    </row>
    <row r="211" spans="1:8" ht="15.75" customHeight="1" x14ac:dyDescent="0.25">
      <c r="A211" s="88">
        <f t="shared" si="96"/>
        <v>128</v>
      </c>
      <c r="B211" s="253" t="s">
        <v>760</v>
      </c>
      <c r="C211" s="88" t="s">
        <v>193</v>
      </c>
      <c r="D211" s="237">
        <v>3.1</v>
      </c>
      <c r="E211" s="255">
        <v>3850</v>
      </c>
      <c r="F211" s="107">
        <f t="shared" si="94"/>
        <v>11935</v>
      </c>
      <c r="G211" s="107">
        <f t="shared" si="95"/>
        <v>14322</v>
      </c>
    </row>
    <row r="212" spans="1:8" s="57" customFormat="1" ht="15.75" customHeight="1" x14ac:dyDescent="0.25">
      <c r="A212" s="88">
        <f t="shared" si="96"/>
        <v>129</v>
      </c>
      <c r="B212" s="253" t="s">
        <v>1155</v>
      </c>
      <c r="C212" s="88" t="s">
        <v>220</v>
      </c>
      <c r="D212" s="160">
        <v>1</v>
      </c>
      <c r="E212" s="255">
        <v>2900</v>
      </c>
      <c r="F212" s="107">
        <f t="shared" ref="F212:F215" si="97">ROUND(E212*D212,2)</f>
        <v>2900</v>
      </c>
      <c r="G212" s="107">
        <f t="shared" ref="G212:G215" si="98">ROUND(F212*1.2,2)</f>
        <v>3480</v>
      </c>
    </row>
    <row r="213" spans="1:8" s="57" customFormat="1" ht="15.75" customHeight="1" x14ac:dyDescent="0.25">
      <c r="A213" s="88">
        <f t="shared" si="96"/>
        <v>130</v>
      </c>
      <c r="B213" s="253" t="s">
        <v>1156</v>
      </c>
      <c r="C213" s="88" t="s">
        <v>220</v>
      </c>
      <c r="D213" s="160">
        <v>1</v>
      </c>
      <c r="E213" s="255">
        <v>22000</v>
      </c>
      <c r="F213" s="107">
        <f t="shared" si="97"/>
        <v>22000</v>
      </c>
      <c r="G213" s="107">
        <f t="shared" si="98"/>
        <v>26400</v>
      </c>
    </row>
    <row r="214" spans="1:8" s="57" customFormat="1" ht="15.75" customHeight="1" x14ac:dyDescent="0.25">
      <c r="A214" s="88">
        <f t="shared" si="96"/>
        <v>131</v>
      </c>
      <c r="B214" s="253" t="s">
        <v>1157</v>
      </c>
      <c r="C214" s="88" t="s">
        <v>220</v>
      </c>
      <c r="D214" s="160">
        <v>1</v>
      </c>
      <c r="E214" s="255">
        <v>5040</v>
      </c>
      <c r="F214" s="107">
        <f t="shared" si="97"/>
        <v>5040</v>
      </c>
      <c r="G214" s="107">
        <f t="shared" si="98"/>
        <v>6048</v>
      </c>
    </row>
    <row r="215" spans="1:8" s="57" customFormat="1" ht="15.75" customHeight="1" x14ac:dyDescent="0.25">
      <c r="A215" s="88">
        <f t="shared" si="96"/>
        <v>132</v>
      </c>
      <c r="B215" s="253" t="s">
        <v>1212</v>
      </c>
      <c r="C215" s="88" t="s">
        <v>220</v>
      </c>
      <c r="D215" s="160">
        <v>1</v>
      </c>
      <c r="E215" s="255">
        <v>1300</v>
      </c>
      <c r="F215" s="107">
        <f t="shared" si="97"/>
        <v>1300</v>
      </c>
      <c r="G215" s="107">
        <f t="shared" si="98"/>
        <v>1560</v>
      </c>
    </row>
    <row r="216" spans="1:8" x14ac:dyDescent="0.25">
      <c r="A216" s="161"/>
      <c r="B216" s="414" t="s">
        <v>615</v>
      </c>
      <c r="C216" s="436"/>
      <c r="D216" s="436"/>
      <c r="E216" s="163"/>
      <c r="F216" s="164"/>
      <c r="G216" s="131"/>
    </row>
    <row r="217" spans="1:8" x14ac:dyDescent="0.25">
      <c r="A217" s="66"/>
      <c r="B217" s="62" t="s">
        <v>688</v>
      </c>
      <c r="C217" s="66"/>
      <c r="D217" s="71"/>
      <c r="E217" s="168"/>
      <c r="F217" s="157"/>
      <c r="G217" s="130"/>
    </row>
    <row r="218" spans="1:8" s="57" customFormat="1" x14ac:dyDescent="0.25">
      <c r="A218" s="88">
        <f>A215+1</f>
        <v>133</v>
      </c>
      <c r="B218" s="253" t="s">
        <v>1234</v>
      </c>
      <c r="C218" s="88" t="s">
        <v>193</v>
      </c>
      <c r="D218" s="160">
        <v>104</v>
      </c>
      <c r="E218" s="255">
        <v>1200</v>
      </c>
      <c r="F218" s="107">
        <f t="shared" ref="F218" si="99">ROUND(E218*D218,2)</f>
        <v>124800</v>
      </c>
      <c r="G218" s="107">
        <f t="shared" ref="G218" si="100">ROUND(F218*1.2,2)</f>
        <v>149760</v>
      </c>
    </row>
    <row r="219" spans="1:8" x14ac:dyDescent="0.25">
      <c r="A219" s="66"/>
      <c r="B219" s="62" t="s">
        <v>616</v>
      </c>
      <c r="C219" s="66"/>
      <c r="D219" s="71"/>
      <c r="E219" s="168"/>
      <c r="F219" s="157"/>
      <c r="G219" s="130"/>
    </row>
    <row r="220" spans="1:8" x14ac:dyDescent="0.25">
      <c r="A220" s="66">
        <f>A218+1</f>
        <v>134</v>
      </c>
      <c r="B220" s="67" t="s">
        <v>617</v>
      </c>
      <c r="C220" s="66" t="s">
        <v>194</v>
      </c>
      <c r="D220" s="71">
        <v>163</v>
      </c>
      <c r="E220" s="98">
        <v>6820.0000000000009</v>
      </c>
      <c r="F220" s="105">
        <f t="shared" ref="F220:F222" si="101">ROUND(E220*D220,2)</f>
        <v>1111660</v>
      </c>
      <c r="G220" s="105">
        <f t="shared" ref="G220:G222" si="102">ROUND(F220*1.2,2)</f>
        <v>1333992</v>
      </c>
    </row>
    <row r="221" spans="1:8" ht="30" x14ac:dyDescent="0.25">
      <c r="A221" s="66">
        <f>A220+1</f>
        <v>135</v>
      </c>
      <c r="B221" s="67" t="s">
        <v>618</v>
      </c>
      <c r="C221" s="66" t="s">
        <v>194</v>
      </c>
      <c r="D221" s="71">
        <v>163</v>
      </c>
      <c r="E221" s="98">
        <v>12320.000000000002</v>
      </c>
      <c r="F221" s="105">
        <f t="shared" si="101"/>
        <v>2008160</v>
      </c>
      <c r="G221" s="105">
        <f t="shared" si="102"/>
        <v>2409792</v>
      </c>
    </row>
    <row r="222" spans="1:8" x14ac:dyDescent="0.25">
      <c r="A222" s="66">
        <f>A221+1</f>
        <v>136</v>
      </c>
      <c r="B222" s="80" t="s">
        <v>619</v>
      </c>
      <c r="C222" s="66" t="s">
        <v>193</v>
      </c>
      <c r="D222" s="68">
        <f>15.4+0.67</f>
        <v>16.07</v>
      </c>
      <c r="E222" s="98">
        <v>1368</v>
      </c>
      <c r="F222" s="105">
        <f t="shared" si="101"/>
        <v>21983.759999999998</v>
      </c>
      <c r="G222" s="105">
        <f t="shared" si="102"/>
        <v>26380.51</v>
      </c>
    </row>
    <row r="223" spans="1:8" ht="15.75" x14ac:dyDescent="0.25">
      <c r="A223" s="66"/>
      <c r="B223" s="62" t="s">
        <v>1216</v>
      </c>
      <c r="C223" s="66"/>
      <c r="D223" s="71"/>
      <c r="E223" s="85"/>
      <c r="F223" s="157"/>
      <c r="G223" s="130"/>
    </row>
    <row r="224" spans="1:8" ht="30" x14ac:dyDescent="0.25">
      <c r="A224" s="66">
        <f>A222+1</f>
        <v>137</v>
      </c>
      <c r="B224" s="67" t="s">
        <v>620</v>
      </c>
      <c r="C224" s="66" t="s">
        <v>239</v>
      </c>
      <c r="D224" s="68">
        <f>297.03*1.9</f>
        <v>564.35699999999997</v>
      </c>
      <c r="E224" s="98">
        <v>4639</v>
      </c>
      <c r="F224" s="105">
        <f t="shared" ref="F224:F228" si="103">ROUND(E224*D224,2)</f>
        <v>2618052.12</v>
      </c>
      <c r="G224" s="105">
        <f t="shared" ref="G224:G228" si="104">ROUND(F224*1.2,2)</f>
        <v>3141662.54</v>
      </c>
    </row>
    <row r="225" spans="1:7" ht="30" x14ac:dyDescent="0.25">
      <c r="A225" s="66">
        <f t="shared" ref="A225:A229" si="105">A224+1</f>
        <v>138</v>
      </c>
      <c r="B225" s="67" t="s">
        <v>621</v>
      </c>
      <c r="C225" s="66" t="s">
        <v>193</v>
      </c>
      <c r="D225" s="68">
        <v>499</v>
      </c>
      <c r="E225" s="98">
        <v>4428</v>
      </c>
      <c r="F225" s="105">
        <f t="shared" si="103"/>
        <v>2209572</v>
      </c>
      <c r="G225" s="105">
        <f t="shared" si="104"/>
        <v>2651486.4</v>
      </c>
    </row>
    <row r="226" spans="1:7" x14ac:dyDescent="0.25">
      <c r="A226" s="66">
        <f t="shared" si="105"/>
        <v>139</v>
      </c>
      <c r="B226" s="67" t="s">
        <v>622</v>
      </c>
      <c r="C226" s="66" t="s">
        <v>193</v>
      </c>
      <c r="D226" s="68">
        <v>935.63</v>
      </c>
      <c r="E226" s="98">
        <v>4006</v>
      </c>
      <c r="F226" s="105">
        <f t="shared" si="103"/>
        <v>3748133.78</v>
      </c>
      <c r="G226" s="105">
        <f t="shared" si="104"/>
        <v>4497760.54</v>
      </c>
    </row>
    <row r="227" spans="1:7" x14ac:dyDescent="0.25">
      <c r="A227" s="66">
        <f t="shared" si="105"/>
        <v>140</v>
      </c>
      <c r="B227" s="67" t="s">
        <v>623</v>
      </c>
      <c r="C227" s="66" t="s">
        <v>193</v>
      </c>
      <c r="D227" s="68">
        <v>1960.36</v>
      </c>
      <c r="E227" s="98">
        <v>1582</v>
      </c>
      <c r="F227" s="105">
        <f t="shared" si="103"/>
        <v>3101289.52</v>
      </c>
      <c r="G227" s="105">
        <f t="shared" si="104"/>
        <v>3721547.42</v>
      </c>
    </row>
    <row r="228" spans="1:7" ht="29.25" customHeight="1" x14ac:dyDescent="0.25">
      <c r="A228" s="66">
        <f t="shared" si="105"/>
        <v>141</v>
      </c>
      <c r="B228" s="67" t="s">
        <v>624</v>
      </c>
      <c r="C228" s="66" t="s">
        <v>193</v>
      </c>
      <c r="D228" s="68">
        <v>1960.36</v>
      </c>
      <c r="E228" s="98">
        <v>1582</v>
      </c>
      <c r="F228" s="105">
        <f t="shared" si="103"/>
        <v>3101289.52</v>
      </c>
      <c r="G228" s="105">
        <f t="shared" si="104"/>
        <v>3721547.42</v>
      </c>
    </row>
    <row r="229" spans="1:7" s="57" customFormat="1" ht="20.25" customHeight="1" x14ac:dyDescent="0.25">
      <c r="A229" s="88">
        <f t="shared" si="105"/>
        <v>142</v>
      </c>
      <c r="B229" s="274" t="s">
        <v>1235</v>
      </c>
      <c r="C229" s="88" t="s">
        <v>220</v>
      </c>
      <c r="D229" s="160">
        <v>144</v>
      </c>
      <c r="E229" s="255">
        <v>260</v>
      </c>
      <c r="F229" s="107">
        <f t="shared" ref="F229" si="106">ROUND(E229*D229,2)</f>
        <v>37440</v>
      </c>
      <c r="G229" s="107">
        <f t="shared" ref="G229" si="107">ROUND(F229*1.2,2)</f>
        <v>44928</v>
      </c>
    </row>
    <row r="230" spans="1:7" ht="19.5" customHeight="1" x14ac:dyDescent="0.25">
      <c r="A230" s="257"/>
      <c r="B230" s="62" t="s">
        <v>1224</v>
      </c>
      <c r="C230" s="66"/>
      <c r="D230" s="68"/>
      <c r="E230" s="98"/>
      <c r="F230" s="105"/>
      <c r="G230" s="105"/>
    </row>
    <row r="231" spans="1:7" ht="26.25" customHeight="1" x14ac:dyDescent="0.25">
      <c r="A231" s="66">
        <f>A229+1</f>
        <v>143</v>
      </c>
      <c r="B231" s="67" t="s">
        <v>622</v>
      </c>
      <c r="C231" s="66" t="s">
        <v>193</v>
      </c>
      <c r="D231" s="68">
        <v>565.42999999999995</v>
      </c>
      <c r="E231" s="98">
        <v>4006</v>
      </c>
      <c r="F231" s="105">
        <f t="shared" ref="F231" si="108">ROUND(E231*D231,2)</f>
        <v>2265112.58</v>
      </c>
      <c r="G231" s="105">
        <f t="shared" ref="G231" si="109">ROUND(F231*1.2,2)</f>
        <v>2718135.1</v>
      </c>
    </row>
    <row r="232" spans="1:7" ht="19.5" customHeight="1" x14ac:dyDescent="0.25">
      <c r="A232" s="66"/>
      <c r="B232" s="62" t="s">
        <v>1226</v>
      </c>
      <c r="C232" s="66"/>
      <c r="D232" s="68"/>
      <c r="E232" s="98"/>
      <c r="F232" s="105"/>
      <c r="G232" s="105"/>
    </row>
    <row r="233" spans="1:7" s="57" customFormat="1" ht="17.25" customHeight="1" x14ac:dyDescent="0.25">
      <c r="A233" s="88">
        <f>A231+1</f>
        <v>144</v>
      </c>
      <c r="B233" s="253" t="s">
        <v>1227</v>
      </c>
      <c r="C233" s="88" t="s">
        <v>220</v>
      </c>
      <c r="D233" s="160">
        <v>22</v>
      </c>
      <c r="E233" s="255">
        <v>15308</v>
      </c>
      <c r="F233" s="107">
        <f t="shared" ref="F233:F237" si="110">ROUND(E233*D233,2)</f>
        <v>336776</v>
      </c>
      <c r="G233" s="107">
        <f t="shared" ref="G233:G237" si="111">ROUND(F233*1.2,2)</f>
        <v>404131.2</v>
      </c>
    </row>
    <row r="234" spans="1:7" s="57" customFormat="1" ht="17.25" customHeight="1" x14ac:dyDescent="0.25">
      <c r="A234" s="88">
        <f>A233+1</f>
        <v>145</v>
      </c>
      <c r="B234" s="253" t="s">
        <v>1228</v>
      </c>
      <c r="C234" s="88" t="s">
        <v>220</v>
      </c>
      <c r="D234" s="160">
        <v>44</v>
      </c>
      <c r="E234" s="255">
        <v>6000</v>
      </c>
      <c r="F234" s="107">
        <f t="shared" si="110"/>
        <v>264000</v>
      </c>
      <c r="G234" s="107">
        <f t="shared" si="111"/>
        <v>316800</v>
      </c>
    </row>
    <row r="235" spans="1:7" s="57" customFormat="1" ht="17.25" customHeight="1" x14ac:dyDescent="0.25">
      <c r="A235" s="88">
        <f t="shared" ref="A235:A237" si="112">A234+1</f>
        <v>146</v>
      </c>
      <c r="B235" s="253" t="s">
        <v>1229</v>
      </c>
      <c r="C235" s="88" t="s">
        <v>220</v>
      </c>
      <c r="D235" s="160">
        <v>22</v>
      </c>
      <c r="E235" s="255">
        <v>390</v>
      </c>
      <c r="F235" s="107">
        <f t="shared" si="110"/>
        <v>8580</v>
      </c>
      <c r="G235" s="107">
        <f t="shared" si="111"/>
        <v>10296</v>
      </c>
    </row>
    <row r="236" spans="1:7" s="57" customFormat="1" ht="17.25" customHeight="1" x14ac:dyDescent="0.25">
      <c r="A236" s="88">
        <f t="shared" si="112"/>
        <v>147</v>
      </c>
      <c r="B236" s="253" t="s">
        <v>1230</v>
      </c>
      <c r="C236" s="88" t="s">
        <v>220</v>
      </c>
      <c r="D236" s="160">
        <v>44</v>
      </c>
      <c r="E236" s="255">
        <v>2400</v>
      </c>
      <c r="F236" s="107">
        <f t="shared" si="110"/>
        <v>105600</v>
      </c>
      <c r="G236" s="107">
        <f t="shared" si="111"/>
        <v>126720</v>
      </c>
    </row>
    <row r="237" spans="1:7" s="57" customFormat="1" ht="17.25" customHeight="1" x14ac:dyDescent="0.25">
      <c r="A237" s="88">
        <f t="shared" si="112"/>
        <v>148</v>
      </c>
      <c r="B237" s="253" t="s">
        <v>1231</v>
      </c>
      <c r="C237" s="88" t="s">
        <v>220</v>
      </c>
      <c r="D237" s="160">
        <v>1</v>
      </c>
      <c r="E237" s="255">
        <v>4320</v>
      </c>
      <c r="F237" s="107">
        <f t="shared" si="110"/>
        <v>4320</v>
      </c>
      <c r="G237" s="107">
        <f t="shared" si="111"/>
        <v>5184</v>
      </c>
    </row>
    <row r="238" spans="1:7" ht="21.75" customHeight="1" x14ac:dyDescent="0.25">
      <c r="A238" s="66"/>
      <c r="B238" s="62" t="s">
        <v>1232</v>
      </c>
      <c r="C238" s="66"/>
      <c r="D238" s="68"/>
      <c r="E238" s="98"/>
      <c r="F238" s="105"/>
      <c r="G238" s="105"/>
    </row>
    <row r="239" spans="1:7" ht="18.75" customHeight="1" x14ac:dyDescent="0.25">
      <c r="A239" s="66">
        <f>A237+1</f>
        <v>149</v>
      </c>
      <c r="B239" s="67" t="s">
        <v>372</v>
      </c>
      <c r="C239" s="74" t="s">
        <v>254</v>
      </c>
      <c r="D239" s="68">
        <v>1.41</v>
      </c>
      <c r="E239" s="179">
        <v>486</v>
      </c>
      <c r="F239" s="105">
        <f t="shared" ref="F239:F241" si="113">ROUND(E239*D239,2)</f>
        <v>685.26</v>
      </c>
      <c r="G239" s="105">
        <f t="shared" ref="G239:G241" si="114">ROUND(F239*1.2,2)</f>
        <v>822.31</v>
      </c>
    </row>
    <row r="240" spans="1:7" ht="18.75" customHeight="1" x14ac:dyDescent="0.25">
      <c r="A240" s="66">
        <f>A239+1</f>
        <v>150</v>
      </c>
      <c r="B240" s="67" t="s">
        <v>373</v>
      </c>
      <c r="C240" s="74" t="s">
        <v>254</v>
      </c>
      <c r="D240" s="68">
        <v>1.17</v>
      </c>
      <c r="E240" s="179">
        <v>648</v>
      </c>
      <c r="F240" s="105">
        <f t="shared" si="113"/>
        <v>758.16</v>
      </c>
      <c r="G240" s="105">
        <f t="shared" si="114"/>
        <v>909.79</v>
      </c>
    </row>
    <row r="241" spans="1:7" ht="18.75" customHeight="1" x14ac:dyDescent="0.25">
      <c r="A241" s="66">
        <f>A240+1</f>
        <v>151</v>
      </c>
      <c r="B241" s="67" t="s">
        <v>374</v>
      </c>
      <c r="C241" s="74" t="s">
        <v>254</v>
      </c>
      <c r="D241" s="68">
        <v>1.2</v>
      </c>
      <c r="E241" s="179">
        <v>1265</v>
      </c>
      <c r="F241" s="105">
        <f t="shared" si="113"/>
        <v>1518</v>
      </c>
      <c r="G241" s="105">
        <f t="shared" si="114"/>
        <v>1821.6</v>
      </c>
    </row>
    <row r="242" spans="1:7" x14ac:dyDescent="0.25">
      <c r="A242" s="161"/>
      <c r="B242" s="414" t="s">
        <v>1238</v>
      </c>
      <c r="C242" s="436"/>
      <c r="D242" s="436"/>
      <c r="E242" s="163"/>
      <c r="F242" s="164"/>
      <c r="G242" s="131"/>
    </row>
    <row r="243" spans="1:7" x14ac:dyDescent="0.25">
      <c r="A243" s="66"/>
      <c r="B243" s="62" t="s">
        <v>625</v>
      </c>
      <c r="C243" s="66"/>
      <c r="D243" s="68"/>
      <c r="E243" s="168"/>
      <c r="F243" s="157"/>
      <c r="G243" s="130"/>
    </row>
    <row r="244" spans="1:7" x14ac:dyDescent="0.25">
      <c r="A244" s="66">
        <f>A241+1</f>
        <v>152</v>
      </c>
      <c r="B244" s="67" t="s">
        <v>626</v>
      </c>
      <c r="C244" s="66" t="s">
        <v>194</v>
      </c>
      <c r="D244" s="71">
        <f>180+300+80</f>
        <v>560</v>
      </c>
      <c r="E244" s="98">
        <v>374.00000000000006</v>
      </c>
      <c r="F244" s="105">
        <f t="shared" ref="F244:F247" si="115">ROUND(E244*D244,2)</f>
        <v>209440</v>
      </c>
      <c r="G244" s="105">
        <f t="shared" ref="G244:G247" si="116">ROUND(F244*1.2,2)</f>
        <v>251328</v>
      </c>
    </row>
    <row r="245" spans="1:7" s="57" customFormat="1" x14ac:dyDescent="0.25">
      <c r="A245" s="88">
        <f t="shared" ref="A245:A247" si="117">A244+1</f>
        <v>153</v>
      </c>
      <c r="B245" s="253" t="s">
        <v>1241</v>
      </c>
      <c r="C245" s="88" t="s">
        <v>220</v>
      </c>
      <c r="D245" s="160">
        <v>4</v>
      </c>
      <c r="E245" s="255">
        <v>2590</v>
      </c>
      <c r="F245" s="107">
        <f t="shared" si="115"/>
        <v>10360</v>
      </c>
      <c r="G245" s="107">
        <f t="shared" si="116"/>
        <v>12432</v>
      </c>
    </row>
    <row r="246" spans="1:7" x14ac:dyDescent="0.25">
      <c r="A246" s="66">
        <f t="shared" si="117"/>
        <v>154</v>
      </c>
      <c r="B246" s="67" t="s">
        <v>627</v>
      </c>
      <c r="C246" s="66" t="s">
        <v>220</v>
      </c>
      <c r="D246" s="71">
        <v>480</v>
      </c>
      <c r="E246" s="98">
        <v>25</v>
      </c>
      <c r="F246" s="105">
        <f t="shared" si="115"/>
        <v>12000</v>
      </c>
      <c r="G246" s="105">
        <f t="shared" si="116"/>
        <v>14400</v>
      </c>
    </row>
    <row r="247" spans="1:7" x14ac:dyDescent="0.25">
      <c r="A247" s="66">
        <f t="shared" si="117"/>
        <v>155</v>
      </c>
      <c r="B247" s="67" t="s">
        <v>824</v>
      </c>
      <c r="C247" s="66" t="s">
        <v>220</v>
      </c>
      <c r="D247" s="82" t="s">
        <v>762</v>
      </c>
      <c r="E247" s="98">
        <v>8030</v>
      </c>
      <c r="F247" s="105">
        <f t="shared" si="115"/>
        <v>8030</v>
      </c>
      <c r="G247" s="105">
        <f t="shared" si="116"/>
        <v>9636</v>
      </c>
    </row>
    <row r="248" spans="1:7" x14ac:dyDescent="0.25">
      <c r="A248" s="161"/>
      <c r="B248" s="414" t="s">
        <v>1239</v>
      </c>
      <c r="C248" s="436"/>
      <c r="D248" s="436"/>
      <c r="E248" s="163"/>
      <c r="F248" s="164"/>
      <c r="G248" s="131"/>
    </row>
    <row r="249" spans="1:7" x14ac:dyDescent="0.25">
      <c r="A249" s="66"/>
      <c r="B249" s="62" t="s">
        <v>632</v>
      </c>
      <c r="C249" s="66"/>
      <c r="D249" s="68"/>
      <c r="E249" s="168"/>
      <c r="F249" s="157"/>
      <c r="G249" s="130"/>
    </row>
    <row r="250" spans="1:7" s="57" customFormat="1" x14ac:dyDescent="0.25">
      <c r="A250" s="88">
        <f>A247+1</f>
        <v>156</v>
      </c>
      <c r="B250" s="253" t="s">
        <v>633</v>
      </c>
      <c r="C250" s="88" t="s">
        <v>194</v>
      </c>
      <c r="D250" s="160">
        <v>300</v>
      </c>
      <c r="E250" s="255">
        <v>946.00000000000011</v>
      </c>
      <c r="F250" s="107">
        <f t="shared" ref="F250:F255" si="118">ROUND(E250*D250,2)</f>
        <v>283800</v>
      </c>
      <c r="G250" s="107">
        <f t="shared" ref="G250:G255" si="119">ROUND(F250*1.2,2)</f>
        <v>340560</v>
      </c>
    </row>
    <row r="251" spans="1:7" s="57" customFormat="1" x14ac:dyDescent="0.25">
      <c r="A251" s="88">
        <f t="shared" ref="A251:A252" si="120">A250+1</f>
        <v>157</v>
      </c>
      <c r="B251" s="253" t="s">
        <v>634</v>
      </c>
      <c r="C251" s="88" t="s">
        <v>220</v>
      </c>
      <c r="D251" s="160">
        <v>12</v>
      </c>
      <c r="E251" s="255">
        <v>7480.0000000000009</v>
      </c>
      <c r="F251" s="107">
        <f t="shared" si="118"/>
        <v>89760</v>
      </c>
      <c r="G251" s="107">
        <f t="shared" si="119"/>
        <v>107712</v>
      </c>
    </row>
    <row r="252" spans="1:7" s="57" customFormat="1" x14ac:dyDescent="0.25">
      <c r="A252" s="88">
        <f t="shared" si="120"/>
        <v>158</v>
      </c>
      <c r="B252" s="253" t="s">
        <v>635</v>
      </c>
      <c r="C252" s="88" t="s">
        <v>194</v>
      </c>
      <c r="D252" s="160">
        <v>180</v>
      </c>
      <c r="E252" s="255">
        <v>396.00000000000006</v>
      </c>
      <c r="F252" s="107">
        <f t="shared" si="118"/>
        <v>71280</v>
      </c>
      <c r="G252" s="107">
        <f t="shared" si="119"/>
        <v>85536</v>
      </c>
    </row>
    <row r="253" spans="1:7" s="57" customFormat="1" x14ac:dyDescent="0.25">
      <c r="A253" s="88">
        <f>A251+1</f>
        <v>158</v>
      </c>
      <c r="B253" s="253" t="s">
        <v>234</v>
      </c>
      <c r="C253" s="88" t="s">
        <v>193</v>
      </c>
      <c r="D253" s="237">
        <v>16.7</v>
      </c>
      <c r="E253" s="255">
        <v>1320</v>
      </c>
      <c r="F253" s="107">
        <f t="shared" si="118"/>
        <v>22044</v>
      </c>
      <c r="G253" s="107">
        <f t="shared" si="119"/>
        <v>26452.799999999999</v>
      </c>
    </row>
    <row r="254" spans="1:7" s="57" customFormat="1" x14ac:dyDescent="0.25">
      <c r="A254" s="88">
        <f t="shared" ref="A254" si="121">A253+1</f>
        <v>159</v>
      </c>
      <c r="B254" s="253" t="s">
        <v>824</v>
      </c>
      <c r="C254" s="88" t="s">
        <v>220</v>
      </c>
      <c r="D254" s="247" t="s">
        <v>762</v>
      </c>
      <c r="E254" s="255">
        <v>8030</v>
      </c>
      <c r="F254" s="107">
        <f t="shared" si="118"/>
        <v>8030</v>
      </c>
      <c r="G254" s="107">
        <f t="shared" si="119"/>
        <v>9636</v>
      </c>
    </row>
    <row r="255" spans="1:7" s="57" customFormat="1" x14ac:dyDescent="0.25">
      <c r="A255" s="88">
        <f>A254+1</f>
        <v>160</v>
      </c>
      <c r="B255" s="253" t="s">
        <v>1249</v>
      </c>
      <c r="C255" s="88" t="s">
        <v>194</v>
      </c>
      <c r="D255" s="160">
        <v>60</v>
      </c>
      <c r="E255" s="255">
        <v>19.3</v>
      </c>
      <c r="F255" s="107">
        <f t="shared" si="118"/>
        <v>1158</v>
      </c>
      <c r="G255" s="107">
        <f t="shared" si="119"/>
        <v>1389.6</v>
      </c>
    </row>
    <row r="256" spans="1:7" s="57" customFormat="1" ht="15.75" x14ac:dyDescent="0.25">
      <c r="A256" s="88"/>
      <c r="B256" s="86" t="s">
        <v>636</v>
      </c>
      <c r="C256" s="88"/>
      <c r="D256" s="160"/>
      <c r="E256" s="85"/>
      <c r="F256" s="349"/>
      <c r="G256" s="350"/>
    </row>
    <row r="257" spans="1:7" s="57" customFormat="1" x14ac:dyDescent="0.25">
      <c r="A257" s="88">
        <f>A252+1</f>
        <v>159</v>
      </c>
      <c r="B257" s="253" t="s">
        <v>637</v>
      </c>
      <c r="C257" s="88" t="s">
        <v>194</v>
      </c>
      <c r="D257" s="160">
        <v>80</v>
      </c>
      <c r="E257" s="255">
        <v>1089</v>
      </c>
      <c r="F257" s="107">
        <f>ROUND(E257*D257,2)</f>
        <v>87120</v>
      </c>
      <c r="G257" s="107">
        <f>ROUND(F257*1.2,2)</f>
        <v>104544</v>
      </c>
    </row>
    <row r="258" spans="1:7" s="57" customFormat="1" x14ac:dyDescent="0.25">
      <c r="A258" s="88">
        <f>A257+1</f>
        <v>160</v>
      </c>
      <c r="B258" s="253" t="s">
        <v>634</v>
      </c>
      <c r="C258" s="88" t="s">
        <v>220</v>
      </c>
      <c r="D258" s="160">
        <v>4</v>
      </c>
      <c r="E258" s="255">
        <v>7480.0000000000009</v>
      </c>
      <c r="F258" s="107">
        <f t="shared" ref="F258:F262" si="122">ROUND(E258*D258,2)</f>
        <v>29920</v>
      </c>
      <c r="G258" s="107">
        <f t="shared" ref="G258:G262" si="123">ROUND(F258*1.2,2)</f>
        <v>35904</v>
      </c>
    </row>
    <row r="259" spans="1:7" s="57" customFormat="1" x14ac:dyDescent="0.25">
      <c r="A259" s="88">
        <f>A258+1</f>
        <v>161</v>
      </c>
      <c r="B259" s="253" t="s">
        <v>635</v>
      </c>
      <c r="C259" s="88" t="s">
        <v>194</v>
      </c>
      <c r="D259" s="160">
        <v>60</v>
      </c>
      <c r="E259" s="255">
        <v>396.00000000000006</v>
      </c>
      <c r="F259" s="107">
        <f t="shared" si="122"/>
        <v>23760</v>
      </c>
      <c r="G259" s="107">
        <f t="shared" si="123"/>
        <v>28512</v>
      </c>
    </row>
    <row r="260" spans="1:7" s="57" customFormat="1" x14ac:dyDescent="0.25">
      <c r="A260" s="88">
        <f>A258+1</f>
        <v>161</v>
      </c>
      <c r="B260" s="253" t="s">
        <v>234</v>
      </c>
      <c r="C260" s="88" t="s">
        <v>193</v>
      </c>
      <c r="D260" s="237">
        <v>5.6</v>
      </c>
      <c r="E260" s="255">
        <v>1320</v>
      </c>
      <c r="F260" s="107">
        <f t="shared" si="122"/>
        <v>7392</v>
      </c>
      <c r="G260" s="107">
        <f t="shared" si="123"/>
        <v>8870.4</v>
      </c>
    </row>
    <row r="261" spans="1:7" s="57" customFormat="1" x14ac:dyDescent="0.25">
      <c r="A261" s="88">
        <f t="shared" ref="A261" si="124">A260+1</f>
        <v>162</v>
      </c>
      <c r="B261" s="253" t="s">
        <v>824</v>
      </c>
      <c r="C261" s="88" t="s">
        <v>220</v>
      </c>
      <c r="D261" s="247" t="s">
        <v>762</v>
      </c>
      <c r="E261" s="255">
        <v>8030</v>
      </c>
      <c r="F261" s="107">
        <f t="shared" si="122"/>
        <v>8030</v>
      </c>
      <c r="G261" s="107">
        <f t="shared" si="123"/>
        <v>9636</v>
      </c>
    </row>
    <row r="262" spans="1:7" s="57" customFormat="1" x14ac:dyDescent="0.25">
      <c r="A262" s="88">
        <f>A261+1</f>
        <v>163</v>
      </c>
      <c r="B262" s="253" t="s">
        <v>1249</v>
      </c>
      <c r="C262" s="88" t="s">
        <v>194</v>
      </c>
      <c r="D262" s="160">
        <v>30</v>
      </c>
      <c r="E262" s="255">
        <v>19.3</v>
      </c>
      <c r="F262" s="107">
        <f t="shared" si="122"/>
        <v>579</v>
      </c>
      <c r="G262" s="107">
        <f t="shared" si="123"/>
        <v>694.8</v>
      </c>
    </row>
    <row r="263" spans="1:7" ht="15.75" x14ac:dyDescent="0.25">
      <c r="A263" s="66"/>
      <c r="B263" s="62" t="s">
        <v>628</v>
      </c>
      <c r="C263" s="66"/>
      <c r="D263" s="71"/>
      <c r="E263" s="85"/>
      <c r="F263" s="157"/>
      <c r="G263" s="130"/>
    </row>
    <row r="264" spans="1:7" x14ac:dyDescent="0.25">
      <c r="A264" s="66">
        <f>A259+1</f>
        <v>162</v>
      </c>
      <c r="B264" s="67" t="s">
        <v>629</v>
      </c>
      <c r="C264" s="66" t="s">
        <v>194</v>
      </c>
      <c r="D264" s="71">
        <v>160</v>
      </c>
      <c r="E264" s="98">
        <v>913.00000000000011</v>
      </c>
      <c r="F264" s="105">
        <f t="shared" ref="F264:F269" si="125">ROUND(E264*D264,2)</f>
        <v>146080</v>
      </c>
      <c r="G264" s="105">
        <f t="shared" ref="G264:G269" si="126">ROUND(F264*1.2,2)</f>
        <v>175296</v>
      </c>
    </row>
    <row r="265" spans="1:7" x14ac:dyDescent="0.25">
      <c r="A265" s="66">
        <f>A264+1</f>
        <v>163</v>
      </c>
      <c r="B265" s="67" t="s">
        <v>630</v>
      </c>
      <c r="C265" s="66" t="s">
        <v>220</v>
      </c>
      <c r="D265" s="71">
        <v>16</v>
      </c>
      <c r="E265" s="98">
        <v>7480.0000000000009</v>
      </c>
      <c r="F265" s="105">
        <f t="shared" si="125"/>
        <v>119680</v>
      </c>
      <c r="G265" s="105">
        <f t="shared" si="126"/>
        <v>143616</v>
      </c>
    </row>
    <row r="266" spans="1:7" ht="21.75" customHeight="1" x14ac:dyDescent="0.25">
      <c r="A266" s="66">
        <f>A265+1</f>
        <v>164</v>
      </c>
      <c r="B266" s="67" t="s">
        <v>631</v>
      </c>
      <c r="C266" s="66" t="s">
        <v>220</v>
      </c>
      <c r="D266" s="71">
        <v>160</v>
      </c>
      <c r="E266" s="98">
        <v>396.00000000000006</v>
      </c>
      <c r="F266" s="105">
        <f t="shared" si="125"/>
        <v>63360</v>
      </c>
      <c r="G266" s="105">
        <f t="shared" si="126"/>
        <v>76032</v>
      </c>
    </row>
    <row r="267" spans="1:7" x14ac:dyDescent="0.25">
      <c r="A267" s="66">
        <f>A265+1</f>
        <v>164</v>
      </c>
      <c r="B267" s="67" t="s">
        <v>234</v>
      </c>
      <c r="C267" s="66" t="s">
        <v>193</v>
      </c>
      <c r="D267" s="71">
        <v>15</v>
      </c>
      <c r="E267" s="98">
        <v>1320</v>
      </c>
      <c r="F267" s="105">
        <f t="shared" si="125"/>
        <v>19800</v>
      </c>
      <c r="G267" s="105">
        <f t="shared" si="126"/>
        <v>23760</v>
      </c>
    </row>
    <row r="268" spans="1:7" x14ac:dyDescent="0.25">
      <c r="A268" s="66">
        <f t="shared" ref="A268" si="127">A267+1</f>
        <v>165</v>
      </c>
      <c r="B268" s="67" t="s">
        <v>824</v>
      </c>
      <c r="C268" s="66" t="s">
        <v>220</v>
      </c>
      <c r="D268" s="82" t="s">
        <v>762</v>
      </c>
      <c r="E268" s="98">
        <v>8030</v>
      </c>
      <c r="F268" s="105">
        <f t="shared" si="125"/>
        <v>8030</v>
      </c>
      <c r="G268" s="105">
        <f t="shared" si="126"/>
        <v>9636</v>
      </c>
    </row>
    <row r="269" spans="1:7" x14ac:dyDescent="0.25">
      <c r="A269" s="88">
        <f>A268+1</f>
        <v>166</v>
      </c>
      <c r="B269" s="253" t="s">
        <v>1249</v>
      </c>
      <c r="C269" s="88" t="s">
        <v>194</v>
      </c>
      <c r="D269" s="160">
        <v>60</v>
      </c>
      <c r="E269" s="255">
        <v>19.3</v>
      </c>
      <c r="F269" s="107">
        <f t="shared" si="125"/>
        <v>1158</v>
      </c>
      <c r="G269" s="107">
        <f t="shared" si="126"/>
        <v>1389.6</v>
      </c>
    </row>
    <row r="270" spans="1:7" ht="15.75" x14ac:dyDescent="0.25">
      <c r="A270" s="88"/>
      <c r="B270" s="86" t="s">
        <v>638</v>
      </c>
      <c r="C270" s="88"/>
      <c r="D270" s="236"/>
      <c r="E270" s="85"/>
      <c r="F270" s="349"/>
      <c r="G270" s="350"/>
    </row>
    <row r="271" spans="1:7" x14ac:dyDescent="0.25">
      <c r="A271" s="88">
        <f>A268+1</f>
        <v>166</v>
      </c>
      <c r="B271" s="253" t="s">
        <v>234</v>
      </c>
      <c r="C271" s="88" t="s">
        <v>193</v>
      </c>
      <c r="D271" s="237">
        <v>14.9</v>
      </c>
      <c r="E271" s="255">
        <v>1320</v>
      </c>
      <c r="F271" s="107">
        <f t="shared" ref="F271" si="128">ROUND(E271*D271,2)</f>
        <v>19668</v>
      </c>
      <c r="G271" s="107">
        <f t="shared" ref="G271" si="129">ROUND(F271*1.2,2)</f>
        <v>23601.599999999999</v>
      </c>
    </row>
    <row r="272" spans="1:7" x14ac:dyDescent="0.25">
      <c r="A272" s="88">
        <f>A259+1</f>
        <v>162</v>
      </c>
      <c r="B272" s="253" t="s">
        <v>639</v>
      </c>
      <c r="C272" s="88" t="s">
        <v>194</v>
      </c>
      <c r="D272" s="160">
        <v>420</v>
      </c>
      <c r="E272" s="255">
        <v>726.00000000000011</v>
      </c>
      <c r="F272" s="107">
        <f t="shared" ref="F272:F279" si="130">ROUND(E272*D272,2)</f>
        <v>304920</v>
      </c>
      <c r="G272" s="107">
        <f t="shared" ref="G272:G279" si="131">ROUND(F272*1.2,2)</f>
        <v>365904</v>
      </c>
    </row>
    <row r="273" spans="1:7" x14ac:dyDescent="0.25">
      <c r="A273" s="88">
        <f>A272+1</f>
        <v>163</v>
      </c>
      <c r="B273" s="253" t="s">
        <v>640</v>
      </c>
      <c r="C273" s="88" t="s">
        <v>220</v>
      </c>
      <c r="D273" s="160">
        <v>2</v>
      </c>
      <c r="E273" s="255">
        <v>5500</v>
      </c>
      <c r="F273" s="107">
        <f t="shared" si="130"/>
        <v>11000</v>
      </c>
      <c r="G273" s="107">
        <f t="shared" si="131"/>
        <v>13200</v>
      </c>
    </row>
    <row r="274" spans="1:7" x14ac:dyDescent="0.25">
      <c r="A274" s="88">
        <f>A273+1</f>
        <v>164</v>
      </c>
      <c r="B274" s="253" t="s">
        <v>1248</v>
      </c>
      <c r="C274" s="88" t="s">
        <v>220</v>
      </c>
      <c r="D274" s="160">
        <v>2</v>
      </c>
      <c r="E274" s="255">
        <v>1942</v>
      </c>
      <c r="F274" s="107">
        <f t="shared" ref="F274" si="132">ROUND(E274*D274,2)</f>
        <v>3884</v>
      </c>
      <c r="G274" s="107">
        <f t="shared" ref="G274" si="133">ROUND(F274*1.2,2)</f>
        <v>4660.8</v>
      </c>
    </row>
    <row r="275" spans="1:7" x14ac:dyDescent="0.25">
      <c r="A275" s="88">
        <f>A274+1</f>
        <v>165</v>
      </c>
      <c r="B275" s="253" t="s">
        <v>1249</v>
      </c>
      <c r="C275" s="88" t="s">
        <v>194</v>
      </c>
      <c r="D275" s="160">
        <v>100</v>
      </c>
      <c r="E275" s="255">
        <v>19.3</v>
      </c>
      <c r="F275" s="107">
        <f t="shared" ref="F275:F276" si="134">ROUND(E275*D275,2)</f>
        <v>1930</v>
      </c>
      <c r="G275" s="107">
        <f t="shared" ref="G275:G276" si="135">ROUND(F275*1.2,2)</f>
        <v>2316</v>
      </c>
    </row>
    <row r="276" spans="1:7" x14ac:dyDescent="0.25">
      <c r="A276" s="88">
        <f t="shared" ref="A276:A279" si="136">A275+1</f>
        <v>166</v>
      </c>
      <c r="B276" s="253" t="s">
        <v>824</v>
      </c>
      <c r="C276" s="88" t="s">
        <v>220</v>
      </c>
      <c r="D276" s="247" t="s">
        <v>762</v>
      </c>
      <c r="E276" s="255">
        <v>8030</v>
      </c>
      <c r="F276" s="107">
        <f t="shared" si="134"/>
        <v>8030</v>
      </c>
      <c r="G276" s="107">
        <f t="shared" si="135"/>
        <v>9636</v>
      </c>
    </row>
    <row r="277" spans="1:7" x14ac:dyDescent="0.25">
      <c r="A277" s="88">
        <f t="shared" si="136"/>
        <v>167</v>
      </c>
      <c r="B277" s="253" t="s">
        <v>1250</v>
      </c>
      <c r="C277" s="88" t="s">
        <v>194</v>
      </c>
      <c r="D277" s="160">
        <v>160</v>
      </c>
      <c r="E277" s="255">
        <v>410</v>
      </c>
      <c r="F277" s="107">
        <f t="shared" ref="F277" si="137">ROUND(E277*D277,2)</f>
        <v>65600</v>
      </c>
      <c r="G277" s="107">
        <f t="shared" ref="G277" si="138">ROUND(F277*1.2,2)</f>
        <v>78720</v>
      </c>
    </row>
    <row r="278" spans="1:7" x14ac:dyDescent="0.25">
      <c r="A278" s="88">
        <f t="shared" si="136"/>
        <v>168</v>
      </c>
      <c r="B278" s="253" t="s">
        <v>1251</v>
      </c>
      <c r="C278" s="88" t="s">
        <v>220</v>
      </c>
      <c r="D278" s="160">
        <v>320</v>
      </c>
      <c r="E278" s="255">
        <v>97</v>
      </c>
      <c r="F278" s="107">
        <f t="shared" ref="F278" si="139">ROUND(E278*D278,2)</f>
        <v>31040</v>
      </c>
      <c r="G278" s="107">
        <f t="shared" ref="G278" si="140">ROUND(F278*1.2,2)</f>
        <v>37248</v>
      </c>
    </row>
    <row r="279" spans="1:7" x14ac:dyDescent="0.25">
      <c r="A279" s="88">
        <f t="shared" si="136"/>
        <v>169</v>
      </c>
      <c r="B279" s="253" t="s">
        <v>635</v>
      </c>
      <c r="C279" s="88" t="s">
        <v>194</v>
      </c>
      <c r="D279" s="160">
        <v>50</v>
      </c>
      <c r="E279" s="255">
        <v>396.00000000000006</v>
      </c>
      <c r="F279" s="107">
        <f t="shared" si="130"/>
        <v>19800</v>
      </c>
      <c r="G279" s="107">
        <f t="shared" si="131"/>
        <v>23760</v>
      </c>
    </row>
    <row r="280" spans="1:7" x14ac:dyDescent="0.25">
      <c r="A280" s="166"/>
      <c r="B280" s="439" t="s">
        <v>721</v>
      </c>
      <c r="C280" s="440"/>
      <c r="D280" s="440"/>
      <c r="E280" s="441"/>
      <c r="F280" s="165">
        <f>SUM(F5:F279)</f>
        <v>43007860.609999999</v>
      </c>
      <c r="G280" s="165">
        <f>SUM(G5:G279)</f>
        <v>51609432.74000001</v>
      </c>
    </row>
  </sheetData>
  <mergeCells count="16">
    <mergeCell ref="A1:A2"/>
    <mergeCell ref="B1:B2"/>
    <mergeCell ref="C1:C2"/>
    <mergeCell ref="D1:D2"/>
    <mergeCell ref="B41:D41"/>
    <mergeCell ref="B28:D28"/>
    <mergeCell ref="E1:G1"/>
    <mergeCell ref="B4:D4"/>
    <mergeCell ref="B92:D92"/>
    <mergeCell ref="B280:E280"/>
    <mergeCell ref="B216:D216"/>
    <mergeCell ref="B242:D242"/>
    <mergeCell ref="B248:D248"/>
    <mergeCell ref="B193:D193"/>
    <mergeCell ref="B118:D118"/>
    <mergeCell ref="B105:D105"/>
  </mergeCells>
  <pageMargins left="0.7" right="0.7" top="0.75" bottom="0.75" header="0.3" footer="0.3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3"/>
  <sheetViews>
    <sheetView view="pageBreakPreview" topLeftCell="A241" zoomScale="80" zoomScaleNormal="100" zoomScaleSheetLayoutView="80" workbookViewId="0">
      <selection activeCell="B95" sqref="B95"/>
    </sheetView>
  </sheetViews>
  <sheetFormatPr defaultRowHeight="15" x14ac:dyDescent="0.25"/>
  <cols>
    <col min="2" max="2" width="60.5703125" customWidth="1"/>
    <col min="4" max="4" width="11.5703125" customWidth="1"/>
    <col min="5" max="5" width="16.140625" customWidth="1"/>
    <col min="6" max="6" width="16.28515625" customWidth="1"/>
    <col min="7" max="7" width="17.28515625" customWidth="1"/>
    <col min="8" max="8" width="12.28515625" hidden="1" customWidth="1"/>
    <col min="9" max="9" width="0" hidden="1" customWidth="1"/>
  </cols>
  <sheetData>
    <row r="1" spans="1:9" x14ac:dyDescent="0.25">
      <c r="A1" s="416" t="s">
        <v>226</v>
      </c>
      <c r="B1" s="432" t="s">
        <v>201</v>
      </c>
      <c r="C1" s="432" t="s">
        <v>230</v>
      </c>
      <c r="D1" s="432" t="s">
        <v>202</v>
      </c>
      <c r="E1" s="432" t="s">
        <v>703</v>
      </c>
      <c r="F1" s="432"/>
      <c r="G1" s="432"/>
    </row>
    <row r="2" spans="1:9" ht="42.75" x14ac:dyDescent="0.25">
      <c r="A2" s="416"/>
      <c r="B2" s="432"/>
      <c r="C2" s="432"/>
      <c r="D2" s="432"/>
      <c r="E2" s="91" t="s">
        <v>441</v>
      </c>
      <c r="F2" s="91" t="s">
        <v>433</v>
      </c>
      <c r="G2" s="104" t="s">
        <v>409</v>
      </c>
    </row>
    <row r="3" spans="1:9" ht="17.25" customHeight="1" x14ac:dyDescent="0.25">
      <c r="A3" s="154">
        <v>1</v>
      </c>
      <c r="B3" s="155">
        <v>2</v>
      </c>
      <c r="C3" s="155">
        <v>3</v>
      </c>
      <c r="D3" s="155">
        <v>4</v>
      </c>
      <c r="E3" s="155">
        <v>5</v>
      </c>
      <c r="F3" s="155">
        <v>6</v>
      </c>
      <c r="G3" s="155">
        <v>7</v>
      </c>
    </row>
    <row r="4" spans="1:9" ht="28.5" customHeight="1" x14ac:dyDescent="0.25">
      <c r="A4" s="161"/>
      <c r="B4" s="437" t="s">
        <v>737</v>
      </c>
      <c r="C4" s="438"/>
      <c r="D4" s="442"/>
      <c r="E4" s="162"/>
      <c r="F4" s="163"/>
      <c r="G4" s="175"/>
    </row>
    <row r="5" spans="1:9" ht="18" customHeight="1" x14ac:dyDescent="0.25">
      <c r="A5" s="158"/>
      <c r="B5" s="86" t="s">
        <v>513</v>
      </c>
      <c r="C5" s="167"/>
      <c r="D5" s="167"/>
      <c r="E5" s="170"/>
      <c r="F5" s="87"/>
      <c r="G5" s="176"/>
      <c r="H5" s="218" t="s">
        <v>923</v>
      </c>
    </row>
    <row r="6" spans="1:9" ht="35.25" customHeight="1" x14ac:dyDescent="0.25">
      <c r="A6" s="88">
        <v>1</v>
      </c>
      <c r="B6" s="67" t="s">
        <v>830</v>
      </c>
      <c r="C6" s="113" t="s">
        <v>193</v>
      </c>
      <c r="D6" s="171">
        <v>322</v>
      </c>
      <c r="E6" s="178">
        <v>90.47</v>
      </c>
      <c r="F6" s="105">
        <f t="shared" ref="F6:F40" si="0">ROUND(E6*D6,2)</f>
        <v>29131.34</v>
      </c>
      <c r="G6" s="105">
        <f>ROUND(F6*1.2,2)</f>
        <v>34957.61</v>
      </c>
      <c r="H6">
        <v>325</v>
      </c>
    </row>
    <row r="7" spans="1:9" ht="15.75" x14ac:dyDescent="0.25">
      <c r="A7" s="88">
        <f>A6+1</f>
        <v>2</v>
      </c>
      <c r="B7" s="67" t="s">
        <v>831</v>
      </c>
      <c r="C7" s="113" t="s">
        <v>193</v>
      </c>
      <c r="D7" s="214" t="s">
        <v>600</v>
      </c>
      <c r="E7" s="178">
        <v>1860.11</v>
      </c>
      <c r="F7" s="105">
        <f t="shared" si="0"/>
        <v>18601.099999999999</v>
      </c>
      <c r="G7" s="105">
        <f t="shared" ref="G7:G32" si="1">ROUND(F7*1.2,2)</f>
        <v>22321.32</v>
      </c>
      <c r="H7">
        <v>1777</v>
      </c>
    </row>
    <row r="8" spans="1:9" ht="15.75" x14ac:dyDescent="0.25">
      <c r="A8" s="88">
        <f>A7+1</f>
        <v>3</v>
      </c>
      <c r="B8" s="67" t="s">
        <v>832</v>
      </c>
      <c r="C8" s="113" t="s">
        <v>193</v>
      </c>
      <c r="D8" s="214" t="s">
        <v>796</v>
      </c>
      <c r="E8" s="178">
        <v>1155.67</v>
      </c>
      <c r="F8" s="105">
        <f t="shared" si="0"/>
        <v>13868.04</v>
      </c>
      <c r="G8" s="105">
        <f t="shared" si="1"/>
        <v>16641.650000000001</v>
      </c>
    </row>
    <row r="9" spans="1:9" ht="15.75" x14ac:dyDescent="0.25">
      <c r="A9" s="88">
        <f t="shared" ref="A9:A15" si="2">A8+1</f>
        <v>4</v>
      </c>
      <c r="B9" s="67" t="s">
        <v>521</v>
      </c>
      <c r="C9" s="113" t="s">
        <v>193</v>
      </c>
      <c r="D9" s="214" t="s">
        <v>836</v>
      </c>
      <c r="E9" s="178">
        <v>1456.66</v>
      </c>
      <c r="F9" s="105">
        <f t="shared" si="0"/>
        <v>3350.32</v>
      </c>
      <c r="G9" s="105">
        <f t="shared" si="1"/>
        <v>4020.38</v>
      </c>
      <c r="H9">
        <v>1379</v>
      </c>
    </row>
    <row r="10" spans="1:9" ht="15.75" x14ac:dyDescent="0.25">
      <c r="A10" s="88">
        <f t="shared" si="2"/>
        <v>5</v>
      </c>
      <c r="B10" s="67" t="s">
        <v>833</v>
      </c>
      <c r="C10" s="113" t="s">
        <v>193</v>
      </c>
      <c r="D10" s="214" t="s">
        <v>796</v>
      </c>
      <c r="E10" s="178">
        <v>856.54</v>
      </c>
      <c r="F10" s="105">
        <f t="shared" si="0"/>
        <v>10278.48</v>
      </c>
      <c r="G10" s="105">
        <f t="shared" si="1"/>
        <v>12334.18</v>
      </c>
      <c r="H10">
        <v>1379</v>
      </c>
    </row>
    <row r="11" spans="1:9" ht="15.75" x14ac:dyDescent="0.25">
      <c r="A11" s="88">
        <f t="shared" si="2"/>
        <v>6</v>
      </c>
      <c r="B11" s="67" t="s">
        <v>516</v>
      </c>
      <c r="C11" s="113" t="s">
        <v>193</v>
      </c>
      <c r="D11" s="214" t="s">
        <v>837</v>
      </c>
      <c r="E11" s="178">
        <v>9.73</v>
      </c>
      <c r="F11" s="105">
        <f t="shared" si="0"/>
        <v>2860.62</v>
      </c>
      <c r="G11" s="105">
        <f t="shared" si="1"/>
        <v>3432.74</v>
      </c>
      <c r="H11">
        <v>125</v>
      </c>
    </row>
    <row r="12" spans="1:9" ht="15.75" x14ac:dyDescent="0.25">
      <c r="A12" s="88">
        <f t="shared" si="2"/>
        <v>7</v>
      </c>
      <c r="B12" s="67" t="s">
        <v>451</v>
      </c>
      <c r="C12" s="113" t="s">
        <v>193</v>
      </c>
      <c r="D12" s="214" t="s">
        <v>837</v>
      </c>
      <c r="E12" s="178">
        <v>197.58</v>
      </c>
      <c r="F12" s="105">
        <f t="shared" si="0"/>
        <v>58088.52</v>
      </c>
      <c r="G12" s="105">
        <f t="shared" si="1"/>
        <v>69706.22</v>
      </c>
      <c r="H12">
        <v>198</v>
      </c>
    </row>
    <row r="13" spans="1:9" ht="15.75" x14ac:dyDescent="0.25">
      <c r="A13" s="88">
        <f t="shared" si="2"/>
        <v>8</v>
      </c>
      <c r="B13" s="67" t="s">
        <v>517</v>
      </c>
      <c r="C13" s="113" t="s">
        <v>193</v>
      </c>
      <c r="D13" s="214" t="s">
        <v>838</v>
      </c>
      <c r="E13" s="178">
        <v>856.54</v>
      </c>
      <c r="F13" s="105">
        <f t="shared" si="0"/>
        <v>12848.1</v>
      </c>
      <c r="G13" s="105">
        <f t="shared" si="1"/>
        <v>15417.72</v>
      </c>
      <c r="H13">
        <v>899</v>
      </c>
    </row>
    <row r="14" spans="1:9" ht="30" x14ac:dyDescent="0.25">
      <c r="A14" s="88">
        <f t="shared" si="2"/>
        <v>9</v>
      </c>
      <c r="B14" s="67" t="s">
        <v>834</v>
      </c>
      <c r="C14" s="113" t="s">
        <v>239</v>
      </c>
      <c r="D14" s="215">
        <v>36.799999999999997</v>
      </c>
      <c r="E14" s="178">
        <v>67.760000000000005</v>
      </c>
      <c r="F14" s="105">
        <f t="shared" si="0"/>
        <v>2493.5700000000002</v>
      </c>
      <c r="G14" s="105">
        <f t="shared" si="1"/>
        <v>2992.28</v>
      </c>
      <c r="H14">
        <v>325</v>
      </c>
    </row>
    <row r="15" spans="1:9" ht="30" x14ac:dyDescent="0.25">
      <c r="A15" s="88">
        <f t="shared" si="2"/>
        <v>10</v>
      </c>
      <c r="B15" s="67" t="s">
        <v>835</v>
      </c>
      <c r="C15" s="66" t="s">
        <v>239</v>
      </c>
      <c r="D15" s="215">
        <v>36.799999999999997</v>
      </c>
      <c r="E15" s="178">
        <v>312.27999999999997</v>
      </c>
      <c r="F15" s="105">
        <f t="shared" si="0"/>
        <v>11491.9</v>
      </c>
      <c r="G15" s="105">
        <f t="shared" si="1"/>
        <v>13790.28</v>
      </c>
      <c r="H15">
        <v>3460</v>
      </c>
      <c r="I15" s="218" t="s">
        <v>922</v>
      </c>
    </row>
    <row r="16" spans="1:9" ht="15.75" x14ac:dyDescent="0.25">
      <c r="A16" s="88"/>
      <c r="B16" s="62" t="s">
        <v>523</v>
      </c>
      <c r="C16" s="66"/>
      <c r="D16" s="71"/>
      <c r="E16" s="178"/>
      <c r="F16" s="105"/>
      <c r="G16" s="105"/>
    </row>
    <row r="17" spans="1:8" ht="30" x14ac:dyDescent="0.25">
      <c r="A17" s="88">
        <f>A15+1</f>
        <v>11</v>
      </c>
      <c r="B17" s="67" t="s">
        <v>839</v>
      </c>
      <c r="C17" s="66" t="s">
        <v>194</v>
      </c>
      <c r="D17" s="71">
        <v>31</v>
      </c>
      <c r="E17" s="178">
        <v>1223.9000000000001</v>
      </c>
      <c r="F17" s="105">
        <f t="shared" si="0"/>
        <v>37940.9</v>
      </c>
      <c r="G17" s="105">
        <f t="shared" si="1"/>
        <v>45529.08</v>
      </c>
    </row>
    <row r="18" spans="1:8" ht="45" x14ac:dyDescent="0.25">
      <c r="A18" s="88">
        <f>A17+1</f>
        <v>12</v>
      </c>
      <c r="B18" s="67" t="s">
        <v>840</v>
      </c>
      <c r="C18" s="66" t="s">
        <v>194</v>
      </c>
      <c r="D18" s="71">
        <v>6</v>
      </c>
      <c r="E18" s="178">
        <v>10557.31</v>
      </c>
      <c r="F18" s="105">
        <f t="shared" si="0"/>
        <v>63343.86</v>
      </c>
      <c r="G18" s="105">
        <f t="shared" si="1"/>
        <v>76012.63</v>
      </c>
    </row>
    <row r="19" spans="1:8" ht="30" x14ac:dyDescent="0.25">
      <c r="A19" s="88">
        <f t="shared" ref="A19:A29" si="3">A18+1</f>
        <v>13</v>
      </c>
      <c r="B19" s="67" t="s">
        <v>841</v>
      </c>
      <c r="C19" s="66" t="s">
        <v>220</v>
      </c>
      <c r="D19" s="71">
        <v>2</v>
      </c>
      <c r="E19" s="178">
        <v>10242.23</v>
      </c>
      <c r="F19" s="105">
        <f t="shared" si="0"/>
        <v>20484.46</v>
      </c>
      <c r="G19" s="105">
        <f t="shared" si="1"/>
        <v>24581.35</v>
      </c>
    </row>
    <row r="20" spans="1:8" ht="30" x14ac:dyDescent="0.25">
      <c r="A20" s="88">
        <f t="shared" si="3"/>
        <v>14</v>
      </c>
      <c r="B20" s="67" t="s">
        <v>842</v>
      </c>
      <c r="C20" s="66" t="s">
        <v>220</v>
      </c>
      <c r="D20" s="71">
        <v>2</v>
      </c>
      <c r="E20" s="178">
        <v>6691.94</v>
      </c>
      <c r="F20" s="105">
        <f t="shared" si="0"/>
        <v>13383.88</v>
      </c>
      <c r="G20" s="105">
        <f t="shared" si="1"/>
        <v>16060.66</v>
      </c>
    </row>
    <row r="21" spans="1:8" ht="15.75" x14ac:dyDescent="0.25">
      <c r="A21" s="88">
        <f t="shared" si="3"/>
        <v>15</v>
      </c>
      <c r="B21" s="67" t="s">
        <v>865</v>
      </c>
      <c r="C21" s="66" t="s">
        <v>220</v>
      </c>
      <c r="D21" s="71">
        <v>36</v>
      </c>
      <c r="E21" s="178">
        <v>592.5</v>
      </c>
      <c r="F21" s="105">
        <f t="shared" si="0"/>
        <v>21330</v>
      </c>
      <c r="G21" s="105">
        <f t="shared" si="1"/>
        <v>25596</v>
      </c>
    </row>
    <row r="22" spans="1:8" ht="30" x14ac:dyDescent="0.25">
      <c r="A22" s="88">
        <f t="shared" si="3"/>
        <v>16</v>
      </c>
      <c r="B22" s="67" t="s">
        <v>843</v>
      </c>
      <c r="C22" s="66" t="s">
        <v>220</v>
      </c>
      <c r="D22" s="71">
        <v>36</v>
      </c>
      <c r="E22" s="178">
        <v>210.41</v>
      </c>
      <c r="F22" s="105">
        <f t="shared" si="0"/>
        <v>7574.76</v>
      </c>
      <c r="G22" s="105">
        <f t="shared" si="1"/>
        <v>9089.7099999999991</v>
      </c>
    </row>
    <row r="23" spans="1:8" ht="45" x14ac:dyDescent="0.25">
      <c r="A23" s="88">
        <f t="shared" si="3"/>
        <v>17</v>
      </c>
      <c r="B23" s="67" t="s">
        <v>844</v>
      </c>
      <c r="C23" s="66" t="s">
        <v>220</v>
      </c>
      <c r="D23" s="71">
        <v>2</v>
      </c>
      <c r="E23" s="178">
        <v>1207.4100000000001</v>
      </c>
      <c r="F23" s="105">
        <f t="shared" si="0"/>
        <v>2414.8200000000002</v>
      </c>
      <c r="G23" s="105">
        <f t="shared" si="1"/>
        <v>2897.78</v>
      </c>
    </row>
    <row r="24" spans="1:8" ht="45" x14ac:dyDescent="0.25">
      <c r="A24" s="88">
        <f t="shared" si="3"/>
        <v>18</v>
      </c>
      <c r="B24" s="67" t="s">
        <v>845</v>
      </c>
      <c r="C24" s="66" t="s">
        <v>220</v>
      </c>
      <c r="D24" s="71">
        <v>2</v>
      </c>
      <c r="E24" s="178">
        <v>7231.84</v>
      </c>
      <c r="F24" s="105">
        <f t="shared" si="0"/>
        <v>14463.68</v>
      </c>
      <c r="G24" s="105">
        <f t="shared" si="1"/>
        <v>17356.419999999998</v>
      </c>
    </row>
    <row r="25" spans="1:8" ht="45" x14ac:dyDescent="0.25">
      <c r="A25" s="88">
        <f t="shared" si="3"/>
        <v>19</v>
      </c>
      <c r="B25" s="67" t="s">
        <v>846</v>
      </c>
      <c r="C25" s="66" t="s">
        <v>220</v>
      </c>
      <c r="D25" s="71">
        <v>1</v>
      </c>
      <c r="E25" s="178">
        <v>12816.51</v>
      </c>
      <c r="F25" s="105">
        <f t="shared" si="0"/>
        <v>12816.51</v>
      </c>
      <c r="G25" s="105">
        <f t="shared" si="1"/>
        <v>15379.81</v>
      </c>
    </row>
    <row r="26" spans="1:8" ht="15.75" x14ac:dyDescent="0.25">
      <c r="A26" s="88">
        <f t="shared" si="3"/>
        <v>20</v>
      </c>
      <c r="B26" s="67" t="s">
        <v>847</v>
      </c>
      <c r="C26" s="66" t="s">
        <v>220</v>
      </c>
      <c r="D26" s="71">
        <v>1</v>
      </c>
      <c r="E26" s="178">
        <v>3933.74</v>
      </c>
      <c r="F26" s="105">
        <f t="shared" si="0"/>
        <v>3933.74</v>
      </c>
      <c r="G26" s="105">
        <f t="shared" si="1"/>
        <v>4720.49</v>
      </c>
    </row>
    <row r="27" spans="1:8" ht="15.75" x14ac:dyDescent="0.25">
      <c r="A27" s="88">
        <f t="shared" si="3"/>
        <v>21</v>
      </c>
      <c r="B27" s="67" t="s">
        <v>848</v>
      </c>
      <c r="C27" s="66" t="s">
        <v>220</v>
      </c>
      <c r="D27" s="71">
        <v>1</v>
      </c>
      <c r="E27" s="178">
        <v>10242.219999999999</v>
      </c>
      <c r="F27" s="105">
        <f t="shared" si="0"/>
        <v>10242.219999999999</v>
      </c>
      <c r="G27" s="105">
        <f t="shared" si="1"/>
        <v>12290.66</v>
      </c>
    </row>
    <row r="28" spans="1:8" ht="30" x14ac:dyDescent="0.25">
      <c r="A28" s="88">
        <f t="shared" si="3"/>
        <v>22</v>
      </c>
      <c r="B28" s="67" t="s">
        <v>849</v>
      </c>
      <c r="C28" s="66" t="s">
        <v>220</v>
      </c>
      <c r="D28" s="71">
        <v>1</v>
      </c>
      <c r="E28" s="178">
        <v>3397.31</v>
      </c>
      <c r="F28" s="105">
        <f t="shared" si="0"/>
        <v>3397.31</v>
      </c>
      <c r="G28" s="105">
        <f t="shared" si="1"/>
        <v>4076.77</v>
      </c>
    </row>
    <row r="29" spans="1:8" ht="30" x14ac:dyDescent="0.25">
      <c r="A29" s="88">
        <f t="shared" si="3"/>
        <v>23</v>
      </c>
      <c r="B29" s="67" t="s">
        <v>850</v>
      </c>
      <c r="C29" s="66" t="s">
        <v>924</v>
      </c>
      <c r="D29" s="71">
        <v>1</v>
      </c>
      <c r="E29" s="178">
        <v>35713.949999999997</v>
      </c>
      <c r="F29" s="105">
        <f t="shared" si="0"/>
        <v>35713.949999999997</v>
      </c>
      <c r="G29" s="105">
        <f t="shared" si="1"/>
        <v>42856.74</v>
      </c>
    </row>
    <row r="30" spans="1:8" ht="15.75" x14ac:dyDescent="0.25">
      <c r="A30" s="88"/>
      <c r="B30" s="62" t="s">
        <v>851</v>
      </c>
      <c r="C30" s="66"/>
      <c r="D30" s="71"/>
      <c r="E30" s="178"/>
      <c r="F30" s="105"/>
      <c r="G30" s="105"/>
    </row>
    <row r="31" spans="1:8" ht="15.75" x14ac:dyDescent="0.25">
      <c r="A31" s="88">
        <f>A29+1</f>
        <v>24</v>
      </c>
      <c r="B31" s="67" t="s">
        <v>920</v>
      </c>
      <c r="C31" s="66" t="s">
        <v>193</v>
      </c>
      <c r="D31" s="72">
        <v>0.7</v>
      </c>
      <c r="E31" s="178">
        <v>4259.21</v>
      </c>
      <c r="F31" s="105">
        <f t="shared" si="0"/>
        <v>2981.45</v>
      </c>
      <c r="G31" s="105">
        <f t="shared" si="1"/>
        <v>3577.74</v>
      </c>
    </row>
    <row r="32" spans="1:8" ht="30" x14ac:dyDescent="0.25">
      <c r="A32" s="88">
        <f>A31+1</f>
        <v>25</v>
      </c>
      <c r="B32" s="67" t="s">
        <v>852</v>
      </c>
      <c r="C32" s="66" t="s">
        <v>193</v>
      </c>
      <c r="D32" s="76">
        <v>1.7350000000000001</v>
      </c>
      <c r="E32" s="178">
        <v>32605.8</v>
      </c>
      <c r="F32" s="105">
        <f t="shared" si="0"/>
        <v>56571.06</v>
      </c>
      <c r="G32" s="105">
        <f t="shared" si="1"/>
        <v>67885.27</v>
      </c>
      <c r="H32">
        <v>18174</v>
      </c>
    </row>
    <row r="33" spans="1:8" ht="15.75" x14ac:dyDescent="0.25">
      <c r="A33" s="88"/>
      <c r="B33" s="62" t="s">
        <v>853</v>
      </c>
      <c r="C33" s="66"/>
      <c r="D33" s="71"/>
      <c r="E33" s="178"/>
      <c r="F33" s="105"/>
      <c r="G33" s="105"/>
    </row>
    <row r="34" spans="1:8" ht="30" x14ac:dyDescent="0.25">
      <c r="A34" s="88">
        <f>A32+1</f>
        <v>26</v>
      </c>
      <c r="B34" s="67" t="s">
        <v>854</v>
      </c>
      <c r="C34" s="66" t="s">
        <v>193</v>
      </c>
      <c r="D34" s="71">
        <v>2</v>
      </c>
      <c r="E34" s="178">
        <v>26084.63</v>
      </c>
      <c r="F34" s="105">
        <f t="shared" si="0"/>
        <v>52169.26</v>
      </c>
      <c r="G34" s="105">
        <f t="shared" ref="G34:G36" si="4">ROUND(F34*1.2,2)</f>
        <v>62603.11</v>
      </c>
    </row>
    <row r="35" spans="1:8" ht="15.75" x14ac:dyDescent="0.25">
      <c r="A35" s="88"/>
      <c r="B35" s="67" t="s">
        <v>921</v>
      </c>
      <c r="C35" s="66" t="s">
        <v>239</v>
      </c>
      <c r="D35" s="72">
        <v>4.4000000000000004</v>
      </c>
      <c r="E35" s="178">
        <v>436.23</v>
      </c>
      <c r="F35" s="105">
        <f t="shared" si="0"/>
        <v>1919.41</v>
      </c>
      <c r="G35" s="105">
        <f t="shared" si="4"/>
        <v>2303.29</v>
      </c>
    </row>
    <row r="36" spans="1:8" ht="30" x14ac:dyDescent="0.25">
      <c r="A36" s="88">
        <f>A34+1</f>
        <v>27</v>
      </c>
      <c r="B36" s="67" t="s">
        <v>855</v>
      </c>
      <c r="C36" s="66" t="s">
        <v>239</v>
      </c>
      <c r="D36" s="72">
        <v>4.4000000000000004</v>
      </c>
      <c r="E36" s="178">
        <v>312.27999999999997</v>
      </c>
      <c r="F36" s="105">
        <f t="shared" si="0"/>
        <v>1374.03</v>
      </c>
      <c r="G36" s="105">
        <f t="shared" si="4"/>
        <v>1648.84</v>
      </c>
    </row>
    <row r="37" spans="1:8" ht="15.75" x14ac:dyDescent="0.25">
      <c r="A37" s="88"/>
      <c r="B37" s="62" t="s">
        <v>856</v>
      </c>
      <c r="C37" s="66"/>
      <c r="D37" s="68"/>
      <c r="E37" s="178"/>
      <c r="F37" s="105"/>
      <c r="G37" s="105"/>
    </row>
    <row r="38" spans="1:8" ht="30" x14ac:dyDescent="0.25">
      <c r="A38" s="88">
        <f>A36+1</f>
        <v>28</v>
      </c>
      <c r="B38" s="67" t="s">
        <v>857</v>
      </c>
      <c r="C38" s="66" t="s">
        <v>194</v>
      </c>
      <c r="D38" s="71">
        <v>31</v>
      </c>
      <c r="E38" s="178">
        <v>769.25</v>
      </c>
      <c r="F38" s="105">
        <f t="shared" si="0"/>
        <v>23846.75</v>
      </c>
      <c r="G38" s="105">
        <f t="shared" ref="G38:G40" si="5">ROUND(F38*1.2,2)</f>
        <v>28616.1</v>
      </c>
    </row>
    <row r="39" spans="1:8" ht="15.75" x14ac:dyDescent="0.25">
      <c r="A39" s="88">
        <f>A38+1</f>
        <v>29</v>
      </c>
      <c r="B39" s="67" t="s">
        <v>858</v>
      </c>
      <c r="C39" s="66" t="s">
        <v>239</v>
      </c>
      <c r="D39" s="68">
        <v>1.23</v>
      </c>
      <c r="E39" s="178">
        <v>433.62</v>
      </c>
      <c r="F39" s="105">
        <f t="shared" si="0"/>
        <v>533.35</v>
      </c>
      <c r="G39" s="105">
        <f t="shared" si="5"/>
        <v>640.02</v>
      </c>
    </row>
    <row r="40" spans="1:8" ht="30" x14ac:dyDescent="0.25">
      <c r="A40" s="88">
        <f>A39+1</f>
        <v>30</v>
      </c>
      <c r="B40" s="67" t="s">
        <v>859</v>
      </c>
      <c r="C40" s="66" t="s">
        <v>239</v>
      </c>
      <c r="D40" s="68">
        <v>1.23</v>
      </c>
      <c r="E40" s="178">
        <v>312.27999999999997</v>
      </c>
      <c r="F40" s="105">
        <f t="shared" si="0"/>
        <v>384.1</v>
      </c>
      <c r="G40" s="105">
        <f t="shared" si="5"/>
        <v>460.92</v>
      </c>
      <c r="H40" s="216"/>
    </row>
    <row r="41" spans="1:8" ht="28.5" customHeight="1" x14ac:dyDescent="0.25">
      <c r="A41" s="161"/>
      <c r="B41" s="437" t="s">
        <v>738</v>
      </c>
      <c r="C41" s="438"/>
      <c r="D41" s="442"/>
      <c r="E41" s="162"/>
      <c r="F41" s="163"/>
      <c r="G41" s="175"/>
    </row>
    <row r="42" spans="1:8" ht="16.5" customHeight="1" x14ac:dyDescent="0.25">
      <c r="A42" s="66"/>
      <c r="B42" s="62" t="s">
        <v>513</v>
      </c>
      <c r="C42" s="66"/>
      <c r="D42" s="177"/>
      <c r="E42" s="172"/>
      <c r="F42" s="168"/>
      <c r="G42" s="176"/>
    </row>
    <row r="43" spans="1:8" ht="30" x14ac:dyDescent="0.25">
      <c r="A43" s="66">
        <f>A40+1</f>
        <v>31</v>
      </c>
      <c r="B43" s="67" t="s">
        <v>860</v>
      </c>
      <c r="C43" s="113" t="s">
        <v>193</v>
      </c>
      <c r="D43" s="71">
        <v>759</v>
      </c>
      <c r="E43" s="178">
        <v>90.47</v>
      </c>
      <c r="F43" s="105">
        <f t="shared" ref="F43:F68" si="6">ROUND(E43*D43,2)</f>
        <v>68666.73</v>
      </c>
      <c r="G43" s="105">
        <f t="shared" ref="G43:G68" si="7">ROUND(F43*1.2,2)</f>
        <v>82400.08</v>
      </c>
      <c r="H43">
        <v>325</v>
      </c>
    </row>
    <row r="44" spans="1:8" ht="15.75" x14ac:dyDescent="0.25">
      <c r="A44" s="66">
        <f t="shared" ref="A44:A64" si="8">A43+1</f>
        <v>32</v>
      </c>
      <c r="B44" s="67" t="s">
        <v>831</v>
      </c>
      <c r="C44" s="113" t="s">
        <v>193</v>
      </c>
      <c r="D44" s="71">
        <v>23</v>
      </c>
      <c r="E44" s="178">
        <v>1860.11</v>
      </c>
      <c r="F44" s="105">
        <f t="shared" si="6"/>
        <v>42782.53</v>
      </c>
      <c r="G44" s="105">
        <f t="shared" si="7"/>
        <v>51339.040000000001</v>
      </c>
      <c r="H44">
        <v>1777</v>
      </c>
    </row>
    <row r="45" spans="1:8" ht="15.75" x14ac:dyDescent="0.25">
      <c r="A45" s="66">
        <f t="shared" si="8"/>
        <v>33</v>
      </c>
      <c r="B45" s="67" t="s">
        <v>832</v>
      </c>
      <c r="C45" s="113" t="s">
        <v>193</v>
      </c>
      <c r="D45" s="71">
        <v>39</v>
      </c>
      <c r="E45" s="178">
        <v>1155.67</v>
      </c>
      <c r="F45" s="105">
        <f t="shared" si="6"/>
        <v>45071.13</v>
      </c>
      <c r="G45" s="105">
        <f t="shared" si="7"/>
        <v>54085.36</v>
      </c>
    </row>
    <row r="46" spans="1:8" ht="15.75" x14ac:dyDescent="0.25">
      <c r="A46" s="66">
        <f t="shared" si="8"/>
        <v>34</v>
      </c>
      <c r="B46" s="67" t="s">
        <v>521</v>
      </c>
      <c r="C46" s="113" t="s">
        <v>193</v>
      </c>
      <c r="D46" s="71">
        <v>8</v>
      </c>
      <c r="E46" s="178">
        <v>1456.66</v>
      </c>
      <c r="F46" s="105">
        <f t="shared" si="6"/>
        <v>11653.28</v>
      </c>
      <c r="G46" s="105">
        <f t="shared" si="7"/>
        <v>13983.94</v>
      </c>
      <c r="H46">
        <v>1379</v>
      </c>
    </row>
    <row r="47" spans="1:8" ht="15.75" x14ac:dyDescent="0.25">
      <c r="A47" s="66">
        <f t="shared" si="8"/>
        <v>35</v>
      </c>
      <c r="B47" s="67" t="s">
        <v>833</v>
      </c>
      <c r="C47" s="113" t="s">
        <v>193</v>
      </c>
      <c r="D47" s="71">
        <v>39</v>
      </c>
      <c r="E47" s="178">
        <v>856.54</v>
      </c>
      <c r="F47" s="105">
        <f t="shared" si="6"/>
        <v>33405.06</v>
      </c>
      <c r="G47" s="105">
        <f t="shared" si="7"/>
        <v>40086.07</v>
      </c>
      <c r="H47">
        <v>1379</v>
      </c>
    </row>
    <row r="48" spans="1:8" ht="15.75" x14ac:dyDescent="0.25">
      <c r="A48" s="66">
        <f t="shared" si="8"/>
        <v>36</v>
      </c>
      <c r="B48" s="67" t="s">
        <v>516</v>
      </c>
      <c r="C48" s="113" t="s">
        <v>193</v>
      </c>
      <c r="D48" s="71">
        <v>694</v>
      </c>
      <c r="E48" s="178">
        <v>9.73</v>
      </c>
      <c r="F48" s="105">
        <f t="shared" si="6"/>
        <v>6752.62</v>
      </c>
      <c r="G48" s="105">
        <f t="shared" si="7"/>
        <v>8103.14</v>
      </c>
      <c r="H48">
        <v>125</v>
      </c>
    </row>
    <row r="49" spans="1:9" ht="15.75" x14ac:dyDescent="0.25">
      <c r="A49" s="66">
        <f t="shared" si="8"/>
        <v>37</v>
      </c>
      <c r="B49" s="67" t="s">
        <v>451</v>
      </c>
      <c r="C49" s="113" t="s">
        <v>193</v>
      </c>
      <c r="D49" s="71">
        <v>694</v>
      </c>
      <c r="E49" s="178">
        <v>197.58</v>
      </c>
      <c r="F49" s="105">
        <f t="shared" si="6"/>
        <v>137120.51999999999</v>
      </c>
      <c r="G49" s="105">
        <f t="shared" si="7"/>
        <v>164544.62</v>
      </c>
      <c r="H49">
        <v>198</v>
      </c>
    </row>
    <row r="50" spans="1:9" ht="15.75" x14ac:dyDescent="0.25">
      <c r="A50" s="66">
        <f t="shared" si="8"/>
        <v>38</v>
      </c>
      <c r="B50" s="67" t="s">
        <v>517</v>
      </c>
      <c r="C50" s="113" t="s">
        <v>193</v>
      </c>
      <c r="D50" s="71">
        <v>37</v>
      </c>
      <c r="E50" s="178">
        <v>856.54</v>
      </c>
      <c r="F50" s="105">
        <f t="shared" si="6"/>
        <v>31691.98</v>
      </c>
      <c r="G50" s="105">
        <f t="shared" si="7"/>
        <v>38030.379999999997</v>
      </c>
      <c r="H50">
        <v>899</v>
      </c>
    </row>
    <row r="51" spans="1:9" ht="30" x14ac:dyDescent="0.25">
      <c r="A51" s="66">
        <f t="shared" si="8"/>
        <v>39</v>
      </c>
      <c r="B51" s="67" t="s">
        <v>834</v>
      </c>
      <c r="C51" s="113" t="s">
        <v>239</v>
      </c>
      <c r="D51" s="72">
        <v>81.599999999999994</v>
      </c>
      <c r="E51" s="178">
        <v>67.760000000000005</v>
      </c>
      <c r="F51" s="105">
        <f t="shared" si="6"/>
        <v>5529.22</v>
      </c>
      <c r="G51" s="105">
        <f t="shared" si="7"/>
        <v>6635.06</v>
      </c>
      <c r="H51">
        <v>325</v>
      </c>
    </row>
    <row r="52" spans="1:9" ht="30" x14ac:dyDescent="0.25">
      <c r="A52" s="66">
        <f t="shared" si="8"/>
        <v>40</v>
      </c>
      <c r="B52" s="67" t="s">
        <v>835</v>
      </c>
      <c r="C52" s="66" t="s">
        <v>239</v>
      </c>
      <c r="D52" s="72">
        <v>81.599999999999994</v>
      </c>
      <c r="E52" s="178">
        <v>312.27999999999997</v>
      </c>
      <c r="F52" s="105">
        <f t="shared" si="6"/>
        <v>25482.05</v>
      </c>
      <c r="G52" s="105">
        <f t="shared" si="7"/>
        <v>30578.46</v>
      </c>
      <c r="H52">
        <v>3460</v>
      </c>
      <c r="I52" s="218" t="s">
        <v>922</v>
      </c>
    </row>
    <row r="53" spans="1:9" ht="15.75" x14ac:dyDescent="0.25">
      <c r="A53" s="66"/>
      <c r="B53" s="62" t="s">
        <v>523</v>
      </c>
      <c r="C53" s="66"/>
      <c r="D53" s="68"/>
      <c r="E53" s="178"/>
      <c r="F53" s="105"/>
      <c r="G53" s="105"/>
    </row>
    <row r="54" spans="1:9" ht="30" x14ac:dyDescent="0.25">
      <c r="A54" s="66">
        <f>A52+1</f>
        <v>41</v>
      </c>
      <c r="B54" s="67" t="s">
        <v>861</v>
      </c>
      <c r="C54" s="66" t="s">
        <v>194</v>
      </c>
      <c r="D54" s="71">
        <v>97</v>
      </c>
      <c r="E54" s="178">
        <v>1045.03</v>
      </c>
      <c r="F54" s="105">
        <f t="shared" si="6"/>
        <v>101367.91</v>
      </c>
      <c r="G54" s="105">
        <f t="shared" si="7"/>
        <v>121641.49</v>
      </c>
    </row>
    <row r="55" spans="1:9" ht="45" x14ac:dyDescent="0.25">
      <c r="A55" s="66">
        <f t="shared" si="8"/>
        <v>42</v>
      </c>
      <c r="B55" s="67" t="s">
        <v>862</v>
      </c>
      <c r="C55" s="66" t="s">
        <v>194</v>
      </c>
      <c r="D55" s="71">
        <v>6</v>
      </c>
      <c r="E55" s="178">
        <v>1960.07</v>
      </c>
      <c r="F55" s="105">
        <f t="shared" si="6"/>
        <v>11760.42</v>
      </c>
      <c r="G55" s="105">
        <f t="shared" si="7"/>
        <v>14112.5</v>
      </c>
    </row>
    <row r="56" spans="1:9" ht="30" x14ac:dyDescent="0.25">
      <c r="A56" s="66">
        <f t="shared" si="8"/>
        <v>43</v>
      </c>
      <c r="B56" s="67" t="s">
        <v>863</v>
      </c>
      <c r="C56" s="66" t="s">
        <v>220</v>
      </c>
      <c r="D56" s="71">
        <v>1</v>
      </c>
      <c r="E56" s="178">
        <v>8983.23</v>
      </c>
      <c r="F56" s="105">
        <f t="shared" si="6"/>
        <v>8983.23</v>
      </c>
      <c r="G56" s="105">
        <f t="shared" si="7"/>
        <v>10779.88</v>
      </c>
    </row>
    <row r="57" spans="1:9" ht="30" x14ac:dyDescent="0.25">
      <c r="A57" s="66">
        <f t="shared" si="8"/>
        <v>44</v>
      </c>
      <c r="B57" s="67" t="s">
        <v>864</v>
      </c>
      <c r="C57" s="66" t="s">
        <v>220</v>
      </c>
      <c r="D57" s="71">
        <v>1</v>
      </c>
      <c r="E57" s="178">
        <v>4477.97</v>
      </c>
      <c r="F57" s="105">
        <f t="shared" si="6"/>
        <v>4477.97</v>
      </c>
      <c r="G57" s="105">
        <f t="shared" si="7"/>
        <v>5373.56</v>
      </c>
    </row>
    <row r="58" spans="1:9" ht="15.75" x14ac:dyDescent="0.25">
      <c r="A58" s="66">
        <f t="shared" si="8"/>
        <v>45</v>
      </c>
      <c r="B58" s="67" t="s">
        <v>865</v>
      </c>
      <c r="C58" s="66" t="s">
        <v>220</v>
      </c>
      <c r="D58" s="71">
        <v>8</v>
      </c>
      <c r="E58" s="178">
        <v>592.5</v>
      </c>
      <c r="F58" s="105">
        <f t="shared" si="6"/>
        <v>4740</v>
      </c>
      <c r="G58" s="105">
        <f t="shared" si="7"/>
        <v>5688</v>
      </c>
    </row>
    <row r="59" spans="1:9" ht="30" x14ac:dyDescent="0.25">
      <c r="A59" s="66">
        <f t="shared" si="8"/>
        <v>46</v>
      </c>
      <c r="B59" s="67" t="s">
        <v>843</v>
      </c>
      <c r="C59" s="66" t="s">
        <v>220</v>
      </c>
      <c r="D59" s="71">
        <v>8</v>
      </c>
      <c r="E59" s="178">
        <v>210.41</v>
      </c>
      <c r="F59" s="105">
        <f t="shared" si="6"/>
        <v>1683.28</v>
      </c>
      <c r="G59" s="105">
        <f t="shared" si="7"/>
        <v>2019.94</v>
      </c>
    </row>
    <row r="60" spans="1:9" ht="45" x14ac:dyDescent="0.25">
      <c r="A60" s="66">
        <f t="shared" si="8"/>
        <v>47</v>
      </c>
      <c r="B60" s="67" t="s">
        <v>866</v>
      </c>
      <c r="C60" s="66" t="s">
        <v>220</v>
      </c>
      <c r="D60" s="71">
        <v>1</v>
      </c>
      <c r="E60" s="178">
        <v>2066.3000000000002</v>
      </c>
      <c r="F60" s="105">
        <f t="shared" si="6"/>
        <v>2066.3000000000002</v>
      </c>
      <c r="G60" s="105">
        <f t="shared" si="7"/>
        <v>2479.56</v>
      </c>
    </row>
    <row r="61" spans="1:9" ht="45" x14ac:dyDescent="0.25">
      <c r="A61" s="66">
        <f t="shared" si="8"/>
        <v>48</v>
      </c>
      <c r="B61" s="67" t="s">
        <v>867</v>
      </c>
      <c r="C61" s="66" t="s">
        <v>220</v>
      </c>
      <c r="D61" s="71">
        <v>1</v>
      </c>
      <c r="E61" s="178">
        <v>3397.31</v>
      </c>
      <c r="F61" s="105">
        <f t="shared" si="6"/>
        <v>3397.31</v>
      </c>
      <c r="G61" s="105">
        <f t="shared" si="7"/>
        <v>4076.77</v>
      </c>
    </row>
    <row r="62" spans="1:9" ht="30" x14ac:dyDescent="0.25">
      <c r="A62" s="66">
        <f t="shared" si="8"/>
        <v>49</v>
      </c>
      <c r="B62" s="67" t="s">
        <v>868</v>
      </c>
      <c r="C62" s="66" t="s">
        <v>220</v>
      </c>
      <c r="D62" s="71">
        <v>1</v>
      </c>
      <c r="E62" s="178">
        <v>3317.02</v>
      </c>
      <c r="F62" s="105">
        <f t="shared" si="6"/>
        <v>3317.02</v>
      </c>
      <c r="G62" s="105">
        <f t="shared" si="7"/>
        <v>3980.42</v>
      </c>
    </row>
    <row r="63" spans="1:9" ht="30" x14ac:dyDescent="0.25">
      <c r="A63" s="66">
        <f t="shared" si="8"/>
        <v>50</v>
      </c>
      <c r="B63" s="67" t="s">
        <v>869</v>
      </c>
      <c r="C63" s="66" t="s">
        <v>220</v>
      </c>
      <c r="D63" s="71">
        <v>1</v>
      </c>
      <c r="E63" s="178">
        <v>3397.31</v>
      </c>
      <c r="F63" s="105">
        <f t="shared" si="6"/>
        <v>3397.31</v>
      </c>
      <c r="G63" s="105">
        <f t="shared" si="7"/>
        <v>4076.77</v>
      </c>
    </row>
    <row r="64" spans="1:9" ht="30" x14ac:dyDescent="0.25">
      <c r="A64" s="66">
        <f t="shared" si="8"/>
        <v>51</v>
      </c>
      <c r="B64" s="67" t="s">
        <v>850</v>
      </c>
      <c r="C64" s="66" t="s">
        <v>924</v>
      </c>
      <c r="D64" s="71">
        <v>1</v>
      </c>
      <c r="E64" s="178">
        <v>30624.26</v>
      </c>
      <c r="F64" s="105">
        <f t="shared" si="6"/>
        <v>30624.26</v>
      </c>
      <c r="G64" s="105">
        <f t="shared" si="7"/>
        <v>36749.11</v>
      </c>
    </row>
    <row r="65" spans="1:9" ht="15.75" x14ac:dyDescent="0.25">
      <c r="A65" s="66"/>
      <c r="B65" s="62" t="s">
        <v>856</v>
      </c>
      <c r="C65" s="66"/>
      <c r="D65" s="71"/>
      <c r="E65" s="178"/>
      <c r="F65" s="105"/>
      <c r="G65" s="105"/>
    </row>
    <row r="66" spans="1:9" ht="30" x14ac:dyDescent="0.25">
      <c r="A66" s="66">
        <f>A64+1</f>
        <v>52</v>
      </c>
      <c r="B66" s="67" t="s">
        <v>870</v>
      </c>
      <c r="C66" s="66" t="s">
        <v>194</v>
      </c>
      <c r="D66" s="71">
        <v>97</v>
      </c>
      <c r="E66" s="178">
        <v>728.8</v>
      </c>
      <c r="F66" s="105">
        <f t="shared" si="6"/>
        <v>70693.600000000006</v>
      </c>
      <c r="G66" s="105">
        <f t="shared" ref="G66:G67" si="9">ROUND(F66*1.2,2)</f>
        <v>84832.320000000007</v>
      </c>
    </row>
    <row r="67" spans="1:9" ht="15.75" x14ac:dyDescent="0.25">
      <c r="A67" s="66">
        <f>A66+1</f>
        <v>53</v>
      </c>
      <c r="B67" s="67" t="s">
        <v>858</v>
      </c>
      <c r="C67" s="66" t="s">
        <v>239</v>
      </c>
      <c r="D67" s="71">
        <v>3</v>
      </c>
      <c r="E67" s="178">
        <v>433.62</v>
      </c>
      <c r="F67" s="105">
        <f t="shared" si="6"/>
        <v>1300.8599999999999</v>
      </c>
      <c r="G67" s="105">
        <f t="shared" si="9"/>
        <v>1561.03</v>
      </c>
    </row>
    <row r="68" spans="1:9" ht="30" x14ac:dyDescent="0.25">
      <c r="A68" s="66">
        <f>A67+1</f>
        <v>54</v>
      </c>
      <c r="B68" s="67" t="s">
        <v>859</v>
      </c>
      <c r="C68" s="66" t="s">
        <v>239</v>
      </c>
      <c r="D68" s="71">
        <v>3</v>
      </c>
      <c r="E68" s="178">
        <v>312.27999999999997</v>
      </c>
      <c r="F68" s="105">
        <f t="shared" si="6"/>
        <v>936.84</v>
      </c>
      <c r="G68" s="105">
        <f t="shared" si="7"/>
        <v>1124.21</v>
      </c>
    </row>
    <row r="69" spans="1:9" ht="34.5" customHeight="1" x14ac:dyDescent="0.25">
      <c r="A69" s="161"/>
      <c r="B69" s="437" t="s">
        <v>739</v>
      </c>
      <c r="C69" s="438"/>
      <c r="D69" s="442"/>
      <c r="E69" s="162"/>
      <c r="F69" s="163"/>
      <c r="G69" s="175"/>
    </row>
    <row r="70" spans="1:9" x14ac:dyDescent="0.25">
      <c r="A70" s="66"/>
      <c r="B70" s="62" t="s">
        <v>513</v>
      </c>
      <c r="C70" s="66"/>
      <c r="D70" s="177"/>
      <c r="E70" s="172"/>
      <c r="F70" s="168"/>
      <c r="G70" s="176"/>
    </row>
    <row r="71" spans="1:9" ht="30" x14ac:dyDescent="0.25">
      <c r="A71" s="66">
        <f>A68+1</f>
        <v>55</v>
      </c>
      <c r="B71" s="67" t="s">
        <v>830</v>
      </c>
      <c r="C71" s="66" t="s">
        <v>193</v>
      </c>
      <c r="D71" s="71">
        <v>1202</v>
      </c>
      <c r="E71" s="178">
        <v>90.47</v>
      </c>
      <c r="F71" s="105">
        <f t="shared" ref="F71:F96" si="10">ROUND(E71*D71,2)</f>
        <v>108744.94</v>
      </c>
      <c r="G71" s="105">
        <f t="shared" ref="G71:G88" si="11">ROUND(F71*1.2,2)</f>
        <v>130493.93</v>
      </c>
      <c r="H71">
        <v>325</v>
      </c>
    </row>
    <row r="72" spans="1:9" ht="15.75" x14ac:dyDescent="0.25">
      <c r="A72" s="66">
        <f>A71+1</f>
        <v>56</v>
      </c>
      <c r="B72" s="67" t="s">
        <v>831</v>
      </c>
      <c r="C72" s="66" t="s">
        <v>193</v>
      </c>
      <c r="D72" s="71">
        <v>36</v>
      </c>
      <c r="E72" s="178">
        <v>1860.11</v>
      </c>
      <c r="F72" s="105">
        <f t="shared" si="10"/>
        <v>66963.960000000006</v>
      </c>
      <c r="G72" s="105">
        <f t="shared" si="11"/>
        <v>80356.75</v>
      </c>
      <c r="H72">
        <v>1777</v>
      </c>
    </row>
    <row r="73" spans="1:9" ht="15.75" x14ac:dyDescent="0.25">
      <c r="A73" s="66">
        <f t="shared" ref="A73:A80" si="12">A72+1</f>
        <v>57</v>
      </c>
      <c r="B73" s="67" t="s">
        <v>832</v>
      </c>
      <c r="C73" s="66" t="s">
        <v>193</v>
      </c>
      <c r="D73" s="71">
        <v>46</v>
      </c>
      <c r="E73" s="178">
        <v>1205.9100000000001</v>
      </c>
      <c r="F73" s="105">
        <f t="shared" si="10"/>
        <v>55471.86</v>
      </c>
      <c r="G73" s="105">
        <f t="shared" si="11"/>
        <v>66566.23</v>
      </c>
    </row>
    <row r="74" spans="1:9" ht="15.75" x14ac:dyDescent="0.25">
      <c r="A74" s="66">
        <f t="shared" si="12"/>
        <v>58</v>
      </c>
      <c r="B74" s="67" t="s">
        <v>521</v>
      </c>
      <c r="C74" s="66" t="s">
        <v>193</v>
      </c>
      <c r="D74" s="71">
        <v>8</v>
      </c>
      <c r="E74" s="178">
        <v>1456.66</v>
      </c>
      <c r="F74" s="105">
        <f t="shared" si="10"/>
        <v>11653.28</v>
      </c>
      <c r="G74" s="105">
        <f t="shared" si="11"/>
        <v>13983.94</v>
      </c>
      <c r="H74">
        <v>1379</v>
      </c>
    </row>
    <row r="75" spans="1:9" ht="15.75" x14ac:dyDescent="0.25">
      <c r="A75" s="66">
        <f t="shared" si="12"/>
        <v>59</v>
      </c>
      <c r="B75" s="67" t="s">
        <v>833</v>
      </c>
      <c r="C75" s="66" t="s">
        <v>193</v>
      </c>
      <c r="D75" s="71">
        <v>48</v>
      </c>
      <c r="E75" s="178">
        <v>856.54</v>
      </c>
      <c r="F75" s="105">
        <f t="shared" si="10"/>
        <v>41113.919999999998</v>
      </c>
      <c r="G75" s="105">
        <f t="shared" si="11"/>
        <v>49336.7</v>
      </c>
      <c r="H75">
        <v>1379</v>
      </c>
    </row>
    <row r="76" spans="1:9" ht="15.75" x14ac:dyDescent="0.25">
      <c r="A76" s="66">
        <f t="shared" si="12"/>
        <v>60</v>
      </c>
      <c r="B76" s="67" t="s">
        <v>871</v>
      </c>
      <c r="C76" s="66" t="s">
        <v>193</v>
      </c>
      <c r="D76" s="71">
        <v>1116</v>
      </c>
      <c r="E76" s="178">
        <v>9.73</v>
      </c>
      <c r="F76" s="105">
        <f t="shared" si="10"/>
        <v>10858.68</v>
      </c>
      <c r="G76" s="105">
        <f t="shared" si="11"/>
        <v>13030.42</v>
      </c>
      <c r="H76">
        <v>125</v>
      </c>
    </row>
    <row r="77" spans="1:9" ht="15.75" x14ac:dyDescent="0.25">
      <c r="A77" s="66">
        <f t="shared" si="12"/>
        <v>61</v>
      </c>
      <c r="B77" s="67" t="s">
        <v>451</v>
      </c>
      <c r="C77" s="66" t="s">
        <v>193</v>
      </c>
      <c r="D77" s="71">
        <v>1116</v>
      </c>
      <c r="E77" s="178">
        <v>197.58</v>
      </c>
      <c r="F77" s="105">
        <f t="shared" si="10"/>
        <v>220499.28</v>
      </c>
      <c r="G77" s="105">
        <f t="shared" si="11"/>
        <v>264599.14</v>
      </c>
      <c r="H77">
        <v>198</v>
      </c>
    </row>
    <row r="78" spans="1:9" ht="15.75" x14ac:dyDescent="0.25">
      <c r="A78" s="66">
        <f t="shared" si="12"/>
        <v>62</v>
      </c>
      <c r="B78" s="67" t="s">
        <v>872</v>
      </c>
      <c r="C78" s="66" t="s">
        <v>193</v>
      </c>
      <c r="D78" s="71">
        <v>59</v>
      </c>
      <c r="E78" s="178">
        <v>856.54</v>
      </c>
      <c r="F78" s="105">
        <f t="shared" si="10"/>
        <v>50535.86</v>
      </c>
      <c r="G78" s="105">
        <f t="shared" si="11"/>
        <v>60643.03</v>
      </c>
      <c r="H78">
        <v>899</v>
      </c>
    </row>
    <row r="79" spans="1:9" ht="30" x14ac:dyDescent="0.25">
      <c r="A79" s="66">
        <f t="shared" si="12"/>
        <v>63</v>
      </c>
      <c r="B79" s="67" t="s">
        <v>873</v>
      </c>
      <c r="C79" s="66" t="s">
        <v>239</v>
      </c>
      <c r="D79" s="72">
        <v>100.8</v>
      </c>
      <c r="E79" s="178">
        <v>67.760000000000005</v>
      </c>
      <c r="F79" s="105">
        <f t="shared" si="10"/>
        <v>6830.21</v>
      </c>
      <c r="G79" s="105">
        <f t="shared" si="11"/>
        <v>8196.25</v>
      </c>
      <c r="H79">
        <v>325</v>
      </c>
    </row>
    <row r="80" spans="1:9" ht="30" x14ac:dyDescent="0.25">
      <c r="A80" s="66">
        <f t="shared" si="12"/>
        <v>64</v>
      </c>
      <c r="B80" s="67" t="s">
        <v>835</v>
      </c>
      <c r="C80" s="66" t="s">
        <v>239</v>
      </c>
      <c r="D80" s="72">
        <v>100.8</v>
      </c>
      <c r="E80" s="178">
        <v>312.27999999999997</v>
      </c>
      <c r="F80" s="105">
        <f t="shared" si="10"/>
        <v>31477.82</v>
      </c>
      <c r="G80" s="105">
        <f t="shared" si="11"/>
        <v>37773.379999999997</v>
      </c>
      <c r="H80">
        <v>3460</v>
      </c>
      <c r="I80" s="218" t="s">
        <v>922</v>
      </c>
    </row>
    <row r="81" spans="1:7" ht="15.75" x14ac:dyDescent="0.25">
      <c r="A81" s="66"/>
      <c r="B81" s="62" t="s">
        <v>523</v>
      </c>
      <c r="C81" s="66"/>
      <c r="D81" s="68"/>
      <c r="E81" s="178"/>
      <c r="F81" s="105"/>
      <c r="G81" s="105"/>
    </row>
    <row r="82" spans="1:7" ht="30" x14ac:dyDescent="0.25">
      <c r="A82" s="66">
        <f>A80+1</f>
        <v>65</v>
      </c>
      <c r="B82" s="67" t="s">
        <v>874</v>
      </c>
      <c r="C82" s="66" t="s">
        <v>194</v>
      </c>
      <c r="D82" s="71">
        <v>82</v>
      </c>
      <c r="E82" s="178">
        <v>1494.21</v>
      </c>
      <c r="F82" s="105">
        <f t="shared" si="10"/>
        <v>122525.22</v>
      </c>
      <c r="G82" s="105">
        <f t="shared" si="11"/>
        <v>147030.26</v>
      </c>
    </row>
    <row r="83" spans="1:7" ht="30" x14ac:dyDescent="0.25">
      <c r="A83" s="66">
        <f>A82+1</f>
        <v>66</v>
      </c>
      <c r="B83" s="67" t="s">
        <v>875</v>
      </c>
      <c r="C83" s="66" t="s">
        <v>194</v>
      </c>
      <c r="D83" s="71">
        <v>41</v>
      </c>
      <c r="E83" s="178">
        <v>2559.31</v>
      </c>
      <c r="F83" s="105">
        <f t="shared" si="10"/>
        <v>104931.71</v>
      </c>
      <c r="G83" s="105">
        <f t="shared" si="11"/>
        <v>125918.05</v>
      </c>
    </row>
    <row r="84" spans="1:7" ht="15.75" x14ac:dyDescent="0.25">
      <c r="A84" s="66">
        <f t="shared" ref="A84:A92" si="13">A83+1</f>
        <v>67</v>
      </c>
      <c r="B84" s="67" t="s">
        <v>876</v>
      </c>
      <c r="C84" s="66"/>
      <c r="D84" s="71">
        <v>1</v>
      </c>
      <c r="E84" s="178">
        <v>1504.77</v>
      </c>
      <c r="F84" s="105">
        <f t="shared" si="10"/>
        <v>1504.77</v>
      </c>
      <c r="G84" s="105">
        <f t="shared" si="11"/>
        <v>1805.72</v>
      </c>
    </row>
    <row r="85" spans="1:7" ht="30" x14ac:dyDescent="0.25">
      <c r="A85" s="66">
        <f t="shared" si="13"/>
        <v>68</v>
      </c>
      <c r="B85" s="67" t="s">
        <v>877</v>
      </c>
      <c r="C85" s="66" t="s">
        <v>220</v>
      </c>
      <c r="D85" s="71">
        <v>2</v>
      </c>
      <c r="E85" s="178">
        <v>7253.94</v>
      </c>
      <c r="F85" s="105">
        <f t="shared" si="10"/>
        <v>14507.88</v>
      </c>
      <c r="G85" s="105">
        <f t="shared" si="11"/>
        <v>17409.46</v>
      </c>
    </row>
    <row r="86" spans="1:7" ht="30" x14ac:dyDescent="0.25">
      <c r="A86" s="66">
        <f t="shared" si="13"/>
        <v>69</v>
      </c>
      <c r="B86" s="67" t="s">
        <v>878</v>
      </c>
      <c r="C86" s="66" t="s">
        <v>220</v>
      </c>
      <c r="D86" s="71">
        <v>2</v>
      </c>
      <c r="E86" s="178">
        <v>6691.94</v>
      </c>
      <c r="F86" s="105">
        <f t="shared" si="10"/>
        <v>13383.88</v>
      </c>
      <c r="G86" s="105">
        <f t="shared" si="11"/>
        <v>16060.66</v>
      </c>
    </row>
    <row r="87" spans="1:7" ht="15.75" x14ac:dyDescent="0.25">
      <c r="A87" s="66">
        <f t="shared" si="13"/>
        <v>70</v>
      </c>
      <c r="B87" s="67" t="s">
        <v>865</v>
      </c>
      <c r="C87" s="66" t="s">
        <v>220</v>
      </c>
      <c r="D87" s="71">
        <v>24</v>
      </c>
      <c r="E87" s="178">
        <v>592.5</v>
      </c>
      <c r="F87" s="105">
        <f t="shared" si="10"/>
        <v>14220</v>
      </c>
      <c r="G87" s="105">
        <f t="shared" si="11"/>
        <v>17064</v>
      </c>
    </row>
    <row r="88" spans="1:7" ht="30" x14ac:dyDescent="0.25">
      <c r="A88" s="66">
        <f t="shared" si="13"/>
        <v>71</v>
      </c>
      <c r="B88" s="67" t="s">
        <v>843</v>
      </c>
      <c r="C88" s="66" t="s">
        <v>220</v>
      </c>
      <c r="D88" s="71">
        <v>24</v>
      </c>
      <c r="E88" s="178">
        <v>210.41</v>
      </c>
      <c r="F88" s="105">
        <f t="shared" si="10"/>
        <v>5049.84</v>
      </c>
      <c r="G88" s="105">
        <f t="shared" si="11"/>
        <v>6059.81</v>
      </c>
    </row>
    <row r="89" spans="1:7" ht="45" x14ac:dyDescent="0.25">
      <c r="A89" s="66">
        <f t="shared" si="13"/>
        <v>72</v>
      </c>
      <c r="B89" s="67" t="s">
        <v>879</v>
      </c>
      <c r="C89" s="66" t="s">
        <v>220</v>
      </c>
      <c r="D89" s="71">
        <v>2</v>
      </c>
      <c r="E89" s="178">
        <v>2752.92</v>
      </c>
      <c r="F89" s="105">
        <f t="shared" si="10"/>
        <v>5505.84</v>
      </c>
      <c r="G89" s="105">
        <f t="shared" ref="G89:G96" si="14">ROUND(F89*1.2,2)</f>
        <v>6607.01</v>
      </c>
    </row>
    <row r="90" spans="1:7" ht="45" x14ac:dyDescent="0.25">
      <c r="A90" s="66">
        <f t="shared" si="13"/>
        <v>73</v>
      </c>
      <c r="B90" s="67" t="s">
        <v>880</v>
      </c>
      <c r="C90" s="66" t="s">
        <v>220</v>
      </c>
      <c r="D90" s="71">
        <v>2</v>
      </c>
      <c r="E90" s="178">
        <v>5356.92</v>
      </c>
      <c r="F90" s="105">
        <f t="shared" si="10"/>
        <v>10713.84</v>
      </c>
      <c r="G90" s="105">
        <f t="shared" si="14"/>
        <v>12856.61</v>
      </c>
    </row>
    <row r="91" spans="1:7" ht="30" x14ac:dyDescent="0.25">
      <c r="A91" s="66">
        <f t="shared" si="13"/>
        <v>74</v>
      </c>
      <c r="B91" s="67" t="s">
        <v>881</v>
      </c>
      <c r="C91" s="66" t="s">
        <v>220</v>
      </c>
      <c r="D91" s="71">
        <v>6</v>
      </c>
      <c r="E91" s="178">
        <v>3397.3</v>
      </c>
      <c r="F91" s="105">
        <f t="shared" si="10"/>
        <v>20383.8</v>
      </c>
      <c r="G91" s="105">
        <f t="shared" si="14"/>
        <v>24460.560000000001</v>
      </c>
    </row>
    <row r="92" spans="1:7" ht="30" x14ac:dyDescent="0.25">
      <c r="A92" s="66">
        <f t="shared" si="13"/>
        <v>75</v>
      </c>
      <c r="B92" s="67" t="s">
        <v>850</v>
      </c>
      <c r="C92" s="66" t="s">
        <v>924</v>
      </c>
      <c r="D92" s="71">
        <v>1</v>
      </c>
      <c r="E92" s="178">
        <v>42094.04</v>
      </c>
      <c r="F92" s="105">
        <f t="shared" si="10"/>
        <v>42094.04</v>
      </c>
      <c r="G92" s="105">
        <f t="shared" si="14"/>
        <v>50512.85</v>
      </c>
    </row>
    <row r="93" spans="1:7" ht="15.75" x14ac:dyDescent="0.25">
      <c r="A93" s="66"/>
      <c r="B93" s="62" t="s">
        <v>856</v>
      </c>
      <c r="C93" s="66"/>
      <c r="D93" s="71"/>
      <c r="E93" s="178"/>
      <c r="F93" s="105"/>
      <c r="G93" s="105"/>
    </row>
    <row r="94" spans="1:7" ht="23.25" customHeight="1" x14ac:dyDescent="0.25">
      <c r="A94" s="66">
        <f>A92+1</f>
        <v>76</v>
      </c>
      <c r="B94" s="67" t="s">
        <v>882</v>
      </c>
      <c r="C94" s="66" t="s">
        <v>194</v>
      </c>
      <c r="D94" s="71">
        <v>85</v>
      </c>
      <c r="E94" s="178">
        <v>915.99</v>
      </c>
      <c r="F94" s="105">
        <f t="shared" si="10"/>
        <v>77859.149999999994</v>
      </c>
      <c r="G94" s="105">
        <f t="shared" si="14"/>
        <v>93430.98</v>
      </c>
    </row>
    <row r="95" spans="1:7" ht="15.75" x14ac:dyDescent="0.25">
      <c r="A95" s="66">
        <f>A94+1</f>
        <v>77</v>
      </c>
      <c r="B95" s="67" t="s">
        <v>858</v>
      </c>
      <c r="C95" s="66" t="s">
        <v>239</v>
      </c>
      <c r="D95" s="71">
        <v>4</v>
      </c>
      <c r="E95" s="178">
        <v>433.62</v>
      </c>
      <c r="F95" s="105">
        <f t="shared" si="10"/>
        <v>1734.48</v>
      </c>
      <c r="G95" s="105">
        <f t="shared" si="14"/>
        <v>2081.38</v>
      </c>
    </row>
    <row r="96" spans="1:7" ht="30" x14ac:dyDescent="0.25">
      <c r="A96" s="66">
        <f>A95+1</f>
        <v>78</v>
      </c>
      <c r="B96" s="67" t="s">
        <v>883</v>
      </c>
      <c r="C96" s="66" t="s">
        <v>239</v>
      </c>
      <c r="D96" s="71">
        <v>4</v>
      </c>
      <c r="E96" s="178">
        <v>312.27999999999997</v>
      </c>
      <c r="F96" s="105">
        <f t="shared" si="10"/>
        <v>1249.1199999999999</v>
      </c>
      <c r="G96" s="105">
        <f t="shared" si="14"/>
        <v>1498.94</v>
      </c>
    </row>
    <row r="97" spans="1:9" ht="32.25" customHeight="1" x14ac:dyDescent="0.25">
      <c r="A97" s="161"/>
      <c r="B97" s="437" t="s">
        <v>740</v>
      </c>
      <c r="C97" s="438"/>
      <c r="D97" s="442"/>
      <c r="E97" s="162"/>
      <c r="F97" s="163"/>
      <c r="G97" s="175"/>
    </row>
    <row r="98" spans="1:9" x14ac:dyDescent="0.25">
      <c r="A98" s="66"/>
      <c r="B98" s="62" t="s">
        <v>513</v>
      </c>
      <c r="C98" s="66"/>
      <c r="D98" s="71"/>
      <c r="E98" s="172"/>
      <c r="F98" s="168"/>
      <c r="G98" s="176"/>
    </row>
    <row r="99" spans="1:9" ht="30" x14ac:dyDescent="0.25">
      <c r="A99" s="66">
        <f>A96+1</f>
        <v>79</v>
      </c>
      <c r="B99" s="67" t="s">
        <v>830</v>
      </c>
      <c r="C99" s="66" t="s">
        <v>193</v>
      </c>
      <c r="D99" s="71">
        <v>1328</v>
      </c>
      <c r="E99" s="178">
        <v>90.47</v>
      </c>
      <c r="F99" s="105">
        <f t="shared" ref="F99:F120" si="15">ROUND(E99*D99,2)</f>
        <v>120144.16</v>
      </c>
      <c r="G99" s="105">
        <f t="shared" ref="G99:G120" si="16">ROUND(F99*1.2,2)</f>
        <v>144172.99</v>
      </c>
      <c r="H99">
        <v>325</v>
      </c>
    </row>
    <row r="100" spans="1:9" ht="15.75" x14ac:dyDescent="0.25">
      <c r="A100" s="66">
        <f>A99+1</f>
        <v>80</v>
      </c>
      <c r="B100" s="67" t="s">
        <v>831</v>
      </c>
      <c r="C100" s="66" t="s">
        <v>193</v>
      </c>
      <c r="D100" s="71">
        <v>40</v>
      </c>
      <c r="E100" s="178">
        <v>1860.11</v>
      </c>
      <c r="F100" s="105">
        <f t="shared" si="15"/>
        <v>74404.399999999994</v>
      </c>
      <c r="G100" s="105">
        <f t="shared" si="16"/>
        <v>89285.28</v>
      </c>
      <c r="H100">
        <v>1777</v>
      </c>
    </row>
    <row r="101" spans="1:9" ht="15.75" x14ac:dyDescent="0.25">
      <c r="A101" s="66">
        <f t="shared" ref="A101:A109" si="17">A100+1</f>
        <v>81</v>
      </c>
      <c r="B101" s="67" t="s">
        <v>832</v>
      </c>
      <c r="C101" s="66" t="s">
        <v>193</v>
      </c>
      <c r="D101" s="71">
        <v>15</v>
      </c>
      <c r="E101" s="178">
        <v>1155.67</v>
      </c>
      <c r="F101" s="105">
        <f t="shared" si="15"/>
        <v>17335.05</v>
      </c>
      <c r="G101" s="105">
        <f t="shared" si="16"/>
        <v>20802.060000000001</v>
      </c>
    </row>
    <row r="102" spans="1:9" ht="15.75" x14ac:dyDescent="0.25">
      <c r="A102" s="66">
        <f t="shared" si="17"/>
        <v>82</v>
      </c>
      <c r="B102" s="67" t="s">
        <v>521</v>
      </c>
      <c r="C102" s="66" t="s">
        <v>193</v>
      </c>
      <c r="D102" s="71">
        <v>4</v>
      </c>
      <c r="E102" s="178">
        <v>1456.66</v>
      </c>
      <c r="F102" s="105">
        <f t="shared" si="15"/>
        <v>5826.64</v>
      </c>
      <c r="G102" s="105">
        <f t="shared" si="16"/>
        <v>6991.97</v>
      </c>
      <c r="H102">
        <v>1379</v>
      </c>
    </row>
    <row r="103" spans="1:9" ht="15.75" x14ac:dyDescent="0.25">
      <c r="A103" s="66">
        <f t="shared" si="17"/>
        <v>83</v>
      </c>
      <c r="B103" s="67" t="s">
        <v>833</v>
      </c>
      <c r="C103" s="66" t="s">
        <v>193</v>
      </c>
      <c r="D103" s="71">
        <v>15</v>
      </c>
      <c r="E103" s="178">
        <v>856.54</v>
      </c>
      <c r="F103" s="105">
        <f t="shared" si="15"/>
        <v>12848.1</v>
      </c>
      <c r="G103" s="105">
        <f t="shared" si="16"/>
        <v>15417.72</v>
      </c>
      <c r="H103">
        <v>1379</v>
      </c>
    </row>
    <row r="104" spans="1:9" ht="15.75" x14ac:dyDescent="0.25">
      <c r="A104" s="66">
        <f t="shared" si="17"/>
        <v>84</v>
      </c>
      <c r="B104" s="67" t="s">
        <v>871</v>
      </c>
      <c r="C104" s="66" t="s">
        <v>193</v>
      </c>
      <c r="D104" s="71">
        <v>1280</v>
      </c>
      <c r="E104" s="178">
        <v>9.73</v>
      </c>
      <c r="F104" s="105">
        <f t="shared" si="15"/>
        <v>12454.4</v>
      </c>
      <c r="G104" s="105">
        <f t="shared" si="16"/>
        <v>14945.28</v>
      </c>
      <c r="H104">
        <v>125</v>
      </c>
    </row>
    <row r="105" spans="1:9" ht="15.75" x14ac:dyDescent="0.25">
      <c r="A105" s="66">
        <f t="shared" si="17"/>
        <v>85</v>
      </c>
      <c r="B105" s="67" t="s">
        <v>451</v>
      </c>
      <c r="C105" s="66" t="s">
        <v>193</v>
      </c>
      <c r="D105" s="71">
        <v>1280</v>
      </c>
      <c r="E105" s="178">
        <v>197.58</v>
      </c>
      <c r="F105" s="105">
        <f t="shared" si="15"/>
        <v>252902.39999999999</v>
      </c>
      <c r="G105" s="105">
        <f t="shared" si="16"/>
        <v>303482.88</v>
      </c>
      <c r="H105">
        <v>198</v>
      </c>
    </row>
    <row r="106" spans="1:9" ht="15.75" x14ac:dyDescent="0.25">
      <c r="A106" s="66">
        <f t="shared" si="17"/>
        <v>86</v>
      </c>
      <c r="B106" s="67" t="s">
        <v>872</v>
      </c>
      <c r="C106" s="66" t="s">
        <v>193</v>
      </c>
      <c r="D106" s="71">
        <v>67</v>
      </c>
      <c r="E106" s="178">
        <v>856.54</v>
      </c>
      <c r="F106" s="105">
        <f t="shared" si="15"/>
        <v>57388.18</v>
      </c>
      <c r="G106" s="105">
        <f t="shared" si="16"/>
        <v>68865.820000000007</v>
      </c>
      <c r="H106">
        <v>899</v>
      </c>
    </row>
    <row r="107" spans="1:9" ht="30" x14ac:dyDescent="0.25">
      <c r="A107" s="66">
        <f t="shared" si="17"/>
        <v>87</v>
      </c>
      <c r="B107" s="67" t="s">
        <v>873</v>
      </c>
      <c r="C107" s="66" t="s">
        <v>239</v>
      </c>
      <c r="D107" s="72">
        <v>33.6</v>
      </c>
      <c r="E107" s="178">
        <v>67.760000000000005</v>
      </c>
      <c r="F107" s="105">
        <f t="shared" si="15"/>
        <v>2276.7399999999998</v>
      </c>
      <c r="G107" s="105">
        <f t="shared" si="16"/>
        <v>2732.09</v>
      </c>
      <c r="H107">
        <v>325</v>
      </c>
    </row>
    <row r="108" spans="1:9" ht="30" x14ac:dyDescent="0.25">
      <c r="A108" s="66">
        <f t="shared" si="17"/>
        <v>88</v>
      </c>
      <c r="B108" s="67" t="s">
        <v>835</v>
      </c>
      <c r="C108" s="66" t="s">
        <v>239</v>
      </c>
      <c r="D108" s="72">
        <v>33.6</v>
      </c>
      <c r="E108" s="178">
        <v>312.27999999999997</v>
      </c>
      <c r="F108" s="105">
        <f t="shared" si="15"/>
        <v>10492.61</v>
      </c>
      <c r="G108" s="105">
        <f t="shared" si="16"/>
        <v>12591.13</v>
      </c>
      <c r="H108">
        <v>3460</v>
      </c>
      <c r="I108" s="218" t="s">
        <v>922</v>
      </c>
    </row>
    <row r="109" spans="1:9" ht="30" x14ac:dyDescent="0.25">
      <c r="A109" s="66">
        <f t="shared" si="17"/>
        <v>89</v>
      </c>
      <c r="B109" s="67" t="s">
        <v>884</v>
      </c>
      <c r="C109" s="66" t="s">
        <v>431</v>
      </c>
      <c r="D109" s="71">
        <v>127</v>
      </c>
      <c r="E109" s="178">
        <v>306.77</v>
      </c>
      <c r="F109" s="105">
        <f t="shared" si="15"/>
        <v>38959.79</v>
      </c>
      <c r="G109" s="105">
        <f t="shared" si="16"/>
        <v>46751.75</v>
      </c>
    </row>
    <row r="110" spans="1:9" ht="21.75" customHeight="1" x14ac:dyDescent="0.25">
      <c r="A110" s="66"/>
      <c r="B110" s="62" t="s">
        <v>523</v>
      </c>
      <c r="C110" s="66"/>
      <c r="D110" s="71"/>
      <c r="E110" s="178"/>
      <c r="F110" s="105"/>
      <c r="G110" s="105"/>
    </row>
    <row r="111" spans="1:9" ht="30" x14ac:dyDescent="0.25">
      <c r="A111" s="66">
        <f>A109+1</f>
        <v>90</v>
      </c>
      <c r="B111" s="67" t="s">
        <v>885</v>
      </c>
      <c r="C111" s="66" t="s">
        <v>194</v>
      </c>
      <c r="D111" s="71">
        <v>42</v>
      </c>
      <c r="E111" s="178">
        <v>1045.03</v>
      </c>
      <c r="F111" s="105">
        <f t="shared" si="15"/>
        <v>43891.26</v>
      </c>
      <c r="G111" s="105">
        <f t="shared" si="16"/>
        <v>52669.51</v>
      </c>
    </row>
    <row r="112" spans="1:9" ht="45" x14ac:dyDescent="0.25">
      <c r="A112" s="66">
        <f>A111+1</f>
        <v>91</v>
      </c>
      <c r="B112" s="67" t="s">
        <v>886</v>
      </c>
      <c r="C112" s="66" t="s">
        <v>194</v>
      </c>
      <c r="D112" s="71">
        <v>6</v>
      </c>
      <c r="E112" s="178">
        <v>1960.07</v>
      </c>
      <c r="F112" s="105">
        <f t="shared" si="15"/>
        <v>11760.42</v>
      </c>
      <c r="G112" s="105">
        <f t="shared" si="16"/>
        <v>14112.5</v>
      </c>
    </row>
    <row r="113" spans="1:8" ht="45" x14ac:dyDescent="0.25">
      <c r="A113" s="66">
        <f t="shared" ref="A113:A116" si="18">A112+1</f>
        <v>92</v>
      </c>
      <c r="B113" s="67" t="s">
        <v>887</v>
      </c>
      <c r="C113" s="66" t="s">
        <v>220</v>
      </c>
      <c r="D113" s="71">
        <v>2</v>
      </c>
      <c r="E113" s="178">
        <v>1871.48</v>
      </c>
      <c r="F113" s="105">
        <f t="shared" si="15"/>
        <v>3742.96</v>
      </c>
      <c r="G113" s="105">
        <f t="shared" si="16"/>
        <v>4491.55</v>
      </c>
    </row>
    <row r="114" spans="1:8" ht="45" x14ac:dyDescent="0.25">
      <c r="A114" s="66">
        <f t="shared" si="18"/>
        <v>93</v>
      </c>
      <c r="B114" s="67" t="s">
        <v>888</v>
      </c>
      <c r="C114" s="66" t="s">
        <v>220</v>
      </c>
      <c r="D114" s="71">
        <v>2</v>
      </c>
      <c r="E114" s="178">
        <v>6085.16</v>
      </c>
      <c r="F114" s="105">
        <f t="shared" si="15"/>
        <v>12170.32</v>
      </c>
      <c r="G114" s="105">
        <f t="shared" si="16"/>
        <v>14604.38</v>
      </c>
    </row>
    <row r="115" spans="1:8" ht="30" x14ac:dyDescent="0.25">
      <c r="A115" s="66">
        <f t="shared" si="18"/>
        <v>94</v>
      </c>
      <c r="B115" s="67" t="s">
        <v>849</v>
      </c>
      <c r="C115" s="66" t="s">
        <v>220</v>
      </c>
      <c r="D115" s="71">
        <v>1</v>
      </c>
      <c r="E115" s="178">
        <v>3397.31</v>
      </c>
      <c r="F115" s="105">
        <f t="shared" si="15"/>
        <v>3397.31</v>
      </c>
      <c r="G115" s="105">
        <f t="shared" si="16"/>
        <v>4076.77</v>
      </c>
    </row>
    <row r="116" spans="1:8" ht="30" customHeight="1" x14ac:dyDescent="0.25">
      <c r="A116" s="66">
        <f t="shared" si="18"/>
        <v>95</v>
      </c>
      <c r="B116" s="67" t="s">
        <v>850</v>
      </c>
      <c r="C116" s="66" t="s">
        <v>924</v>
      </c>
      <c r="D116" s="71">
        <v>1</v>
      </c>
      <c r="E116" s="178">
        <v>30624.26</v>
      </c>
      <c r="F116" s="105">
        <f t="shared" si="15"/>
        <v>30624.26</v>
      </c>
      <c r="G116" s="105">
        <f t="shared" si="16"/>
        <v>36749.11</v>
      </c>
    </row>
    <row r="117" spans="1:8" ht="22.5" customHeight="1" x14ac:dyDescent="0.25">
      <c r="A117" s="66"/>
      <c r="B117" s="62" t="s">
        <v>856</v>
      </c>
      <c r="C117" s="66"/>
      <c r="D117" s="71"/>
      <c r="E117" s="178"/>
      <c r="F117" s="105"/>
      <c r="G117" s="105"/>
    </row>
    <row r="118" spans="1:8" ht="15.75" x14ac:dyDescent="0.25">
      <c r="A118" s="66">
        <f>A116+1</f>
        <v>96</v>
      </c>
      <c r="B118" s="67" t="s">
        <v>889</v>
      </c>
      <c r="C118" s="66" t="s">
        <v>194</v>
      </c>
      <c r="D118" s="71">
        <v>42</v>
      </c>
      <c r="E118" s="178">
        <v>728.05</v>
      </c>
      <c r="F118" s="105">
        <f t="shared" si="15"/>
        <v>30578.1</v>
      </c>
      <c r="G118" s="105">
        <f t="shared" si="16"/>
        <v>36693.72</v>
      </c>
    </row>
    <row r="119" spans="1:8" ht="15.75" x14ac:dyDescent="0.25">
      <c r="A119" s="66">
        <f>A118+1</f>
        <v>97</v>
      </c>
      <c r="B119" s="67" t="s">
        <v>891</v>
      </c>
      <c r="C119" s="66" t="s">
        <v>239</v>
      </c>
      <c r="D119" s="72">
        <v>0.6</v>
      </c>
      <c r="E119" s="178">
        <v>436.17</v>
      </c>
      <c r="F119" s="105">
        <f t="shared" si="15"/>
        <v>261.7</v>
      </c>
      <c r="G119" s="105">
        <f t="shared" si="16"/>
        <v>314.04000000000002</v>
      </c>
    </row>
    <row r="120" spans="1:8" ht="30" x14ac:dyDescent="0.25">
      <c r="A120" s="66">
        <f>A119+1</f>
        <v>98</v>
      </c>
      <c r="B120" s="67" t="s">
        <v>890</v>
      </c>
      <c r="C120" s="66" t="s">
        <v>239</v>
      </c>
      <c r="D120" s="72">
        <v>0.6</v>
      </c>
      <c r="E120" s="178">
        <v>312.27999999999997</v>
      </c>
      <c r="F120" s="105">
        <f t="shared" si="15"/>
        <v>187.37</v>
      </c>
      <c r="G120" s="105">
        <f t="shared" si="16"/>
        <v>224.84</v>
      </c>
    </row>
    <row r="121" spans="1:8" ht="33.75" customHeight="1" x14ac:dyDescent="0.25">
      <c r="A121" s="161"/>
      <c r="B121" s="437" t="s">
        <v>741</v>
      </c>
      <c r="C121" s="438"/>
      <c r="D121" s="442"/>
      <c r="E121" s="162"/>
      <c r="F121" s="163"/>
      <c r="G121" s="175"/>
    </row>
    <row r="122" spans="1:8" x14ac:dyDescent="0.25">
      <c r="A122" s="66"/>
      <c r="B122" s="62" t="s">
        <v>513</v>
      </c>
      <c r="C122" s="66"/>
      <c r="D122" s="71"/>
      <c r="E122" s="172"/>
      <c r="F122" s="168"/>
      <c r="G122" s="176"/>
    </row>
    <row r="123" spans="1:8" ht="30" x14ac:dyDescent="0.25">
      <c r="A123" s="66">
        <f>A120+1</f>
        <v>99</v>
      </c>
      <c r="B123" s="67" t="s">
        <v>830</v>
      </c>
      <c r="C123" s="66" t="s">
        <v>193</v>
      </c>
      <c r="D123" s="71">
        <v>835</v>
      </c>
      <c r="E123" s="178">
        <v>90.47</v>
      </c>
      <c r="F123" s="105">
        <f t="shared" ref="F123:F139" si="19">ROUND(E123*D123,2)</f>
        <v>75542.45</v>
      </c>
      <c r="G123" s="105">
        <f t="shared" ref="G123:G139" si="20">ROUND(F123*1.2,2)</f>
        <v>90650.94</v>
      </c>
      <c r="H123">
        <v>325</v>
      </c>
    </row>
    <row r="124" spans="1:8" ht="15.75" x14ac:dyDescent="0.25">
      <c r="A124" s="66">
        <f>A123+1</f>
        <v>100</v>
      </c>
      <c r="B124" s="67" t="s">
        <v>831</v>
      </c>
      <c r="C124" s="66" t="s">
        <v>193</v>
      </c>
      <c r="D124" s="71">
        <v>25</v>
      </c>
      <c r="E124" s="178">
        <v>1860.11</v>
      </c>
      <c r="F124" s="105">
        <f t="shared" si="19"/>
        <v>46502.75</v>
      </c>
      <c r="G124" s="105">
        <f t="shared" si="20"/>
        <v>55803.3</v>
      </c>
      <c r="H124">
        <v>1777</v>
      </c>
    </row>
    <row r="125" spans="1:8" ht="15.75" x14ac:dyDescent="0.25">
      <c r="A125" s="66">
        <f>A124+1</f>
        <v>101</v>
      </c>
      <c r="B125" s="67" t="s">
        <v>832</v>
      </c>
      <c r="C125" s="66" t="s">
        <v>193</v>
      </c>
      <c r="D125" s="71">
        <v>9</v>
      </c>
      <c r="E125" s="178">
        <v>1155.67</v>
      </c>
      <c r="F125" s="105">
        <f t="shared" si="19"/>
        <v>10401.030000000001</v>
      </c>
      <c r="G125" s="105">
        <f t="shared" si="20"/>
        <v>12481.24</v>
      </c>
    </row>
    <row r="126" spans="1:8" ht="15.75" x14ac:dyDescent="0.25">
      <c r="A126" s="66">
        <f t="shared" ref="A126:A132" si="21">A125+1</f>
        <v>102</v>
      </c>
      <c r="B126" s="67" t="s">
        <v>521</v>
      </c>
      <c r="C126" s="66" t="s">
        <v>193</v>
      </c>
      <c r="D126" s="71">
        <v>2</v>
      </c>
      <c r="E126" s="178">
        <v>1456.66</v>
      </c>
      <c r="F126" s="105">
        <f t="shared" si="19"/>
        <v>2913.32</v>
      </c>
      <c r="G126" s="105">
        <f t="shared" si="20"/>
        <v>3495.98</v>
      </c>
      <c r="H126">
        <v>1379</v>
      </c>
    </row>
    <row r="127" spans="1:8" ht="15.75" x14ac:dyDescent="0.25">
      <c r="A127" s="66">
        <f t="shared" si="21"/>
        <v>103</v>
      </c>
      <c r="B127" s="67" t="s">
        <v>833</v>
      </c>
      <c r="C127" s="66" t="s">
        <v>193</v>
      </c>
      <c r="D127" s="71">
        <v>9</v>
      </c>
      <c r="E127" s="178">
        <v>856.54</v>
      </c>
      <c r="F127" s="105">
        <f t="shared" si="19"/>
        <v>7708.86</v>
      </c>
      <c r="G127" s="105">
        <f t="shared" si="20"/>
        <v>9250.6299999999992</v>
      </c>
      <c r="H127">
        <v>1379</v>
      </c>
    </row>
    <row r="128" spans="1:8" ht="15.75" x14ac:dyDescent="0.25">
      <c r="A128" s="66">
        <f t="shared" si="21"/>
        <v>104</v>
      </c>
      <c r="B128" s="67" t="s">
        <v>871</v>
      </c>
      <c r="C128" s="66" t="s">
        <v>193</v>
      </c>
      <c r="D128" s="71">
        <v>805</v>
      </c>
      <c r="E128" s="178">
        <v>9.73</v>
      </c>
      <c r="F128" s="105">
        <f t="shared" si="19"/>
        <v>7832.65</v>
      </c>
      <c r="G128" s="105">
        <f t="shared" si="20"/>
        <v>9399.18</v>
      </c>
      <c r="H128">
        <v>125</v>
      </c>
    </row>
    <row r="129" spans="1:9" ht="15.75" x14ac:dyDescent="0.25">
      <c r="A129" s="66">
        <f t="shared" si="21"/>
        <v>105</v>
      </c>
      <c r="B129" s="67" t="s">
        <v>451</v>
      </c>
      <c r="C129" s="66" t="s">
        <v>193</v>
      </c>
      <c r="D129" s="71">
        <v>805</v>
      </c>
      <c r="E129" s="178">
        <v>197.58</v>
      </c>
      <c r="F129" s="105">
        <f t="shared" si="19"/>
        <v>159051.9</v>
      </c>
      <c r="G129" s="105">
        <f t="shared" si="20"/>
        <v>190862.28</v>
      </c>
      <c r="H129">
        <v>198</v>
      </c>
    </row>
    <row r="130" spans="1:9" ht="15.75" x14ac:dyDescent="0.25">
      <c r="A130" s="66">
        <f t="shared" si="21"/>
        <v>106</v>
      </c>
      <c r="B130" s="67" t="s">
        <v>872</v>
      </c>
      <c r="C130" s="66" t="s">
        <v>193</v>
      </c>
      <c r="D130" s="71">
        <v>42</v>
      </c>
      <c r="E130" s="178">
        <v>856.54</v>
      </c>
      <c r="F130" s="105">
        <f t="shared" si="19"/>
        <v>35974.68</v>
      </c>
      <c r="G130" s="105">
        <f t="shared" si="20"/>
        <v>43169.62</v>
      </c>
      <c r="H130">
        <v>899</v>
      </c>
    </row>
    <row r="131" spans="1:9" ht="30" x14ac:dyDescent="0.25">
      <c r="A131" s="66">
        <f t="shared" si="21"/>
        <v>107</v>
      </c>
      <c r="B131" s="67" t="s">
        <v>873</v>
      </c>
      <c r="C131" s="66" t="s">
        <v>239</v>
      </c>
      <c r="D131" s="72">
        <v>20.8</v>
      </c>
      <c r="E131" s="178">
        <v>67.760000000000005</v>
      </c>
      <c r="F131" s="105">
        <f t="shared" si="19"/>
        <v>1409.41</v>
      </c>
      <c r="G131" s="105">
        <f t="shared" si="20"/>
        <v>1691.29</v>
      </c>
      <c r="H131">
        <v>325</v>
      </c>
    </row>
    <row r="132" spans="1:9" ht="30" x14ac:dyDescent="0.25">
      <c r="A132" s="66">
        <f t="shared" si="21"/>
        <v>108</v>
      </c>
      <c r="B132" s="67" t="s">
        <v>835</v>
      </c>
      <c r="C132" s="66" t="s">
        <v>239</v>
      </c>
      <c r="D132" s="72">
        <v>20.8</v>
      </c>
      <c r="E132" s="178">
        <v>312.27999999999997</v>
      </c>
      <c r="F132" s="105">
        <f t="shared" si="19"/>
        <v>6495.42</v>
      </c>
      <c r="G132" s="105">
        <f t="shared" si="20"/>
        <v>7794.5</v>
      </c>
      <c r="H132">
        <v>3460</v>
      </c>
      <c r="I132" s="218" t="s">
        <v>922</v>
      </c>
    </row>
    <row r="133" spans="1:9" ht="22.5" customHeight="1" x14ac:dyDescent="0.25">
      <c r="A133" s="66"/>
      <c r="B133" s="62" t="s">
        <v>523</v>
      </c>
      <c r="C133" s="66"/>
      <c r="D133" s="72"/>
      <c r="E133" s="178"/>
      <c r="F133" s="105"/>
      <c r="G133" s="105"/>
    </row>
    <row r="134" spans="1:9" ht="30" x14ac:dyDescent="0.25">
      <c r="A134" s="66">
        <f>A132+1</f>
        <v>109</v>
      </c>
      <c r="B134" s="67" t="s">
        <v>885</v>
      </c>
      <c r="C134" s="66" t="s">
        <v>194</v>
      </c>
      <c r="D134" s="71">
        <v>23</v>
      </c>
      <c r="E134" s="178">
        <v>1045.03</v>
      </c>
      <c r="F134" s="105">
        <f t="shared" si="19"/>
        <v>24035.69</v>
      </c>
      <c r="G134" s="105">
        <f t="shared" si="20"/>
        <v>28842.83</v>
      </c>
    </row>
    <row r="135" spans="1:9" ht="45" x14ac:dyDescent="0.25">
      <c r="A135" s="66">
        <f>A134+1</f>
        <v>110</v>
      </c>
      <c r="B135" s="67" t="s">
        <v>892</v>
      </c>
      <c r="C135" s="66" t="s">
        <v>194</v>
      </c>
      <c r="D135" s="71">
        <v>6</v>
      </c>
      <c r="E135" s="178">
        <v>1960.07</v>
      </c>
      <c r="F135" s="105">
        <f t="shared" si="19"/>
        <v>11760.42</v>
      </c>
      <c r="G135" s="105">
        <f t="shared" si="20"/>
        <v>14112.5</v>
      </c>
    </row>
    <row r="136" spans="1:9" ht="45" x14ac:dyDescent="0.25">
      <c r="A136" s="66">
        <f t="shared" ref="A136:A139" si="22">A135+1</f>
        <v>111</v>
      </c>
      <c r="B136" s="67" t="s">
        <v>887</v>
      </c>
      <c r="C136" s="66" t="s">
        <v>220</v>
      </c>
      <c r="D136" s="71">
        <v>4</v>
      </c>
      <c r="E136" s="178">
        <v>1871.49</v>
      </c>
      <c r="F136" s="105">
        <f t="shared" si="19"/>
        <v>7485.96</v>
      </c>
      <c r="G136" s="105">
        <f t="shared" si="20"/>
        <v>8983.15</v>
      </c>
    </row>
    <row r="137" spans="1:9" ht="45" x14ac:dyDescent="0.25">
      <c r="A137" s="66">
        <f t="shared" si="22"/>
        <v>112</v>
      </c>
      <c r="B137" s="67" t="s">
        <v>888</v>
      </c>
      <c r="C137" s="66" t="s">
        <v>220</v>
      </c>
      <c r="D137" s="71">
        <v>4</v>
      </c>
      <c r="E137" s="178">
        <v>6085.15</v>
      </c>
      <c r="F137" s="105">
        <f t="shared" si="19"/>
        <v>24340.6</v>
      </c>
      <c r="G137" s="105">
        <f t="shared" si="20"/>
        <v>29208.720000000001</v>
      </c>
    </row>
    <row r="138" spans="1:9" ht="30" x14ac:dyDescent="0.25">
      <c r="A138" s="66">
        <f t="shared" si="22"/>
        <v>113</v>
      </c>
      <c r="B138" s="67" t="s">
        <v>849</v>
      </c>
      <c r="C138" s="66" t="s">
        <v>220</v>
      </c>
      <c r="D138" s="71">
        <v>1</v>
      </c>
      <c r="E138" s="178">
        <v>3397.31</v>
      </c>
      <c r="F138" s="105">
        <f t="shared" si="19"/>
        <v>3397.31</v>
      </c>
      <c r="G138" s="105">
        <f t="shared" si="20"/>
        <v>4076.77</v>
      </c>
    </row>
    <row r="139" spans="1:9" ht="30" x14ac:dyDescent="0.25">
      <c r="A139" s="66">
        <f t="shared" si="22"/>
        <v>114</v>
      </c>
      <c r="B139" s="67" t="s">
        <v>850</v>
      </c>
      <c r="C139" s="66" t="s">
        <v>924</v>
      </c>
      <c r="D139" s="71">
        <v>1</v>
      </c>
      <c r="E139" s="178">
        <v>30624.26</v>
      </c>
      <c r="F139" s="105">
        <f t="shared" si="19"/>
        <v>30624.26</v>
      </c>
      <c r="G139" s="105">
        <f t="shared" si="20"/>
        <v>36749.11</v>
      </c>
    </row>
    <row r="140" spans="1:9" ht="34.5" customHeight="1" x14ac:dyDescent="0.25">
      <c r="A140" s="161"/>
      <c r="B140" s="437" t="s">
        <v>742</v>
      </c>
      <c r="C140" s="438"/>
      <c r="D140" s="442"/>
      <c r="E140" s="162"/>
      <c r="F140" s="163"/>
      <c r="G140" s="175"/>
    </row>
    <row r="141" spans="1:9" ht="25.5" customHeight="1" x14ac:dyDescent="0.25">
      <c r="A141" s="66"/>
      <c r="B141" s="62" t="s">
        <v>513</v>
      </c>
      <c r="C141" s="66"/>
      <c r="D141" s="71"/>
      <c r="E141" s="89"/>
      <c r="F141" s="168"/>
      <c r="G141" s="176"/>
    </row>
    <row r="142" spans="1:9" ht="30" x14ac:dyDescent="0.25">
      <c r="A142" s="66">
        <f>A139+1</f>
        <v>115</v>
      </c>
      <c r="B142" s="67" t="s">
        <v>830</v>
      </c>
      <c r="C142" s="66" t="s">
        <v>193</v>
      </c>
      <c r="D142" s="71">
        <v>845</v>
      </c>
      <c r="E142" s="178">
        <v>90.47</v>
      </c>
      <c r="F142" s="105">
        <f t="shared" ref="F142:F162" si="23">ROUND(E142*D142,2)</f>
        <v>76447.149999999994</v>
      </c>
      <c r="G142" s="105">
        <f t="shared" ref="G142:G162" si="24">ROUND(F142*1.2,2)</f>
        <v>91736.58</v>
      </c>
      <c r="H142">
        <v>325</v>
      </c>
    </row>
    <row r="143" spans="1:9" ht="15.75" x14ac:dyDescent="0.25">
      <c r="A143" s="66">
        <f>A142+1</f>
        <v>116</v>
      </c>
      <c r="B143" s="67" t="s">
        <v>831</v>
      </c>
      <c r="C143" s="66" t="s">
        <v>193</v>
      </c>
      <c r="D143" s="71">
        <v>25</v>
      </c>
      <c r="E143" s="178">
        <v>1860.11</v>
      </c>
      <c r="F143" s="105">
        <f t="shared" si="23"/>
        <v>46502.75</v>
      </c>
      <c r="G143" s="105">
        <f t="shared" si="24"/>
        <v>55803.3</v>
      </c>
      <c r="H143">
        <v>1777</v>
      </c>
    </row>
    <row r="144" spans="1:9" ht="15.75" x14ac:dyDescent="0.25">
      <c r="A144" s="66">
        <f>A143+1</f>
        <v>117</v>
      </c>
      <c r="B144" s="67" t="s">
        <v>832</v>
      </c>
      <c r="C144" s="66" t="s">
        <v>193</v>
      </c>
      <c r="D144" s="71">
        <v>37</v>
      </c>
      <c r="E144" s="178">
        <v>1155.67</v>
      </c>
      <c r="F144" s="105">
        <f t="shared" si="23"/>
        <v>42759.79</v>
      </c>
      <c r="G144" s="105">
        <f t="shared" si="24"/>
        <v>51311.75</v>
      </c>
    </row>
    <row r="145" spans="1:9" ht="15.75" x14ac:dyDescent="0.25">
      <c r="A145" s="66">
        <f t="shared" ref="A145:A151" si="25">A144+1</f>
        <v>118</v>
      </c>
      <c r="B145" s="67" t="s">
        <v>521</v>
      </c>
      <c r="C145" s="66" t="s">
        <v>193</v>
      </c>
      <c r="D145" s="71">
        <v>5</v>
      </c>
      <c r="E145" s="178">
        <v>1456.65</v>
      </c>
      <c r="F145" s="105">
        <f t="shared" si="23"/>
        <v>7283.25</v>
      </c>
      <c r="G145" s="105">
        <f t="shared" si="24"/>
        <v>8739.9</v>
      </c>
      <c r="H145">
        <v>1379</v>
      </c>
    </row>
    <row r="146" spans="1:9" ht="15.75" x14ac:dyDescent="0.25">
      <c r="A146" s="66">
        <f t="shared" si="25"/>
        <v>119</v>
      </c>
      <c r="B146" s="67" t="s">
        <v>833</v>
      </c>
      <c r="C146" s="66" t="s">
        <v>193</v>
      </c>
      <c r="D146" s="71">
        <v>37</v>
      </c>
      <c r="E146" s="178">
        <v>856.54</v>
      </c>
      <c r="F146" s="105">
        <f t="shared" si="23"/>
        <v>31691.98</v>
      </c>
      <c r="G146" s="105">
        <f t="shared" si="24"/>
        <v>38030.379999999997</v>
      </c>
      <c r="H146">
        <v>1379</v>
      </c>
    </row>
    <row r="147" spans="1:9" ht="15.75" x14ac:dyDescent="0.25">
      <c r="A147" s="66">
        <f t="shared" si="25"/>
        <v>120</v>
      </c>
      <c r="B147" s="67" t="s">
        <v>871</v>
      </c>
      <c r="C147" s="66" t="s">
        <v>193</v>
      </c>
      <c r="D147" s="71">
        <v>761</v>
      </c>
      <c r="E147" s="178">
        <v>9.73</v>
      </c>
      <c r="F147" s="105">
        <f t="shared" si="23"/>
        <v>7404.53</v>
      </c>
      <c r="G147" s="105">
        <f t="shared" si="24"/>
        <v>8885.44</v>
      </c>
      <c r="H147">
        <v>125</v>
      </c>
    </row>
    <row r="148" spans="1:9" ht="15.75" x14ac:dyDescent="0.25">
      <c r="A148" s="66">
        <f t="shared" si="25"/>
        <v>121</v>
      </c>
      <c r="B148" s="67" t="s">
        <v>451</v>
      </c>
      <c r="C148" s="66" t="s">
        <v>193</v>
      </c>
      <c r="D148" s="71">
        <v>761</v>
      </c>
      <c r="E148" s="178">
        <v>197.58</v>
      </c>
      <c r="F148" s="105">
        <f t="shared" si="23"/>
        <v>150358.38</v>
      </c>
      <c r="G148" s="105">
        <f t="shared" si="24"/>
        <v>180430.06</v>
      </c>
      <c r="H148">
        <v>198</v>
      </c>
    </row>
    <row r="149" spans="1:9" ht="15.75" x14ac:dyDescent="0.25">
      <c r="A149" s="66">
        <f t="shared" si="25"/>
        <v>122</v>
      </c>
      <c r="B149" s="67" t="s">
        <v>872</v>
      </c>
      <c r="C149" s="66" t="s">
        <v>193</v>
      </c>
      <c r="D149" s="71">
        <v>40</v>
      </c>
      <c r="E149" s="178">
        <v>856.54</v>
      </c>
      <c r="F149" s="105">
        <f t="shared" si="23"/>
        <v>34261.599999999999</v>
      </c>
      <c r="G149" s="105">
        <f t="shared" si="24"/>
        <v>41113.919999999998</v>
      </c>
      <c r="H149">
        <v>899</v>
      </c>
    </row>
    <row r="150" spans="1:9" ht="30" x14ac:dyDescent="0.25">
      <c r="A150" s="66">
        <f t="shared" si="25"/>
        <v>123</v>
      </c>
      <c r="B150" s="67" t="s">
        <v>873</v>
      </c>
      <c r="C150" s="66" t="s">
        <v>239</v>
      </c>
      <c r="D150" s="72">
        <v>110.4</v>
      </c>
      <c r="E150" s="178">
        <v>67.760000000000005</v>
      </c>
      <c r="F150" s="105">
        <f t="shared" si="23"/>
        <v>7480.7</v>
      </c>
      <c r="G150" s="105">
        <f t="shared" si="24"/>
        <v>8976.84</v>
      </c>
      <c r="H150">
        <v>325</v>
      </c>
    </row>
    <row r="151" spans="1:9" ht="30" x14ac:dyDescent="0.25">
      <c r="A151" s="66">
        <f t="shared" si="25"/>
        <v>124</v>
      </c>
      <c r="B151" s="67" t="s">
        <v>835</v>
      </c>
      <c r="C151" s="66" t="s">
        <v>239</v>
      </c>
      <c r="D151" s="72">
        <v>110.4</v>
      </c>
      <c r="E151" s="178">
        <v>312.27999999999997</v>
      </c>
      <c r="F151" s="105">
        <f t="shared" si="23"/>
        <v>34475.71</v>
      </c>
      <c r="G151" s="105">
        <f t="shared" si="24"/>
        <v>41370.85</v>
      </c>
      <c r="H151">
        <v>3460</v>
      </c>
      <c r="I151" s="218" t="s">
        <v>922</v>
      </c>
    </row>
    <row r="152" spans="1:9" ht="22.5" customHeight="1" x14ac:dyDescent="0.25">
      <c r="A152" s="66"/>
      <c r="B152" s="62" t="s">
        <v>523</v>
      </c>
      <c r="C152" s="66"/>
      <c r="D152" s="71"/>
      <c r="E152" s="178"/>
      <c r="F152" s="105"/>
      <c r="G152" s="105"/>
    </row>
    <row r="153" spans="1:9" ht="30" x14ac:dyDescent="0.25">
      <c r="A153" s="66">
        <f>A151+1</f>
        <v>125</v>
      </c>
      <c r="B153" s="67" t="s">
        <v>893</v>
      </c>
      <c r="C153" s="66" t="s">
        <v>194</v>
      </c>
      <c r="D153" s="71">
        <v>31</v>
      </c>
      <c r="E153" s="178">
        <v>4746.51</v>
      </c>
      <c r="F153" s="105">
        <f t="shared" si="23"/>
        <v>147141.81</v>
      </c>
      <c r="G153" s="105">
        <f t="shared" si="24"/>
        <v>176570.17</v>
      </c>
    </row>
    <row r="154" spans="1:9" ht="45" x14ac:dyDescent="0.25">
      <c r="A154" s="66">
        <f t="shared" ref="A154:A162" si="26">A153+1</f>
        <v>126</v>
      </c>
      <c r="B154" s="67" t="s">
        <v>894</v>
      </c>
      <c r="C154" s="66" t="s">
        <v>194</v>
      </c>
      <c r="D154" s="71">
        <v>6</v>
      </c>
      <c r="E154" s="178">
        <v>8366.0300000000007</v>
      </c>
      <c r="F154" s="105">
        <f t="shared" si="23"/>
        <v>50196.18</v>
      </c>
      <c r="G154" s="105">
        <f t="shared" si="24"/>
        <v>60235.42</v>
      </c>
    </row>
    <row r="155" spans="1:9" ht="45" x14ac:dyDescent="0.25">
      <c r="A155" s="66">
        <f t="shared" si="26"/>
        <v>127</v>
      </c>
      <c r="B155" s="67" t="s">
        <v>895</v>
      </c>
      <c r="C155" s="66" t="s">
        <v>220</v>
      </c>
      <c r="D155" s="71">
        <v>2</v>
      </c>
      <c r="E155" s="178">
        <v>8222.4699999999993</v>
      </c>
      <c r="F155" s="105">
        <f t="shared" si="23"/>
        <v>16444.939999999999</v>
      </c>
      <c r="G155" s="105">
        <f t="shared" si="24"/>
        <v>19733.93</v>
      </c>
    </row>
    <row r="156" spans="1:9" ht="45" x14ac:dyDescent="0.25">
      <c r="A156" s="66">
        <f t="shared" si="26"/>
        <v>128</v>
      </c>
      <c r="B156" s="67" t="s">
        <v>896</v>
      </c>
      <c r="C156" s="66" t="s">
        <v>220</v>
      </c>
      <c r="D156" s="71">
        <v>2</v>
      </c>
      <c r="E156" s="178">
        <v>19742.93</v>
      </c>
      <c r="F156" s="105">
        <f t="shared" si="23"/>
        <v>39485.86</v>
      </c>
      <c r="G156" s="105">
        <f t="shared" si="24"/>
        <v>47383.03</v>
      </c>
    </row>
    <row r="157" spans="1:9" ht="30" x14ac:dyDescent="0.25">
      <c r="A157" s="66">
        <f t="shared" si="26"/>
        <v>129</v>
      </c>
      <c r="B157" s="67" t="s">
        <v>897</v>
      </c>
      <c r="C157" s="66" t="s">
        <v>220</v>
      </c>
      <c r="D157" s="71">
        <v>1</v>
      </c>
      <c r="E157" s="178">
        <v>17698.82</v>
      </c>
      <c r="F157" s="105">
        <f t="shared" si="23"/>
        <v>17698.82</v>
      </c>
      <c r="G157" s="105">
        <f t="shared" si="24"/>
        <v>21238.58</v>
      </c>
    </row>
    <row r="158" spans="1:9" ht="30" x14ac:dyDescent="0.25">
      <c r="A158" s="66">
        <f t="shared" si="26"/>
        <v>130</v>
      </c>
      <c r="B158" s="67" t="s">
        <v>850</v>
      </c>
      <c r="C158" s="66" t="s">
        <v>924</v>
      </c>
      <c r="D158" s="71">
        <v>1</v>
      </c>
      <c r="E158" s="178">
        <v>124950.66</v>
      </c>
      <c r="F158" s="105">
        <f t="shared" si="23"/>
        <v>124950.66</v>
      </c>
      <c r="G158" s="105">
        <f t="shared" si="24"/>
        <v>149940.79</v>
      </c>
    </row>
    <row r="159" spans="1:9" ht="23.25" customHeight="1" x14ac:dyDescent="0.25">
      <c r="A159" s="66"/>
      <c r="B159" s="62" t="s">
        <v>856</v>
      </c>
      <c r="C159" s="66"/>
      <c r="D159" s="71"/>
      <c r="E159" s="178"/>
      <c r="F159" s="105"/>
      <c r="G159" s="105"/>
    </row>
    <row r="160" spans="1:9" ht="15.75" x14ac:dyDescent="0.25">
      <c r="A160" s="66">
        <f>A158+1</f>
        <v>131</v>
      </c>
      <c r="B160" s="67" t="s">
        <v>898</v>
      </c>
      <c r="C160" s="66" t="s">
        <v>194</v>
      </c>
      <c r="D160" s="71">
        <v>31</v>
      </c>
      <c r="E160" s="178">
        <v>2354.06</v>
      </c>
      <c r="F160" s="105">
        <f t="shared" si="23"/>
        <v>72975.86</v>
      </c>
      <c r="G160" s="105">
        <f t="shared" si="24"/>
        <v>87571.03</v>
      </c>
    </row>
    <row r="161" spans="1:9" ht="15.75" x14ac:dyDescent="0.25">
      <c r="A161" s="66">
        <f t="shared" si="26"/>
        <v>132</v>
      </c>
      <c r="B161" s="67" t="s">
        <v>899</v>
      </c>
      <c r="C161" s="66" t="s">
        <v>239</v>
      </c>
      <c r="D161" s="71">
        <v>31</v>
      </c>
      <c r="E161" s="178">
        <v>436.17</v>
      </c>
      <c r="F161" s="105">
        <f t="shared" si="23"/>
        <v>13521.27</v>
      </c>
      <c r="G161" s="105">
        <f t="shared" si="24"/>
        <v>16225.52</v>
      </c>
    </row>
    <row r="162" spans="1:9" ht="30" x14ac:dyDescent="0.25">
      <c r="A162" s="66">
        <f t="shared" si="26"/>
        <v>133</v>
      </c>
      <c r="B162" s="80" t="s">
        <v>883</v>
      </c>
      <c r="C162" s="66" t="s">
        <v>239</v>
      </c>
      <c r="D162" s="71">
        <v>31</v>
      </c>
      <c r="E162" s="178">
        <v>312.27999999999997</v>
      </c>
      <c r="F162" s="105">
        <f t="shared" si="23"/>
        <v>9680.68</v>
      </c>
      <c r="G162" s="105">
        <f t="shared" si="24"/>
        <v>11616.82</v>
      </c>
    </row>
    <row r="163" spans="1:9" ht="32.25" customHeight="1" x14ac:dyDescent="0.25">
      <c r="A163" s="161"/>
      <c r="B163" s="437" t="s">
        <v>743</v>
      </c>
      <c r="C163" s="438"/>
      <c r="D163" s="442"/>
      <c r="E163" s="162"/>
      <c r="F163" s="163"/>
      <c r="G163" s="175"/>
    </row>
    <row r="164" spans="1:9" x14ac:dyDescent="0.25">
      <c r="A164" s="66"/>
      <c r="B164" s="62" t="s">
        <v>513</v>
      </c>
      <c r="C164" s="66"/>
      <c r="D164" s="71"/>
      <c r="E164" s="172"/>
      <c r="F164" s="168"/>
      <c r="G164" s="176"/>
    </row>
    <row r="165" spans="1:9" ht="30" x14ac:dyDescent="0.25">
      <c r="A165" s="66">
        <f>A162+1</f>
        <v>134</v>
      </c>
      <c r="B165" s="67" t="s">
        <v>830</v>
      </c>
      <c r="C165" s="66" t="s">
        <v>193</v>
      </c>
      <c r="D165" s="71">
        <v>177</v>
      </c>
      <c r="E165" s="178">
        <v>90.47</v>
      </c>
      <c r="F165" s="105">
        <f t="shared" ref="F165:F185" si="27">ROUND(E165*D165,2)</f>
        <v>16013.19</v>
      </c>
      <c r="G165" s="105">
        <f t="shared" ref="G165:G185" si="28">ROUND(F165*1.2,2)</f>
        <v>19215.830000000002</v>
      </c>
      <c r="H165">
        <v>325</v>
      </c>
    </row>
    <row r="166" spans="1:9" ht="15.75" x14ac:dyDescent="0.25">
      <c r="A166" s="66">
        <f>A165+1</f>
        <v>135</v>
      </c>
      <c r="B166" s="67" t="s">
        <v>831</v>
      </c>
      <c r="C166" s="66" t="s">
        <v>193</v>
      </c>
      <c r="D166" s="71">
        <v>5</v>
      </c>
      <c r="E166" s="178">
        <v>1860.11</v>
      </c>
      <c r="F166" s="105">
        <f t="shared" si="27"/>
        <v>9300.5499999999993</v>
      </c>
      <c r="G166" s="105">
        <f t="shared" si="28"/>
        <v>11160.66</v>
      </c>
      <c r="H166">
        <v>1777</v>
      </c>
    </row>
    <row r="167" spans="1:9" ht="15.75" x14ac:dyDescent="0.25">
      <c r="A167" s="66">
        <f t="shared" ref="A167:A174" si="29">A166+1</f>
        <v>136</v>
      </c>
      <c r="B167" s="67" t="s">
        <v>832</v>
      </c>
      <c r="C167" s="66" t="s">
        <v>193</v>
      </c>
      <c r="D167" s="71">
        <v>23</v>
      </c>
      <c r="E167" s="178">
        <v>1155.67</v>
      </c>
      <c r="F167" s="105">
        <f t="shared" si="27"/>
        <v>26580.41</v>
      </c>
      <c r="G167" s="105">
        <f t="shared" si="28"/>
        <v>31896.49</v>
      </c>
    </row>
    <row r="168" spans="1:9" ht="15.75" x14ac:dyDescent="0.25">
      <c r="A168" s="66">
        <f t="shared" si="29"/>
        <v>137</v>
      </c>
      <c r="B168" s="67" t="s">
        <v>521</v>
      </c>
      <c r="C168" s="66" t="s">
        <v>193</v>
      </c>
      <c r="D168" s="71">
        <v>3</v>
      </c>
      <c r="E168" s="178">
        <v>1456.66</v>
      </c>
      <c r="F168" s="105">
        <f t="shared" si="27"/>
        <v>4369.9799999999996</v>
      </c>
      <c r="G168" s="105">
        <f t="shared" si="28"/>
        <v>5243.98</v>
      </c>
      <c r="H168">
        <v>1379</v>
      </c>
    </row>
    <row r="169" spans="1:9" ht="15.75" x14ac:dyDescent="0.25">
      <c r="A169" s="66">
        <f t="shared" si="29"/>
        <v>138</v>
      </c>
      <c r="B169" s="67" t="s">
        <v>833</v>
      </c>
      <c r="C169" s="66" t="s">
        <v>193</v>
      </c>
      <c r="D169" s="72">
        <v>23</v>
      </c>
      <c r="E169" s="178">
        <v>856.54</v>
      </c>
      <c r="F169" s="105">
        <f t="shared" si="27"/>
        <v>19700.419999999998</v>
      </c>
      <c r="G169" s="105">
        <f t="shared" si="28"/>
        <v>23640.5</v>
      </c>
      <c r="H169">
        <v>1379</v>
      </c>
    </row>
    <row r="170" spans="1:9" ht="15.75" x14ac:dyDescent="0.25">
      <c r="A170" s="66">
        <f t="shared" si="29"/>
        <v>139</v>
      </c>
      <c r="B170" s="67" t="s">
        <v>871</v>
      </c>
      <c r="C170" s="66" t="s">
        <v>193</v>
      </c>
      <c r="D170" s="71">
        <v>138</v>
      </c>
      <c r="E170" s="178">
        <v>9.73</v>
      </c>
      <c r="F170" s="105">
        <f t="shared" si="27"/>
        <v>1342.74</v>
      </c>
      <c r="G170" s="105">
        <f t="shared" si="28"/>
        <v>1611.29</v>
      </c>
      <c r="H170">
        <v>125</v>
      </c>
    </row>
    <row r="171" spans="1:9" ht="15.75" x14ac:dyDescent="0.25">
      <c r="A171" s="66">
        <f t="shared" si="29"/>
        <v>140</v>
      </c>
      <c r="B171" s="67" t="s">
        <v>451</v>
      </c>
      <c r="C171" s="66" t="s">
        <v>193</v>
      </c>
      <c r="D171" s="71">
        <v>138</v>
      </c>
      <c r="E171" s="178">
        <v>197.58</v>
      </c>
      <c r="F171" s="105">
        <f t="shared" si="27"/>
        <v>27266.04</v>
      </c>
      <c r="G171" s="105">
        <f t="shared" si="28"/>
        <v>32719.25</v>
      </c>
      <c r="H171">
        <v>198</v>
      </c>
    </row>
    <row r="172" spans="1:9" ht="15.75" x14ac:dyDescent="0.25">
      <c r="A172" s="66">
        <f t="shared" si="29"/>
        <v>141</v>
      </c>
      <c r="B172" s="67" t="s">
        <v>872</v>
      </c>
      <c r="C172" s="66" t="s">
        <v>193</v>
      </c>
      <c r="D172" s="71">
        <v>7</v>
      </c>
      <c r="E172" s="178">
        <v>856.54</v>
      </c>
      <c r="F172" s="105">
        <f t="shared" si="27"/>
        <v>5995.78</v>
      </c>
      <c r="G172" s="105">
        <f t="shared" si="28"/>
        <v>7194.94</v>
      </c>
      <c r="H172">
        <v>899</v>
      </c>
    </row>
    <row r="173" spans="1:9" ht="30" x14ac:dyDescent="0.25">
      <c r="A173" s="66">
        <f t="shared" si="29"/>
        <v>142</v>
      </c>
      <c r="B173" s="67" t="s">
        <v>873</v>
      </c>
      <c r="C173" s="66" t="s">
        <v>239</v>
      </c>
      <c r="D173" s="72">
        <v>59.2</v>
      </c>
      <c r="E173" s="178">
        <v>67.760000000000005</v>
      </c>
      <c r="F173" s="105">
        <f t="shared" si="27"/>
        <v>4011.39</v>
      </c>
      <c r="G173" s="105">
        <f t="shared" si="28"/>
        <v>4813.67</v>
      </c>
      <c r="H173">
        <v>325</v>
      </c>
    </row>
    <row r="174" spans="1:9" ht="30" x14ac:dyDescent="0.25">
      <c r="A174" s="66">
        <f t="shared" si="29"/>
        <v>143</v>
      </c>
      <c r="B174" s="67" t="s">
        <v>835</v>
      </c>
      <c r="C174" s="66" t="s">
        <v>239</v>
      </c>
      <c r="D174" s="72">
        <v>59.2</v>
      </c>
      <c r="E174" s="178">
        <v>312.27999999999997</v>
      </c>
      <c r="F174" s="105">
        <f t="shared" si="27"/>
        <v>18486.98</v>
      </c>
      <c r="G174" s="105">
        <f t="shared" si="28"/>
        <v>22184.38</v>
      </c>
      <c r="H174">
        <v>3460</v>
      </c>
      <c r="I174" s="218" t="s">
        <v>922</v>
      </c>
    </row>
    <row r="175" spans="1:9" ht="26.25" customHeight="1" x14ac:dyDescent="0.25">
      <c r="A175" s="66"/>
      <c r="B175" s="62" t="s">
        <v>523</v>
      </c>
      <c r="C175" s="66"/>
      <c r="D175" s="71"/>
      <c r="E175" s="178"/>
      <c r="F175" s="105"/>
      <c r="G175" s="105"/>
    </row>
    <row r="176" spans="1:9" ht="30" x14ac:dyDescent="0.25">
      <c r="A176" s="66">
        <f>A174+1</f>
        <v>144</v>
      </c>
      <c r="B176" s="67" t="s">
        <v>900</v>
      </c>
      <c r="C176" s="66" t="s">
        <v>194</v>
      </c>
      <c r="D176" s="71">
        <v>31</v>
      </c>
      <c r="E176" s="178">
        <v>2864.48</v>
      </c>
      <c r="F176" s="105">
        <f t="shared" si="27"/>
        <v>88798.88</v>
      </c>
      <c r="G176" s="105">
        <f t="shared" si="28"/>
        <v>106558.66</v>
      </c>
    </row>
    <row r="177" spans="1:8" ht="45" x14ac:dyDescent="0.25">
      <c r="A177" s="66">
        <f>A176+1</f>
        <v>145</v>
      </c>
      <c r="B177" s="67" t="s">
        <v>901</v>
      </c>
      <c r="C177" s="66" t="s">
        <v>194</v>
      </c>
      <c r="D177" s="71">
        <v>6</v>
      </c>
      <c r="E177" s="178">
        <v>4021.61</v>
      </c>
      <c r="F177" s="105">
        <f t="shared" si="27"/>
        <v>24129.66</v>
      </c>
      <c r="G177" s="105">
        <f t="shared" si="28"/>
        <v>28955.59</v>
      </c>
    </row>
    <row r="178" spans="1:8" ht="45" x14ac:dyDescent="0.25">
      <c r="A178" s="66">
        <f t="shared" ref="A178:A181" si="30">A177+1</f>
        <v>146</v>
      </c>
      <c r="B178" s="67" t="s">
        <v>902</v>
      </c>
      <c r="C178" s="66" t="s">
        <v>220</v>
      </c>
      <c r="D178" s="71">
        <v>2</v>
      </c>
      <c r="E178" s="178">
        <v>5203.95</v>
      </c>
      <c r="F178" s="105">
        <f t="shared" si="27"/>
        <v>10407.9</v>
      </c>
      <c r="G178" s="105">
        <f t="shared" si="28"/>
        <v>12489.48</v>
      </c>
    </row>
    <row r="179" spans="1:8" ht="45" x14ac:dyDescent="0.25">
      <c r="A179" s="66">
        <f t="shared" si="30"/>
        <v>147</v>
      </c>
      <c r="B179" s="67" t="s">
        <v>903</v>
      </c>
      <c r="C179" s="66" t="s">
        <v>220</v>
      </c>
      <c r="D179" s="71">
        <v>2</v>
      </c>
      <c r="E179" s="178">
        <v>12511.09</v>
      </c>
      <c r="F179" s="105">
        <f t="shared" si="27"/>
        <v>25022.18</v>
      </c>
      <c r="G179" s="105">
        <f t="shared" si="28"/>
        <v>30026.62</v>
      </c>
    </row>
    <row r="180" spans="1:8" ht="30" x14ac:dyDescent="0.25">
      <c r="A180" s="66">
        <f t="shared" si="30"/>
        <v>148</v>
      </c>
      <c r="B180" s="67" t="s">
        <v>849</v>
      </c>
      <c r="C180" s="66" t="s">
        <v>220</v>
      </c>
      <c r="D180" s="72">
        <v>1</v>
      </c>
      <c r="E180" s="178">
        <v>9227.06</v>
      </c>
      <c r="F180" s="105">
        <f t="shared" si="27"/>
        <v>9227.06</v>
      </c>
      <c r="G180" s="105">
        <f t="shared" si="28"/>
        <v>11072.47</v>
      </c>
    </row>
    <row r="181" spans="1:8" ht="30" x14ac:dyDescent="0.25">
      <c r="A181" s="66">
        <f t="shared" si="30"/>
        <v>149</v>
      </c>
      <c r="B181" s="67" t="s">
        <v>850</v>
      </c>
      <c r="C181" s="66" t="s">
        <v>924</v>
      </c>
      <c r="D181" s="71">
        <v>1</v>
      </c>
      <c r="E181" s="178">
        <v>70121.429999999993</v>
      </c>
      <c r="F181" s="105">
        <f t="shared" si="27"/>
        <v>70121.429999999993</v>
      </c>
      <c r="G181" s="105">
        <f t="shared" si="28"/>
        <v>84145.72</v>
      </c>
    </row>
    <row r="182" spans="1:8" ht="21.75" customHeight="1" x14ac:dyDescent="0.25">
      <c r="A182" s="66"/>
      <c r="B182" s="62" t="s">
        <v>856</v>
      </c>
      <c r="C182" s="66"/>
      <c r="D182" s="71"/>
      <c r="E182" s="178"/>
      <c r="F182" s="105"/>
      <c r="G182" s="105"/>
    </row>
    <row r="183" spans="1:8" ht="15.75" x14ac:dyDescent="0.25">
      <c r="A183" s="66">
        <f>A181+1</f>
        <v>150</v>
      </c>
      <c r="B183" s="67" t="s">
        <v>904</v>
      </c>
      <c r="C183" s="66" t="s">
        <v>194</v>
      </c>
      <c r="D183" s="71">
        <v>31</v>
      </c>
      <c r="E183" s="178">
        <v>1334.42</v>
      </c>
      <c r="F183" s="105">
        <f t="shared" si="27"/>
        <v>41367.019999999997</v>
      </c>
      <c r="G183" s="105">
        <f t="shared" si="28"/>
        <v>49640.42</v>
      </c>
    </row>
    <row r="184" spans="1:8" ht="15.75" x14ac:dyDescent="0.25">
      <c r="A184" s="66">
        <f>A183+1</f>
        <v>151</v>
      </c>
      <c r="B184" s="67" t="s">
        <v>899</v>
      </c>
      <c r="C184" s="66" t="s">
        <v>239</v>
      </c>
      <c r="D184" s="71">
        <v>14</v>
      </c>
      <c r="E184" s="178">
        <v>436.17</v>
      </c>
      <c r="F184" s="105">
        <f t="shared" si="27"/>
        <v>6106.38</v>
      </c>
      <c r="G184" s="105">
        <f t="shared" si="28"/>
        <v>7327.66</v>
      </c>
    </row>
    <row r="185" spans="1:8" ht="30" x14ac:dyDescent="0.25">
      <c r="A185" s="66">
        <f>A184+1</f>
        <v>152</v>
      </c>
      <c r="B185" s="67" t="s">
        <v>890</v>
      </c>
      <c r="C185" s="66" t="s">
        <v>239</v>
      </c>
      <c r="D185" s="71">
        <v>14</v>
      </c>
      <c r="E185" s="178">
        <v>312.27999999999997</v>
      </c>
      <c r="F185" s="105">
        <f t="shared" si="27"/>
        <v>4371.92</v>
      </c>
      <c r="G185" s="105">
        <f t="shared" si="28"/>
        <v>5246.3</v>
      </c>
    </row>
    <row r="186" spans="1:8" ht="29.25" customHeight="1" x14ac:dyDescent="0.25">
      <c r="A186" s="161"/>
      <c r="B186" s="437" t="s">
        <v>744</v>
      </c>
      <c r="C186" s="438"/>
      <c r="D186" s="442"/>
      <c r="E186" s="162"/>
      <c r="F186" s="163"/>
      <c r="G186" s="175"/>
    </row>
    <row r="187" spans="1:8" x14ac:dyDescent="0.25">
      <c r="A187" s="66"/>
      <c r="B187" s="62" t="s">
        <v>513</v>
      </c>
      <c r="C187" s="66"/>
      <c r="D187" s="71"/>
      <c r="E187" s="172"/>
      <c r="F187" s="168"/>
      <c r="G187" s="176"/>
    </row>
    <row r="188" spans="1:8" ht="30" x14ac:dyDescent="0.25">
      <c r="A188" s="66">
        <f>A185+1</f>
        <v>153</v>
      </c>
      <c r="B188" s="67" t="s">
        <v>830</v>
      </c>
      <c r="C188" s="66" t="s">
        <v>193</v>
      </c>
      <c r="D188" s="71">
        <v>595</v>
      </c>
      <c r="E188" s="178">
        <v>90.47</v>
      </c>
      <c r="F188" s="105">
        <f t="shared" ref="F188:F208" si="31">ROUND(E188*D188,2)</f>
        <v>53829.65</v>
      </c>
      <c r="G188" s="105">
        <f t="shared" ref="G188" si="32">ROUND(F188*1.2,2)</f>
        <v>64595.58</v>
      </c>
      <c r="H188">
        <v>325</v>
      </c>
    </row>
    <row r="189" spans="1:8" ht="15.75" x14ac:dyDescent="0.25">
      <c r="A189" s="66">
        <f>A188+1</f>
        <v>154</v>
      </c>
      <c r="B189" s="67" t="s">
        <v>831</v>
      </c>
      <c r="C189" s="66" t="s">
        <v>193</v>
      </c>
      <c r="D189" s="71">
        <v>18</v>
      </c>
      <c r="E189" s="178">
        <v>1860.11</v>
      </c>
      <c r="F189" s="105">
        <f t="shared" si="31"/>
        <v>33481.980000000003</v>
      </c>
      <c r="G189" s="105">
        <f t="shared" ref="G189:G197" si="33">ROUND(F189*1.2,2)</f>
        <v>40178.379999999997</v>
      </c>
      <c r="H189">
        <v>1777</v>
      </c>
    </row>
    <row r="190" spans="1:8" ht="15.75" x14ac:dyDescent="0.25">
      <c r="A190" s="66">
        <f t="shared" ref="A190:A197" si="34">A189+1</f>
        <v>155</v>
      </c>
      <c r="B190" s="67" t="s">
        <v>832</v>
      </c>
      <c r="C190" s="66" t="s">
        <v>193</v>
      </c>
      <c r="D190" s="71">
        <v>13</v>
      </c>
      <c r="E190" s="178">
        <v>1155.67</v>
      </c>
      <c r="F190" s="105">
        <f t="shared" si="31"/>
        <v>15023.71</v>
      </c>
      <c r="G190" s="105">
        <f t="shared" si="33"/>
        <v>18028.45</v>
      </c>
    </row>
    <row r="191" spans="1:8" ht="15.75" x14ac:dyDescent="0.25">
      <c r="A191" s="66">
        <f t="shared" si="34"/>
        <v>156</v>
      </c>
      <c r="B191" s="67" t="s">
        <v>521</v>
      </c>
      <c r="C191" s="66" t="s">
        <v>193</v>
      </c>
      <c r="D191" s="71">
        <v>2</v>
      </c>
      <c r="E191" s="178">
        <v>1456.66</v>
      </c>
      <c r="F191" s="105">
        <f t="shared" si="31"/>
        <v>2913.32</v>
      </c>
      <c r="G191" s="105">
        <f t="shared" si="33"/>
        <v>3495.98</v>
      </c>
      <c r="H191">
        <v>1379</v>
      </c>
    </row>
    <row r="192" spans="1:8" ht="15.75" x14ac:dyDescent="0.25">
      <c r="A192" s="66">
        <f t="shared" si="34"/>
        <v>157</v>
      </c>
      <c r="B192" s="67" t="s">
        <v>833</v>
      </c>
      <c r="C192" s="66" t="s">
        <v>193</v>
      </c>
      <c r="D192" s="71">
        <v>13</v>
      </c>
      <c r="E192" s="178">
        <v>856.54</v>
      </c>
      <c r="F192" s="105">
        <f t="shared" si="31"/>
        <v>11135.02</v>
      </c>
      <c r="G192" s="105">
        <f t="shared" si="33"/>
        <v>13362.02</v>
      </c>
      <c r="H192">
        <v>1379</v>
      </c>
    </row>
    <row r="193" spans="1:9" ht="15.75" x14ac:dyDescent="0.25">
      <c r="A193" s="66">
        <f t="shared" si="34"/>
        <v>158</v>
      </c>
      <c r="B193" s="67" t="s">
        <v>871</v>
      </c>
      <c r="C193" s="66" t="s">
        <v>193</v>
      </c>
      <c r="D193" s="72">
        <v>560.5</v>
      </c>
      <c r="E193" s="178">
        <v>9.73</v>
      </c>
      <c r="F193" s="105">
        <f t="shared" si="31"/>
        <v>5453.67</v>
      </c>
      <c r="G193" s="105">
        <f t="shared" si="33"/>
        <v>6544.4</v>
      </c>
      <c r="H193">
        <v>125</v>
      </c>
    </row>
    <row r="194" spans="1:9" ht="15.75" x14ac:dyDescent="0.25">
      <c r="A194" s="66">
        <f t="shared" si="34"/>
        <v>159</v>
      </c>
      <c r="B194" s="67" t="s">
        <v>451</v>
      </c>
      <c r="C194" s="66" t="s">
        <v>193</v>
      </c>
      <c r="D194" s="72">
        <v>560.5</v>
      </c>
      <c r="E194" s="178">
        <v>197.58</v>
      </c>
      <c r="F194" s="105">
        <f t="shared" si="31"/>
        <v>110743.59</v>
      </c>
      <c r="G194" s="105">
        <f t="shared" si="33"/>
        <v>132892.31</v>
      </c>
      <c r="H194">
        <v>198</v>
      </c>
    </row>
    <row r="195" spans="1:9" ht="15.75" x14ac:dyDescent="0.25">
      <c r="A195" s="66">
        <f t="shared" si="34"/>
        <v>160</v>
      </c>
      <c r="B195" s="67" t="s">
        <v>872</v>
      </c>
      <c r="C195" s="66" t="s">
        <v>193</v>
      </c>
      <c r="D195" s="72">
        <v>29.5</v>
      </c>
      <c r="E195" s="178">
        <v>856.54</v>
      </c>
      <c r="F195" s="105">
        <f t="shared" si="31"/>
        <v>25267.93</v>
      </c>
      <c r="G195" s="105">
        <f t="shared" si="33"/>
        <v>30321.52</v>
      </c>
      <c r="H195">
        <v>899</v>
      </c>
    </row>
    <row r="196" spans="1:9" ht="30" x14ac:dyDescent="0.25">
      <c r="A196" s="66">
        <f t="shared" si="34"/>
        <v>161</v>
      </c>
      <c r="B196" s="67" t="s">
        <v>873</v>
      </c>
      <c r="C196" s="66" t="s">
        <v>239</v>
      </c>
      <c r="D196" s="72">
        <v>36.799999999999997</v>
      </c>
      <c r="E196" s="178">
        <v>67.760000000000005</v>
      </c>
      <c r="F196" s="105">
        <f t="shared" si="31"/>
        <v>2493.5700000000002</v>
      </c>
      <c r="G196" s="105">
        <f t="shared" si="33"/>
        <v>2992.28</v>
      </c>
      <c r="H196">
        <v>325</v>
      </c>
    </row>
    <row r="197" spans="1:9" ht="30" x14ac:dyDescent="0.25">
      <c r="A197" s="66">
        <f t="shared" si="34"/>
        <v>162</v>
      </c>
      <c r="B197" s="67" t="s">
        <v>835</v>
      </c>
      <c r="C197" s="66" t="s">
        <v>239</v>
      </c>
      <c r="D197" s="72">
        <v>36.799999999999997</v>
      </c>
      <c r="E197" s="178">
        <v>312.27999999999997</v>
      </c>
      <c r="F197" s="105">
        <f t="shared" si="31"/>
        <v>11491.9</v>
      </c>
      <c r="G197" s="105">
        <f t="shared" si="33"/>
        <v>13790.28</v>
      </c>
      <c r="H197">
        <v>3460</v>
      </c>
      <c r="I197" s="218" t="s">
        <v>922</v>
      </c>
    </row>
    <row r="198" spans="1:9" ht="23.25" customHeight="1" x14ac:dyDescent="0.25">
      <c r="A198" s="66"/>
      <c r="B198" s="62" t="s">
        <v>523</v>
      </c>
      <c r="C198" s="66"/>
      <c r="D198" s="68"/>
      <c r="E198" s="178"/>
      <c r="F198" s="105"/>
      <c r="G198" s="105"/>
    </row>
    <row r="199" spans="1:9" ht="30" x14ac:dyDescent="0.25">
      <c r="A199" s="66">
        <f>A197+1</f>
        <v>163</v>
      </c>
      <c r="B199" s="67" t="s">
        <v>900</v>
      </c>
      <c r="C199" s="66" t="s">
        <v>194</v>
      </c>
      <c r="D199" s="71">
        <v>21</v>
      </c>
      <c r="E199" s="178">
        <v>2864.48</v>
      </c>
      <c r="F199" s="105">
        <f t="shared" si="31"/>
        <v>60154.080000000002</v>
      </c>
      <c r="G199" s="105">
        <f t="shared" ref="G199:G208" si="35">ROUND(F199*1.2,2)</f>
        <v>72184.899999999994</v>
      </c>
    </row>
    <row r="200" spans="1:9" ht="45" x14ac:dyDescent="0.25">
      <c r="A200" s="66">
        <f>A199+1</f>
        <v>164</v>
      </c>
      <c r="B200" s="67" t="s">
        <v>901</v>
      </c>
      <c r="C200" s="66" t="s">
        <v>194</v>
      </c>
      <c r="D200" s="71">
        <v>6</v>
      </c>
      <c r="E200" s="178">
        <v>4021.61</v>
      </c>
      <c r="F200" s="105">
        <f t="shared" si="31"/>
        <v>24129.66</v>
      </c>
      <c r="G200" s="105">
        <f t="shared" si="35"/>
        <v>28955.59</v>
      </c>
    </row>
    <row r="201" spans="1:9" ht="45" x14ac:dyDescent="0.25">
      <c r="A201" s="66">
        <f t="shared" ref="A201:A204" si="36">A200+1</f>
        <v>165</v>
      </c>
      <c r="B201" s="67" t="s">
        <v>902</v>
      </c>
      <c r="C201" s="66" t="s">
        <v>220</v>
      </c>
      <c r="D201" s="71">
        <v>2</v>
      </c>
      <c r="E201" s="178">
        <v>5203.95</v>
      </c>
      <c r="F201" s="105">
        <f t="shared" si="31"/>
        <v>10407.9</v>
      </c>
      <c r="G201" s="105">
        <f t="shared" si="35"/>
        <v>12489.48</v>
      </c>
    </row>
    <row r="202" spans="1:9" ht="45" x14ac:dyDescent="0.25">
      <c r="A202" s="66">
        <f t="shared" si="36"/>
        <v>166</v>
      </c>
      <c r="B202" s="67" t="s">
        <v>903</v>
      </c>
      <c r="C202" s="66" t="s">
        <v>220</v>
      </c>
      <c r="D202" s="71">
        <v>2</v>
      </c>
      <c r="E202" s="178">
        <v>12511.09</v>
      </c>
      <c r="F202" s="105">
        <f t="shared" si="31"/>
        <v>25022.18</v>
      </c>
      <c r="G202" s="105">
        <f t="shared" si="35"/>
        <v>30026.62</v>
      </c>
    </row>
    <row r="203" spans="1:9" ht="30" x14ac:dyDescent="0.25">
      <c r="A203" s="66">
        <f t="shared" si="36"/>
        <v>167</v>
      </c>
      <c r="B203" s="67" t="s">
        <v>849</v>
      </c>
      <c r="C203" s="66" t="s">
        <v>220</v>
      </c>
      <c r="D203" s="71">
        <v>1</v>
      </c>
      <c r="E203" s="178">
        <v>9227.06</v>
      </c>
      <c r="F203" s="105">
        <f t="shared" si="31"/>
        <v>9227.06</v>
      </c>
      <c r="G203" s="105">
        <f t="shared" si="35"/>
        <v>11072.47</v>
      </c>
    </row>
    <row r="204" spans="1:9" ht="22.5" customHeight="1" x14ac:dyDescent="0.25">
      <c r="A204" s="66">
        <f t="shared" si="36"/>
        <v>168</v>
      </c>
      <c r="B204" s="67" t="s">
        <v>850</v>
      </c>
      <c r="C204" s="66" t="s">
        <v>924</v>
      </c>
      <c r="D204" s="71">
        <v>1</v>
      </c>
      <c r="E204" s="178">
        <v>70121.429999999993</v>
      </c>
      <c r="F204" s="105">
        <f t="shared" si="31"/>
        <v>70121.429999999993</v>
      </c>
      <c r="G204" s="105">
        <f t="shared" si="35"/>
        <v>84145.72</v>
      </c>
    </row>
    <row r="205" spans="1:9" ht="23.25" customHeight="1" x14ac:dyDescent="0.25">
      <c r="A205" s="66"/>
      <c r="B205" s="62" t="s">
        <v>856</v>
      </c>
      <c r="C205" s="66"/>
      <c r="D205" s="71"/>
      <c r="E205" s="178"/>
      <c r="F205" s="105"/>
      <c r="G205" s="105"/>
    </row>
    <row r="206" spans="1:9" ht="19.5" customHeight="1" x14ac:dyDescent="0.25">
      <c r="A206" s="66">
        <f>A204+1</f>
        <v>169</v>
      </c>
      <c r="B206" s="67" t="s">
        <v>904</v>
      </c>
      <c r="C206" s="66" t="s">
        <v>194</v>
      </c>
      <c r="D206" s="71">
        <v>21</v>
      </c>
      <c r="E206" s="178">
        <v>1334.42</v>
      </c>
      <c r="F206" s="105">
        <f t="shared" si="31"/>
        <v>28022.82</v>
      </c>
      <c r="G206" s="105">
        <f t="shared" si="35"/>
        <v>33627.379999999997</v>
      </c>
    </row>
    <row r="207" spans="1:9" ht="19.5" customHeight="1" x14ac:dyDescent="0.25">
      <c r="A207" s="66">
        <f>A206+1</f>
        <v>170</v>
      </c>
      <c r="B207" s="67" t="s">
        <v>899</v>
      </c>
      <c r="C207" s="66" t="s">
        <v>239</v>
      </c>
      <c r="D207" s="71">
        <v>8</v>
      </c>
      <c r="E207" s="178">
        <v>436.17</v>
      </c>
      <c r="F207" s="105">
        <f t="shared" si="31"/>
        <v>3489.36</v>
      </c>
      <c r="G207" s="105">
        <f t="shared" si="35"/>
        <v>4187.2299999999996</v>
      </c>
    </row>
    <row r="208" spans="1:9" ht="30" x14ac:dyDescent="0.25">
      <c r="A208" s="66">
        <f>A207+1</f>
        <v>171</v>
      </c>
      <c r="B208" s="67" t="s">
        <v>890</v>
      </c>
      <c r="C208" s="66" t="s">
        <v>239</v>
      </c>
      <c r="D208" s="71">
        <v>8</v>
      </c>
      <c r="E208" s="178">
        <v>312.27999999999997</v>
      </c>
      <c r="F208" s="105">
        <f t="shared" si="31"/>
        <v>2498.2399999999998</v>
      </c>
      <c r="G208" s="105">
        <f t="shared" si="35"/>
        <v>2997.89</v>
      </c>
    </row>
    <row r="209" spans="1:9" ht="29.25" customHeight="1" x14ac:dyDescent="0.25">
      <c r="A209" s="161"/>
      <c r="B209" s="437" t="s">
        <v>745</v>
      </c>
      <c r="C209" s="438"/>
      <c r="D209" s="442"/>
      <c r="E209" s="162"/>
      <c r="F209" s="163"/>
      <c r="G209" s="175"/>
    </row>
    <row r="210" spans="1:9" x14ac:dyDescent="0.25">
      <c r="A210" s="66"/>
      <c r="B210" s="62" t="s">
        <v>513</v>
      </c>
      <c r="C210" s="66"/>
      <c r="D210" s="68"/>
      <c r="E210" s="172"/>
      <c r="F210" s="168"/>
      <c r="G210" s="176"/>
    </row>
    <row r="211" spans="1:9" ht="30" x14ac:dyDescent="0.25">
      <c r="A211" s="66">
        <f>A208+1</f>
        <v>172</v>
      </c>
      <c r="B211" s="67" t="s">
        <v>830</v>
      </c>
      <c r="C211" s="66" t="s">
        <v>193</v>
      </c>
      <c r="D211" s="71">
        <v>1779</v>
      </c>
      <c r="E211" s="178">
        <v>90.47</v>
      </c>
      <c r="F211" s="105">
        <f t="shared" ref="F211:F231" si="37">ROUND(E211*D211,2)</f>
        <v>160946.13</v>
      </c>
      <c r="G211" s="105">
        <f t="shared" ref="G211:G220" si="38">ROUND(F211*1.2,2)</f>
        <v>193135.35999999999</v>
      </c>
      <c r="H211">
        <v>325</v>
      </c>
    </row>
    <row r="212" spans="1:9" ht="15.75" x14ac:dyDescent="0.25">
      <c r="A212" s="66">
        <f>A211+1</f>
        <v>173</v>
      </c>
      <c r="B212" s="67" t="s">
        <v>831</v>
      </c>
      <c r="C212" s="66" t="s">
        <v>193</v>
      </c>
      <c r="D212" s="71">
        <v>53</v>
      </c>
      <c r="E212" s="178">
        <v>1860.11</v>
      </c>
      <c r="F212" s="105">
        <f t="shared" si="37"/>
        <v>98585.83</v>
      </c>
      <c r="G212" s="105">
        <f t="shared" si="38"/>
        <v>118303</v>
      </c>
      <c r="H212">
        <v>1777</v>
      </c>
    </row>
    <row r="213" spans="1:9" ht="15.75" x14ac:dyDescent="0.25">
      <c r="A213" s="66">
        <f t="shared" ref="A213:A220" si="39">A212+1</f>
        <v>174</v>
      </c>
      <c r="B213" s="67" t="s">
        <v>832</v>
      </c>
      <c r="C213" s="66" t="s">
        <v>193</v>
      </c>
      <c r="D213" s="71">
        <v>40</v>
      </c>
      <c r="E213" s="178">
        <v>1155.67</v>
      </c>
      <c r="F213" s="105">
        <f t="shared" si="37"/>
        <v>46226.8</v>
      </c>
      <c r="G213" s="105">
        <f t="shared" si="38"/>
        <v>55472.160000000003</v>
      </c>
    </row>
    <row r="214" spans="1:9" ht="15.75" x14ac:dyDescent="0.25">
      <c r="A214" s="66">
        <f t="shared" si="39"/>
        <v>175</v>
      </c>
      <c r="B214" s="67" t="s">
        <v>521</v>
      </c>
      <c r="C214" s="66" t="s">
        <v>193</v>
      </c>
      <c r="D214" s="71">
        <v>6</v>
      </c>
      <c r="E214" s="178">
        <v>1456.65</v>
      </c>
      <c r="F214" s="105">
        <f t="shared" si="37"/>
        <v>8739.9</v>
      </c>
      <c r="G214" s="105">
        <f t="shared" si="38"/>
        <v>10487.88</v>
      </c>
      <c r="H214">
        <v>1379</v>
      </c>
    </row>
    <row r="215" spans="1:9" ht="15.75" x14ac:dyDescent="0.25">
      <c r="A215" s="66">
        <f t="shared" si="39"/>
        <v>176</v>
      </c>
      <c r="B215" s="67" t="s">
        <v>833</v>
      </c>
      <c r="C215" s="66" t="s">
        <v>193</v>
      </c>
      <c r="D215" s="71">
        <v>40</v>
      </c>
      <c r="E215" s="178">
        <v>856.54</v>
      </c>
      <c r="F215" s="105">
        <f t="shared" si="37"/>
        <v>34261.599999999999</v>
      </c>
      <c r="G215" s="105">
        <f t="shared" si="38"/>
        <v>41113.919999999998</v>
      </c>
      <c r="H215">
        <v>1379</v>
      </c>
    </row>
    <row r="216" spans="1:9" ht="15.75" x14ac:dyDescent="0.25">
      <c r="A216" s="66">
        <f t="shared" si="39"/>
        <v>177</v>
      </c>
      <c r="B216" s="67" t="s">
        <v>871</v>
      </c>
      <c r="C216" s="66" t="s">
        <v>193</v>
      </c>
      <c r="D216" s="72">
        <v>1681.5</v>
      </c>
      <c r="E216" s="178">
        <v>9.73</v>
      </c>
      <c r="F216" s="105">
        <f t="shared" si="37"/>
        <v>16361</v>
      </c>
      <c r="G216" s="105">
        <f t="shared" si="38"/>
        <v>19633.2</v>
      </c>
      <c r="H216">
        <v>125</v>
      </c>
    </row>
    <row r="217" spans="1:9" ht="15.75" x14ac:dyDescent="0.25">
      <c r="A217" s="66">
        <f t="shared" si="39"/>
        <v>178</v>
      </c>
      <c r="B217" s="67" t="s">
        <v>451</v>
      </c>
      <c r="C217" s="66" t="s">
        <v>193</v>
      </c>
      <c r="D217" s="72">
        <v>1681.5</v>
      </c>
      <c r="E217" s="178">
        <v>197.58</v>
      </c>
      <c r="F217" s="105">
        <f t="shared" si="37"/>
        <v>332230.77</v>
      </c>
      <c r="G217" s="105">
        <f t="shared" si="38"/>
        <v>398676.92</v>
      </c>
      <c r="H217">
        <v>198</v>
      </c>
    </row>
    <row r="218" spans="1:9" ht="15.75" x14ac:dyDescent="0.25">
      <c r="A218" s="66">
        <f t="shared" si="39"/>
        <v>179</v>
      </c>
      <c r="B218" s="67" t="s">
        <v>872</v>
      </c>
      <c r="C218" s="66" t="s">
        <v>193</v>
      </c>
      <c r="D218" s="68">
        <v>88.5</v>
      </c>
      <c r="E218" s="178">
        <v>856.54</v>
      </c>
      <c r="F218" s="105">
        <f t="shared" si="37"/>
        <v>75803.789999999994</v>
      </c>
      <c r="G218" s="105">
        <f t="shared" si="38"/>
        <v>90964.55</v>
      </c>
      <c r="H218">
        <v>899</v>
      </c>
    </row>
    <row r="219" spans="1:9" ht="30" x14ac:dyDescent="0.25">
      <c r="A219" s="66">
        <f t="shared" si="39"/>
        <v>180</v>
      </c>
      <c r="B219" s="67" t="s">
        <v>873</v>
      </c>
      <c r="C219" s="66" t="s">
        <v>239</v>
      </c>
      <c r="D219" s="72">
        <v>99.2</v>
      </c>
      <c r="E219" s="178">
        <v>67.760000000000005</v>
      </c>
      <c r="F219" s="105">
        <f t="shared" si="37"/>
        <v>6721.79</v>
      </c>
      <c r="G219" s="105">
        <f t="shared" ref="G219" si="40">ROUND(F219*1.2,2)</f>
        <v>8066.15</v>
      </c>
      <c r="H219">
        <v>325</v>
      </c>
    </row>
    <row r="220" spans="1:9" ht="30" x14ac:dyDescent="0.25">
      <c r="A220" s="66">
        <f t="shared" si="39"/>
        <v>181</v>
      </c>
      <c r="B220" s="67" t="s">
        <v>835</v>
      </c>
      <c r="C220" s="66" t="s">
        <v>239</v>
      </c>
      <c r="D220" s="72">
        <v>99.2</v>
      </c>
      <c r="E220" s="178">
        <v>312.27999999999997</v>
      </c>
      <c r="F220" s="105">
        <f t="shared" si="37"/>
        <v>30978.18</v>
      </c>
      <c r="G220" s="105">
        <f t="shared" si="38"/>
        <v>37173.82</v>
      </c>
      <c r="H220">
        <v>3460</v>
      </c>
      <c r="I220" s="218" t="s">
        <v>922</v>
      </c>
    </row>
    <row r="221" spans="1:9" ht="15.75" x14ac:dyDescent="0.25">
      <c r="A221" s="66"/>
      <c r="B221" s="62" t="s">
        <v>523</v>
      </c>
      <c r="C221" s="66"/>
      <c r="D221" s="68"/>
      <c r="E221" s="178"/>
      <c r="F221" s="105"/>
      <c r="G221" s="105"/>
    </row>
    <row r="222" spans="1:9" ht="30" x14ac:dyDescent="0.25">
      <c r="A222" s="66">
        <f>A220+1</f>
        <v>182</v>
      </c>
      <c r="B222" s="67" t="s">
        <v>900</v>
      </c>
      <c r="C222" s="66" t="s">
        <v>194</v>
      </c>
      <c r="D222" s="71">
        <v>49</v>
      </c>
      <c r="E222" s="178">
        <v>2864.48</v>
      </c>
      <c r="F222" s="105">
        <f t="shared" si="37"/>
        <v>140359.51999999999</v>
      </c>
      <c r="G222" s="105">
        <f t="shared" ref="G222:G227" si="41">ROUND(F222*1.2,2)</f>
        <v>168431.42</v>
      </c>
    </row>
    <row r="223" spans="1:9" ht="45" x14ac:dyDescent="0.25">
      <c r="A223" s="66">
        <f>A222+1</f>
        <v>183</v>
      </c>
      <c r="B223" s="67" t="s">
        <v>901</v>
      </c>
      <c r="C223" s="66" t="s">
        <v>194</v>
      </c>
      <c r="D223" s="71">
        <v>6</v>
      </c>
      <c r="E223" s="178">
        <v>4021.61</v>
      </c>
      <c r="F223" s="105">
        <f t="shared" si="37"/>
        <v>24129.66</v>
      </c>
      <c r="G223" s="105">
        <f t="shared" si="41"/>
        <v>28955.59</v>
      </c>
    </row>
    <row r="224" spans="1:9" ht="45" x14ac:dyDescent="0.25">
      <c r="A224" s="66">
        <f t="shared" ref="A224:A227" si="42">A223+1</f>
        <v>184</v>
      </c>
      <c r="B224" s="67" t="s">
        <v>902</v>
      </c>
      <c r="C224" s="66" t="s">
        <v>220</v>
      </c>
      <c r="D224" s="71">
        <v>2</v>
      </c>
      <c r="E224" s="178">
        <v>5203.95</v>
      </c>
      <c r="F224" s="105">
        <f t="shared" si="37"/>
        <v>10407.9</v>
      </c>
      <c r="G224" s="105">
        <f t="shared" si="41"/>
        <v>12489.48</v>
      </c>
    </row>
    <row r="225" spans="1:9" ht="45" x14ac:dyDescent="0.25">
      <c r="A225" s="66">
        <f t="shared" si="42"/>
        <v>185</v>
      </c>
      <c r="B225" s="67" t="s">
        <v>903</v>
      </c>
      <c r="C225" s="66" t="s">
        <v>220</v>
      </c>
      <c r="D225" s="71">
        <v>2</v>
      </c>
      <c r="E225" s="178">
        <v>12511.09</v>
      </c>
      <c r="F225" s="105">
        <f t="shared" si="37"/>
        <v>25022.18</v>
      </c>
      <c r="G225" s="105">
        <f t="shared" si="41"/>
        <v>30026.62</v>
      </c>
    </row>
    <row r="226" spans="1:9" ht="30" x14ac:dyDescent="0.25">
      <c r="A226" s="66">
        <f t="shared" si="42"/>
        <v>186</v>
      </c>
      <c r="B226" s="67" t="s">
        <v>849</v>
      </c>
      <c r="C226" s="66" t="s">
        <v>220</v>
      </c>
      <c r="D226" s="71">
        <v>1</v>
      </c>
      <c r="E226" s="178">
        <v>9227.06</v>
      </c>
      <c r="F226" s="105">
        <f t="shared" si="37"/>
        <v>9227.06</v>
      </c>
      <c r="G226" s="105">
        <f t="shared" si="41"/>
        <v>11072.47</v>
      </c>
    </row>
    <row r="227" spans="1:9" ht="30" x14ac:dyDescent="0.25">
      <c r="A227" s="66">
        <f t="shared" si="42"/>
        <v>187</v>
      </c>
      <c r="B227" s="67" t="s">
        <v>850</v>
      </c>
      <c r="C227" s="66" t="s">
        <v>924</v>
      </c>
      <c r="D227" s="71">
        <v>1</v>
      </c>
      <c r="E227" s="178">
        <v>70121.429999999993</v>
      </c>
      <c r="F227" s="105">
        <f t="shared" si="37"/>
        <v>70121.429999999993</v>
      </c>
      <c r="G227" s="105">
        <f t="shared" si="41"/>
        <v>84145.72</v>
      </c>
    </row>
    <row r="228" spans="1:9" ht="15.75" x14ac:dyDescent="0.25">
      <c r="A228" s="66"/>
      <c r="B228" s="62" t="s">
        <v>856</v>
      </c>
      <c r="C228" s="66"/>
      <c r="D228" s="68"/>
      <c r="E228" s="178"/>
      <c r="F228" s="105"/>
      <c r="G228" s="105"/>
    </row>
    <row r="229" spans="1:9" ht="15.75" x14ac:dyDescent="0.25">
      <c r="A229" s="66">
        <f>A227+1</f>
        <v>188</v>
      </c>
      <c r="B229" s="67" t="s">
        <v>904</v>
      </c>
      <c r="C229" s="66" t="s">
        <v>194</v>
      </c>
      <c r="D229" s="71">
        <v>49</v>
      </c>
      <c r="E229" s="178">
        <v>1334.42</v>
      </c>
      <c r="F229" s="105">
        <f t="shared" si="37"/>
        <v>65386.58</v>
      </c>
      <c r="G229" s="105">
        <f t="shared" ref="G229:G231" si="43">ROUND(F229*1.2,2)</f>
        <v>78463.899999999994</v>
      </c>
    </row>
    <row r="230" spans="1:9" ht="15.75" x14ac:dyDescent="0.25">
      <c r="A230" s="66">
        <f>A229+1</f>
        <v>189</v>
      </c>
      <c r="B230" s="67" t="s">
        <v>899</v>
      </c>
      <c r="C230" s="66" t="s">
        <v>239</v>
      </c>
      <c r="D230" s="72">
        <v>18.7</v>
      </c>
      <c r="E230" s="178">
        <v>412.84</v>
      </c>
      <c r="F230" s="105">
        <f t="shared" si="37"/>
        <v>7720.11</v>
      </c>
      <c r="G230" s="105">
        <f t="shared" si="43"/>
        <v>9264.1299999999992</v>
      </c>
    </row>
    <row r="231" spans="1:9" ht="30" x14ac:dyDescent="0.25">
      <c r="A231" s="66">
        <f>A230+1</f>
        <v>190</v>
      </c>
      <c r="B231" s="67" t="s">
        <v>890</v>
      </c>
      <c r="C231" s="66" t="s">
        <v>239</v>
      </c>
      <c r="D231" s="72">
        <v>18.7</v>
      </c>
      <c r="E231" s="178">
        <v>312.27999999999997</v>
      </c>
      <c r="F231" s="105">
        <f t="shared" si="37"/>
        <v>5839.64</v>
      </c>
      <c r="G231" s="105">
        <f t="shared" si="43"/>
        <v>7007.57</v>
      </c>
    </row>
    <row r="232" spans="1:9" ht="23.25" customHeight="1" x14ac:dyDescent="0.25">
      <c r="A232" s="161"/>
      <c r="B232" s="437" t="s">
        <v>746</v>
      </c>
      <c r="C232" s="438"/>
      <c r="D232" s="442"/>
      <c r="E232" s="162"/>
      <c r="F232" s="163"/>
      <c r="G232" s="175"/>
    </row>
    <row r="233" spans="1:9" ht="22.5" customHeight="1" x14ac:dyDescent="0.25">
      <c r="A233" s="66"/>
      <c r="B233" s="62" t="s">
        <v>513</v>
      </c>
      <c r="C233" s="66"/>
      <c r="D233" s="68"/>
      <c r="E233" s="172"/>
      <c r="F233" s="168"/>
      <c r="G233" s="176"/>
    </row>
    <row r="234" spans="1:9" ht="15.75" x14ac:dyDescent="0.25">
      <c r="A234" s="66">
        <f>A231+1</f>
        <v>191</v>
      </c>
      <c r="B234" s="67" t="s">
        <v>487</v>
      </c>
      <c r="C234" s="66" t="s">
        <v>193</v>
      </c>
      <c r="D234" s="72">
        <v>10.8</v>
      </c>
      <c r="E234" s="178">
        <v>1550.1</v>
      </c>
      <c r="F234" s="105">
        <f t="shared" ref="F234:F237" si="44">ROUND(E234*D234,2)</f>
        <v>16741.080000000002</v>
      </c>
      <c r="G234" s="105">
        <f t="shared" ref="G234:G250" si="45">ROUND(F234*1.2,2)</f>
        <v>20089.3</v>
      </c>
      <c r="H234">
        <v>1777</v>
      </c>
    </row>
    <row r="235" spans="1:9" ht="15.75" x14ac:dyDescent="0.25">
      <c r="A235" s="66">
        <f>A234+1</f>
        <v>192</v>
      </c>
      <c r="B235" s="67" t="s">
        <v>905</v>
      </c>
      <c r="C235" s="66" t="s">
        <v>193</v>
      </c>
      <c r="D235" s="72">
        <v>6.7</v>
      </c>
      <c r="E235" s="178">
        <v>856.54</v>
      </c>
      <c r="F235" s="105">
        <f t="shared" si="44"/>
        <v>5738.82</v>
      </c>
      <c r="G235" s="105">
        <f t="shared" si="45"/>
        <v>6886.58</v>
      </c>
      <c r="H235">
        <v>899</v>
      </c>
    </row>
    <row r="236" spans="1:9" ht="15.75" x14ac:dyDescent="0.25">
      <c r="A236" s="66">
        <f t="shared" ref="A236:A237" si="46">A235+1</f>
        <v>193</v>
      </c>
      <c r="B236" s="67" t="s">
        <v>906</v>
      </c>
      <c r="C236" s="66" t="s">
        <v>193</v>
      </c>
      <c r="D236" s="72">
        <v>4.0999999999999996</v>
      </c>
      <c r="E236" s="178">
        <v>518.38</v>
      </c>
      <c r="F236" s="105">
        <f t="shared" si="44"/>
        <v>2125.36</v>
      </c>
      <c r="G236" s="105">
        <f t="shared" si="45"/>
        <v>2550.4299999999998</v>
      </c>
      <c r="H236">
        <v>325</v>
      </c>
    </row>
    <row r="237" spans="1:9" ht="15.75" x14ac:dyDescent="0.25">
      <c r="A237" s="66">
        <f t="shared" si="46"/>
        <v>194</v>
      </c>
      <c r="B237" s="67" t="s">
        <v>907</v>
      </c>
      <c r="C237" s="66" t="s">
        <v>239</v>
      </c>
      <c r="D237" s="68">
        <v>7.18</v>
      </c>
      <c r="E237" s="178">
        <v>312.27999999999997</v>
      </c>
      <c r="F237" s="105">
        <f t="shared" si="44"/>
        <v>2242.17</v>
      </c>
      <c r="G237" s="105">
        <f t="shared" si="45"/>
        <v>2690.6</v>
      </c>
      <c r="H237">
        <v>3460</v>
      </c>
      <c r="I237" s="218" t="s">
        <v>922</v>
      </c>
    </row>
    <row r="238" spans="1:9" ht="18.75" customHeight="1" x14ac:dyDescent="0.25">
      <c r="A238" s="66"/>
      <c r="B238" s="62" t="s">
        <v>908</v>
      </c>
      <c r="C238" s="66"/>
      <c r="D238" s="71"/>
      <c r="E238" s="178"/>
      <c r="F238" s="105"/>
      <c r="G238" s="105"/>
    </row>
    <row r="239" spans="1:9" ht="15.75" x14ac:dyDescent="0.25">
      <c r="A239" s="66">
        <f>A237+1</f>
        <v>195</v>
      </c>
      <c r="B239" s="67" t="s">
        <v>631</v>
      </c>
      <c r="C239" s="66" t="s">
        <v>194</v>
      </c>
      <c r="D239" s="71">
        <v>40</v>
      </c>
      <c r="E239" s="178">
        <v>162.32</v>
      </c>
      <c r="F239" s="105">
        <f t="shared" ref="F239:F245" si="47">ROUND(E239*D239,2)</f>
        <v>6492.8</v>
      </c>
      <c r="G239" s="105">
        <f t="shared" si="45"/>
        <v>7791.36</v>
      </c>
    </row>
    <row r="240" spans="1:9" ht="15.75" x14ac:dyDescent="0.25">
      <c r="A240" s="66">
        <f>A239+1</f>
        <v>196</v>
      </c>
      <c r="B240" s="67" t="s">
        <v>909</v>
      </c>
      <c r="C240" s="66" t="s">
        <v>220</v>
      </c>
      <c r="D240" s="71">
        <v>2</v>
      </c>
      <c r="E240" s="178">
        <v>1976.06</v>
      </c>
      <c r="F240" s="105">
        <f t="shared" si="47"/>
        <v>3952.12</v>
      </c>
      <c r="G240" s="105">
        <f t="shared" si="45"/>
        <v>4742.54</v>
      </c>
    </row>
    <row r="241" spans="1:8" ht="15.75" x14ac:dyDescent="0.25">
      <c r="A241" s="66">
        <f>A240+1</f>
        <v>197</v>
      </c>
      <c r="B241" s="67" t="s">
        <v>910</v>
      </c>
      <c r="C241" s="66" t="s">
        <v>194</v>
      </c>
      <c r="D241" s="71">
        <f>60+180</f>
        <v>240</v>
      </c>
      <c r="E241" s="178">
        <v>64.27</v>
      </c>
      <c r="F241" s="105">
        <f t="shared" si="47"/>
        <v>15424.8</v>
      </c>
      <c r="G241" s="105">
        <f t="shared" si="45"/>
        <v>18509.759999999998</v>
      </c>
    </row>
    <row r="242" spans="1:8" ht="15.75" x14ac:dyDescent="0.25">
      <c r="A242" s="66">
        <f t="shared" ref="A242:A245" si="48">A241+1</f>
        <v>198</v>
      </c>
      <c r="B242" s="67" t="s">
        <v>911</v>
      </c>
      <c r="C242" s="66" t="s">
        <v>194</v>
      </c>
      <c r="D242" s="71">
        <v>240</v>
      </c>
      <c r="E242" s="178">
        <v>151.6</v>
      </c>
      <c r="F242" s="105">
        <f t="shared" si="47"/>
        <v>36384</v>
      </c>
      <c r="G242" s="105">
        <f t="shared" si="45"/>
        <v>43660.800000000003</v>
      </c>
    </row>
    <row r="243" spans="1:8" ht="15.75" x14ac:dyDescent="0.25">
      <c r="A243" s="66">
        <f t="shared" si="48"/>
        <v>199</v>
      </c>
      <c r="B243" s="67" t="s">
        <v>912</v>
      </c>
      <c r="C243" s="66" t="s">
        <v>194</v>
      </c>
      <c r="D243" s="71">
        <v>40</v>
      </c>
      <c r="E243" s="178">
        <v>327.23</v>
      </c>
      <c r="F243" s="105">
        <f t="shared" si="47"/>
        <v>13089.2</v>
      </c>
      <c r="G243" s="105">
        <f t="shared" si="45"/>
        <v>15707.04</v>
      </c>
    </row>
    <row r="244" spans="1:8" ht="15.75" x14ac:dyDescent="0.25">
      <c r="A244" s="66">
        <f t="shared" si="48"/>
        <v>200</v>
      </c>
      <c r="B244" s="67" t="s">
        <v>913</v>
      </c>
      <c r="C244" s="66" t="s">
        <v>220</v>
      </c>
      <c r="D244" s="71">
        <v>4</v>
      </c>
      <c r="E244" s="178">
        <v>8752.73</v>
      </c>
      <c r="F244" s="105">
        <f t="shared" si="47"/>
        <v>35010.92</v>
      </c>
      <c r="G244" s="105">
        <f t="shared" si="45"/>
        <v>42013.1</v>
      </c>
    </row>
    <row r="245" spans="1:8" ht="15.75" x14ac:dyDescent="0.25">
      <c r="A245" s="66">
        <f t="shared" si="48"/>
        <v>201</v>
      </c>
      <c r="B245" s="67" t="s">
        <v>914</v>
      </c>
      <c r="C245" s="66" t="s">
        <v>194</v>
      </c>
      <c r="D245" s="71">
        <v>40</v>
      </c>
      <c r="E245" s="178">
        <v>18.45</v>
      </c>
      <c r="F245" s="105">
        <f t="shared" si="47"/>
        <v>738</v>
      </c>
      <c r="G245" s="105">
        <f t="shared" si="45"/>
        <v>885.6</v>
      </c>
    </row>
    <row r="246" spans="1:8" ht="21.75" customHeight="1" x14ac:dyDescent="0.25">
      <c r="A246" s="66"/>
      <c r="B246" s="62" t="s">
        <v>915</v>
      </c>
      <c r="C246" s="66"/>
      <c r="D246" s="68"/>
      <c r="E246" s="178"/>
      <c r="F246" s="105"/>
      <c r="G246" s="105"/>
    </row>
    <row r="247" spans="1:8" ht="30" x14ac:dyDescent="0.25">
      <c r="A247" s="66">
        <f>A245+1</f>
        <v>202</v>
      </c>
      <c r="B247" s="67" t="s">
        <v>916</v>
      </c>
      <c r="C247" s="66" t="s">
        <v>925</v>
      </c>
      <c r="D247" s="71">
        <v>4</v>
      </c>
      <c r="E247" s="178">
        <v>6257.28</v>
      </c>
      <c r="F247" s="105">
        <f t="shared" ref="F247:F250" si="49">ROUND(E247*D247,2)</f>
        <v>25029.119999999999</v>
      </c>
      <c r="G247" s="105">
        <f t="shared" si="45"/>
        <v>30034.94</v>
      </c>
    </row>
    <row r="248" spans="1:8" ht="30" x14ac:dyDescent="0.25">
      <c r="A248" s="66">
        <f>A247+1</f>
        <v>203</v>
      </c>
      <c r="B248" s="67" t="s">
        <v>917</v>
      </c>
      <c r="C248" s="66" t="s">
        <v>925</v>
      </c>
      <c r="D248" s="71">
        <v>4</v>
      </c>
      <c r="E248" s="178">
        <v>6257.28</v>
      </c>
      <c r="F248" s="105">
        <f t="shared" si="49"/>
        <v>25029.119999999999</v>
      </c>
      <c r="G248" s="105">
        <f t="shared" si="45"/>
        <v>30034.94</v>
      </c>
    </row>
    <row r="249" spans="1:8" ht="30" x14ac:dyDescent="0.25">
      <c r="A249" s="66">
        <f t="shared" ref="A249:A250" si="50">A248+1</f>
        <v>204</v>
      </c>
      <c r="B249" s="67" t="s">
        <v>918</v>
      </c>
      <c r="C249" s="66" t="s">
        <v>925</v>
      </c>
      <c r="D249" s="71">
        <v>4</v>
      </c>
      <c r="E249" s="178">
        <v>6257.28</v>
      </c>
      <c r="F249" s="105">
        <f t="shared" si="49"/>
        <v>25029.119999999999</v>
      </c>
      <c r="G249" s="105">
        <f t="shared" si="45"/>
        <v>30034.94</v>
      </c>
    </row>
    <row r="250" spans="1:8" ht="30" x14ac:dyDescent="0.25">
      <c r="A250" s="66">
        <f t="shared" si="50"/>
        <v>205</v>
      </c>
      <c r="B250" s="67" t="s">
        <v>919</v>
      </c>
      <c r="C250" s="66" t="s">
        <v>926</v>
      </c>
      <c r="D250" s="71">
        <v>3</v>
      </c>
      <c r="E250" s="178">
        <v>2329.08</v>
      </c>
      <c r="F250" s="105">
        <f t="shared" si="49"/>
        <v>6987.24</v>
      </c>
      <c r="G250" s="105">
        <f t="shared" si="45"/>
        <v>8384.69</v>
      </c>
    </row>
    <row r="251" spans="1:8" x14ac:dyDescent="0.25">
      <c r="A251" s="174"/>
      <c r="B251" s="429" t="s">
        <v>721</v>
      </c>
      <c r="C251" s="430"/>
      <c r="D251" s="430"/>
      <c r="E251" s="431"/>
      <c r="F251" s="165">
        <f>SUM(F6:F250)</f>
        <v>6681041.8199999994</v>
      </c>
      <c r="G251" s="165">
        <f>SUM(G6:G250)</f>
        <v>8017250.1500000004</v>
      </c>
    </row>
    <row r="252" spans="1:8" x14ac:dyDescent="0.25">
      <c r="A252" s="411" t="s">
        <v>722</v>
      </c>
      <c r="B252" s="412"/>
      <c r="C252" s="412"/>
      <c r="D252" s="412"/>
      <c r="E252" s="413"/>
      <c r="F252" s="220">
        <f>ROUND(F251*0.03,2)</f>
        <v>200431.25</v>
      </c>
      <c r="G252" s="220">
        <f>ROUND(G251*0.03,2)</f>
        <v>240517.5</v>
      </c>
      <c r="H252" s="52"/>
    </row>
    <row r="253" spans="1:8" x14ac:dyDescent="0.25">
      <c r="A253" s="411" t="s">
        <v>723</v>
      </c>
      <c r="B253" s="412"/>
      <c r="C253" s="412"/>
      <c r="D253" s="412"/>
      <c r="E253" s="413"/>
      <c r="F253" s="220">
        <f>F251+F252</f>
        <v>6881473.0699999994</v>
      </c>
      <c r="G253" s="220">
        <f>G251+G252</f>
        <v>8257767.6500000004</v>
      </c>
      <c r="H253" s="52"/>
    </row>
  </sheetData>
  <mergeCells count="18">
    <mergeCell ref="B186:D186"/>
    <mergeCell ref="B209:D209"/>
    <mergeCell ref="B232:D232"/>
    <mergeCell ref="A252:E252"/>
    <mergeCell ref="A253:E253"/>
    <mergeCell ref="B251:E251"/>
    <mergeCell ref="A1:A2"/>
    <mergeCell ref="B1:B2"/>
    <mergeCell ref="C1:C2"/>
    <mergeCell ref="D1:D2"/>
    <mergeCell ref="E1:G1"/>
    <mergeCell ref="B140:D140"/>
    <mergeCell ref="B163:D163"/>
    <mergeCell ref="B41:D41"/>
    <mergeCell ref="B4:D4"/>
    <mergeCell ref="B69:D69"/>
    <mergeCell ref="B97:D97"/>
    <mergeCell ref="B121:D121"/>
  </mergeCells>
  <pageMargins left="0.7" right="0.7" top="0.75" bottom="0.75" header="0.3" footer="0.3"/>
  <pageSetup paperSize="9" scale="6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"/>
  <sheetViews>
    <sheetView view="pageBreakPreview" topLeftCell="A41" zoomScale="80" zoomScaleNormal="100" zoomScaleSheetLayoutView="80" workbookViewId="0">
      <selection activeCell="G110" sqref="G110"/>
    </sheetView>
  </sheetViews>
  <sheetFormatPr defaultRowHeight="15" x14ac:dyDescent="0.25"/>
  <cols>
    <col min="1" max="1" width="7.42578125" customWidth="1"/>
    <col min="2" max="2" width="64" customWidth="1"/>
    <col min="4" max="4" width="9.28515625" bestFit="1" customWidth="1"/>
    <col min="5" max="5" width="14.140625" bestFit="1" customWidth="1"/>
    <col min="6" max="6" width="17.42578125" customWidth="1"/>
    <col min="7" max="7" width="17.28515625" customWidth="1"/>
    <col min="8" max="8" width="12.7109375" customWidth="1"/>
  </cols>
  <sheetData>
    <row r="1" spans="1:7" ht="19.5" customHeight="1" x14ac:dyDescent="0.25">
      <c r="A1" s="405" t="s">
        <v>226</v>
      </c>
      <c r="B1" s="428" t="s">
        <v>201</v>
      </c>
      <c r="C1" s="405" t="s">
        <v>705</v>
      </c>
      <c r="D1" s="405" t="s">
        <v>202</v>
      </c>
      <c r="E1" s="427" t="s">
        <v>703</v>
      </c>
      <c r="F1" s="427"/>
      <c r="G1" s="427"/>
    </row>
    <row r="2" spans="1:7" s="54" customFormat="1" ht="28.5" x14ac:dyDescent="0.25">
      <c r="A2" s="405"/>
      <c r="B2" s="428"/>
      <c r="C2" s="405"/>
      <c r="D2" s="405"/>
      <c r="E2" s="93" t="s">
        <v>704</v>
      </c>
      <c r="F2" s="109" t="s">
        <v>197</v>
      </c>
      <c r="G2" s="109" t="s">
        <v>198</v>
      </c>
    </row>
    <row r="3" spans="1:7" ht="13.5" customHeight="1" x14ac:dyDescent="0.25">
      <c r="A3" s="154">
        <v>1</v>
      </c>
      <c r="B3" s="155">
        <v>2</v>
      </c>
      <c r="C3" s="155">
        <v>3</v>
      </c>
      <c r="D3" s="155">
        <v>4</v>
      </c>
      <c r="E3" s="155">
        <v>5</v>
      </c>
      <c r="F3" s="155">
        <v>6</v>
      </c>
      <c r="G3" s="155">
        <v>7</v>
      </c>
    </row>
    <row r="4" spans="1:7" ht="19.5" customHeight="1" x14ac:dyDescent="0.25">
      <c r="A4" s="161"/>
      <c r="B4" s="414" t="s">
        <v>737</v>
      </c>
      <c r="C4" s="436"/>
      <c r="D4" s="415"/>
      <c r="E4" s="163"/>
      <c r="F4" s="164"/>
      <c r="G4" s="131"/>
    </row>
    <row r="5" spans="1:7" x14ac:dyDescent="0.25">
      <c r="A5" s="88">
        <v>1</v>
      </c>
      <c r="B5" s="67" t="s">
        <v>390</v>
      </c>
      <c r="C5" s="66" t="s">
        <v>193</v>
      </c>
      <c r="D5" s="72">
        <v>14.3</v>
      </c>
      <c r="E5" s="98">
        <v>1320</v>
      </c>
      <c r="F5" s="105">
        <f>ROUND(E5*D5,2)</f>
        <v>18876</v>
      </c>
      <c r="G5" s="105">
        <f>ROUND(F5*1.2,2)</f>
        <v>22651.200000000001</v>
      </c>
    </row>
    <row r="6" spans="1:7" ht="30" x14ac:dyDescent="0.25">
      <c r="A6" s="88">
        <f>A5+1</f>
        <v>2</v>
      </c>
      <c r="B6" s="67" t="s">
        <v>747</v>
      </c>
      <c r="C6" s="66" t="s">
        <v>194</v>
      </c>
      <c r="D6" s="71">
        <v>31</v>
      </c>
      <c r="E6" s="98">
        <v>2640</v>
      </c>
      <c r="F6" s="105">
        <f t="shared" ref="F6:F31" si="0">ROUND(E6*D6,2)</f>
        <v>81840</v>
      </c>
      <c r="G6" s="105">
        <f t="shared" ref="G6:G31" si="1">ROUND(F6*1.2,2)</f>
        <v>98208</v>
      </c>
    </row>
    <row r="7" spans="1:7" x14ac:dyDescent="0.25">
      <c r="A7" s="88">
        <f>A6+1</f>
        <v>3</v>
      </c>
      <c r="B7" s="67" t="s">
        <v>748</v>
      </c>
      <c r="C7" s="66" t="s">
        <v>194</v>
      </c>
      <c r="D7" s="71">
        <v>6</v>
      </c>
      <c r="E7" s="98">
        <v>9680</v>
      </c>
      <c r="F7" s="105">
        <f t="shared" si="0"/>
        <v>58080</v>
      </c>
      <c r="G7" s="105">
        <f t="shared" si="1"/>
        <v>69696</v>
      </c>
    </row>
    <row r="8" spans="1:7" x14ac:dyDescent="0.25">
      <c r="A8" s="88">
        <f t="shared" ref="A8:A31" si="2">A7+1</f>
        <v>4</v>
      </c>
      <c r="B8" s="67" t="s">
        <v>749</v>
      </c>
      <c r="C8" s="66" t="s">
        <v>220</v>
      </c>
      <c r="D8" s="71">
        <v>2</v>
      </c>
      <c r="E8" s="98">
        <v>3300</v>
      </c>
      <c r="F8" s="105">
        <f t="shared" si="0"/>
        <v>6600</v>
      </c>
      <c r="G8" s="105">
        <f t="shared" si="1"/>
        <v>7920</v>
      </c>
    </row>
    <row r="9" spans="1:7" x14ac:dyDescent="0.25">
      <c r="A9" s="88">
        <f t="shared" si="2"/>
        <v>5</v>
      </c>
      <c r="B9" s="67" t="s">
        <v>750</v>
      </c>
      <c r="C9" s="66" t="s">
        <v>220</v>
      </c>
      <c r="D9" s="71">
        <v>2</v>
      </c>
      <c r="E9" s="98">
        <v>3410</v>
      </c>
      <c r="F9" s="105">
        <f t="shared" si="0"/>
        <v>6820</v>
      </c>
      <c r="G9" s="105">
        <f t="shared" si="1"/>
        <v>8184</v>
      </c>
    </row>
    <row r="10" spans="1:7" ht="30" x14ac:dyDescent="0.25">
      <c r="A10" s="88">
        <f t="shared" si="2"/>
        <v>6</v>
      </c>
      <c r="B10" s="67" t="s">
        <v>751</v>
      </c>
      <c r="C10" s="66" t="s">
        <v>220</v>
      </c>
      <c r="D10" s="71">
        <v>2</v>
      </c>
      <c r="E10" s="98">
        <v>3740</v>
      </c>
      <c r="F10" s="105">
        <f t="shared" si="0"/>
        <v>7480</v>
      </c>
      <c r="G10" s="105">
        <f t="shared" si="1"/>
        <v>8976</v>
      </c>
    </row>
    <row r="11" spans="1:7" x14ac:dyDescent="0.25">
      <c r="A11" s="88">
        <f t="shared" si="2"/>
        <v>7</v>
      </c>
      <c r="B11" s="67" t="s">
        <v>752</v>
      </c>
      <c r="C11" s="66" t="s">
        <v>254</v>
      </c>
      <c r="D11" s="76">
        <v>8.7479999999999993</v>
      </c>
      <c r="E11" s="98">
        <v>127</v>
      </c>
      <c r="F11" s="105">
        <f t="shared" si="0"/>
        <v>1111</v>
      </c>
      <c r="G11" s="105">
        <f t="shared" si="1"/>
        <v>1333.2</v>
      </c>
    </row>
    <row r="12" spans="1:7" x14ac:dyDescent="0.25">
      <c r="A12" s="88">
        <f t="shared" si="2"/>
        <v>8</v>
      </c>
      <c r="B12" s="67" t="s">
        <v>753</v>
      </c>
      <c r="C12" s="66" t="s">
        <v>254</v>
      </c>
      <c r="D12" s="76">
        <v>2.556</v>
      </c>
      <c r="E12" s="98">
        <v>147</v>
      </c>
      <c r="F12" s="105">
        <f t="shared" si="0"/>
        <v>375.73</v>
      </c>
      <c r="G12" s="105">
        <f t="shared" si="1"/>
        <v>450.88</v>
      </c>
    </row>
    <row r="13" spans="1:7" x14ac:dyDescent="0.25">
      <c r="A13" s="88">
        <f t="shared" si="2"/>
        <v>9</v>
      </c>
      <c r="B13" s="67" t="s">
        <v>754</v>
      </c>
      <c r="C13" s="66" t="s">
        <v>254</v>
      </c>
      <c r="D13" s="77">
        <v>1.2347999999999999</v>
      </c>
      <c r="E13" s="98">
        <v>197</v>
      </c>
      <c r="F13" s="105">
        <f t="shared" si="0"/>
        <v>243.26</v>
      </c>
      <c r="G13" s="105">
        <f t="shared" si="1"/>
        <v>291.91000000000003</v>
      </c>
    </row>
    <row r="14" spans="1:7" ht="30" x14ac:dyDescent="0.25">
      <c r="A14" s="88">
        <f t="shared" si="2"/>
        <v>10</v>
      </c>
      <c r="B14" s="67" t="s">
        <v>755</v>
      </c>
      <c r="C14" s="66" t="s">
        <v>220</v>
      </c>
      <c r="D14" s="71">
        <v>2</v>
      </c>
      <c r="E14" s="98">
        <v>3699</v>
      </c>
      <c r="F14" s="105">
        <f t="shared" si="0"/>
        <v>7398</v>
      </c>
      <c r="G14" s="105">
        <f t="shared" si="1"/>
        <v>8877.6</v>
      </c>
    </row>
    <row r="15" spans="1:7" x14ac:dyDescent="0.25">
      <c r="A15" s="88">
        <f t="shared" si="2"/>
        <v>11</v>
      </c>
      <c r="B15" s="67" t="s">
        <v>756</v>
      </c>
      <c r="C15" s="66" t="s">
        <v>220</v>
      </c>
      <c r="D15" s="71">
        <v>1</v>
      </c>
      <c r="E15" s="98">
        <v>18150</v>
      </c>
      <c r="F15" s="105">
        <f t="shared" si="0"/>
        <v>18150</v>
      </c>
      <c r="G15" s="105">
        <f t="shared" si="1"/>
        <v>21780</v>
      </c>
    </row>
    <row r="16" spans="1:7" ht="30" x14ac:dyDescent="0.25">
      <c r="A16" s="88">
        <f t="shared" si="2"/>
        <v>12</v>
      </c>
      <c r="B16" s="67" t="s">
        <v>757</v>
      </c>
      <c r="C16" s="66" t="s">
        <v>220</v>
      </c>
      <c r="D16" s="71">
        <v>3</v>
      </c>
      <c r="E16" s="98">
        <v>61</v>
      </c>
      <c r="F16" s="105">
        <f t="shared" si="0"/>
        <v>183</v>
      </c>
      <c r="G16" s="105">
        <f t="shared" si="1"/>
        <v>219.6</v>
      </c>
    </row>
    <row r="17" spans="1:8" x14ac:dyDescent="0.25">
      <c r="A17" s="88">
        <f t="shared" si="2"/>
        <v>13</v>
      </c>
      <c r="B17" s="67" t="s">
        <v>758</v>
      </c>
      <c r="C17" s="66" t="s">
        <v>220</v>
      </c>
      <c r="D17" s="71">
        <v>1</v>
      </c>
      <c r="E17" s="98">
        <v>10450</v>
      </c>
      <c r="F17" s="105">
        <f t="shared" si="0"/>
        <v>10450</v>
      </c>
      <c r="G17" s="105">
        <f t="shared" si="1"/>
        <v>12540</v>
      </c>
    </row>
    <row r="18" spans="1:8" x14ac:dyDescent="0.25">
      <c r="A18" s="88">
        <f t="shared" si="2"/>
        <v>14</v>
      </c>
      <c r="B18" s="67" t="s">
        <v>759</v>
      </c>
      <c r="C18" s="66" t="s">
        <v>220</v>
      </c>
      <c r="D18" s="71">
        <v>1</v>
      </c>
      <c r="E18" s="98">
        <v>3410</v>
      </c>
      <c r="F18" s="105">
        <f t="shared" si="0"/>
        <v>3410</v>
      </c>
      <c r="G18" s="105">
        <f t="shared" si="1"/>
        <v>4092</v>
      </c>
    </row>
    <row r="19" spans="1:8" x14ac:dyDescent="0.25">
      <c r="A19" s="88">
        <f t="shared" si="2"/>
        <v>15</v>
      </c>
      <c r="B19" s="67" t="s">
        <v>760</v>
      </c>
      <c r="C19" s="74" t="s">
        <v>193</v>
      </c>
      <c r="D19" s="71">
        <v>1</v>
      </c>
      <c r="E19" s="98">
        <v>3850</v>
      </c>
      <c r="F19" s="105">
        <f t="shared" si="0"/>
        <v>3850</v>
      </c>
      <c r="G19" s="105">
        <f t="shared" si="1"/>
        <v>4620</v>
      </c>
    </row>
    <row r="20" spans="1:8" x14ac:dyDescent="0.25">
      <c r="A20" s="88">
        <f t="shared" si="2"/>
        <v>16</v>
      </c>
      <c r="B20" s="67" t="s">
        <v>761</v>
      </c>
      <c r="C20" s="74" t="s">
        <v>220</v>
      </c>
      <c r="D20" s="82" t="s">
        <v>762</v>
      </c>
      <c r="E20" s="98">
        <v>4565</v>
      </c>
      <c r="F20" s="105">
        <f t="shared" si="0"/>
        <v>4565</v>
      </c>
      <c r="G20" s="105">
        <f t="shared" si="1"/>
        <v>5478</v>
      </c>
    </row>
    <row r="21" spans="1:8" x14ac:dyDescent="0.25">
      <c r="A21" s="88">
        <f t="shared" si="2"/>
        <v>17</v>
      </c>
      <c r="B21" s="67" t="s">
        <v>763</v>
      </c>
      <c r="C21" s="74" t="s">
        <v>220</v>
      </c>
      <c r="D21" s="82" t="s">
        <v>762</v>
      </c>
      <c r="E21" s="98">
        <v>4290</v>
      </c>
      <c r="F21" s="105">
        <f t="shared" si="0"/>
        <v>4290</v>
      </c>
      <c r="G21" s="105">
        <f t="shared" si="1"/>
        <v>5148</v>
      </c>
    </row>
    <row r="22" spans="1:8" x14ac:dyDescent="0.25">
      <c r="A22" s="88">
        <f t="shared" si="2"/>
        <v>18</v>
      </c>
      <c r="B22" s="67" t="s">
        <v>764</v>
      </c>
      <c r="C22" s="74" t="s">
        <v>220</v>
      </c>
      <c r="D22" s="82" t="s">
        <v>765</v>
      </c>
      <c r="E22" s="98">
        <v>5060</v>
      </c>
      <c r="F22" s="105">
        <f t="shared" si="0"/>
        <v>10120</v>
      </c>
      <c r="G22" s="105">
        <f t="shared" si="1"/>
        <v>12144</v>
      </c>
    </row>
    <row r="23" spans="1:8" x14ac:dyDescent="0.25">
      <c r="A23" s="88">
        <f t="shared" si="2"/>
        <v>19</v>
      </c>
      <c r="B23" s="67" t="s">
        <v>766</v>
      </c>
      <c r="C23" s="74" t="s">
        <v>220</v>
      </c>
      <c r="D23" s="82" t="s">
        <v>762</v>
      </c>
      <c r="E23" s="98">
        <v>4070.0000000000005</v>
      </c>
      <c r="F23" s="105">
        <f t="shared" si="0"/>
        <v>4070</v>
      </c>
      <c r="G23" s="105">
        <f t="shared" si="1"/>
        <v>4884</v>
      </c>
    </row>
    <row r="24" spans="1:8" x14ac:dyDescent="0.25">
      <c r="A24" s="88">
        <f t="shared" si="2"/>
        <v>20</v>
      </c>
      <c r="B24" s="67" t="s">
        <v>767</v>
      </c>
      <c r="C24" s="74" t="s">
        <v>220</v>
      </c>
      <c r="D24" s="82" t="s">
        <v>762</v>
      </c>
      <c r="E24" s="98">
        <v>6199</v>
      </c>
      <c r="F24" s="105">
        <f t="shared" si="0"/>
        <v>6199</v>
      </c>
      <c r="G24" s="105">
        <f t="shared" si="1"/>
        <v>7438.8</v>
      </c>
    </row>
    <row r="25" spans="1:8" x14ac:dyDescent="0.25">
      <c r="A25" s="88">
        <f t="shared" si="2"/>
        <v>21</v>
      </c>
      <c r="B25" s="67" t="s">
        <v>768</v>
      </c>
      <c r="C25" s="74" t="s">
        <v>220</v>
      </c>
      <c r="D25" s="82" t="s">
        <v>762</v>
      </c>
      <c r="E25" s="98">
        <v>15180</v>
      </c>
      <c r="F25" s="105">
        <f t="shared" si="0"/>
        <v>15180</v>
      </c>
      <c r="G25" s="105">
        <f t="shared" si="1"/>
        <v>18216</v>
      </c>
    </row>
    <row r="26" spans="1:8" x14ac:dyDescent="0.25">
      <c r="A26" s="88">
        <f t="shared" si="2"/>
        <v>22</v>
      </c>
      <c r="B26" s="67" t="s">
        <v>769</v>
      </c>
      <c r="C26" s="74" t="s">
        <v>254</v>
      </c>
      <c r="D26" s="82" t="s">
        <v>770</v>
      </c>
      <c r="E26" s="98">
        <v>702</v>
      </c>
      <c r="F26" s="105">
        <f t="shared" si="0"/>
        <v>16146</v>
      </c>
      <c r="G26" s="105">
        <f t="shared" si="1"/>
        <v>19375.2</v>
      </c>
    </row>
    <row r="27" spans="1:8" x14ac:dyDescent="0.25">
      <c r="A27" s="88">
        <f t="shared" si="2"/>
        <v>23</v>
      </c>
      <c r="B27" s="67" t="s">
        <v>771</v>
      </c>
      <c r="C27" s="74" t="s">
        <v>194</v>
      </c>
      <c r="D27" s="212">
        <f>6*0.245</f>
        <v>1.47</v>
      </c>
      <c r="E27" s="98">
        <v>319</v>
      </c>
      <c r="F27" s="105">
        <f t="shared" si="0"/>
        <v>468.93</v>
      </c>
      <c r="G27" s="105">
        <f t="shared" si="1"/>
        <v>562.72</v>
      </c>
    </row>
    <row r="28" spans="1:8" x14ac:dyDescent="0.25">
      <c r="A28" s="88">
        <f t="shared" si="2"/>
        <v>24</v>
      </c>
      <c r="B28" s="67" t="s">
        <v>772</v>
      </c>
      <c r="C28" s="74" t="s">
        <v>254</v>
      </c>
      <c r="D28" s="212">
        <f>0.3*6*3.1</f>
        <v>5.5799999999999992</v>
      </c>
      <c r="E28" s="98">
        <v>95</v>
      </c>
      <c r="F28" s="105">
        <f t="shared" si="0"/>
        <v>530.1</v>
      </c>
      <c r="G28" s="105">
        <f t="shared" si="1"/>
        <v>636.12</v>
      </c>
    </row>
    <row r="29" spans="1:8" x14ac:dyDescent="0.25">
      <c r="A29" s="88">
        <f t="shared" si="2"/>
        <v>25</v>
      </c>
      <c r="B29" s="67" t="s">
        <v>773</v>
      </c>
      <c r="C29" s="74" t="s">
        <v>254</v>
      </c>
      <c r="D29" s="82" t="s">
        <v>774</v>
      </c>
      <c r="E29" s="98">
        <v>250</v>
      </c>
      <c r="F29" s="105">
        <f t="shared" si="0"/>
        <v>1250</v>
      </c>
      <c r="G29" s="105">
        <f t="shared" si="1"/>
        <v>1500</v>
      </c>
    </row>
    <row r="30" spans="1:8" x14ac:dyDescent="0.25">
      <c r="A30" s="88">
        <f t="shared" si="2"/>
        <v>26</v>
      </c>
      <c r="B30" s="67" t="s">
        <v>388</v>
      </c>
      <c r="C30" s="74" t="s">
        <v>254</v>
      </c>
      <c r="D30" s="82" t="s">
        <v>775</v>
      </c>
      <c r="E30" s="98">
        <v>312</v>
      </c>
      <c r="F30" s="105">
        <f t="shared" si="0"/>
        <v>10608</v>
      </c>
      <c r="G30" s="105">
        <f t="shared" si="1"/>
        <v>12729.6</v>
      </c>
    </row>
    <row r="31" spans="1:8" x14ac:dyDescent="0.25">
      <c r="A31" s="88">
        <f t="shared" si="2"/>
        <v>27</v>
      </c>
      <c r="B31" s="67" t="s">
        <v>776</v>
      </c>
      <c r="C31" s="74" t="s">
        <v>193</v>
      </c>
      <c r="D31" s="82" t="s">
        <v>777</v>
      </c>
      <c r="E31" s="98">
        <v>1368</v>
      </c>
      <c r="F31" s="105">
        <f t="shared" si="0"/>
        <v>957.6</v>
      </c>
      <c r="G31" s="105">
        <f t="shared" si="1"/>
        <v>1149.1199999999999</v>
      </c>
      <c r="H31" s="216"/>
    </row>
    <row r="32" spans="1:8" ht="21.75" customHeight="1" x14ac:dyDescent="0.25">
      <c r="A32" s="161"/>
      <c r="B32" s="437" t="s">
        <v>738</v>
      </c>
      <c r="C32" s="438"/>
      <c r="D32" s="438"/>
      <c r="E32" s="163"/>
      <c r="F32" s="164"/>
      <c r="G32" s="131"/>
    </row>
    <row r="33" spans="1:8" x14ac:dyDescent="0.25">
      <c r="A33" s="66">
        <f>A31+1</f>
        <v>28</v>
      </c>
      <c r="B33" s="67" t="s">
        <v>390</v>
      </c>
      <c r="C33" s="66" t="s">
        <v>193</v>
      </c>
      <c r="D33" s="71">
        <v>47</v>
      </c>
      <c r="E33" s="98">
        <v>1320</v>
      </c>
      <c r="F33" s="105">
        <f t="shared" ref="F33:F45" si="3">ROUND(E33*D33,2)</f>
        <v>62040</v>
      </c>
      <c r="G33" s="105">
        <f t="shared" ref="G33:G45" si="4">ROUND(F33*1.2,2)</f>
        <v>74448</v>
      </c>
    </row>
    <row r="34" spans="1:8" ht="30" x14ac:dyDescent="0.25">
      <c r="A34" s="66">
        <f t="shared" ref="A34:A45" si="5">A33+1</f>
        <v>29</v>
      </c>
      <c r="B34" s="67" t="s">
        <v>778</v>
      </c>
      <c r="C34" s="74" t="s">
        <v>194</v>
      </c>
      <c r="D34" s="82" t="s">
        <v>779</v>
      </c>
      <c r="E34" s="98">
        <v>1430</v>
      </c>
      <c r="F34" s="105">
        <f t="shared" si="3"/>
        <v>138710</v>
      </c>
      <c r="G34" s="105">
        <f t="shared" si="4"/>
        <v>166452</v>
      </c>
    </row>
    <row r="35" spans="1:8" x14ac:dyDescent="0.25">
      <c r="A35" s="66">
        <f t="shared" si="5"/>
        <v>30</v>
      </c>
      <c r="B35" s="67" t="s">
        <v>780</v>
      </c>
      <c r="C35" s="74" t="s">
        <v>194</v>
      </c>
      <c r="D35" s="82" t="s">
        <v>781</v>
      </c>
      <c r="E35" s="98">
        <v>8140</v>
      </c>
      <c r="F35" s="105">
        <f t="shared" si="3"/>
        <v>48840</v>
      </c>
      <c r="G35" s="105">
        <f t="shared" si="4"/>
        <v>58608</v>
      </c>
    </row>
    <row r="36" spans="1:8" x14ac:dyDescent="0.25">
      <c r="A36" s="66">
        <f t="shared" si="5"/>
        <v>31</v>
      </c>
      <c r="B36" s="67" t="s">
        <v>782</v>
      </c>
      <c r="C36" s="74" t="s">
        <v>178</v>
      </c>
      <c r="D36" s="82" t="s">
        <v>765</v>
      </c>
      <c r="E36" s="98">
        <v>2090</v>
      </c>
      <c r="F36" s="105">
        <f t="shared" si="3"/>
        <v>4180</v>
      </c>
      <c r="G36" s="105">
        <f t="shared" si="4"/>
        <v>5016</v>
      </c>
    </row>
    <row r="37" spans="1:8" x14ac:dyDescent="0.25">
      <c r="A37" s="66">
        <f t="shared" si="5"/>
        <v>32</v>
      </c>
      <c r="B37" s="67" t="s">
        <v>783</v>
      </c>
      <c r="C37" s="74" t="s">
        <v>178</v>
      </c>
      <c r="D37" s="82">
        <v>1</v>
      </c>
      <c r="E37" s="98">
        <v>4840</v>
      </c>
      <c r="F37" s="105">
        <f t="shared" si="3"/>
        <v>4840</v>
      </c>
      <c r="G37" s="105">
        <f t="shared" si="4"/>
        <v>5808</v>
      </c>
    </row>
    <row r="38" spans="1:8" ht="30" x14ac:dyDescent="0.25">
      <c r="A38" s="66">
        <f t="shared" si="5"/>
        <v>33</v>
      </c>
      <c r="B38" s="67" t="s">
        <v>784</v>
      </c>
      <c r="C38" s="74" t="s">
        <v>178</v>
      </c>
      <c r="D38" s="82">
        <v>1</v>
      </c>
      <c r="E38" s="98">
        <v>50</v>
      </c>
      <c r="F38" s="105">
        <f t="shared" si="3"/>
        <v>50</v>
      </c>
      <c r="G38" s="105">
        <f t="shared" si="4"/>
        <v>60</v>
      </c>
    </row>
    <row r="39" spans="1:8" x14ac:dyDescent="0.25">
      <c r="A39" s="66">
        <f t="shared" si="5"/>
        <v>34</v>
      </c>
      <c r="B39" s="67" t="s">
        <v>803</v>
      </c>
      <c r="C39" s="74" t="s">
        <v>178</v>
      </c>
      <c r="D39" s="82">
        <v>1</v>
      </c>
      <c r="E39" s="98">
        <v>5720</v>
      </c>
      <c r="F39" s="105">
        <f t="shared" si="3"/>
        <v>5720</v>
      </c>
      <c r="G39" s="105">
        <f t="shared" si="4"/>
        <v>6864</v>
      </c>
    </row>
    <row r="40" spans="1:8" x14ac:dyDescent="0.25">
      <c r="A40" s="66">
        <f t="shared" si="5"/>
        <v>35</v>
      </c>
      <c r="B40" s="67" t="s">
        <v>786</v>
      </c>
      <c r="C40" s="74" t="s">
        <v>254</v>
      </c>
      <c r="D40" s="213">
        <f>8*0.243</f>
        <v>1.944</v>
      </c>
      <c r="E40" s="98">
        <v>127</v>
      </c>
      <c r="F40" s="105">
        <f t="shared" si="3"/>
        <v>246.89</v>
      </c>
      <c r="G40" s="105">
        <f t="shared" si="4"/>
        <v>296.27</v>
      </c>
    </row>
    <row r="41" spans="1:8" x14ac:dyDescent="0.25">
      <c r="A41" s="66">
        <f t="shared" si="5"/>
        <v>36</v>
      </c>
      <c r="B41" s="67" t="s">
        <v>787</v>
      </c>
      <c r="C41" s="74" t="s">
        <v>254</v>
      </c>
      <c r="D41" s="213">
        <f>8*0.071</f>
        <v>0.56799999999999995</v>
      </c>
      <c r="E41" s="98">
        <v>147</v>
      </c>
      <c r="F41" s="105">
        <f t="shared" si="3"/>
        <v>83.5</v>
      </c>
      <c r="G41" s="105">
        <f t="shared" si="4"/>
        <v>100.2</v>
      </c>
    </row>
    <row r="42" spans="1:8" x14ac:dyDescent="0.25">
      <c r="A42" s="66">
        <f t="shared" si="5"/>
        <v>37</v>
      </c>
      <c r="B42" s="67" t="s">
        <v>788</v>
      </c>
      <c r="C42" s="74" t="s">
        <v>254</v>
      </c>
      <c r="D42" s="213">
        <f>16*0.0172</f>
        <v>0.2752</v>
      </c>
      <c r="E42" s="98">
        <v>197</v>
      </c>
      <c r="F42" s="105">
        <f t="shared" si="3"/>
        <v>54.21</v>
      </c>
      <c r="G42" s="105">
        <f t="shared" si="4"/>
        <v>65.05</v>
      </c>
    </row>
    <row r="43" spans="1:8" ht="30" x14ac:dyDescent="0.25">
      <c r="A43" s="66">
        <f t="shared" si="5"/>
        <v>38</v>
      </c>
      <c r="B43" s="67" t="s">
        <v>789</v>
      </c>
      <c r="C43" s="74" t="s">
        <v>178</v>
      </c>
      <c r="D43" s="82">
        <v>1</v>
      </c>
      <c r="E43" s="98">
        <v>2200</v>
      </c>
      <c r="F43" s="105">
        <f t="shared" si="3"/>
        <v>2200</v>
      </c>
      <c r="G43" s="105">
        <f t="shared" si="4"/>
        <v>2640</v>
      </c>
    </row>
    <row r="44" spans="1:8" x14ac:dyDescent="0.25">
      <c r="A44" s="66">
        <f t="shared" si="5"/>
        <v>39</v>
      </c>
      <c r="B44" s="67" t="s">
        <v>790</v>
      </c>
      <c r="C44" s="74" t="s">
        <v>178</v>
      </c>
      <c r="D44" s="82">
        <v>1</v>
      </c>
      <c r="E44" s="98">
        <v>6380</v>
      </c>
      <c r="F44" s="105">
        <f t="shared" si="3"/>
        <v>6380</v>
      </c>
      <c r="G44" s="105">
        <f t="shared" si="4"/>
        <v>7656</v>
      </c>
    </row>
    <row r="45" spans="1:8" x14ac:dyDescent="0.25">
      <c r="A45" s="66">
        <f t="shared" si="5"/>
        <v>40</v>
      </c>
      <c r="B45" s="67" t="s">
        <v>760</v>
      </c>
      <c r="C45" s="74" t="s">
        <v>193</v>
      </c>
      <c r="D45" s="82" t="s">
        <v>791</v>
      </c>
      <c r="E45" s="98">
        <v>3850</v>
      </c>
      <c r="F45" s="105">
        <f t="shared" si="3"/>
        <v>2348.5</v>
      </c>
      <c r="G45" s="105">
        <f t="shared" si="4"/>
        <v>2818.2</v>
      </c>
      <c r="H45" s="216"/>
    </row>
    <row r="46" spans="1:8" ht="21" customHeight="1" x14ac:dyDescent="0.25">
      <c r="A46" s="161"/>
      <c r="B46" s="414" t="s">
        <v>739</v>
      </c>
      <c r="C46" s="436"/>
      <c r="D46" s="436"/>
      <c r="E46" s="163"/>
      <c r="F46" s="164"/>
      <c r="G46" s="131"/>
    </row>
    <row r="47" spans="1:8" x14ac:dyDescent="0.25">
      <c r="A47" s="66">
        <f>A45+1</f>
        <v>41</v>
      </c>
      <c r="B47" s="67" t="s">
        <v>390</v>
      </c>
      <c r="C47" s="66" t="s">
        <v>193</v>
      </c>
      <c r="D47" s="71">
        <v>56</v>
      </c>
      <c r="E47" s="98">
        <v>1320</v>
      </c>
      <c r="F47" s="105">
        <f t="shared" ref="F47:F55" si="6">ROUND(E47*D47,2)</f>
        <v>73920</v>
      </c>
      <c r="G47" s="105">
        <f t="shared" ref="G47:G59" si="7">ROUND(F47*1.2,2)</f>
        <v>88704</v>
      </c>
    </row>
    <row r="48" spans="1:8" ht="30" x14ac:dyDescent="0.25">
      <c r="A48" s="66">
        <f>A47+1</f>
        <v>42</v>
      </c>
      <c r="B48" s="67" t="s">
        <v>792</v>
      </c>
      <c r="C48" s="66" t="s">
        <v>194</v>
      </c>
      <c r="D48" s="82" t="s">
        <v>793</v>
      </c>
      <c r="E48" s="98">
        <v>2750</v>
      </c>
      <c r="F48" s="105">
        <f t="shared" si="6"/>
        <v>225500</v>
      </c>
      <c r="G48" s="105">
        <f t="shared" si="7"/>
        <v>270600</v>
      </c>
    </row>
    <row r="49" spans="1:8" x14ac:dyDescent="0.25">
      <c r="A49" s="66">
        <f t="shared" ref="A49:A59" si="8">A48+1</f>
        <v>43</v>
      </c>
      <c r="B49" s="67" t="s">
        <v>748</v>
      </c>
      <c r="C49" s="66" t="s">
        <v>194</v>
      </c>
      <c r="D49" s="82" t="s">
        <v>794</v>
      </c>
      <c r="E49" s="98">
        <v>9680</v>
      </c>
      <c r="F49" s="105">
        <f t="shared" si="6"/>
        <v>396880</v>
      </c>
      <c r="G49" s="105">
        <f t="shared" si="7"/>
        <v>476256</v>
      </c>
    </row>
    <row r="50" spans="1:8" x14ac:dyDescent="0.25">
      <c r="A50" s="66">
        <f t="shared" si="8"/>
        <v>44</v>
      </c>
      <c r="B50" s="67" t="s">
        <v>795</v>
      </c>
      <c r="C50" s="66" t="s">
        <v>220</v>
      </c>
      <c r="D50" s="82" t="s">
        <v>796</v>
      </c>
      <c r="E50" s="98">
        <v>3740</v>
      </c>
      <c r="F50" s="105">
        <f t="shared" si="6"/>
        <v>44880</v>
      </c>
      <c r="G50" s="105">
        <f t="shared" si="7"/>
        <v>53856</v>
      </c>
    </row>
    <row r="51" spans="1:8" x14ac:dyDescent="0.25">
      <c r="A51" s="66">
        <f t="shared" si="8"/>
        <v>45</v>
      </c>
      <c r="B51" s="67" t="s">
        <v>797</v>
      </c>
      <c r="C51" s="66" t="s">
        <v>178</v>
      </c>
      <c r="D51" s="71">
        <v>1</v>
      </c>
      <c r="E51" s="98">
        <v>7480</v>
      </c>
      <c r="F51" s="105">
        <f t="shared" si="6"/>
        <v>7480</v>
      </c>
      <c r="G51" s="105">
        <f t="shared" si="7"/>
        <v>8976</v>
      </c>
    </row>
    <row r="52" spans="1:8" x14ac:dyDescent="0.25">
      <c r="A52" s="66">
        <f t="shared" si="8"/>
        <v>46</v>
      </c>
      <c r="B52" s="67" t="s">
        <v>783</v>
      </c>
      <c r="C52" s="66" t="s">
        <v>220</v>
      </c>
      <c r="D52" s="71">
        <v>2</v>
      </c>
      <c r="E52" s="98">
        <v>4840</v>
      </c>
      <c r="F52" s="105">
        <f t="shared" si="6"/>
        <v>9680</v>
      </c>
      <c r="G52" s="105">
        <f t="shared" si="7"/>
        <v>11616</v>
      </c>
    </row>
    <row r="53" spans="1:8" ht="30" x14ac:dyDescent="0.25">
      <c r="A53" s="66">
        <f t="shared" si="8"/>
        <v>47</v>
      </c>
      <c r="B53" s="67" t="s">
        <v>798</v>
      </c>
      <c r="C53" s="66" t="s">
        <v>220</v>
      </c>
      <c r="D53" s="71">
        <v>2</v>
      </c>
      <c r="E53" s="98">
        <v>88</v>
      </c>
      <c r="F53" s="105">
        <f t="shared" si="6"/>
        <v>176</v>
      </c>
      <c r="G53" s="105">
        <f t="shared" si="7"/>
        <v>211.2</v>
      </c>
    </row>
    <row r="54" spans="1:8" x14ac:dyDescent="0.25">
      <c r="A54" s="66">
        <f t="shared" si="8"/>
        <v>48</v>
      </c>
      <c r="B54" s="67" t="s">
        <v>785</v>
      </c>
      <c r="C54" s="66" t="s">
        <v>220</v>
      </c>
      <c r="D54" s="71">
        <v>2</v>
      </c>
      <c r="E54" s="98">
        <v>5720</v>
      </c>
      <c r="F54" s="105">
        <f t="shared" si="6"/>
        <v>11440</v>
      </c>
      <c r="G54" s="105">
        <f t="shared" si="7"/>
        <v>13728</v>
      </c>
    </row>
    <row r="55" spans="1:8" x14ac:dyDescent="0.25">
      <c r="A55" s="66">
        <f t="shared" si="8"/>
        <v>49</v>
      </c>
      <c r="B55" s="67" t="s">
        <v>799</v>
      </c>
      <c r="C55" s="74" t="s">
        <v>254</v>
      </c>
      <c r="D55" s="213">
        <f>24*0.243</f>
        <v>5.8319999999999999</v>
      </c>
      <c r="E55" s="98">
        <v>127</v>
      </c>
      <c r="F55" s="105">
        <f t="shared" si="6"/>
        <v>740.66</v>
      </c>
      <c r="G55" s="105">
        <f t="shared" si="7"/>
        <v>888.79</v>
      </c>
    </row>
    <row r="56" spans="1:8" x14ac:dyDescent="0.25">
      <c r="A56" s="66">
        <f t="shared" si="8"/>
        <v>50</v>
      </c>
      <c r="B56" s="67" t="s">
        <v>800</v>
      </c>
      <c r="C56" s="74" t="s">
        <v>254</v>
      </c>
      <c r="D56" s="213">
        <f>24*0.071</f>
        <v>1.7039999999999997</v>
      </c>
      <c r="E56" s="98">
        <v>147</v>
      </c>
      <c r="F56" s="105">
        <f t="shared" ref="F56:F59" si="9">ROUND(E56*D56,2)</f>
        <v>250.49</v>
      </c>
      <c r="G56" s="105">
        <f t="shared" si="7"/>
        <v>300.58999999999997</v>
      </c>
    </row>
    <row r="57" spans="1:8" x14ac:dyDescent="0.25">
      <c r="A57" s="66">
        <f t="shared" si="8"/>
        <v>51</v>
      </c>
      <c r="B57" s="67" t="s">
        <v>801</v>
      </c>
      <c r="C57" s="74" t="s">
        <v>254</v>
      </c>
      <c r="D57" s="213">
        <f>48*0.0172</f>
        <v>0.8256</v>
      </c>
      <c r="E57" s="98">
        <v>197</v>
      </c>
      <c r="F57" s="105">
        <f t="shared" si="9"/>
        <v>162.63999999999999</v>
      </c>
      <c r="G57" s="105">
        <f t="shared" si="7"/>
        <v>195.17</v>
      </c>
    </row>
    <row r="58" spans="1:8" ht="30" x14ac:dyDescent="0.25">
      <c r="A58" s="66">
        <f t="shared" si="8"/>
        <v>52</v>
      </c>
      <c r="B58" s="67" t="s">
        <v>802</v>
      </c>
      <c r="C58" s="66" t="s">
        <v>220</v>
      </c>
      <c r="D58" s="82">
        <v>2</v>
      </c>
      <c r="E58" s="98">
        <v>4730</v>
      </c>
      <c r="F58" s="105">
        <f t="shared" si="9"/>
        <v>9460</v>
      </c>
      <c r="G58" s="105">
        <f t="shared" si="7"/>
        <v>11352</v>
      </c>
    </row>
    <row r="59" spans="1:8" x14ac:dyDescent="0.25">
      <c r="A59" s="66">
        <f t="shared" si="8"/>
        <v>53</v>
      </c>
      <c r="B59" s="67" t="s">
        <v>760</v>
      </c>
      <c r="C59" s="66" t="s">
        <v>193</v>
      </c>
      <c r="D59" s="82" t="s">
        <v>781</v>
      </c>
      <c r="E59" s="98">
        <v>3850</v>
      </c>
      <c r="F59" s="105">
        <f t="shared" si="9"/>
        <v>23100</v>
      </c>
      <c r="G59" s="105">
        <f t="shared" si="7"/>
        <v>27720</v>
      </c>
      <c r="H59" s="216"/>
    </row>
    <row r="60" spans="1:8" ht="22.5" customHeight="1" x14ac:dyDescent="0.25">
      <c r="A60" s="161"/>
      <c r="B60" s="414" t="s">
        <v>740</v>
      </c>
      <c r="C60" s="436"/>
      <c r="D60" s="436"/>
      <c r="E60" s="163"/>
      <c r="F60" s="164"/>
      <c r="G60" s="131"/>
    </row>
    <row r="61" spans="1:8" x14ac:dyDescent="0.25">
      <c r="A61" s="66">
        <f>A59+1</f>
        <v>54</v>
      </c>
      <c r="B61" s="67" t="s">
        <v>390</v>
      </c>
      <c r="C61" s="66" t="s">
        <v>193</v>
      </c>
      <c r="D61" s="71">
        <v>19</v>
      </c>
      <c r="E61" s="98">
        <v>1320</v>
      </c>
      <c r="F61" s="105">
        <f t="shared" ref="F61:F66" si="10">ROUND(E61*D61,2)</f>
        <v>25080</v>
      </c>
      <c r="G61" s="105">
        <f t="shared" ref="G61:G66" si="11">ROUND(F61*1.2,2)</f>
        <v>30096</v>
      </c>
    </row>
    <row r="62" spans="1:8" ht="30" x14ac:dyDescent="0.25">
      <c r="A62" s="66">
        <f>A61+1</f>
        <v>55</v>
      </c>
      <c r="B62" s="67" t="s">
        <v>804</v>
      </c>
      <c r="C62" s="66" t="s">
        <v>194</v>
      </c>
      <c r="D62" s="82" t="s">
        <v>805</v>
      </c>
      <c r="E62" s="98">
        <v>1430</v>
      </c>
      <c r="F62" s="105">
        <f t="shared" si="10"/>
        <v>60060</v>
      </c>
      <c r="G62" s="105">
        <f t="shared" si="11"/>
        <v>72072</v>
      </c>
    </row>
    <row r="63" spans="1:8" x14ac:dyDescent="0.25">
      <c r="A63" s="66">
        <f t="shared" ref="A63:A66" si="12">A62+1</f>
        <v>56</v>
      </c>
      <c r="B63" s="67" t="s">
        <v>806</v>
      </c>
      <c r="C63" s="66" t="s">
        <v>194</v>
      </c>
      <c r="D63" s="82" t="s">
        <v>781</v>
      </c>
      <c r="E63" s="98">
        <v>8140</v>
      </c>
      <c r="F63" s="105">
        <f t="shared" si="10"/>
        <v>48840</v>
      </c>
      <c r="G63" s="105">
        <f t="shared" si="11"/>
        <v>58608</v>
      </c>
    </row>
    <row r="64" spans="1:8" x14ac:dyDescent="0.25">
      <c r="A64" s="66">
        <f t="shared" si="12"/>
        <v>57</v>
      </c>
      <c r="B64" s="67" t="s">
        <v>807</v>
      </c>
      <c r="C64" s="66" t="s">
        <v>220</v>
      </c>
      <c r="D64" s="82">
        <v>2</v>
      </c>
      <c r="E64" s="98">
        <v>2090</v>
      </c>
      <c r="F64" s="105">
        <f t="shared" si="10"/>
        <v>4180</v>
      </c>
      <c r="G64" s="105">
        <f t="shared" si="11"/>
        <v>5016</v>
      </c>
    </row>
    <row r="65" spans="1:8" ht="33.75" customHeight="1" x14ac:dyDescent="0.25">
      <c r="A65" s="66">
        <f t="shared" si="12"/>
        <v>58</v>
      </c>
      <c r="B65" s="67" t="s">
        <v>808</v>
      </c>
      <c r="C65" s="66" t="s">
        <v>220</v>
      </c>
      <c r="D65" s="82">
        <v>2</v>
      </c>
      <c r="E65" s="98">
        <v>2420</v>
      </c>
      <c r="F65" s="105">
        <f t="shared" si="10"/>
        <v>4840</v>
      </c>
      <c r="G65" s="105">
        <f t="shared" si="11"/>
        <v>5808</v>
      </c>
    </row>
    <row r="66" spans="1:8" x14ac:dyDescent="0.25">
      <c r="A66" s="66">
        <f t="shared" si="12"/>
        <v>59</v>
      </c>
      <c r="B66" s="67" t="s">
        <v>760</v>
      </c>
      <c r="C66" s="66" t="s">
        <v>193</v>
      </c>
      <c r="D66" s="82" t="s">
        <v>762</v>
      </c>
      <c r="E66" s="98">
        <v>3850</v>
      </c>
      <c r="F66" s="105">
        <f t="shared" si="10"/>
        <v>3850</v>
      </c>
      <c r="G66" s="105">
        <f t="shared" si="11"/>
        <v>4620</v>
      </c>
      <c r="H66" s="216"/>
    </row>
    <row r="67" spans="1:8" ht="23.25" customHeight="1" x14ac:dyDescent="0.25">
      <c r="A67" s="161"/>
      <c r="B67" s="414" t="s">
        <v>741</v>
      </c>
      <c r="C67" s="436"/>
      <c r="D67" s="436"/>
      <c r="E67" s="163"/>
      <c r="F67" s="164"/>
      <c r="G67" s="131"/>
    </row>
    <row r="68" spans="1:8" ht="18.75" customHeight="1" x14ac:dyDescent="0.25">
      <c r="A68" s="66">
        <f>A66+1</f>
        <v>60</v>
      </c>
      <c r="B68" s="67" t="s">
        <v>390</v>
      </c>
      <c r="C68" s="66" t="s">
        <v>193</v>
      </c>
      <c r="D68" s="71">
        <v>11</v>
      </c>
      <c r="E68" s="98">
        <v>1320</v>
      </c>
      <c r="F68" s="105">
        <f t="shared" ref="F68:F73" si="13">ROUND(E68*D68,2)</f>
        <v>14520</v>
      </c>
      <c r="G68" s="105">
        <f t="shared" ref="G68:G73" si="14">ROUND(F68*1.2,2)</f>
        <v>17424</v>
      </c>
    </row>
    <row r="69" spans="1:8" ht="15.75" customHeight="1" x14ac:dyDescent="0.25">
      <c r="A69" s="66">
        <f>A68+1</f>
        <v>61</v>
      </c>
      <c r="B69" s="67" t="s">
        <v>809</v>
      </c>
      <c r="C69" s="66" t="s">
        <v>194</v>
      </c>
      <c r="D69" s="82" t="s">
        <v>770</v>
      </c>
      <c r="E69" s="98">
        <v>1430</v>
      </c>
      <c r="F69" s="105">
        <f t="shared" si="13"/>
        <v>32890</v>
      </c>
      <c r="G69" s="105">
        <f t="shared" si="14"/>
        <v>39468</v>
      </c>
    </row>
    <row r="70" spans="1:8" ht="18" customHeight="1" x14ac:dyDescent="0.25">
      <c r="A70" s="66">
        <f t="shared" ref="A70:A73" si="15">A69+1</f>
        <v>62</v>
      </c>
      <c r="B70" s="67" t="s">
        <v>806</v>
      </c>
      <c r="C70" s="66" t="s">
        <v>194</v>
      </c>
      <c r="D70" s="82" t="s">
        <v>781</v>
      </c>
      <c r="E70" s="98">
        <v>8140</v>
      </c>
      <c r="F70" s="105">
        <f t="shared" si="13"/>
        <v>48840</v>
      </c>
      <c r="G70" s="105">
        <f t="shared" si="14"/>
        <v>58608</v>
      </c>
    </row>
    <row r="71" spans="1:8" ht="19.5" customHeight="1" x14ac:dyDescent="0.25">
      <c r="A71" s="66">
        <f t="shared" si="15"/>
        <v>63</v>
      </c>
      <c r="B71" s="67" t="s">
        <v>807</v>
      </c>
      <c r="C71" s="66" t="s">
        <v>220</v>
      </c>
      <c r="D71" s="82" t="s">
        <v>765</v>
      </c>
      <c r="E71" s="98">
        <v>2090</v>
      </c>
      <c r="F71" s="105">
        <f t="shared" si="13"/>
        <v>4180</v>
      </c>
      <c r="G71" s="105">
        <f t="shared" si="14"/>
        <v>5016</v>
      </c>
    </row>
    <row r="72" spans="1:8" ht="30" x14ac:dyDescent="0.25">
      <c r="A72" s="66">
        <f t="shared" si="15"/>
        <v>64</v>
      </c>
      <c r="B72" s="67" t="s">
        <v>810</v>
      </c>
      <c r="C72" s="66" t="s">
        <v>220</v>
      </c>
      <c r="D72" s="82">
        <v>4</v>
      </c>
      <c r="E72" s="98">
        <v>2420</v>
      </c>
      <c r="F72" s="105">
        <f t="shared" si="13"/>
        <v>9680</v>
      </c>
      <c r="G72" s="105">
        <f t="shared" si="14"/>
        <v>11616</v>
      </c>
    </row>
    <row r="73" spans="1:8" x14ac:dyDescent="0.25">
      <c r="A73" s="66">
        <f t="shared" si="15"/>
        <v>65</v>
      </c>
      <c r="B73" s="67" t="s">
        <v>760</v>
      </c>
      <c r="C73" s="66" t="s">
        <v>193</v>
      </c>
      <c r="D73" s="82" t="s">
        <v>762</v>
      </c>
      <c r="E73" s="98">
        <v>3850</v>
      </c>
      <c r="F73" s="105">
        <f t="shared" si="13"/>
        <v>3850</v>
      </c>
      <c r="G73" s="105">
        <f t="shared" si="14"/>
        <v>4620</v>
      </c>
      <c r="H73" s="216"/>
    </row>
    <row r="74" spans="1:8" ht="21.75" customHeight="1" x14ac:dyDescent="0.25">
      <c r="A74" s="161"/>
      <c r="B74" s="414" t="s">
        <v>742</v>
      </c>
      <c r="C74" s="436"/>
      <c r="D74" s="436"/>
      <c r="E74" s="163"/>
      <c r="F74" s="164"/>
      <c r="G74" s="131"/>
    </row>
    <row r="75" spans="1:8" x14ac:dyDescent="0.25">
      <c r="A75" s="66">
        <f>A73+1</f>
        <v>66</v>
      </c>
      <c r="B75" s="67" t="s">
        <v>390</v>
      </c>
      <c r="C75" s="66" t="s">
        <v>193</v>
      </c>
      <c r="D75" s="71">
        <v>42</v>
      </c>
      <c r="E75" s="98">
        <v>1320</v>
      </c>
      <c r="F75" s="105">
        <f t="shared" ref="F75:F80" si="16">ROUND(E75*D75,2)</f>
        <v>55440</v>
      </c>
      <c r="G75" s="105">
        <f t="shared" ref="G75:G80" si="17">ROUND(F75*1.2,2)</f>
        <v>66528</v>
      </c>
    </row>
    <row r="76" spans="1:8" x14ac:dyDescent="0.25">
      <c r="A76" s="66">
        <f>A75+1</f>
        <v>67</v>
      </c>
      <c r="B76" s="67" t="s">
        <v>811</v>
      </c>
      <c r="C76" s="66" t="s">
        <v>194</v>
      </c>
      <c r="D76" s="82" t="s">
        <v>812</v>
      </c>
      <c r="E76" s="98">
        <v>16500</v>
      </c>
      <c r="F76" s="105">
        <f t="shared" si="16"/>
        <v>511500</v>
      </c>
      <c r="G76" s="105">
        <f t="shared" si="17"/>
        <v>613800</v>
      </c>
    </row>
    <row r="77" spans="1:8" x14ac:dyDescent="0.25">
      <c r="A77" s="66">
        <f t="shared" ref="A77:A80" si="18">A76+1</f>
        <v>68</v>
      </c>
      <c r="B77" s="67" t="s">
        <v>813</v>
      </c>
      <c r="C77" s="66" t="s">
        <v>194</v>
      </c>
      <c r="D77" s="82" t="s">
        <v>781</v>
      </c>
      <c r="E77" s="98">
        <v>19800</v>
      </c>
      <c r="F77" s="105">
        <f t="shared" si="16"/>
        <v>118800</v>
      </c>
      <c r="G77" s="105">
        <f t="shared" si="17"/>
        <v>142560</v>
      </c>
    </row>
    <row r="78" spans="1:8" x14ac:dyDescent="0.25">
      <c r="A78" s="66">
        <f t="shared" si="18"/>
        <v>69</v>
      </c>
      <c r="B78" s="67" t="s">
        <v>814</v>
      </c>
      <c r="C78" s="66" t="s">
        <v>220</v>
      </c>
      <c r="D78" s="82">
        <v>2</v>
      </c>
      <c r="E78" s="98">
        <v>10340</v>
      </c>
      <c r="F78" s="105">
        <f t="shared" si="16"/>
        <v>20680</v>
      </c>
      <c r="G78" s="105">
        <f t="shared" si="17"/>
        <v>24816</v>
      </c>
    </row>
    <row r="79" spans="1:8" ht="30" x14ac:dyDescent="0.25">
      <c r="A79" s="66">
        <f t="shared" si="18"/>
        <v>70</v>
      </c>
      <c r="B79" s="67" t="s">
        <v>815</v>
      </c>
      <c r="C79" s="66" t="s">
        <v>220</v>
      </c>
      <c r="D79" s="82">
        <v>2</v>
      </c>
      <c r="E79" s="98">
        <v>70923</v>
      </c>
      <c r="F79" s="105">
        <f t="shared" si="16"/>
        <v>141846</v>
      </c>
      <c r="G79" s="105">
        <f t="shared" si="17"/>
        <v>170215.2</v>
      </c>
    </row>
    <row r="80" spans="1:8" x14ac:dyDescent="0.25">
      <c r="A80" s="66">
        <f t="shared" si="18"/>
        <v>71</v>
      </c>
      <c r="B80" s="67" t="s">
        <v>760</v>
      </c>
      <c r="C80" s="66" t="s">
        <v>193</v>
      </c>
      <c r="D80" s="82" t="s">
        <v>765</v>
      </c>
      <c r="E80" s="98">
        <v>3850</v>
      </c>
      <c r="F80" s="105">
        <f t="shared" si="16"/>
        <v>7700</v>
      </c>
      <c r="G80" s="105">
        <f t="shared" si="17"/>
        <v>9240</v>
      </c>
      <c r="H80" s="216"/>
    </row>
    <row r="81" spans="1:8" ht="21" customHeight="1" x14ac:dyDescent="0.25">
      <c r="A81" s="161"/>
      <c r="B81" s="414" t="s">
        <v>743</v>
      </c>
      <c r="C81" s="436"/>
      <c r="D81" s="436"/>
      <c r="E81" s="163"/>
      <c r="F81" s="164"/>
      <c r="G81" s="131"/>
    </row>
    <row r="82" spans="1:8" x14ac:dyDescent="0.25">
      <c r="A82" s="66">
        <f>A80+1</f>
        <v>72</v>
      </c>
      <c r="B82" s="67" t="s">
        <v>390</v>
      </c>
      <c r="C82" s="66" t="s">
        <v>193</v>
      </c>
      <c r="D82" s="71">
        <v>26</v>
      </c>
      <c r="E82" s="98">
        <v>1320</v>
      </c>
      <c r="F82" s="105">
        <f t="shared" ref="F82:F87" si="19">ROUND(E82*D82,2)</f>
        <v>34320</v>
      </c>
      <c r="G82" s="105">
        <f t="shared" ref="G82:G87" si="20">ROUND(F82*1.2,2)</f>
        <v>41184</v>
      </c>
    </row>
    <row r="83" spans="1:8" x14ac:dyDescent="0.25">
      <c r="A83" s="66">
        <f>A82+1</f>
        <v>73</v>
      </c>
      <c r="B83" s="67" t="s">
        <v>816</v>
      </c>
      <c r="C83" s="66" t="s">
        <v>194</v>
      </c>
      <c r="D83" s="82" t="s">
        <v>812</v>
      </c>
      <c r="E83" s="98">
        <v>7480</v>
      </c>
      <c r="F83" s="105">
        <f t="shared" si="19"/>
        <v>231880</v>
      </c>
      <c r="G83" s="105">
        <f t="shared" si="20"/>
        <v>278256</v>
      </c>
    </row>
    <row r="84" spans="1:8" ht="30" x14ac:dyDescent="0.25">
      <c r="A84" s="66">
        <f t="shared" ref="A84:A87" si="21">A83+1</f>
        <v>74</v>
      </c>
      <c r="B84" s="67" t="s">
        <v>817</v>
      </c>
      <c r="C84" s="66" t="s">
        <v>194</v>
      </c>
      <c r="D84" s="82" t="s">
        <v>781</v>
      </c>
      <c r="E84" s="98">
        <v>11110</v>
      </c>
      <c r="F84" s="105">
        <f t="shared" si="19"/>
        <v>66660</v>
      </c>
      <c r="G84" s="105">
        <f t="shared" si="20"/>
        <v>79992</v>
      </c>
    </row>
    <row r="85" spans="1:8" x14ac:dyDescent="0.25">
      <c r="A85" s="66">
        <f t="shared" si="21"/>
        <v>75</v>
      </c>
      <c r="B85" s="67" t="s">
        <v>818</v>
      </c>
      <c r="C85" s="66" t="s">
        <v>220</v>
      </c>
      <c r="D85" s="82">
        <v>2</v>
      </c>
      <c r="E85" s="98">
        <v>7260</v>
      </c>
      <c r="F85" s="105">
        <f t="shared" si="19"/>
        <v>14520</v>
      </c>
      <c r="G85" s="105">
        <f t="shared" si="20"/>
        <v>17424</v>
      </c>
    </row>
    <row r="86" spans="1:8" ht="30" x14ac:dyDescent="0.25">
      <c r="A86" s="66">
        <f t="shared" si="21"/>
        <v>76</v>
      </c>
      <c r="B86" s="67" t="s">
        <v>819</v>
      </c>
      <c r="C86" s="66" t="s">
        <v>220</v>
      </c>
      <c r="D86" s="82">
        <v>2</v>
      </c>
      <c r="E86" s="98">
        <v>14014</v>
      </c>
      <c r="F86" s="105">
        <f t="shared" si="19"/>
        <v>28028</v>
      </c>
      <c r="G86" s="105">
        <f t="shared" si="20"/>
        <v>33633.599999999999</v>
      </c>
    </row>
    <row r="87" spans="1:8" x14ac:dyDescent="0.25">
      <c r="A87" s="66">
        <f t="shared" si="21"/>
        <v>77</v>
      </c>
      <c r="B87" s="67" t="s">
        <v>760</v>
      </c>
      <c r="C87" s="66" t="s">
        <v>193</v>
      </c>
      <c r="D87" s="82" t="s">
        <v>762</v>
      </c>
      <c r="E87" s="98">
        <v>3850</v>
      </c>
      <c r="F87" s="105">
        <f t="shared" si="19"/>
        <v>3850</v>
      </c>
      <c r="G87" s="105">
        <f t="shared" si="20"/>
        <v>4620</v>
      </c>
      <c r="H87" s="216"/>
    </row>
    <row r="88" spans="1:8" ht="24.75" customHeight="1" x14ac:dyDescent="0.25">
      <c r="A88" s="161"/>
      <c r="B88" s="414" t="s">
        <v>744</v>
      </c>
      <c r="C88" s="436"/>
      <c r="D88" s="436"/>
      <c r="E88" s="163"/>
      <c r="F88" s="164"/>
      <c r="G88" s="131"/>
    </row>
    <row r="89" spans="1:8" x14ac:dyDescent="0.25">
      <c r="A89" s="66">
        <f>A87+1</f>
        <v>78</v>
      </c>
      <c r="B89" s="67" t="s">
        <v>390</v>
      </c>
      <c r="C89" s="66" t="s">
        <v>193</v>
      </c>
      <c r="D89" s="71">
        <v>15</v>
      </c>
      <c r="E89" s="98">
        <v>1320</v>
      </c>
      <c r="F89" s="105">
        <f t="shared" ref="F89" si="22">ROUND(E89*D89,2)</f>
        <v>19800</v>
      </c>
      <c r="G89" s="105">
        <f t="shared" ref="G89" si="23">ROUND(F89*1.2,2)</f>
        <v>23760</v>
      </c>
    </row>
    <row r="90" spans="1:8" x14ac:dyDescent="0.25">
      <c r="A90" s="66">
        <f>A89+1</f>
        <v>79</v>
      </c>
      <c r="B90" s="67" t="s">
        <v>816</v>
      </c>
      <c r="C90" s="66" t="s">
        <v>194</v>
      </c>
      <c r="D90" s="82" t="s">
        <v>820</v>
      </c>
      <c r="E90" s="98">
        <v>7480</v>
      </c>
      <c r="F90" s="105">
        <f t="shared" ref="F90:F93" si="24">ROUND(E90*D90,2)</f>
        <v>157080</v>
      </c>
      <c r="G90" s="105">
        <f t="shared" ref="G90:G93" si="25">ROUND(F90*1.2,2)</f>
        <v>188496</v>
      </c>
    </row>
    <row r="91" spans="1:8" ht="30" x14ac:dyDescent="0.25">
      <c r="A91" s="66">
        <f t="shared" ref="A91:A94" si="26">A90+1</f>
        <v>80</v>
      </c>
      <c r="B91" s="67" t="s">
        <v>817</v>
      </c>
      <c r="C91" s="66" t="s">
        <v>194</v>
      </c>
      <c r="D91" s="82" t="s">
        <v>781</v>
      </c>
      <c r="E91" s="98">
        <v>11110</v>
      </c>
      <c r="F91" s="105">
        <f t="shared" si="24"/>
        <v>66660</v>
      </c>
      <c r="G91" s="105">
        <f t="shared" si="25"/>
        <v>79992</v>
      </c>
    </row>
    <row r="92" spans="1:8" x14ac:dyDescent="0.25">
      <c r="A92" s="66">
        <f t="shared" si="26"/>
        <v>81</v>
      </c>
      <c r="B92" s="67" t="s">
        <v>818</v>
      </c>
      <c r="C92" s="66" t="s">
        <v>220</v>
      </c>
      <c r="D92" s="82">
        <v>2</v>
      </c>
      <c r="E92" s="98">
        <v>7260</v>
      </c>
      <c r="F92" s="105">
        <f t="shared" si="24"/>
        <v>14520</v>
      </c>
      <c r="G92" s="105">
        <f t="shared" si="25"/>
        <v>17424</v>
      </c>
    </row>
    <row r="93" spans="1:8" ht="32.25" customHeight="1" x14ac:dyDescent="0.25">
      <c r="A93" s="66">
        <f t="shared" si="26"/>
        <v>82</v>
      </c>
      <c r="B93" s="67" t="s">
        <v>819</v>
      </c>
      <c r="C93" s="66" t="s">
        <v>220</v>
      </c>
      <c r="D93" s="82">
        <v>2</v>
      </c>
      <c r="E93" s="98">
        <v>14014</v>
      </c>
      <c r="F93" s="105">
        <f t="shared" si="24"/>
        <v>28028</v>
      </c>
      <c r="G93" s="105">
        <f t="shared" si="25"/>
        <v>33633.599999999999</v>
      </c>
    </row>
    <row r="94" spans="1:8" ht="21" customHeight="1" x14ac:dyDescent="0.25">
      <c r="A94" s="66">
        <f t="shared" si="26"/>
        <v>83</v>
      </c>
      <c r="B94" s="67" t="s">
        <v>760</v>
      </c>
      <c r="C94" s="66" t="s">
        <v>193</v>
      </c>
      <c r="D94" s="82" t="s">
        <v>762</v>
      </c>
      <c r="E94" s="98">
        <v>3850</v>
      </c>
      <c r="F94" s="105">
        <f t="shared" ref="F94" si="27">ROUND(E94*D94,2)</f>
        <v>3850</v>
      </c>
      <c r="G94" s="105">
        <f t="shared" ref="G94" si="28">ROUND(F94*1.2,2)</f>
        <v>4620</v>
      </c>
      <c r="H94" s="216"/>
    </row>
    <row r="95" spans="1:8" ht="23.25" customHeight="1" x14ac:dyDescent="0.25">
      <c r="A95" s="161"/>
      <c r="B95" s="414" t="s">
        <v>745</v>
      </c>
      <c r="C95" s="436"/>
      <c r="D95" s="436"/>
      <c r="E95" s="163"/>
      <c r="F95" s="164"/>
      <c r="G95" s="131"/>
    </row>
    <row r="96" spans="1:8" x14ac:dyDescent="0.25">
      <c r="A96" s="66">
        <f>A94+1</f>
        <v>84</v>
      </c>
      <c r="B96" s="67" t="s">
        <v>390</v>
      </c>
      <c r="C96" s="66" t="s">
        <v>193</v>
      </c>
      <c r="D96" s="71">
        <v>46</v>
      </c>
      <c r="E96" s="98">
        <v>1320</v>
      </c>
      <c r="F96" s="105">
        <f t="shared" ref="F96" si="29">ROUND(E96*D96,2)</f>
        <v>60720</v>
      </c>
      <c r="G96" s="105">
        <f t="shared" ref="G96" si="30">ROUND(F96*1.2,2)</f>
        <v>72864</v>
      </c>
    </row>
    <row r="97" spans="1:8" x14ac:dyDescent="0.25">
      <c r="A97" s="66">
        <f>A96+1</f>
        <v>85</v>
      </c>
      <c r="B97" s="67" t="s">
        <v>816</v>
      </c>
      <c r="C97" s="66" t="s">
        <v>194</v>
      </c>
      <c r="D97" s="82" t="s">
        <v>821</v>
      </c>
      <c r="E97" s="98">
        <v>7480</v>
      </c>
      <c r="F97" s="105">
        <f t="shared" ref="F97:F100" si="31">ROUND(E97*D97,2)</f>
        <v>366520</v>
      </c>
      <c r="G97" s="105">
        <f t="shared" ref="G97:G100" si="32">ROUND(F97*1.2,2)</f>
        <v>439824</v>
      </c>
    </row>
    <row r="98" spans="1:8" ht="30" x14ac:dyDescent="0.25">
      <c r="A98" s="66">
        <f t="shared" ref="A98:A101" si="33">A97+1</f>
        <v>86</v>
      </c>
      <c r="B98" s="67" t="s">
        <v>817</v>
      </c>
      <c r="C98" s="66" t="s">
        <v>194</v>
      </c>
      <c r="D98" s="82" t="s">
        <v>781</v>
      </c>
      <c r="E98" s="98">
        <v>11110</v>
      </c>
      <c r="F98" s="105">
        <f t="shared" si="31"/>
        <v>66660</v>
      </c>
      <c r="G98" s="105">
        <f t="shared" si="32"/>
        <v>79992</v>
      </c>
    </row>
    <row r="99" spans="1:8" x14ac:dyDescent="0.25">
      <c r="A99" s="66">
        <f t="shared" si="33"/>
        <v>87</v>
      </c>
      <c r="B99" s="67" t="s">
        <v>818</v>
      </c>
      <c r="C99" s="66" t="s">
        <v>220</v>
      </c>
      <c r="D99" s="82">
        <v>2</v>
      </c>
      <c r="E99" s="98">
        <v>7260</v>
      </c>
      <c r="F99" s="105">
        <f t="shared" si="31"/>
        <v>14520</v>
      </c>
      <c r="G99" s="105">
        <f t="shared" si="32"/>
        <v>17424</v>
      </c>
    </row>
    <row r="100" spans="1:8" ht="30" x14ac:dyDescent="0.25">
      <c r="A100" s="66">
        <f t="shared" si="33"/>
        <v>88</v>
      </c>
      <c r="B100" s="67" t="s">
        <v>819</v>
      </c>
      <c r="C100" s="66" t="s">
        <v>220</v>
      </c>
      <c r="D100" s="82">
        <v>2</v>
      </c>
      <c r="E100" s="98">
        <v>14014</v>
      </c>
      <c r="F100" s="105">
        <f t="shared" si="31"/>
        <v>28028</v>
      </c>
      <c r="G100" s="105">
        <f t="shared" si="32"/>
        <v>33633.599999999999</v>
      </c>
    </row>
    <row r="101" spans="1:8" x14ac:dyDescent="0.25">
      <c r="A101" s="66">
        <f t="shared" si="33"/>
        <v>89</v>
      </c>
      <c r="B101" s="67" t="s">
        <v>760</v>
      </c>
      <c r="C101" s="66" t="s">
        <v>193</v>
      </c>
      <c r="D101" s="82" t="s">
        <v>762</v>
      </c>
      <c r="E101" s="98">
        <v>3850</v>
      </c>
      <c r="F101" s="105">
        <f t="shared" ref="F101" si="34">ROUND(E101*D101,2)</f>
        <v>3850</v>
      </c>
      <c r="G101" s="105">
        <f t="shared" ref="G101" si="35">ROUND(F101*1.2,2)</f>
        <v>4620</v>
      </c>
      <c r="H101" s="216"/>
    </row>
    <row r="102" spans="1:8" ht="19.5" customHeight="1" x14ac:dyDescent="0.25">
      <c r="A102" s="161"/>
      <c r="B102" s="414" t="s">
        <v>746</v>
      </c>
      <c r="C102" s="436"/>
      <c r="D102" s="436"/>
      <c r="E102" s="163"/>
      <c r="F102" s="164"/>
      <c r="G102" s="131"/>
    </row>
    <row r="103" spans="1:8" ht="30" x14ac:dyDescent="0.25">
      <c r="A103" s="66">
        <f>A101+1</f>
        <v>90</v>
      </c>
      <c r="B103" s="67" t="s">
        <v>822</v>
      </c>
      <c r="C103" s="66" t="s">
        <v>194</v>
      </c>
      <c r="D103" s="82" t="s">
        <v>823</v>
      </c>
      <c r="E103" s="98">
        <v>396</v>
      </c>
      <c r="F103" s="105">
        <f t="shared" ref="F103" si="36">ROUND(E103*D103,2)</f>
        <v>15840</v>
      </c>
      <c r="G103" s="105">
        <f t="shared" ref="G103" si="37">ROUND(F103*1.2,2)</f>
        <v>19008</v>
      </c>
    </row>
    <row r="104" spans="1:8" x14ac:dyDescent="0.25">
      <c r="A104" s="66">
        <f>A103+1</f>
        <v>91</v>
      </c>
      <c r="B104" s="67" t="s">
        <v>824</v>
      </c>
      <c r="C104" s="66" t="s">
        <v>220</v>
      </c>
      <c r="D104" s="82" t="s">
        <v>762</v>
      </c>
      <c r="E104" s="98">
        <v>8030</v>
      </c>
      <c r="F104" s="105">
        <f t="shared" ref="F104:F107" si="38">ROUND(E104*D104,2)</f>
        <v>8030</v>
      </c>
      <c r="G104" s="105">
        <f t="shared" ref="G104:G107" si="39">ROUND(F104*1.2,2)</f>
        <v>9636</v>
      </c>
    </row>
    <row r="105" spans="1:8" x14ac:dyDescent="0.25">
      <c r="A105" s="66">
        <f t="shared" ref="A105:A108" si="40">A104+1</f>
        <v>92</v>
      </c>
      <c r="B105" s="67" t="s">
        <v>161</v>
      </c>
      <c r="C105" s="66" t="s">
        <v>193</v>
      </c>
      <c r="D105" s="82" t="s">
        <v>825</v>
      </c>
      <c r="E105" s="98">
        <v>1320</v>
      </c>
      <c r="F105" s="105">
        <f t="shared" si="38"/>
        <v>22044</v>
      </c>
      <c r="G105" s="105">
        <f t="shared" si="39"/>
        <v>26452.799999999999</v>
      </c>
    </row>
    <row r="106" spans="1:8" ht="21.75" customHeight="1" x14ac:dyDescent="0.25">
      <c r="A106" s="66">
        <f t="shared" si="40"/>
        <v>93</v>
      </c>
      <c r="B106" s="67" t="s">
        <v>826</v>
      </c>
      <c r="C106" s="66" t="s">
        <v>194</v>
      </c>
      <c r="D106" s="82" t="s">
        <v>827</v>
      </c>
      <c r="E106" s="210">
        <v>1091</v>
      </c>
      <c r="F106" s="105">
        <f t="shared" si="38"/>
        <v>327300</v>
      </c>
      <c r="G106" s="105">
        <f t="shared" si="39"/>
        <v>392760</v>
      </c>
      <c r="H106" s="219"/>
    </row>
    <row r="107" spans="1:8" x14ac:dyDescent="0.25">
      <c r="A107" s="66">
        <f t="shared" si="40"/>
        <v>94</v>
      </c>
      <c r="B107" s="67" t="s">
        <v>828</v>
      </c>
      <c r="C107" s="66" t="s">
        <v>220</v>
      </c>
      <c r="D107" s="82">
        <v>4</v>
      </c>
      <c r="E107" s="98">
        <v>7480</v>
      </c>
      <c r="F107" s="105">
        <f t="shared" si="38"/>
        <v>29920</v>
      </c>
      <c r="G107" s="105">
        <f t="shared" si="39"/>
        <v>35904</v>
      </c>
    </row>
    <row r="108" spans="1:8" x14ac:dyDescent="0.25">
      <c r="A108" s="66">
        <f t="shared" si="40"/>
        <v>95</v>
      </c>
      <c r="B108" s="67" t="s">
        <v>829</v>
      </c>
      <c r="C108" s="66" t="s">
        <v>194</v>
      </c>
      <c r="D108" s="82" t="s">
        <v>823</v>
      </c>
      <c r="E108" s="98">
        <v>26</v>
      </c>
      <c r="F108" s="105">
        <f>ROUND(E108*D108,2)</f>
        <v>1040</v>
      </c>
      <c r="G108" s="105">
        <f>ROUND(F108*1.2,2)</f>
        <v>1248</v>
      </c>
    </row>
    <row r="109" spans="1:8" x14ac:dyDescent="0.25">
      <c r="A109" s="166"/>
      <c r="B109" s="439" t="s">
        <v>721</v>
      </c>
      <c r="C109" s="440"/>
      <c r="D109" s="440"/>
      <c r="E109" s="441"/>
      <c r="F109" s="165">
        <f>SUM(F5:F108)</f>
        <v>4109058.51</v>
      </c>
      <c r="G109" s="165">
        <f>SUM(G5:G108)</f>
        <v>4930870.22</v>
      </c>
    </row>
  </sheetData>
  <mergeCells count="16">
    <mergeCell ref="A1:A2"/>
    <mergeCell ref="B1:B2"/>
    <mergeCell ref="C1:C2"/>
    <mergeCell ref="D1:D2"/>
    <mergeCell ref="E1:G1"/>
    <mergeCell ref="B4:D4"/>
    <mergeCell ref="B88:D88"/>
    <mergeCell ref="B95:D95"/>
    <mergeCell ref="B102:D102"/>
    <mergeCell ref="B109:E109"/>
    <mergeCell ref="B32:D32"/>
    <mergeCell ref="B46:D46"/>
    <mergeCell ref="B60:D60"/>
    <mergeCell ref="B67:D67"/>
    <mergeCell ref="B74:D74"/>
    <mergeCell ref="B81:D81"/>
  </mergeCells>
  <pageMargins left="0.7" right="0.7" top="0.75" bottom="0.75" header="0.3" footer="0.3"/>
  <pageSetup paperSize="9"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view="pageBreakPreview" zoomScale="90" zoomScaleNormal="100" zoomScaleSheetLayoutView="90" workbookViewId="0">
      <pane ySplit="3" topLeftCell="A28" activePane="bottomLeft" state="frozen"/>
      <selection activeCell="G69" sqref="G69"/>
      <selection pane="bottomLeft" activeCell="G69" sqref="G69"/>
    </sheetView>
  </sheetViews>
  <sheetFormatPr defaultRowHeight="15" x14ac:dyDescent="0.25"/>
  <cols>
    <col min="1" max="1" width="4.42578125" customWidth="1"/>
    <col min="2" max="2" width="60.85546875" customWidth="1"/>
    <col min="3" max="3" width="8.5703125" bestFit="1" customWidth="1"/>
    <col min="4" max="4" width="8.140625" bestFit="1" customWidth="1"/>
    <col min="5" max="5" width="13.140625" customWidth="1"/>
    <col min="6" max="6" width="15" customWidth="1"/>
    <col min="7" max="7" width="15.140625" style="52" customWidth="1"/>
  </cols>
  <sheetData>
    <row r="1" spans="1:7" x14ac:dyDescent="0.25">
      <c r="A1" s="449" t="s">
        <v>226</v>
      </c>
      <c r="B1" s="416" t="s">
        <v>227</v>
      </c>
      <c r="C1" s="416" t="s">
        <v>228</v>
      </c>
      <c r="D1" s="416" t="s">
        <v>229</v>
      </c>
      <c r="E1" s="443" t="s">
        <v>703</v>
      </c>
      <c r="F1" s="444"/>
      <c r="G1" s="444"/>
    </row>
    <row r="2" spans="1:7" x14ac:dyDescent="0.25">
      <c r="A2" s="449"/>
      <c r="B2" s="416"/>
      <c r="C2" s="416"/>
      <c r="D2" s="416"/>
      <c r="E2" s="416" t="s">
        <v>440</v>
      </c>
      <c r="F2" s="416" t="s">
        <v>433</v>
      </c>
      <c r="G2" s="446" t="s">
        <v>409</v>
      </c>
    </row>
    <row r="3" spans="1:7" ht="31.15" customHeight="1" x14ac:dyDescent="0.25">
      <c r="A3" s="449"/>
      <c r="B3" s="416"/>
      <c r="C3" s="416"/>
      <c r="D3" s="416"/>
      <c r="E3" s="416"/>
      <c r="F3" s="416"/>
      <c r="G3" s="446"/>
    </row>
    <row r="4" spans="1:7" x14ac:dyDescent="0.25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</row>
    <row r="5" spans="1:7" x14ac:dyDescent="0.25">
      <c r="A5" s="448" t="s">
        <v>206</v>
      </c>
      <c r="B5" s="448"/>
      <c r="C5" s="448"/>
      <c r="D5" s="448"/>
      <c r="E5" s="146"/>
      <c r="F5" s="146"/>
      <c r="G5" s="137"/>
    </row>
    <row r="6" spans="1:7" x14ac:dyDescent="0.25">
      <c r="A6" s="447" t="s">
        <v>207</v>
      </c>
      <c r="B6" s="447"/>
      <c r="C6" s="447"/>
      <c r="D6" s="447"/>
      <c r="E6" s="147"/>
      <c r="F6" s="147"/>
      <c r="G6" s="135"/>
    </row>
    <row r="7" spans="1:7" x14ac:dyDescent="0.25">
      <c r="A7" s="124">
        <v>1</v>
      </c>
      <c r="B7" s="136" t="s">
        <v>208</v>
      </c>
      <c r="C7" s="129" t="s">
        <v>193</v>
      </c>
      <c r="D7" s="153">
        <f>79.62</f>
        <v>79.62</v>
      </c>
      <c r="E7" s="149">
        <v>8650</v>
      </c>
      <c r="F7" s="105">
        <f>ROUND(E7*D7,2)</f>
        <v>688713</v>
      </c>
      <c r="G7" s="105">
        <f>ROUND(F7*1.2,2)</f>
        <v>826455.6</v>
      </c>
    </row>
    <row r="8" spans="1:7" x14ac:dyDescent="0.25">
      <c r="A8" s="124">
        <f>A7+1</f>
        <v>2</v>
      </c>
      <c r="B8" s="136" t="s">
        <v>209</v>
      </c>
      <c r="C8" s="129" t="s">
        <v>193</v>
      </c>
      <c r="D8" s="153">
        <v>308.73</v>
      </c>
      <c r="E8" s="149">
        <v>12450</v>
      </c>
      <c r="F8" s="105">
        <f>ROUND(E8*D8,2)</f>
        <v>3843688.5</v>
      </c>
      <c r="G8" s="105">
        <f>ROUND(F8*1.2,2)</f>
        <v>4612426.2</v>
      </c>
    </row>
    <row r="9" spans="1:7" ht="21.75" customHeight="1" x14ac:dyDescent="0.25">
      <c r="A9" s="124">
        <f t="shared" ref="A9:A10" si="0">A8+1</f>
        <v>3</v>
      </c>
      <c r="B9" s="136" t="s">
        <v>210</v>
      </c>
      <c r="C9" s="129" t="s">
        <v>193</v>
      </c>
      <c r="D9" s="153">
        <f>196.74</f>
        <v>196.74</v>
      </c>
      <c r="E9" s="149">
        <v>5165</v>
      </c>
      <c r="F9" s="105">
        <f>ROUND(E9*D9,2)</f>
        <v>1016162.1</v>
      </c>
      <c r="G9" s="105">
        <f>ROUND(F9*1.2,2)</f>
        <v>1219394.52</v>
      </c>
    </row>
    <row r="10" spans="1:7" ht="30" x14ac:dyDescent="0.25">
      <c r="A10" s="124">
        <f t="shared" si="0"/>
        <v>4</v>
      </c>
      <c r="B10" s="138" t="s">
        <v>211</v>
      </c>
      <c r="C10" s="129"/>
      <c r="D10" s="132"/>
      <c r="E10" s="148"/>
      <c r="F10" s="149"/>
      <c r="G10" s="133"/>
    </row>
    <row r="11" spans="1:7" x14ac:dyDescent="0.25">
      <c r="A11" s="139">
        <v>4.0999999999999996</v>
      </c>
      <c r="B11" s="136" t="s">
        <v>212</v>
      </c>
      <c r="C11" s="129" t="s">
        <v>193</v>
      </c>
      <c r="D11" s="132">
        <v>151</v>
      </c>
      <c r="E11" s="149">
        <v>1611</v>
      </c>
      <c r="F11" s="105">
        <f>ROUND(E11*D11,2)</f>
        <v>243261</v>
      </c>
      <c r="G11" s="105">
        <f>ROUND(F11*1.2,2)</f>
        <v>291913.2</v>
      </c>
    </row>
    <row r="12" spans="1:7" x14ac:dyDescent="0.25">
      <c r="A12" s="139">
        <v>4.2</v>
      </c>
      <c r="B12" s="136" t="s">
        <v>213</v>
      </c>
      <c r="C12" s="129" t="s">
        <v>193</v>
      </c>
      <c r="D12" s="132">
        <v>163</v>
      </c>
      <c r="E12" s="149">
        <v>1496</v>
      </c>
      <c r="F12" s="105">
        <f>ROUND(E12*D12,2)</f>
        <v>243848</v>
      </c>
      <c r="G12" s="105">
        <f>ROUND(F12*1.2,2)</f>
        <v>292617.59999999998</v>
      </c>
    </row>
    <row r="13" spans="1:7" x14ac:dyDescent="0.25">
      <c r="A13" s="139">
        <v>4.3</v>
      </c>
      <c r="B13" s="136" t="s">
        <v>214</v>
      </c>
      <c r="C13" s="129" t="s">
        <v>194</v>
      </c>
      <c r="D13" s="134">
        <v>226.24</v>
      </c>
      <c r="E13" s="149">
        <v>30</v>
      </c>
      <c r="F13" s="105">
        <f>ROUND(E13*D13,2)</f>
        <v>6787.2</v>
      </c>
      <c r="G13" s="105">
        <f>ROUND(F13*1.2,2)</f>
        <v>8144.64</v>
      </c>
    </row>
    <row r="14" spans="1:7" x14ac:dyDescent="0.25">
      <c r="A14" s="447" t="s">
        <v>215</v>
      </c>
      <c r="B14" s="447"/>
      <c r="C14" s="447"/>
      <c r="D14" s="447"/>
      <c r="E14" s="147"/>
      <c r="F14" s="147"/>
      <c r="G14" s="135"/>
    </row>
    <row r="15" spans="1:7" ht="68.25" customHeight="1" x14ac:dyDescent="0.25">
      <c r="A15" s="124">
        <f>A10+1</f>
        <v>5</v>
      </c>
      <c r="B15" s="136" t="s">
        <v>216</v>
      </c>
      <c r="C15" s="129" t="s">
        <v>194</v>
      </c>
      <c r="D15" s="134">
        <v>226.24</v>
      </c>
      <c r="E15" s="149">
        <v>1587</v>
      </c>
      <c r="F15" s="105">
        <f t="shared" ref="F15:F17" si="1">ROUND(E15*D15,2)</f>
        <v>359042.88</v>
      </c>
      <c r="G15" s="105">
        <f t="shared" ref="G15:G17" si="2">ROUND(F15*1.2,2)</f>
        <v>430851.46</v>
      </c>
    </row>
    <row r="16" spans="1:7" ht="21" customHeight="1" x14ac:dyDescent="0.25">
      <c r="A16" s="124">
        <f>A15+1</f>
        <v>6</v>
      </c>
      <c r="B16" s="136" t="s">
        <v>218</v>
      </c>
      <c r="C16" s="129" t="s">
        <v>194</v>
      </c>
      <c r="D16" s="134">
        <v>226.24</v>
      </c>
      <c r="E16" s="149">
        <v>4200</v>
      </c>
      <c r="F16" s="105">
        <f t="shared" si="1"/>
        <v>950208</v>
      </c>
      <c r="G16" s="105">
        <f t="shared" si="2"/>
        <v>1140249.6000000001</v>
      </c>
    </row>
    <row r="17" spans="1:7" ht="22.5" customHeight="1" x14ac:dyDescent="0.25">
      <c r="A17" s="124">
        <f>A16+1</f>
        <v>7</v>
      </c>
      <c r="B17" s="136" t="s">
        <v>219</v>
      </c>
      <c r="C17" s="129" t="s">
        <v>220</v>
      </c>
      <c r="D17" s="132">
        <v>1</v>
      </c>
      <c r="E17" s="148">
        <v>80000</v>
      </c>
      <c r="F17" s="105">
        <f t="shared" si="1"/>
        <v>80000</v>
      </c>
      <c r="G17" s="105">
        <f t="shared" si="2"/>
        <v>96000</v>
      </c>
    </row>
    <row r="18" spans="1:7" x14ac:dyDescent="0.25">
      <c r="A18" s="448" t="s">
        <v>221</v>
      </c>
      <c r="B18" s="448"/>
      <c r="C18" s="448"/>
      <c r="D18" s="448"/>
      <c r="E18" s="146"/>
      <c r="F18" s="146"/>
      <c r="G18" s="137"/>
    </row>
    <row r="19" spans="1:7" x14ac:dyDescent="0.25">
      <c r="A19" s="447" t="s">
        <v>207</v>
      </c>
      <c r="B19" s="447"/>
      <c r="C19" s="447"/>
      <c r="D19" s="447"/>
      <c r="E19" s="147"/>
      <c r="F19" s="147"/>
      <c r="G19" s="135"/>
    </row>
    <row r="20" spans="1:7" x14ac:dyDescent="0.25">
      <c r="A20" s="124">
        <f>A17+1</f>
        <v>8</v>
      </c>
      <c r="B20" s="136" t="s">
        <v>208</v>
      </c>
      <c r="C20" s="129" t="s">
        <v>193</v>
      </c>
      <c r="D20" s="153">
        <f>79.62</f>
        <v>79.62</v>
      </c>
      <c r="E20" s="149">
        <v>8650</v>
      </c>
      <c r="F20" s="105">
        <f>ROUND(E20*D20,2)</f>
        <v>688713</v>
      </c>
      <c r="G20" s="105">
        <f>ROUND(F20*1.2,2)</f>
        <v>826455.6</v>
      </c>
    </row>
    <row r="21" spans="1:7" x14ac:dyDescent="0.25">
      <c r="A21" s="124">
        <f>A20+1</f>
        <v>9</v>
      </c>
      <c r="B21" s="136" t="s">
        <v>209</v>
      </c>
      <c r="C21" s="129" t="s">
        <v>193</v>
      </c>
      <c r="D21" s="153">
        <v>308.73</v>
      </c>
      <c r="E21" s="149">
        <v>12450</v>
      </c>
      <c r="F21" s="105">
        <f>ROUND(E21*D21,2)</f>
        <v>3843688.5</v>
      </c>
      <c r="G21" s="105">
        <f>ROUND(F21*1.2,2)</f>
        <v>4612426.2</v>
      </c>
    </row>
    <row r="22" spans="1:7" ht="24" customHeight="1" x14ac:dyDescent="0.25">
      <c r="A22" s="124">
        <f t="shared" ref="A22:A23" si="3">A21+1</f>
        <v>10</v>
      </c>
      <c r="B22" s="136" t="s">
        <v>210</v>
      </c>
      <c r="C22" s="129" t="s">
        <v>193</v>
      </c>
      <c r="D22" s="153">
        <f>196.74</f>
        <v>196.74</v>
      </c>
      <c r="E22" s="149">
        <v>5165</v>
      </c>
      <c r="F22" s="105">
        <f>ROUND(E22*D22,2)</f>
        <v>1016162.1</v>
      </c>
      <c r="G22" s="105">
        <f>ROUND(F22*1.2,2)</f>
        <v>1219394.52</v>
      </c>
    </row>
    <row r="23" spans="1:7" ht="29.25" customHeight="1" x14ac:dyDescent="0.25">
      <c r="A23" s="124">
        <f t="shared" si="3"/>
        <v>11</v>
      </c>
      <c r="B23" s="138" t="s">
        <v>211</v>
      </c>
      <c r="C23" s="129"/>
      <c r="D23" s="132"/>
      <c r="E23" s="148"/>
      <c r="F23" s="149"/>
      <c r="G23" s="133"/>
    </row>
    <row r="24" spans="1:7" x14ac:dyDescent="0.25">
      <c r="A24" s="139">
        <v>11.1</v>
      </c>
      <c r="B24" s="136" t="s">
        <v>212</v>
      </c>
      <c r="C24" s="129" t="s">
        <v>193</v>
      </c>
      <c r="D24" s="132">
        <v>151</v>
      </c>
      <c r="E24" s="149">
        <v>1611</v>
      </c>
      <c r="F24" s="105">
        <f>ROUND(E24*D24,2)</f>
        <v>243261</v>
      </c>
      <c r="G24" s="105">
        <f>ROUND(F24*1.2,2)</f>
        <v>291913.2</v>
      </c>
    </row>
    <row r="25" spans="1:7" x14ac:dyDescent="0.25">
      <c r="A25" s="139">
        <v>11.2</v>
      </c>
      <c r="B25" s="136" t="s">
        <v>213</v>
      </c>
      <c r="C25" s="129" t="s">
        <v>193</v>
      </c>
      <c r="D25" s="132">
        <v>163</v>
      </c>
      <c r="E25" s="149">
        <v>1496</v>
      </c>
      <c r="F25" s="105">
        <f>ROUND(E25*D25,2)</f>
        <v>243848</v>
      </c>
      <c r="G25" s="105">
        <f>ROUND(F25*1.2,2)</f>
        <v>292617.59999999998</v>
      </c>
    </row>
    <row r="26" spans="1:7" x14ac:dyDescent="0.25">
      <c r="A26" s="139">
        <v>11.3</v>
      </c>
      <c r="B26" s="136" t="s">
        <v>214</v>
      </c>
      <c r="C26" s="129" t="s">
        <v>194</v>
      </c>
      <c r="D26" s="134">
        <v>226.24</v>
      </c>
      <c r="E26" s="149">
        <v>30</v>
      </c>
      <c r="F26" s="105">
        <f>ROUND(E26*D26,2)</f>
        <v>6787.2</v>
      </c>
      <c r="G26" s="105">
        <f>ROUND(F26*1.2,2)</f>
        <v>8144.64</v>
      </c>
    </row>
    <row r="27" spans="1:7" x14ac:dyDescent="0.25">
      <c r="A27" s="447" t="s">
        <v>222</v>
      </c>
      <c r="B27" s="447"/>
      <c r="C27" s="447"/>
      <c r="D27" s="447"/>
      <c r="E27" s="147"/>
      <c r="F27" s="147"/>
      <c r="G27" s="135"/>
    </row>
    <row r="28" spans="1:7" ht="66.75" customHeight="1" x14ac:dyDescent="0.25">
      <c r="A28" s="124">
        <f>A23+1</f>
        <v>12</v>
      </c>
      <c r="B28" s="136" t="s">
        <v>216</v>
      </c>
      <c r="C28" s="129" t="s">
        <v>194</v>
      </c>
      <c r="D28" s="134">
        <v>226.24</v>
      </c>
      <c r="E28" s="149">
        <v>1587</v>
      </c>
      <c r="F28" s="105">
        <f t="shared" ref="F28:F30" si="4">ROUND(E28*D28,2)</f>
        <v>359042.88</v>
      </c>
      <c r="G28" s="105">
        <f t="shared" ref="G28:G30" si="5">ROUND(F28*1.2,2)</f>
        <v>430851.46</v>
      </c>
    </row>
    <row r="29" spans="1:7" ht="24" customHeight="1" x14ac:dyDescent="0.25">
      <c r="A29" s="124">
        <f>A28+1</f>
        <v>13</v>
      </c>
      <c r="B29" s="136" t="s">
        <v>218</v>
      </c>
      <c r="C29" s="129" t="s">
        <v>194</v>
      </c>
      <c r="D29" s="134">
        <v>226.24</v>
      </c>
      <c r="E29" s="149">
        <v>4200</v>
      </c>
      <c r="F29" s="105">
        <f t="shared" si="4"/>
        <v>950208</v>
      </c>
      <c r="G29" s="105">
        <f t="shared" si="5"/>
        <v>1140249.6000000001</v>
      </c>
    </row>
    <row r="30" spans="1:7" ht="22.5" customHeight="1" x14ac:dyDescent="0.25">
      <c r="A30" s="124">
        <f>A29+1</f>
        <v>14</v>
      </c>
      <c r="B30" s="136" t="s">
        <v>219</v>
      </c>
      <c r="C30" s="129" t="s">
        <v>220</v>
      </c>
      <c r="D30" s="132">
        <v>1</v>
      </c>
      <c r="E30" s="148">
        <v>80000</v>
      </c>
      <c r="F30" s="105">
        <f t="shared" si="4"/>
        <v>80000</v>
      </c>
      <c r="G30" s="105">
        <f t="shared" si="5"/>
        <v>96000</v>
      </c>
    </row>
    <row r="31" spans="1:7" x14ac:dyDescent="0.25">
      <c r="A31" s="448" t="s">
        <v>223</v>
      </c>
      <c r="B31" s="448"/>
      <c r="C31" s="448"/>
      <c r="D31" s="448"/>
      <c r="E31" s="146"/>
      <c r="F31" s="146"/>
      <c r="G31" s="137"/>
    </row>
    <row r="32" spans="1:7" x14ac:dyDescent="0.25">
      <c r="A32" s="447" t="s">
        <v>207</v>
      </c>
      <c r="B32" s="447"/>
      <c r="C32" s="447"/>
      <c r="D32" s="447"/>
      <c r="E32" s="147"/>
      <c r="F32" s="147"/>
      <c r="G32" s="133"/>
    </row>
    <row r="33" spans="1:7" x14ac:dyDescent="0.25">
      <c r="A33" s="124">
        <f>A30+1</f>
        <v>15</v>
      </c>
      <c r="B33" s="136" t="s">
        <v>208</v>
      </c>
      <c r="C33" s="129" t="s">
        <v>193</v>
      </c>
      <c r="D33" s="153">
        <v>55.04</v>
      </c>
      <c r="E33" s="149">
        <v>8650</v>
      </c>
      <c r="F33" s="105">
        <f>ROUND(E33*D33,2)</f>
        <v>476096</v>
      </c>
      <c r="G33" s="105">
        <f>ROUND(F33*1.2,2)</f>
        <v>571315.19999999995</v>
      </c>
    </row>
    <row r="34" spans="1:7" x14ac:dyDescent="0.25">
      <c r="A34" s="124">
        <f>A33+1</f>
        <v>16</v>
      </c>
      <c r="B34" s="136" t="s">
        <v>209</v>
      </c>
      <c r="C34" s="129" t="s">
        <v>193</v>
      </c>
      <c r="D34" s="153">
        <v>213.41</v>
      </c>
      <c r="E34" s="149">
        <v>12450</v>
      </c>
      <c r="F34" s="105">
        <f>ROUND(E34*D34,2)</f>
        <v>2656954.5</v>
      </c>
      <c r="G34" s="105">
        <f>ROUND(F34*1.2,2)</f>
        <v>3188345.4</v>
      </c>
    </row>
    <row r="35" spans="1:7" ht="23.25" customHeight="1" x14ac:dyDescent="0.25">
      <c r="A35" s="124">
        <f>A34+1</f>
        <v>17</v>
      </c>
      <c r="B35" s="136" t="s">
        <v>210</v>
      </c>
      <c r="C35" s="129" t="s">
        <v>193</v>
      </c>
      <c r="D35" s="153">
        <f>136</f>
        <v>136</v>
      </c>
      <c r="E35" s="149">
        <v>5165</v>
      </c>
      <c r="F35" s="105">
        <f>ROUND(E35*D35,2)</f>
        <v>702440</v>
      </c>
      <c r="G35" s="105">
        <f>ROUND(F35*1.2,2)</f>
        <v>842928</v>
      </c>
    </row>
    <row r="36" spans="1:7" ht="30" x14ac:dyDescent="0.25">
      <c r="A36" s="124">
        <f>A35+1</f>
        <v>18</v>
      </c>
      <c r="B36" s="138" t="s">
        <v>211</v>
      </c>
      <c r="C36" s="129"/>
      <c r="D36" s="132"/>
      <c r="E36" s="148"/>
      <c r="F36" s="149"/>
      <c r="G36" s="133"/>
    </row>
    <row r="37" spans="1:7" x14ac:dyDescent="0.25">
      <c r="A37" s="139">
        <v>18.100000000000001</v>
      </c>
      <c r="B37" s="136" t="s">
        <v>212</v>
      </c>
      <c r="C37" s="129" t="s">
        <v>193</v>
      </c>
      <c r="D37" s="132">
        <v>105</v>
      </c>
      <c r="E37" s="149">
        <v>1611</v>
      </c>
      <c r="F37" s="105">
        <f>ROUND(E37*D37,2)</f>
        <v>169155</v>
      </c>
      <c r="G37" s="105">
        <f>ROUND(F37*1.2,2)</f>
        <v>202986</v>
      </c>
    </row>
    <row r="38" spans="1:7" x14ac:dyDescent="0.25">
      <c r="A38" s="139">
        <v>18.2</v>
      </c>
      <c r="B38" s="136" t="s">
        <v>213</v>
      </c>
      <c r="C38" s="129" t="s">
        <v>193</v>
      </c>
      <c r="D38" s="143">
        <v>112.6</v>
      </c>
      <c r="E38" s="149">
        <v>1496</v>
      </c>
      <c r="F38" s="105">
        <f>ROUND(E38*D38,2)</f>
        <v>168449.6</v>
      </c>
      <c r="G38" s="105">
        <f>ROUND(F38*1.2,2)</f>
        <v>202139.51999999999</v>
      </c>
    </row>
    <row r="39" spans="1:7" x14ac:dyDescent="0.25">
      <c r="A39" s="139">
        <v>18.3</v>
      </c>
      <c r="B39" s="136" t="s">
        <v>214</v>
      </c>
      <c r="C39" s="129" t="s">
        <v>194</v>
      </c>
      <c r="D39" s="134">
        <v>156.38999999999999</v>
      </c>
      <c r="E39" s="149">
        <v>30</v>
      </c>
      <c r="F39" s="105">
        <f>ROUND(E39*D39,2)</f>
        <v>4691.7</v>
      </c>
      <c r="G39" s="105">
        <f>ROUND(F39*1.2,2)</f>
        <v>5630.04</v>
      </c>
    </row>
    <row r="40" spans="1:7" x14ac:dyDescent="0.25">
      <c r="A40" s="447" t="s">
        <v>720</v>
      </c>
      <c r="B40" s="447"/>
      <c r="C40" s="447"/>
      <c r="D40" s="447"/>
      <c r="E40" s="147"/>
      <c r="F40" s="147"/>
      <c r="G40" s="135"/>
    </row>
    <row r="41" spans="1:7" ht="66.75" customHeight="1" x14ac:dyDescent="0.25">
      <c r="A41" s="124">
        <f>A36+1</f>
        <v>19</v>
      </c>
      <c r="B41" s="136" t="s">
        <v>216</v>
      </c>
      <c r="C41" s="129" t="s">
        <v>194</v>
      </c>
      <c r="D41" s="134">
        <v>156.38999999999999</v>
      </c>
      <c r="E41" s="149">
        <v>1587</v>
      </c>
      <c r="F41" s="105">
        <f t="shared" ref="F41:F43" si="6">ROUND(E41*D41,2)</f>
        <v>248190.93</v>
      </c>
      <c r="G41" s="105">
        <f t="shared" ref="G41:G43" si="7">ROUND(F41*1.2,2)</f>
        <v>297829.12</v>
      </c>
    </row>
    <row r="42" spans="1:7" ht="23.25" customHeight="1" x14ac:dyDescent="0.25">
      <c r="A42" s="124">
        <f>A41+1</f>
        <v>20</v>
      </c>
      <c r="B42" s="136" t="s">
        <v>218</v>
      </c>
      <c r="C42" s="129" t="s">
        <v>194</v>
      </c>
      <c r="D42" s="134">
        <v>156.38999999999999</v>
      </c>
      <c r="E42" s="149">
        <v>4200</v>
      </c>
      <c r="F42" s="105">
        <f t="shared" si="6"/>
        <v>656838</v>
      </c>
      <c r="G42" s="105">
        <f t="shared" si="7"/>
        <v>788205.6</v>
      </c>
    </row>
    <row r="43" spans="1:7" ht="22.5" customHeight="1" x14ac:dyDescent="0.25">
      <c r="A43" s="124">
        <f>A42+1</f>
        <v>21</v>
      </c>
      <c r="B43" s="136" t="s">
        <v>219</v>
      </c>
      <c r="C43" s="129" t="s">
        <v>220</v>
      </c>
      <c r="D43" s="132">
        <v>1</v>
      </c>
      <c r="E43" s="148">
        <v>80000</v>
      </c>
      <c r="F43" s="105">
        <f t="shared" si="6"/>
        <v>80000</v>
      </c>
      <c r="G43" s="105">
        <f t="shared" si="7"/>
        <v>96000</v>
      </c>
    </row>
    <row r="44" spans="1:7" x14ac:dyDescent="0.25">
      <c r="A44" s="448" t="s">
        <v>224</v>
      </c>
      <c r="B44" s="448"/>
      <c r="C44" s="448"/>
      <c r="D44" s="448"/>
      <c r="E44" s="146"/>
      <c r="F44" s="146"/>
      <c r="G44" s="137"/>
    </row>
    <row r="45" spans="1:7" x14ac:dyDescent="0.25">
      <c r="A45" s="447" t="s">
        <v>207</v>
      </c>
      <c r="B45" s="447"/>
      <c r="C45" s="447"/>
      <c r="D45" s="447"/>
      <c r="E45" s="147"/>
      <c r="F45" s="147"/>
      <c r="G45" s="135"/>
    </row>
    <row r="46" spans="1:7" x14ac:dyDescent="0.25">
      <c r="A46" s="124">
        <f>A43+1</f>
        <v>22</v>
      </c>
      <c r="B46" s="136" t="s">
        <v>208</v>
      </c>
      <c r="C46" s="129" t="s">
        <v>193</v>
      </c>
      <c r="D46" s="153">
        <v>34.22</v>
      </c>
      <c r="E46" s="149">
        <v>8650</v>
      </c>
      <c r="F46" s="105">
        <f>ROUND(E46*D46,2)</f>
        <v>296003</v>
      </c>
      <c r="G46" s="105">
        <f>ROUND(F46*1.2,2)</f>
        <v>355203.6</v>
      </c>
    </row>
    <row r="47" spans="1:7" x14ac:dyDescent="0.25">
      <c r="A47" s="124">
        <f>A46+1</f>
        <v>23</v>
      </c>
      <c r="B47" s="136" t="s">
        <v>209</v>
      </c>
      <c r="C47" s="129" t="s">
        <v>193</v>
      </c>
      <c r="D47" s="153">
        <v>132.63</v>
      </c>
      <c r="E47" s="149">
        <v>12450</v>
      </c>
      <c r="F47" s="105">
        <f>ROUND(E47*D47,2)</f>
        <v>1651243.5</v>
      </c>
      <c r="G47" s="105">
        <f>ROUND(F47*1.2,2)</f>
        <v>1981492.2</v>
      </c>
    </row>
    <row r="48" spans="1:7" ht="24" customHeight="1" x14ac:dyDescent="0.25">
      <c r="A48" s="124">
        <f t="shared" ref="A48:A49" si="8">A47+1</f>
        <v>24</v>
      </c>
      <c r="B48" s="136" t="s">
        <v>210</v>
      </c>
      <c r="C48" s="129" t="s">
        <v>193</v>
      </c>
      <c r="D48" s="153">
        <f>84.52</f>
        <v>84.52</v>
      </c>
      <c r="E48" s="149">
        <v>5165</v>
      </c>
      <c r="F48" s="105">
        <f>ROUND(E48*D48,2)</f>
        <v>436545.8</v>
      </c>
      <c r="G48" s="105">
        <f>ROUND(F48*1.2,2)</f>
        <v>523854.96</v>
      </c>
    </row>
    <row r="49" spans="1:8" ht="30" x14ac:dyDescent="0.25">
      <c r="A49" s="124">
        <f t="shared" si="8"/>
        <v>25</v>
      </c>
      <c r="B49" s="138" t="s">
        <v>211</v>
      </c>
      <c r="C49" s="129"/>
      <c r="D49" s="132"/>
      <c r="E49" s="148"/>
      <c r="F49" s="149"/>
      <c r="G49" s="133"/>
    </row>
    <row r="50" spans="1:8" x14ac:dyDescent="0.25">
      <c r="A50" s="139">
        <v>25.1</v>
      </c>
      <c r="B50" s="136" t="s">
        <v>212</v>
      </c>
      <c r="C50" s="129" t="s">
        <v>193</v>
      </c>
      <c r="D50" s="132">
        <v>65</v>
      </c>
      <c r="E50" s="149">
        <v>1611</v>
      </c>
      <c r="F50" s="105">
        <f>ROUND(E50*D50,2)</f>
        <v>104715</v>
      </c>
      <c r="G50" s="105">
        <f>ROUND(F50*1.2,2)</f>
        <v>125658</v>
      </c>
    </row>
    <row r="51" spans="1:8" x14ac:dyDescent="0.25">
      <c r="A51" s="139">
        <v>25.2</v>
      </c>
      <c r="B51" s="136" t="s">
        <v>213</v>
      </c>
      <c r="C51" s="129" t="s">
        <v>193</v>
      </c>
      <c r="D51" s="143">
        <v>70</v>
      </c>
      <c r="E51" s="149">
        <v>1496</v>
      </c>
      <c r="F51" s="105">
        <f>ROUND(E51*D51,2)</f>
        <v>104720</v>
      </c>
      <c r="G51" s="105">
        <f>ROUND(F51*1.2,2)</f>
        <v>125664</v>
      </c>
    </row>
    <row r="52" spans="1:8" x14ac:dyDescent="0.25">
      <c r="A52" s="139">
        <v>25.3</v>
      </c>
      <c r="B52" s="136" t="s">
        <v>214</v>
      </c>
      <c r="C52" s="129" t="s">
        <v>194</v>
      </c>
      <c r="D52" s="143">
        <v>97.2</v>
      </c>
      <c r="E52" s="149">
        <v>30</v>
      </c>
      <c r="F52" s="105">
        <f>ROUND(E52*D52,2)</f>
        <v>2916</v>
      </c>
      <c r="G52" s="105">
        <f>ROUND(F52*1.2,2)</f>
        <v>3499.2</v>
      </c>
    </row>
    <row r="53" spans="1:8" x14ac:dyDescent="0.25">
      <c r="A53" s="447" t="s">
        <v>225</v>
      </c>
      <c r="B53" s="447"/>
      <c r="C53" s="447"/>
      <c r="D53" s="447"/>
      <c r="E53" s="147"/>
      <c r="F53" s="147"/>
      <c r="G53" s="135"/>
    </row>
    <row r="54" spans="1:8" ht="62.25" customHeight="1" x14ac:dyDescent="0.25">
      <c r="A54" s="124">
        <f>A49+1</f>
        <v>26</v>
      </c>
      <c r="B54" s="136" t="s">
        <v>216</v>
      </c>
      <c r="C54" s="129" t="s">
        <v>194</v>
      </c>
      <c r="D54" s="134">
        <v>97.2</v>
      </c>
      <c r="E54" s="149">
        <v>1587</v>
      </c>
      <c r="F54" s="105">
        <f t="shared" ref="F54:F56" si="9">ROUND(E54*D54,2)</f>
        <v>154256.4</v>
      </c>
      <c r="G54" s="105">
        <f t="shared" ref="G54:G56" si="10">ROUND(F54*1.2,2)</f>
        <v>185107.68</v>
      </c>
    </row>
    <row r="55" spans="1:8" ht="24" customHeight="1" x14ac:dyDescent="0.25">
      <c r="A55" s="124">
        <f>A54+1</f>
        <v>27</v>
      </c>
      <c r="B55" s="136" t="s">
        <v>218</v>
      </c>
      <c r="C55" s="129" t="s">
        <v>194</v>
      </c>
      <c r="D55" s="134">
        <v>97.2</v>
      </c>
      <c r="E55" s="149">
        <v>4200</v>
      </c>
      <c r="F55" s="105">
        <f t="shared" si="9"/>
        <v>408240</v>
      </c>
      <c r="G55" s="105">
        <f t="shared" si="10"/>
        <v>489888</v>
      </c>
    </row>
    <row r="56" spans="1:8" ht="24" customHeight="1" x14ac:dyDescent="0.25">
      <c r="A56" s="124">
        <f>A55+1</f>
        <v>28</v>
      </c>
      <c r="B56" s="136" t="s">
        <v>219</v>
      </c>
      <c r="C56" s="129" t="s">
        <v>220</v>
      </c>
      <c r="D56" s="132">
        <v>1</v>
      </c>
      <c r="E56" s="148">
        <v>80000</v>
      </c>
      <c r="F56" s="105">
        <f t="shared" si="9"/>
        <v>80000</v>
      </c>
      <c r="G56" s="105">
        <f t="shared" si="10"/>
        <v>96000</v>
      </c>
    </row>
    <row r="57" spans="1:8" s="1" customFormat="1" x14ac:dyDescent="0.25">
      <c r="A57" s="150"/>
      <c r="B57" s="445" t="s">
        <v>439</v>
      </c>
      <c r="C57" s="445"/>
      <c r="D57" s="445"/>
      <c r="E57" s="445"/>
      <c r="F57" s="151">
        <f>SUM(F5:F56)</f>
        <v>23264876.789999999</v>
      </c>
      <c r="G57" s="152">
        <f>SUM(G5:G56)</f>
        <v>27917852.16</v>
      </c>
    </row>
    <row r="58" spans="1:8" x14ac:dyDescent="0.25">
      <c r="A58" s="411" t="s">
        <v>722</v>
      </c>
      <c r="B58" s="412"/>
      <c r="C58" s="412"/>
      <c r="D58" s="412"/>
      <c r="E58" s="413"/>
      <c r="F58" s="220">
        <f>ROUND(F57*0.03,2)</f>
        <v>697946.3</v>
      </c>
      <c r="G58" s="220">
        <f>ROUND(G57*0.03,2)</f>
        <v>837535.56</v>
      </c>
      <c r="H58" s="52"/>
    </row>
    <row r="59" spans="1:8" x14ac:dyDescent="0.25">
      <c r="A59" s="411" t="s">
        <v>723</v>
      </c>
      <c r="B59" s="412"/>
      <c r="C59" s="412"/>
      <c r="D59" s="412"/>
      <c r="E59" s="413"/>
      <c r="F59" s="220">
        <f>F57+F58</f>
        <v>23962823.09</v>
      </c>
      <c r="G59" s="220">
        <f>G57+G58</f>
        <v>28755387.719999999</v>
      </c>
      <c r="H59" s="52"/>
    </row>
  </sheetData>
  <mergeCells count="23">
    <mergeCell ref="F2:F3"/>
    <mergeCell ref="A1:A3"/>
    <mergeCell ref="A31:D31"/>
    <mergeCell ref="A32:D32"/>
    <mergeCell ref="A5:D5"/>
    <mergeCell ref="A6:D6"/>
    <mergeCell ref="A14:D14"/>
    <mergeCell ref="A58:E58"/>
    <mergeCell ref="A59:E59"/>
    <mergeCell ref="B1:B3"/>
    <mergeCell ref="C1:C3"/>
    <mergeCell ref="D1:D3"/>
    <mergeCell ref="E2:E3"/>
    <mergeCell ref="E1:G1"/>
    <mergeCell ref="B57:E57"/>
    <mergeCell ref="G2:G3"/>
    <mergeCell ref="A40:D40"/>
    <mergeCell ref="A44:D44"/>
    <mergeCell ref="A45:D45"/>
    <mergeCell ref="A53:D53"/>
    <mergeCell ref="A18:D18"/>
    <mergeCell ref="A19:D19"/>
    <mergeCell ref="A27:D27"/>
  </mergeCells>
  <pageMargins left="0.7" right="0.7" top="0.75" bottom="0.75" header="0.3" footer="0.3"/>
  <pageSetup paperSize="9" scale="6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view="pageBreakPreview" zoomScale="80" zoomScaleNormal="100" zoomScaleSheetLayoutView="80" workbookViewId="0">
      <pane ySplit="3" topLeftCell="A4" activePane="bottomLeft" state="frozen"/>
      <selection activeCell="G69" sqref="G69"/>
      <selection pane="bottomLeft" activeCell="G69" sqref="G69"/>
    </sheetView>
  </sheetViews>
  <sheetFormatPr defaultRowHeight="15" x14ac:dyDescent="0.25"/>
  <cols>
    <col min="1" max="1" width="5.5703125" customWidth="1"/>
    <col min="2" max="2" width="61.7109375" customWidth="1"/>
    <col min="3" max="3" width="14" customWidth="1"/>
    <col min="4" max="4" width="13" customWidth="1"/>
    <col min="5" max="5" width="13.7109375" customWidth="1"/>
    <col min="6" max="6" width="14.85546875" customWidth="1"/>
    <col min="7" max="7" width="15.5703125" customWidth="1"/>
  </cols>
  <sheetData>
    <row r="1" spans="1:7" x14ac:dyDescent="0.25">
      <c r="A1" s="449" t="s">
        <v>226</v>
      </c>
      <c r="B1" s="416" t="s">
        <v>227</v>
      </c>
      <c r="C1" s="416" t="s">
        <v>228</v>
      </c>
      <c r="D1" s="416" t="s">
        <v>229</v>
      </c>
      <c r="E1" s="450" t="s">
        <v>703</v>
      </c>
      <c r="F1" s="451"/>
      <c r="G1" s="452"/>
    </row>
    <row r="2" spans="1:7" x14ac:dyDescent="0.25">
      <c r="A2" s="449"/>
      <c r="B2" s="416"/>
      <c r="C2" s="416"/>
      <c r="D2" s="416"/>
      <c r="E2" s="453"/>
      <c r="F2" s="454"/>
      <c r="G2" s="455"/>
    </row>
    <row r="3" spans="1:7" ht="28.5" x14ac:dyDescent="0.25">
      <c r="A3" s="449"/>
      <c r="B3" s="416"/>
      <c r="C3" s="416"/>
      <c r="D3" s="416"/>
      <c r="E3" s="93" t="s">
        <v>196</v>
      </c>
      <c r="F3" s="108" t="s">
        <v>197</v>
      </c>
      <c r="G3" s="108" t="s">
        <v>199</v>
      </c>
    </row>
    <row r="4" spans="1:7" x14ac:dyDescent="0.25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</row>
    <row r="5" spans="1:7" x14ac:dyDescent="0.25">
      <c r="A5" s="448" t="s">
        <v>206</v>
      </c>
      <c r="B5" s="448"/>
      <c r="C5" s="448"/>
      <c r="D5" s="448"/>
      <c r="E5" s="140"/>
      <c r="F5" s="140"/>
      <c r="G5" s="140"/>
    </row>
    <row r="6" spans="1:7" x14ac:dyDescent="0.25">
      <c r="A6" s="124">
        <v>1</v>
      </c>
      <c r="B6" s="67" t="s">
        <v>717</v>
      </c>
      <c r="C6" s="129" t="s">
        <v>193</v>
      </c>
      <c r="D6" s="132">
        <v>151</v>
      </c>
      <c r="E6" s="105">
        <v>5500</v>
      </c>
      <c r="F6" s="105">
        <f>ROUND(E6*D6,2)</f>
        <v>830500</v>
      </c>
      <c r="G6" s="105">
        <f>ROUND(F6*1.2,2)</f>
        <v>996600</v>
      </c>
    </row>
    <row r="7" spans="1:7" x14ac:dyDescent="0.25">
      <c r="A7" s="124">
        <f>A6+1</f>
        <v>2</v>
      </c>
      <c r="B7" s="67" t="s">
        <v>718</v>
      </c>
      <c r="C7" s="129" t="s">
        <v>193</v>
      </c>
      <c r="D7" s="132">
        <v>163</v>
      </c>
      <c r="E7" s="105">
        <v>1375</v>
      </c>
      <c r="F7" s="105">
        <f>ROUND(E7*D7,2)</f>
        <v>224125</v>
      </c>
      <c r="G7" s="105">
        <f>ROUND(F7*1.2,2)</f>
        <v>268950</v>
      </c>
    </row>
    <row r="8" spans="1:7" x14ac:dyDescent="0.25">
      <c r="A8" s="124">
        <f>A7+1</f>
        <v>3</v>
      </c>
      <c r="B8" s="67" t="s">
        <v>203</v>
      </c>
      <c r="C8" s="129" t="s">
        <v>194</v>
      </c>
      <c r="D8" s="134">
        <v>226.24</v>
      </c>
      <c r="E8" s="105">
        <v>168</v>
      </c>
      <c r="F8" s="105">
        <f>ROUND(E8*D8,2)</f>
        <v>38008.32</v>
      </c>
      <c r="G8" s="105">
        <f>ROUND(F8*1.2,2)</f>
        <v>45609.98</v>
      </c>
    </row>
    <row r="9" spans="1:7" ht="30" x14ac:dyDescent="0.25">
      <c r="A9" s="124">
        <f>A8+1</f>
        <v>4</v>
      </c>
      <c r="B9" s="136" t="s">
        <v>183</v>
      </c>
      <c r="C9" s="129" t="s">
        <v>194</v>
      </c>
      <c r="D9" s="134">
        <v>226.24</v>
      </c>
      <c r="E9" s="105">
        <f>ROUND(38500/1.2,2)</f>
        <v>32083.33</v>
      </c>
      <c r="F9" s="105">
        <f>ROUND(E9*D9,2)</f>
        <v>7258532.5800000001</v>
      </c>
      <c r="G9" s="105">
        <f>ROUND(F9*1.2,2)</f>
        <v>8710239.0999999996</v>
      </c>
    </row>
    <row r="10" spans="1:7" x14ac:dyDescent="0.25">
      <c r="A10" s="124">
        <f>A9+1</f>
        <v>5</v>
      </c>
      <c r="B10" s="144" t="s">
        <v>706</v>
      </c>
      <c r="C10" s="129" t="s">
        <v>178</v>
      </c>
      <c r="D10" s="99">
        <v>219</v>
      </c>
      <c r="E10" s="98">
        <f>ROUND(200/1.2,2)</f>
        <v>166.67</v>
      </c>
      <c r="F10" s="105">
        <f t="shared" ref="F10:F11" si="0">ROUND(E10*D10,2)</f>
        <v>36500.730000000003</v>
      </c>
      <c r="G10" s="105">
        <f t="shared" ref="G10:G11" si="1">ROUND(F10*1.2,2)</f>
        <v>43800.88</v>
      </c>
    </row>
    <row r="11" spans="1:7" x14ac:dyDescent="0.25">
      <c r="A11" s="124">
        <f t="shared" ref="A11:A13" si="2">A10+1</f>
        <v>6</v>
      </c>
      <c r="B11" s="144" t="s">
        <v>707</v>
      </c>
      <c r="C11" s="129" t="s">
        <v>178</v>
      </c>
      <c r="D11" s="99">
        <v>73</v>
      </c>
      <c r="E11" s="98">
        <f>ROUND(5841/1.2,2)</f>
        <v>4867.5</v>
      </c>
      <c r="F11" s="105">
        <f t="shared" si="0"/>
        <v>355327.5</v>
      </c>
      <c r="G11" s="105">
        <f t="shared" si="1"/>
        <v>426393</v>
      </c>
    </row>
    <row r="12" spans="1:7" x14ac:dyDescent="0.25">
      <c r="A12" s="124">
        <f t="shared" si="2"/>
        <v>7</v>
      </c>
      <c r="B12" s="136" t="s">
        <v>719</v>
      </c>
      <c r="C12" s="129" t="s">
        <v>217</v>
      </c>
      <c r="D12" s="132">
        <v>1</v>
      </c>
      <c r="E12" s="105">
        <v>110000</v>
      </c>
      <c r="F12" s="105">
        <f>ROUND(E12*D12,2)</f>
        <v>110000</v>
      </c>
      <c r="G12" s="105">
        <f>ROUND(F12*1.2,2)</f>
        <v>132000</v>
      </c>
    </row>
    <row r="13" spans="1:7" x14ac:dyDescent="0.25">
      <c r="A13" s="124">
        <f t="shared" si="2"/>
        <v>8</v>
      </c>
      <c r="B13" s="136" t="s">
        <v>191</v>
      </c>
      <c r="C13" s="129" t="s">
        <v>220</v>
      </c>
      <c r="D13" s="132">
        <v>1</v>
      </c>
      <c r="E13" s="105">
        <f>ROUND(154000/1.2,2)</f>
        <v>128333.33</v>
      </c>
      <c r="F13" s="105">
        <f>ROUND(E13*D13,2)</f>
        <v>128333.33</v>
      </c>
      <c r="G13" s="105">
        <f>ROUND(F13*1.2,2)</f>
        <v>154000</v>
      </c>
    </row>
    <row r="14" spans="1:7" x14ac:dyDescent="0.25">
      <c r="A14" s="448" t="s">
        <v>221</v>
      </c>
      <c r="B14" s="448"/>
      <c r="C14" s="448"/>
      <c r="D14" s="448"/>
      <c r="E14" s="141"/>
      <c r="F14" s="142"/>
      <c r="G14" s="142"/>
    </row>
    <row r="15" spans="1:7" x14ac:dyDescent="0.25">
      <c r="A15" s="124">
        <f>A13+1</f>
        <v>9</v>
      </c>
      <c r="B15" s="67" t="s">
        <v>717</v>
      </c>
      <c r="C15" s="129" t="s">
        <v>193</v>
      </c>
      <c r="D15" s="132">
        <v>151</v>
      </c>
      <c r="E15" s="105">
        <v>5500</v>
      </c>
      <c r="F15" s="105">
        <f>ROUND(E15*D15,2)</f>
        <v>830500</v>
      </c>
      <c r="G15" s="105">
        <f>ROUND(F15*1.2,2)</f>
        <v>996600</v>
      </c>
    </row>
    <row r="16" spans="1:7" x14ac:dyDescent="0.25">
      <c r="A16" s="124">
        <f>A15+1</f>
        <v>10</v>
      </c>
      <c r="B16" s="67" t="s">
        <v>718</v>
      </c>
      <c r="C16" s="129" t="s">
        <v>193</v>
      </c>
      <c r="D16" s="132">
        <v>163</v>
      </c>
      <c r="E16" s="105">
        <v>1375</v>
      </c>
      <c r="F16" s="105">
        <f>ROUND(E16*D16,2)</f>
        <v>224125</v>
      </c>
      <c r="G16" s="105">
        <f>ROUND(F16*1.2,2)</f>
        <v>268950</v>
      </c>
    </row>
    <row r="17" spans="1:7" x14ac:dyDescent="0.25">
      <c r="A17" s="124">
        <f>A16+1</f>
        <v>11</v>
      </c>
      <c r="B17" s="67" t="s">
        <v>203</v>
      </c>
      <c r="C17" s="129" t="s">
        <v>194</v>
      </c>
      <c r="D17" s="134">
        <v>226.24</v>
      </c>
      <c r="E17" s="105">
        <v>168</v>
      </c>
      <c r="F17" s="105">
        <f>ROUND(E17*D17,2)</f>
        <v>38008.32</v>
      </c>
      <c r="G17" s="105">
        <f>ROUND(F17*1.2,2)</f>
        <v>45609.98</v>
      </c>
    </row>
    <row r="18" spans="1:7" ht="30" x14ac:dyDescent="0.25">
      <c r="A18" s="124">
        <f>A17+1</f>
        <v>12</v>
      </c>
      <c r="B18" s="136" t="s">
        <v>183</v>
      </c>
      <c r="C18" s="129" t="s">
        <v>194</v>
      </c>
      <c r="D18" s="134">
        <v>226.24</v>
      </c>
      <c r="E18" s="105">
        <f>ROUND(38500/1.2,2)</f>
        <v>32083.33</v>
      </c>
      <c r="F18" s="105">
        <f>ROUND(E18*D18,2)</f>
        <v>7258532.5800000001</v>
      </c>
      <c r="G18" s="105">
        <f>ROUND(F18*1.2,2)</f>
        <v>8710239.0999999996</v>
      </c>
    </row>
    <row r="19" spans="1:7" x14ac:dyDescent="0.25">
      <c r="A19" s="124">
        <f>A18+1</f>
        <v>13</v>
      </c>
      <c r="B19" s="144" t="s">
        <v>706</v>
      </c>
      <c r="C19" s="129" t="s">
        <v>178</v>
      </c>
      <c r="D19" s="99">
        <v>219</v>
      </c>
      <c r="E19" s="98">
        <f>ROUND(200/1.2,2)</f>
        <v>166.67</v>
      </c>
      <c r="F19" s="105">
        <f t="shared" ref="F19:F20" si="3">ROUND(E19*D19,2)</f>
        <v>36500.730000000003</v>
      </c>
      <c r="G19" s="105">
        <f t="shared" ref="G19:G20" si="4">ROUND(F19*1.2,2)</f>
        <v>43800.88</v>
      </c>
    </row>
    <row r="20" spans="1:7" x14ac:dyDescent="0.25">
      <c r="A20" s="124">
        <f t="shared" ref="A20:A22" si="5">A19+1</f>
        <v>14</v>
      </c>
      <c r="B20" s="144" t="s">
        <v>707</v>
      </c>
      <c r="C20" s="129" t="s">
        <v>178</v>
      </c>
      <c r="D20" s="99">
        <v>73</v>
      </c>
      <c r="E20" s="98">
        <f>ROUND(5841/1.2,2)</f>
        <v>4867.5</v>
      </c>
      <c r="F20" s="105">
        <f t="shared" si="3"/>
        <v>355327.5</v>
      </c>
      <c r="G20" s="105">
        <f t="shared" si="4"/>
        <v>426393</v>
      </c>
    </row>
    <row r="21" spans="1:7" x14ac:dyDescent="0.25">
      <c r="A21" s="124">
        <f t="shared" si="5"/>
        <v>15</v>
      </c>
      <c r="B21" s="136" t="s">
        <v>719</v>
      </c>
      <c r="C21" s="129" t="s">
        <v>217</v>
      </c>
      <c r="D21" s="132">
        <v>1</v>
      </c>
      <c r="E21" s="105">
        <v>330000</v>
      </c>
      <c r="F21" s="105">
        <f>ROUND(E21*D21,2)</f>
        <v>330000</v>
      </c>
      <c r="G21" s="105">
        <f>ROUND(F21*1.2,2)</f>
        <v>396000</v>
      </c>
    </row>
    <row r="22" spans="1:7" x14ac:dyDescent="0.25">
      <c r="A22" s="124">
        <f t="shared" si="5"/>
        <v>16</v>
      </c>
      <c r="B22" s="136" t="s">
        <v>191</v>
      </c>
      <c r="C22" s="129" t="s">
        <v>220</v>
      </c>
      <c r="D22" s="132">
        <v>1</v>
      </c>
      <c r="E22" s="105">
        <f>ROUND(154000/1.2,2)</f>
        <v>128333.33</v>
      </c>
      <c r="F22" s="105">
        <f>ROUND(E22*D22,2)</f>
        <v>128333.33</v>
      </c>
      <c r="G22" s="105">
        <f>ROUND(F22*1.2,2)</f>
        <v>154000</v>
      </c>
    </row>
    <row r="23" spans="1:7" x14ac:dyDescent="0.25">
      <c r="A23" s="448" t="s">
        <v>223</v>
      </c>
      <c r="B23" s="448"/>
      <c r="C23" s="448"/>
      <c r="D23" s="448"/>
      <c r="E23" s="141"/>
      <c r="F23" s="142"/>
      <c r="G23" s="142"/>
    </row>
    <row r="24" spans="1:7" x14ac:dyDescent="0.25">
      <c r="A24" s="124">
        <f>A22+1</f>
        <v>17</v>
      </c>
      <c r="B24" s="67" t="s">
        <v>717</v>
      </c>
      <c r="C24" s="129" t="s">
        <v>193</v>
      </c>
      <c r="D24" s="132">
        <v>105</v>
      </c>
      <c r="E24" s="105">
        <v>5500</v>
      </c>
      <c r="F24" s="105">
        <f>ROUND(E24*D24,2)</f>
        <v>577500</v>
      </c>
      <c r="G24" s="105">
        <f>ROUND(F24*1.2,2)</f>
        <v>693000</v>
      </c>
    </row>
    <row r="25" spans="1:7" x14ac:dyDescent="0.25">
      <c r="A25" s="124">
        <f>A24+1</f>
        <v>18</v>
      </c>
      <c r="B25" s="67" t="s">
        <v>718</v>
      </c>
      <c r="C25" s="129" t="s">
        <v>193</v>
      </c>
      <c r="D25" s="143">
        <v>112.6</v>
      </c>
      <c r="E25" s="105">
        <v>1375</v>
      </c>
      <c r="F25" s="105">
        <f>ROUND(E25*D25,2)</f>
        <v>154825</v>
      </c>
      <c r="G25" s="105">
        <f>ROUND(F25*1.2,2)</f>
        <v>185790</v>
      </c>
    </row>
    <row r="26" spans="1:7" x14ac:dyDescent="0.25">
      <c r="A26" s="124">
        <f>A25+1</f>
        <v>19</v>
      </c>
      <c r="B26" s="67" t="s">
        <v>203</v>
      </c>
      <c r="C26" s="129" t="s">
        <v>194</v>
      </c>
      <c r="D26" s="134">
        <v>156.38999999999999</v>
      </c>
      <c r="E26" s="105">
        <v>168</v>
      </c>
      <c r="F26" s="105">
        <f>ROUND(E26*D26,2)</f>
        <v>26273.52</v>
      </c>
      <c r="G26" s="105">
        <f>ROUND(F26*1.2,2)</f>
        <v>31528.22</v>
      </c>
    </row>
    <row r="27" spans="1:7" ht="30" x14ac:dyDescent="0.25">
      <c r="A27" s="124">
        <f>A26+1</f>
        <v>20</v>
      </c>
      <c r="B27" s="136" t="s">
        <v>183</v>
      </c>
      <c r="C27" s="129" t="s">
        <v>194</v>
      </c>
      <c r="D27" s="134">
        <v>156.38999999999999</v>
      </c>
      <c r="E27" s="105">
        <f>ROUND(38500/1.2,2)</f>
        <v>32083.33</v>
      </c>
      <c r="F27" s="105">
        <f>ROUND(E27*D27,2)</f>
        <v>5017511.9800000004</v>
      </c>
      <c r="G27" s="105">
        <f>ROUND(F27*1.2,2)</f>
        <v>6021014.3799999999</v>
      </c>
    </row>
    <row r="28" spans="1:7" x14ac:dyDescent="0.25">
      <c r="A28" s="124">
        <f>A27+1</f>
        <v>21</v>
      </c>
      <c r="B28" s="144" t="s">
        <v>706</v>
      </c>
      <c r="C28" s="129" t="s">
        <v>178</v>
      </c>
      <c r="D28" s="99">
        <v>151</v>
      </c>
      <c r="E28" s="98">
        <f>ROUND(200/1.2,2)</f>
        <v>166.67</v>
      </c>
      <c r="F28" s="105">
        <f t="shared" ref="F28:F29" si="6">ROUND(E28*D28,2)</f>
        <v>25167.17</v>
      </c>
      <c r="G28" s="105">
        <f t="shared" ref="G28:G29" si="7">ROUND(F28*1.2,2)</f>
        <v>30200.6</v>
      </c>
    </row>
    <row r="29" spans="1:7" x14ac:dyDescent="0.25">
      <c r="A29" s="124">
        <f t="shared" ref="A29:A31" si="8">A28+1</f>
        <v>22</v>
      </c>
      <c r="B29" s="144" t="s">
        <v>707</v>
      </c>
      <c r="C29" s="129" t="s">
        <v>178</v>
      </c>
      <c r="D29" s="99">
        <v>50</v>
      </c>
      <c r="E29" s="98">
        <f>ROUND(5841/1.2,2)</f>
        <v>4867.5</v>
      </c>
      <c r="F29" s="105">
        <f t="shared" si="6"/>
        <v>243375</v>
      </c>
      <c r="G29" s="105">
        <f t="shared" si="7"/>
        <v>292050</v>
      </c>
    </row>
    <row r="30" spans="1:7" x14ac:dyDescent="0.25">
      <c r="A30" s="124">
        <f t="shared" si="8"/>
        <v>23</v>
      </c>
      <c r="B30" s="136" t="s">
        <v>719</v>
      </c>
      <c r="C30" s="129" t="s">
        <v>217</v>
      </c>
      <c r="D30" s="132">
        <v>1</v>
      </c>
      <c r="E30" s="105">
        <v>110000</v>
      </c>
      <c r="F30" s="105">
        <f>ROUND(E30*D30,2)</f>
        <v>110000</v>
      </c>
      <c r="G30" s="105">
        <f>ROUND(F30*1.2,2)</f>
        <v>132000</v>
      </c>
    </row>
    <row r="31" spans="1:7" x14ac:dyDescent="0.25">
      <c r="A31" s="124">
        <f t="shared" si="8"/>
        <v>24</v>
      </c>
      <c r="B31" s="136" t="s">
        <v>191</v>
      </c>
      <c r="C31" s="129" t="s">
        <v>220</v>
      </c>
      <c r="D31" s="132">
        <v>1</v>
      </c>
      <c r="E31" s="105">
        <f>ROUND(154000/1.2,2)</f>
        <v>128333.33</v>
      </c>
      <c r="F31" s="105">
        <f>ROUND(E31*D31,2)</f>
        <v>128333.33</v>
      </c>
      <c r="G31" s="105">
        <f>ROUND(F31*1.2,2)</f>
        <v>154000</v>
      </c>
    </row>
    <row r="32" spans="1:7" x14ac:dyDescent="0.25">
      <c r="A32" s="448" t="s">
        <v>224</v>
      </c>
      <c r="B32" s="448"/>
      <c r="C32" s="448"/>
      <c r="D32" s="448"/>
      <c r="E32" s="141"/>
      <c r="F32" s="142"/>
      <c r="G32" s="142"/>
    </row>
    <row r="33" spans="1:7" x14ac:dyDescent="0.25">
      <c r="A33" s="124">
        <f>A31+1</f>
        <v>25</v>
      </c>
      <c r="B33" s="67" t="s">
        <v>717</v>
      </c>
      <c r="C33" s="129" t="s">
        <v>193</v>
      </c>
      <c r="D33" s="132">
        <v>65</v>
      </c>
      <c r="E33" s="105">
        <v>5500</v>
      </c>
      <c r="F33" s="105">
        <f>ROUND(E33*D33,2)</f>
        <v>357500</v>
      </c>
      <c r="G33" s="105">
        <f>ROUND(F33*1.2,2)</f>
        <v>429000</v>
      </c>
    </row>
    <row r="34" spans="1:7" x14ac:dyDescent="0.25">
      <c r="A34" s="124">
        <f>A33+1</f>
        <v>26</v>
      </c>
      <c r="B34" s="67" t="s">
        <v>718</v>
      </c>
      <c r="C34" s="129" t="s">
        <v>193</v>
      </c>
      <c r="D34" s="143">
        <v>70</v>
      </c>
      <c r="E34" s="105">
        <v>1375</v>
      </c>
      <c r="F34" s="105">
        <f>ROUND(E34*D34,2)</f>
        <v>96250</v>
      </c>
      <c r="G34" s="105">
        <f>ROUND(F34*1.2,2)</f>
        <v>115500</v>
      </c>
    </row>
    <row r="35" spans="1:7" x14ac:dyDescent="0.25">
      <c r="A35" s="124">
        <f>A34+1</f>
        <v>27</v>
      </c>
      <c r="B35" s="67" t="s">
        <v>203</v>
      </c>
      <c r="C35" s="129" t="s">
        <v>194</v>
      </c>
      <c r="D35" s="143">
        <v>97.2</v>
      </c>
      <c r="E35" s="105">
        <v>168</v>
      </c>
      <c r="F35" s="105">
        <f>ROUND(E35*D35,2)</f>
        <v>16329.6</v>
      </c>
      <c r="G35" s="105">
        <f>ROUND(F35*1.2,2)</f>
        <v>19595.52</v>
      </c>
    </row>
    <row r="36" spans="1:7" ht="30" x14ac:dyDescent="0.25">
      <c r="A36" s="124">
        <f>A35+1</f>
        <v>28</v>
      </c>
      <c r="B36" s="136" t="s">
        <v>183</v>
      </c>
      <c r="C36" s="129" t="s">
        <v>194</v>
      </c>
      <c r="D36" s="134">
        <v>97.2</v>
      </c>
      <c r="E36" s="105">
        <f>ROUND(38500/1.2,2)</f>
        <v>32083.33</v>
      </c>
      <c r="F36" s="105">
        <f>ROUND(E36*D36,2)</f>
        <v>3118499.68</v>
      </c>
      <c r="G36" s="105">
        <f>ROUND(F36*1.2,2)</f>
        <v>3742199.62</v>
      </c>
    </row>
    <row r="37" spans="1:7" x14ac:dyDescent="0.25">
      <c r="A37" s="124">
        <f>A36+1</f>
        <v>29</v>
      </c>
      <c r="B37" s="144" t="s">
        <v>706</v>
      </c>
      <c r="C37" s="129" t="s">
        <v>178</v>
      </c>
      <c r="D37" s="132">
        <v>95</v>
      </c>
      <c r="E37" s="98">
        <f>ROUND(200/1.2,2)</f>
        <v>166.67</v>
      </c>
      <c r="F37" s="105">
        <f t="shared" ref="F37:F38" si="9">ROUND(E37*D37,2)</f>
        <v>15833.65</v>
      </c>
      <c r="G37" s="105">
        <f t="shared" ref="G37:G38" si="10">ROUND(F37*1.2,2)</f>
        <v>19000.38</v>
      </c>
    </row>
    <row r="38" spans="1:7" x14ac:dyDescent="0.25">
      <c r="A38" s="124">
        <f t="shared" ref="A38:A40" si="11">A37+1</f>
        <v>30</v>
      </c>
      <c r="B38" s="144" t="s">
        <v>707</v>
      </c>
      <c r="C38" s="129" t="s">
        <v>178</v>
      </c>
      <c r="D38" s="132">
        <v>32</v>
      </c>
      <c r="E38" s="98">
        <f>ROUND(5841/1.2,2)</f>
        <v>4867.5</v>
      </c>
      <c r="F38" s="105">
        <f t="shared" si="9"/>
        <v>155760</v>
      </c>
      <c r="G38" s="105">
        <f t="shared" si="10"/>
        <v>186912</v>
      </c>
    </row>
    <row r="39" spans="1:7" x14ac:dyDescent="0.25">
      <c r="A39" s="124">
        <f t="shared" si="11"/>
        <v>31</v>
      </c>
      <c r="B39" s="136" t="s">
        <v>719</v>
      </c>
      <c r="C39" s="129" t="s">
        <v>217</v>
      </c>
      <c r="D39" s="132">
        <v>1</v>
      </c>
      <c r="E39" s="105">
        <v>110000</v>
      </c>
      <c r="F39" s="105">
        <f>ROUND(E39*D39,2)</f>
        <v>110000</v>
      </c>
      <c r="G39" s="105">
        <f>ROUND(F39*1.2,2)</f>
        <v>132000</v>
      </c>
    </row>
    <row r="40" spans="1:7" x14ac:dyDescent="0.25">
      <c r="A40" s="124">
        <f t="shared" si="11"/>
        <v>32</v>
      </c>
      <c r="B40" s="136" t="s">
        <v>191</v>
      </c>
      <c r="C40" s="129" t="s">
        <v>220</v>
      </c>
      <c r="D40" s="132">
        <v>1</v>
      </c>
      <c r="E40" s="105">
        <f>ROUND(154000/1.2,2)</f>
        <v>128333.33</v>
      </c>
      <c r="F40" s="105">
        <f>ROUND(E40*D40,2)</f>
        <v>128333.33</v>
      </c>
      <c r="G40" s="105">
        <f>ROUND(F40*1.2,2)</f>
        <v>154000</v>
      </c>
    </row>
    <row r="41" spans="1:7" s="1" customFormat="1" ht="18.75" customHeight="1" x14ac:dyDescent="0.25">
      <c r="A41" s="103"/>
      <c r="B41" s="456" t="s">
        <v>721</v>
      </c>
      <c r="C41" s="457"/>
      <c r="D41" s="457"/>
      <c r="E41" s="458"/>
      <c r="F41" s="116">
        <f>SUM(F6:F40)</f>
        <v>28464147.179999996</v>
      </c>
      <c r="G41" s="116">
        <f>ROUND(F41*1.2,2)</f>
        <v>34156976.619999997</v>
      </c>
    </row>
    <row r="44" spans="1:7" x14ac:dyDescent="0.25">
      <c r="G44" s="26"/>
    </row>
  </sheetData>
  <mergeCells count="10">
    <mergeCell ref="E1:G2"/>
    <mergeCell ref="B41:E41"/>
    <mergeCell ref="A32:D32"/>
    <mergeCell ref="A14:D14"/>
    <mergeCell ref="A23:D23"/>
    <mergeCell ref="A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8"/>
  <sheetViews>
    <sheetView view="pageBreakPreview" topLeftCell="A202" zoomScale="80" zoomScaleNormal="100" zoomScaleSheetLayoutView="80" workbookViewId="0">
      <selection activeCell="D183" sqref="D183"/>
    </sheetView>
  </sheetViews>
  <sheetFormatPr defaultRowHeight="15" x14ac:dyDescent="0.25"/>
  <cols>
    <col min="2" max="2" width="61.7109375" customWidth="1"/>
    <col min="5" max="5" width="15.140625" customWidth="1"/>
    <col min="6" max="6" width="16" customWidth="1"/>
    <col min="7" max="7" width="17" style="52" customWidth="1"/>
    <col min="8" max="8" width="76.42578125" style="52" customWidth="1"/>
  </cols>
  <sheetData>
    <row r="1" spans="1:8" ht="14.45" customHeight="1" x14ac:dyDescent="0.25">
      <c r="A1" s="420" t="s">
        <v>226</v>
      </c>
      <c r="B1" s="464" t="s">
        <v>201</v>
      </c>
      <c r="C1" s="432" t="s">
        <v>230</v>
      </c>
      <c r="D1" s="432" t="s">
        <v>202</v>
      </c>
      <c r="E1" s="459" t="s">
        <v>703</v>
      </c>
      <c r="F1" s="460"/>
      <c r="G1" s="460"/>
    </row>
    <row r="2" spans="1:8" ht="14.45" customHeight="1" x14ac:dyDescent="0.25">
      <c r="A2" s="463"/>
      <c r="B2" s="465"/>
      <c r="C2" s="432"/>
      <c r="D2" s="432"/>
      <c r="E2" s="461"/>
      <c r="F2" s="462"/>
      <c r="G2" s="462"/>
    </row>
    <row r="3" spans="1:8" ht="55.9" customHeight="1" x14ac:dyDescent="0.25">
      <c r="A3" s="421"/>
      <c r="B3" s="466"/>
      <c r="C3" s="432"/>
      <c r="D3" s="432"/>
      <c r="E3" s="91" t="s">
        <v>441</v>
      </c>
      <c r="F3" s="91" t="s">
        <v>433</v>
      </c>
      <c r="G3" s="104" t="s">
        <v>409</v>
      </c>
    </row>
    <row r="4" spans="1:8" x14ac:dyDescent="0.25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  <c r="H4"/>
    </row>
    <row r="5" spans="1:8" ht="20.25" customHeight="1" x14ac:dyDescent="0.25">
      <c r="A5" s="181"/>
      <c r="B5" s="414" t="s">
        <v>232</v>
      </c>
      <c r="C5" s="436"/>
      <c r="D5" s="436"/>
      <c r="E5" s="182"/>
      <c r="F5" s="183"/>
      <c r="G5" s="191"/>
    </row>
    <row r="6" spans="1:8" ht="20.25" customHeight="1" x14ac:dyDescent="0.25">
      <c r="A6" s="90"/>
      <c r="B6" s="62" t="s">
        <v>442</v>
      </c>
      <c r="C6" s="63"/>
      <c r="D6" s="63"/>
      <c r="E6" s="64"/>
      <c r="F6" s="65"/>
      <c r="G6" s="133"/>
    </row>
    <row r="7" spans="1:8" ht="30" x14ac:dyDescent="0.25">
      <c r="A7" s="66">
        <v>1</v>
      </c>
      <c r="B7" s="67" t="s">
        <v>443</v>
      </c>
      <c r="C7" s="74" t="s">
        <v>193</v>
      </c>
      <c r="D7" s="71">
        <v>1080</v>
      </c>
      <c r="E7" s="179">
        <v>325</v>
      </c>
      <c r="F7" s="105">
        <f t="shared" ref="F7:F61" si="0">ROUND(E7*D7,2)</f>
        <v>351000</v>
      </c>
      <c r="G7" s="105">
        <f t="shared" ref="G7:G61" si="1">ROUND(F7*1.2,2)</f>
        <v>421200</v>
      </c>
    </row>
    <row r="8" spans="1:8" ht="15.75" x14ac:dyDescent="0.25">
      <c r="A8" s="66">
        <f>A7+1</f>
        <v>2</v>
      </c>
      <c r="B8" s="67" t="s">
        <v>444</v>
      </c>
      <c r="C8" s="74" t="s">
        <v>193</v>
      </c>
      <c r="D8" s="71">
        <v>20</v>
      </c>
      <c r="E8" s="179">
        <v>1777</v>
      </c>
      <c r="F8" s="105">
        <f t="shared" si="0"/>
        <v>35540</v>
      </c>
      <c r="G8" s="105">
        <f t="shared" si="1"/>
        <v>42648</v>
      </c>
    </row>
    <row r="9" spans="1:8" ht="15.75" x14ac:dyDescent="0.25">
      <c r="A9" s="66">
        <f>A8+1</f>
        <v>3</v>
      </c>
      <c r="B9" s="67" t="s">
        <v>445</v>
      </c>
      <c r="C9" s="66" t="s">
        <v>239</v>
      </c>
      <c r="D9" s="71">
        <v>1744</v>
      </c>
      <c r="E9" s="179">
        <v>3460</v>
      </c>
      <c r="F9" s="105">
        <f t="shared" si="0"/>
        <v>6034240</v>
      </c>
      <c r="G9" s="105">
        <f t="shared" si="1"/>
        <v>7241088</v>
      </c>
    </row>
    <row r="10" spans="1:8" ht="15.75" x14ac:dyDescent="0.25">
      <c r="A10" s="66">
        <f t="shared" ref="A10:A15" si="2">A9+1</f>
        <v>4</v>
      </c>
      <c r="B10" s="67" t="s">
        <v>446</v>
      </c>
      <c r="C10" s="66" t="s">
        <v>193</v>
      </c>
      <c r="D10" s="71">
        <v>1090</v>
      </c>
      <c r="E10" s="179">
        <v>50</v>
      </c>
      <c r="F10" s="105">
        <f t="shared" si="0"/>
        <v>54500</v>
      </c>
      <c r="G10" s="105">
        <f t="shared" si="1"/>
        <v>65400</v>
      </c>
    </row>
    <row r="11" spans="1:8" ht="15.75" x14ac:dyDescent="0.25">
      <c r="A11" s="66">
        <f t="shared" si="2"/>
        <v>5</v>
      </c>
      <c r="B11" s="67" t="s">
        <v>447</v>
      </c>
      <c r="C11" s="66" t="s">
        <v>431</v>
      </c>
      <c r="D11" s="71">
        <v>1030</v>
      </c>
      <c r="E11" s="179">
        <v>325</v>
      </c>
      <c r="F11" s="105">
        <f t="shared" si="0"/>
        <v>334750</v>
      </c>
      <c r="G11" s="105">
        <f t="shared" si="1"/>
        <v>401700</v>
      </c>
    </row>
    <row r="12" spans="1:8" ht="15.75" x14ac:dyDescent="0.25">
      <c r="A12" s="66">
        <f t="shared" si="2"/>
        <v>6</v>
      </c>
      <c r="B12" s="67" t="s">
        <v>448</v>
      </c>
      <c r="C12" s="66" t="s">
        <v>431</v>
      </c>
      <c r="D12" s="71">
        <v>10</v>
      </c>
      <c r="E12" s="179">
        <v>899</v>
      </c>
      <c r="F12" s="105">
        <f t="shared" si="0"/>
        <v>8990</v>
      </c>
      <c r="G12" s="105">
        <f t="shared" si="1"/>
        <v>10788</v>
      </c>
    </row>
    <row r="13" spans="1:8" ht="19.5" customHeight="1" x14ac:dyDescent="0.25">
      <c r="A13" s="66">
        <f t="shared" si="2"/>
        <v>7</v>
      </c>
      <c r="B13" s="67" t="s">
        <v>449</v>
      </c>
      <c r="C13" s="66" t="s">
        <v>193</v>
      </c>
      <c r="D13" s="71">
        <v>8</v>
      </c>
      <c r="E13" s="179">
        <v>325</v>
      </c>
      <c r="F13" s="105">
        <f t="shared" si="0"/>
        <v>2600</v>
      </c>
      <c r="G13" s="105">
        <f t="shared" si="1"/>
        <v>3120</v>
      </c>
    </row>
    <row r="14" spans="1:8" ht="15.75" x14ac:dyDescent="0.25">
      <c r="A14" s="66">
        <f t="shared" si="2"/>
        <v>8</v>
      </c>
      <c r="B14" s="67" t="s">
        <v>450</v>
      </c>
      <c r="C14" s="66" t="s">
        <v>193</v>
      </c>
      <c r="D14" s="71">
        <v>2</v>
      </c>
      <c r="E14" s="179">
        <v>899</v>
      </c>
      <c r="F14" s="105">
        <f t="shared" si="0"/>
        <v>1798</v>
      </c>
      <c r="G14" s="105">
        <f t="shared" si="1"/>
        <v>2157.6</v>
      </c>
    </row>
    <row r="15" spans="1:8" ht="15.75" x14ac:dyDescent="0.25">
      <c r="A15" s="66">
        <f t="shared" si="2"/>
        <v>9</v>
      </c>
      <c r="B15" s="67" t="s">
        <v>451</v>
      </c>
      <c r="C15" s="66" t="s">
        <v>193</v>
      </c>
      <c r="D15" s="71">
        <v>10</v>
      </c>
      <c r="E15" s="179">
        <v>203</v>
      </c>
      <c r="F15" s="105">
        <f t="shared" si="0"/>
        <v>2030</v>
      </c>
      <c r="G15" s="105">
        <f t="shared" si="1"/>
        <v>2436</v>
      </c>
    </row>
    <row r="16" spans="1:8" ht="15.75" x14ac:dyDescent="0.25">
      <c r="A16" s="66"/>
      <c r="B16" s="62" t="s">
        <v>233</v>
      </c>
      <c r="C16" s="66"/>
      <c r="D16" s="71"/>
      <c r="E16" s="189"/>
      <c r="F16" s="105"/>
      <c r="G16" s="105"/>
    </row>
    <row r="17" spans="1:7" ht="15.75" x14ac:dyDescent="0.25">
      <c r="A17" s="66">
        <f>A15+1</f>
        <v>10</v>
      </c>
      <c r="B17" s="67" t="s">
        <v>452</v>
      </c>
      <c r="C17" s="66" t="s">
        <v>193</v>
      </c>
      <c r="D17" s="71">
        <v>168</v>
      </c>
      <c r="E17" s="179">
        <v>1111</v>
      </c>
      <c r="F17" s="105">
        <f t="shared" si="0"/>
        <v>186648</v>
      </c>
      <c r="G17" s="105">
        <f t="shared" si="1"/>
        <v>223977.60000000001</v>
      </c>
    </row>
    <row r="18" spans="1:7" ht="30" x14ac:dyDescent="0.25">
      <c r="A18" s="66">
        <f>A17+1</f>
        <v>11</v>
      </c>
      <c r="B18" s="67" t="s">
        <v>453</v>
      </c>
      <c r="C18" s="66" t="s">
        <v>431</v>
      </c>
      <c r="D18" s="71">
        <v>1030</v>
      </c>
      <c r="E18" s="179">
        <v>253</v>
      </c>
      <c r="F18" s="105">
        <f t="shared" si="0"/>
        <v>260590</v>
      </c>
      <c r="G18" s="105">
        <f t="shared" si="1"/>
        <v>312708</v>
      </c>
    </row>
    <row r="19" spans="1:7" ht="15.75" x14ac:dyDescent="0.25">
      <c r="A19" s="66">
        <f>A18+1</f>
        <v>12</v>
      </c>
      <c r="B19" s="67" t="s">
        <v>454</v>
      </c>
      <c r="C19" s="66" t="s">
        <v>431</v>
      </c>
      <c r="D19" s="71">
        <v>1030</v>
      </c>
      <c r="E19" s="179">
        <v>468</v>
      </c>
      <c r="F19" s="105">
        <f t="shared" si="0"/>
        <v>482040</v>
      </c>
      <c r="G19" s="105">
        <f t="shared" si="1"/>
        <v>578448</v>
      </c>
    </row>
    <row r="20" spans="1:7" ht="15.75" x14ac:dyDescent="0.25">
      <c r="A20" s="66">
        <f>A19+1</f>
        <v>13</v>
      </c>
      <c r="B20" s="67" t="s">
        <v>455</v>
      </c>
      <c r="C20" s="66" t="s">
        <v>193</v>
      </c>
      <c r="D20" s="71">
        <v>121</v>
      </c>
      <c r="E20" s="179">
        <v>1475</v>
      </c>
      <c r="F20" s="105">
        <f t="shared" si="0"/>
        <v>178475</v>
      </c>
      <c r="G20" s="105">
        <f t="shared" si="1"/>
        <v>214170</v>
      </c>
    </row>
    <row r="21" spans="1:7" ht="30" x14ac:dyDescent="0.25">
      <c r="A21" s="66">
        <f>A20+1</f>
        <v>14</v>
      </c>
      <c r="B21" s="67" t="s">
        <v>456</v>
      </c>
      <c r="C21" s="66" t="s">
        <v>431</v>
      </c>
      <c r="D21" s="71">
        <v>770</v>
      </c>
      <c r="E21" s="179">
        <v>1140</v>
      </c>
      <c r="F21" s="105">
        <f t="shared" si="0"/>
        <v>877800</v>
      </c>
      <c r="G21" s="105">
        <f t="shared" si="1"/>
        <v>1053360</v>
      </c>
    </row>
    <row r="22" spans="1:7" ht="15.75" x14ac:dyDescent="0.25">
      <c r="A22" s="66">
        <f t="shared" ref="A22:A23" si="3">A21+1</f>
        <v>15</v>
      </c>
      <c r="B22" s="67" t="s">
        <v>457</v>
      </c>
      <c r="C22" s="66" t="s">
        <v>431</v>
      </c>
      <c r="D22" s="71">
        <v>150</v>
      </c>
      <c r="E22" s="179">
        <v>1440</v>
      </c>
      <c r="F22" s="105">
        <f t="shared" si="0"/>
        <v>216000</v>
      </c>
      <c r="G22" s="105">
        <f t="shared" si="1"/>
        <v>259200</v>
      </c>
    </row>
    <row r="23" spans="1:7" ht="15.75" x14ac:dyDescent="0.25">
      <c r="A23" s="66">
        <f t="shared" si="3"/>
        <v>16</v>
      </c>
      <c r="B23" s="67" t="s">
        <v>458</v>
      </c>
      <c r="C23" s="66" t="s">
        <v>194</v>
      </c>
      <c r="D23" s="71">
        <v>100</v>
      </c>
      <c r="E23" s="179">
        <v>1205</v>
      </c>
      <c r="F23" s="105">
        <f t="shared" si="0"/>
        <v>120500</v>
      </c>
      <c r="G23" s="105">
        <f t="shared" si="1"/>
        <v>144600</v>
      </c>
    </row>
    <row r="24" spans="1:7" ht="15.75" x14ac:dyDescent="0.25">
      <c r="A24" s="66"/>
      <c r="B24" s="62" t="s">
        <v>244</v>
      </c>
      <c r="C24" s="66"/>
      <c r="D24" s="71"/>
      <c r="E24" s="189"/>
      <c r="F24" s="105"/>
      <c r="G24" s="105"/>
    </row>
    <row r="25" spans="1:7" ht="30" x14ac:dyDescent="0.25">
      <c r="A25" s="66">
        <f>A23+1</f>
        <v>17</v>
      </c>
      <c r="B25" s="67" t="s">
        <v>459</v>
      </c>
      <c r="C25" s="66" t="s">
        <v>194</v>
      </c>
      <c r="D25" s="71">
        <v>156</v>
      </c>
      <c r="E25" s="179">
        <v>2348</v>
      </c>
      <c r="F25" s="105">
        <f t="shared" si="0"/>
        <v>366288</v>
      </c>
      <c r="G25" s="105">
        <f t="shared" si="1"/>
        <v>439545.59999999998</v>
      </c>
    </row>
    <row r="26" spans="1:7" ht="20.25" x14ac:dyDescent="0.25">
      <c r="A26" s="90"/>
      <c r="B26" s="62" t="s">
        <v>251</v>
      </c>
      <c r="C26" s="63"/>
      <c r="D26" s="63"/>
      <c r="E26" s="190"/>
      <c r="F26" s="105"/>
      <c r="G26" s="105"/>
    </row>
    <row r="27" spans="1:7" ht="15.75" x14ac:dyDescent="0.25">
      <c r="A27" s="66"/>
      <c r="B27" s="73" t="s">
        <v>460</v>
      </c>
      <c r="C27" s="74"/>
      <c r="D27" s="75"/>
      <c r="E27" s="189"/>
      <c r="F27" s="105"/>
      <c r="G27" s="105"/>
    </row>
    <row r="28" spans="1:7" ht="15.75" x14ac:dyDescent="0.25">
      <c r="A28" s="66">
        <f>A25+1</f>
        <v>18</v>
      </c>
      <c r="B28" s="67" t="s">
        <v>461</v>
      </c>
      <c r="C28" s="66" t="s">
        <v>193</v>
      </c>
      <c r="D28" s="68">
        <v>1.92</v>
      </c>
      <c r="E28" s="179">
        <v>3979</v>
      </c>
      <c r="F28" s="105">
        <f t="shared" si="0"/>
        <v>7639.68</v>
      </c>
      <c r="G28" s="105">
        <f t="shared" si="1"/>
        <v>9167.6200000000008</v>
      </c>
    </row>
    <row r="29" spans="1:7" ht="15.75" x14ac:dyDescent="0.25">
      <c r="A29" s="66">
        <f t="shared" ref="A29:A37" si="4">A28+1</f>
        <v>19</v>
      </c>
      <c r="B29" s="67" t="s">
        <v>462</v>
      </c>
      <c r="C29" s="66" t="s">
        <v>193</v>
      </c>
      <c r="D29" s="68">
        <v>7.2</v>
      </c>
      <c r="E29" s="179">
        <v>8423</v>
      </c>
      <c r="F29" s="105">
        <f t="shared" si="0"/>
        <v>60645.599999999999</v>
      </c>
      <c r="G29" s="105">
        <f t="shared" si="1"/>
        <v>72774.720000000001</v>
      </c>
    </row>
    <row r="30" spans="1:7" ht="15.75" x14ac:dyDescent="0.25">
      <c r="A30" s="66">
        <f t="shared" si="4"/>
        <v>20</v>
      </c>
      <c r="B30" s="67" t="s">
        <v>463</v>
      </c>
      <c r="C30" s="66" t="s">
        <v>239</v>
      </c>
      <c r="D30" s="77">
        <v>0.13239999999999999</v>
      </c>
      <c r="E30" s="179">
        <v>150291</v>
      </c>
      <c r="F30" s="105">
        <f t="shared" si="0"/>
        <v>19898.53</v>
      </c>
      <c r="G30" s="105">
        <f t="shared" si="1"/>
        <v>23878.240000000002</v>
      </c>
    </row>
    <row r="31" spans="1:7" ht="15.75" x14ac:dyDescent="0.25">
      <c r="A31" s="66">
        <f t="shared" si="4"/>
        <v>21</v>
      </c>
      <c r="B31" s="67" t="s">
        <v>464</v>
      </c>
      <c r="C31" s="66" t="s">
        <v>431</v>
      </c>
      <c r="D31" s="68">
        <v>35.840000000000003</v>
      </c>
      <c r="E31" s="179">
        <v>320</v>
      </c>
      <c r="F31" s="105">
        <f t="shared" si="0"/>
        <v>11468.8</v>
      </c>
      <c r="G31" s="105">
        <f t="shared" si="1"/>
        <v>13762.56</v>
      </c>
    </row>
    <row r="32" spans="1:7" ht="15.75" x14ac:dyDescent="0.25">
      <c r="A32" s="66"/>
      <c r="B32" s="73" t="s">
        <v>263</v>
      </c>
      <c r="C32" s="66"/>
      <c r="D32" s="68"/>
      <c r="E32" s="189"/>
      <c r="F32" s="105"/>
      <c r="G32" s="105"/>
    </row>
    <row r="33" spans="1:7" ht="15.75" x14ac:dyDescent="0.25">
      <c r="A33" s="66">
        <f>A31+1</f>
        <v>22</v>
      </c>
      <c r="B33" s="67" t="s">
        <v>461</v>
      </c>
      <c r="C33" s="66" t="s">
        <v>193</v>
      </c>
      <c r="D33" s="68">
        <v>1.8</v>
      </c>
      <c r="E33" s="179">
        <v>3979</v>
      </c>
      <c r="F33" s="105">
        <f t="shared" si="0"/>
        <v>7162.2</v>
      </c>
      <c r="G33" s="105">
        <f t="shared" si="1"/>
        <v>8594.64</v>
      </c>
    </row>
    <row r="34" spans="1:7" ht="15.75" x14ac:dyDescent="0.25">
      <c r="A34" s="66">
        <f t="shared" si="4"/>
        <v>23</v>
      </c>
      <c r="B34" s="67" t="s">
        <v>462</v>
      </c>
      <c r="C34" s="66" t="s">
        <v>193</v>
      </c>
      <c r="D34" s="68">
        <v>3.6</v>
      </c>
      <c r="E34" s="179">
        <v>8435</v>
      </c>
      <c r="F34" s="105">
        <f t="shared" si="0"/>
        <v>30366</v>
      </c>
      <c r="G34" s="105">
        <f t="shared" si="1"/>
        <v>36439.199999999997</v>
      </c>
    </row>
    <row r="35" spans="1:7" ht="15.75" x14ac:dyDescent="0.25">
      <c r="A35" s="66">
        <f t="shared" si="4"/>
        <v>24</v>
      </c>
      <c r="B35" s="67" t="s">
        <v>465</v>
      </c>
      <c r="C35" s="66" t="s">
        <v>239</v>
      </c>
      <c r="D35" s="77">
        <v>0.12640000000000001</v>
      </c>
      <c r="E35" s="179">
        <v>73989</v>
      </c>
      <c r="F35" s="105">
        <f t="shared" si="0"/>
        <v>9352.2099999999991</v>
      </c>
      <c r="G35" s="105">
        <f t="shared" si="1"/>
        <v>11222.65</v>
      </c>
    </row>
    <row r="36" spans="1:7" ht="15.75" x14ac:dyDescent="0.25">
      <c r="A36" s="66">
        <f t="shared" si="4"/>
        <v>25</v>
      </c>
      <c r="B36" s="67" t="s">
        <v>466</v>
      </c>
      <c r="C36" s="66" t="s">
        <v>239</v>
      </c>
      <c r="D36" s="81">
        <v>0.20216000000000001</v>
      </c>
      <c r="E36" s="179">
        <v>150291</v>
      </c>
      <c r="F36" s="105">
        <f t="shared" si="0"/>
        <v>30382.83</v>
      </c>
      <c r="G36" s="105">
        <f t="shared" si="1"/>
        <v>36459.4</v>
      </c>
    </row>
    <row r="37" spans="1:7" ht="15.75" x14ac:dyDescent="0.25">
      <c r="A37" s="66">
        <f t="shared" si="4"/>
        <v>26</v>
      </c>
      <c r="B37" s="67" t="s">
        <v>464</v>
      </c>
      <c r="C37" s="66" t="s">
        <v>431</v>
      </c>
      <c r="D37" s="68">
        <v>26.4</v>
      </c>
      <c r="E37" s="179">
        <v>320</v>
      </c>
      <c r="F37" s="105">
        <f t="shared" si="0"/>
        <v>8448</v>
      </c>
      <c r="G37" s="105">
        <f t="shared" si="1"/>
        <v>10137.6</v>
      </c>
    </row>
    <row r="38" spans="1:7" ht="15.75" x14ac:dyDescent="0.25">
      <c r="A38" s="66"/>
      <c r="B38" s="62" t="s">
        <v>283</v>
      </c>
      <c r="C38" s="74"/>
      <c r="D38" s="75"/>
      <c r="E38" s="189"/>
      <c r="F38" s="105"/>
      <c r="G38" s="105"/>
    </row>
    <row r="39" spans="1:7" ht="15.75" x14ac:dyDescent="0.25">
      <c r="A39" s="66"/>
      <c r="B39" s="73" t="s">
        <v>284</v>
      </c>
      <c r="C39" s="74"/>
      <c r="D39" s="75"/>
      <c r="E39" s="189"/>
      <c r="F39" s="105"/>
      <c r="G39" s="105"/>
    </row>
    <row r="40" spans="1:7" ht="15.75" x14ac:dyDescent="0.25">
      <c r="A40" s="66">
        <f>A37+1</f>
        <v>27</v>
      </c>
      <c r="B40" s="67" t="s">
        <v>467</v>
      </c>
      <c r="C40" s="66" t="s">
        <v>239</v>
      </c>
      <c r="D40" s="76">
        <v>2.2160000000000002</v>
      </c>
      <c r="E40" s="179">
        <v>150291</v>
      </c>
      <c r="F40" s="105">
        <f t="shared" si="0"/>
        <v>333044.86</v>
      </c>
      <c r="G40" s="105">
        <f t="shared" si="1"/>
        <v>399653.83</v>
      </c>
    </row>
    <row r="41" spans="1:7" ht="15.75" x14ac:dyDescent="0.25">
      <c r="A41" s="66">
        <f>A40+1</f>
        <v>28</v>
      </c>
      <c r="B41" s="67" t="s">
        <v>468</v>
      </c>
      <c r="C41" s="66" t="s">
        <v>431</v>
      </c>
      <c r="D41" s="72">
        <v>55.4</v>
      </c>
      <c r="E41" s="179">
        <v>152</v>
      </c>
      <c r="F41" s="105">
        <f t="shared" si="0"/>
        <v>8420.7999999999993</v>
      </c>
      <c r="G41" s="105">
        <f t="shared" si="1"/>
        <v>10104.959999999999</v>
      </c>
    </row>
    <row r="42" spans="1:7" ht="15.75" x14ac:dyDescent="0.25">
      <c r="A42" s="66">
        <f t="shared" ref="A42:A44" si="5">A41+1</f>
        <v>29</v>
      </c>
      <c r="B42" s="67" t="s">
        <v>469</v>
      </c>
      <c r="C42" s="66" t="s">
        <v>431</v>
      </c>
      <c r="D42" s="72">
        <v>55.4</v>
      </c>
      <c r="E42" s="179">
        <v>152</v>
      </c>
      <c r="F42" s="105">
        <f t="shared" si="0"/>
        <v>8420.7999999999993</v>
      </c>
      <c r="G42" s="105">
        <f t="shared" si="1"/>
        <v>10104.959999999999</v>
      </c>
    </row>
    <row r="43" spans="1:7" ht="15.75" x14ac:dyDescent="0.25">
      <c r="A43" s="66">
        <f t="shared" si="5"/>
        <v>30</v>
      </c>
      <c r="B43" s="67" t="s">
        <v>470</v>
      </c>
      <c r="C43" s="74" t="s">
        <v>431</v>
      </c>
      <c r="D43" s="68">
        <v>1.08</v>
      </c>
      <c r="E43" s="179">
        <v>1454</v>
      </c>
      <c r="F43" s="105">
        <f t="shared" si="0"/>
        <v>1570.32</v>
      </c>
      <c r="G43" s="105">
        <f t="shared" si="1"/>
        <v>1884.38</v>
      </c>
    </row>
    <row r="44" spans="1:7" ht="15.75" x14ac:dyDescent="0.25">
      <c r="A44" s="66">
        <f t="shared" si="5"/>
        <v>31</v>
      </c>
      <c r="B44" s="67" t="s">
        <v>471</v>
      </c>
      <c r="C44" s="74" t="s">
        <v>193</v>
      </c>
      <c r="D44" s="68">
        <v>0.84</v>
      </c>
      <c r="E44" s="179">
        <v>12612</v>
      </c>
      <c r="F44" s="105">
        <f t="shared" si="0"/>
        <v>10594.08</v>
      </c>
      <c r="G44" s="105">
        <f t="shared" si="1"/>
        <v>12712.9</v>
      </c>
    </row>
    <row r="45" spans="1:7" ht="15.75" x14ac:dyDescent="0.25">
      <c r="A45" s="66"/>
      <c r="B45" s="73" t="s">
        <v>472</v>
      </c>
      <c r="C45" s="74"/>
      <c r="D45" s="192"/>
      <c r="E45" s="189"/>
      <c r="F45" s="105"/>
      <c r="G45" s="105"/>
    </row>
    <row r="46" spans="1:7" ht="15.75" x14ac:dyDescent="0.25">
      <c r="A46" s="66">
        <f>A44+1</f>
        <v>32</v>
      </c>
      <c r="B46" s="67" t="s">
        <v>473</v>
      </c>
      <c r="C46" s="74" t="s">
        <v>239</v>
      </c>
      <c r="D46" s="81">
        <v>2.5645500000000001</v>
      </c>
      <c r="E46" s="179">
        <v>73989</v>
      </c>
      <c r="F46" s="105">
        <f t="shared" si="0"/>
        <v>189748.49</v>
      </c>
      <c r="G46" s="105">
        <f t="shared" si="1"/>
        <v>227698.19</v>
      </c>
    </row>
    <row r="47" spans="1:7" ht="15.75" x14ac:dyDescent="0.25">
      <c r="A47" s="66">
        <f t="shared" ref="A47:A53" si="6">A46+1</f>
        <v>33</v>
      </c>
      <c r="B47" s="67" t="s">
        <v>468</v>
      </c>
      <c r="C47" s="66" t="s">
        <v>431</v>
      </c>
      <c r="D47" s="71">
        <v>65</v>
      </c>
      <c r="E47" s="179">
        <v>152</v>
      </c>
      <c r="F47" s="105">
        <f t="shared" si="0"/>
        <v>9880</v>
      </c>
      <c r="G47" s="105">
        <f t="shared" si="1"/>
        <v>11856</v>
      </c>
    </row>
    <row r="48" spans="1:7" ht="15.75" x14ac:dyDescent="0.25">
      <c r="A48" s="66">
        <f t="shared" si="6"/>
        <v>34</v>
      </c>
      <c r="B48" s="67" t="s">
        <v>469</v>
      </c>
      <c r="C48" s="66" t="s">
        <v>431</v>
      </c>
      <c r="D48" s="71">
        <v>65</v>
      </c>
      <c r="E48" s="179">
        <v>152</v>
      </c>
      <c r="F48" s="105">
        <f t="shared" si="0"/>
        <v>9880</v>
      </c>
      <c r="G48" s="105">
        <f t="shared" si="1"/>
        <v>11856</v>
      </c>
    </row>
    <row r="49" spans="1:7" ht="15.75" x14ac:dyDescent="0.25">
      <c r="A49" s="66"/>
      <c r="B49" s="62" t="s">
        <v>314</v>
      </c>
      <c r="C49" s="74"/>
      <c r="D49" s="192"/>
      <c r="E49" s="189"/>
      <c r="F49" s="105"/>
      <c r="G49" s="105"/>
    </row>
    <row r="50" spans="1:7" ht="15.75" x14ac:dyDescent="0.25">
      <c r="A50" s="66"/>
      <c r="B50" s="73" t="s">
        <v>315</v>
      </c>
      <c r="C50" s="74"/>
      <c r="D50" s="192"/>
      <c r="E50" s="189"/>
      <c r="F50" s="105"/>
      <c r="G50" s="105"/>
    </row>
    <row r="51" spans="1:7" ht="15.75" x14ac:dyDescent="0.25">
      <c r="A51" s="66">
        <f>A48+1</f>
        <v>35</v>
      </c>
      <c r="B51" s="67" t="s">
        <v>461</v>
      </c>
      <c r="C51" s="66" t="s">
        <v>193</v>
      </c>
      <c r="D51" s="68">
        <v>0.11</v>
      </c>
      <c r="E51" s="179">
        <v>3979</v>
      </c>
      <c r="F51" s="105">
        <f t="shared" si="0"/>
        <v>437.69</v>
      </c>
      <c r="G51" s="105">
        <f t="shared" si="1"/>
        <v>525.23</v>
      </c>
    </row>
    <row r="52" spans="1:7" ht="15.75" x14ac:dyDescent="0.25">
      <c r="A52" s="66">
        <f t="shared" si="6"/>
        <v>36</v>
      </c>
      <c r="B52" s="67" t="s">
        <v>474</v>
      </c>
      <c r="C52" s="66" t="s">
        <v>193</v>
      </c>
      <c r="D52" s="68">
        <v>0.5</v>
      </c>
      <c r="E52" s="179">
        <v>20591</v>
      </c>
      <c r="F52" s="105">
        <f t="shared" si="0"/>
        <v>10295.5</v>
      </c>
      <c r="G52" s="105">
        <f t="shared" si="1"/>
        <v>12354.6</v>
      </c>
    </row>
    <row r="53" spans="1:7" ht="15.75" x14ac:dyDescent="0.25">
      <c r="A53" s="66">
        <f t="shared" si="6"/>
        <v>37</v>
      </c>
      <c r="B53" s="67" t="s">
        <v>475</v>
      </c>
      <c r="C53" s="66" t="s">
        <v>239</v>
      </c>
      <c r="D53" s="76">
        <v>0.20300000000000001</v>
      </c>
      <c r="E53" s="179">
        <v>69473</v>
      </c>
      <c r="F53" s="105">
        <f t="shared" si="0"/>
        <v>14103.02</v>
      </c>
      <c r="G53" s="105">
        <f t="shared" si="1"/>
        <v>16923.62</v>
      </c>
    </row>
    <row r="54" spans="1:7" ht="15.75" x14ac:dyDescent="0.25">
      <c r="A54" s="66"/>
      <c r="B54" s="73" t="s">
        <v>320</v>
      </c>
      <c r="C54" s="74"/>
      <c r="D54" s="68"/>
      <c r="E54" s="189"/>
      <c r="F54" s="105"/>
      <c r="G54" s="105"/>
    </row>
    <row r="55" spans="1:7" ht="15.75" x14ac:dyDescent="0.25">
      <c r="A55" s="66">
        <f>A53+1</f>
        <v>38</v>
      </c>
      <c r="B55" s="67" t="s">
        <v>476</v>
      </c>
      <c r="C55" s="74" t="s">
        <v>194</v>
      </c>
      <c r="D55" s="71">
        <v>12</v>
      </c>
      <c r="E55" s="179">
        <v>1670</v>
      </c>
      <c r="F55" s="105">
        <f t="shared" si="0"/>
        <v>20040</v>
      </c>
      <c r="G55" s="105">
        <f t="shared" si="1"/>
        <v>24048</v>
      </c>
    </row>
    <row r="56" spans="1:7" ht="15.75" x14ac:dyDescent="0.25">
      <c r="A56" s="66">
        <f t="shared" ref="A56:A61" si="7">A55+1</f>
        <v>39</v>
      </c>
      <c r="B56" s="67" t="s">
        <v>477</v>
      </c>
      <c r="C56" s="74" t="s">
        <v>194</v>
      </c>
      <c r="D56" s="68">
        <v>9.56</v>
      </c>
      <c r="E56" s="179">
        <v>1999</v>
      </c>
      <c r="F56" s="105">
        <f t="shared" si="0"/>
        <v>19110.439999999999</v>
      </c>
      <c r="G56" s="105">
        <f t="shared" si="1"/>
        <v>22932.53</v>
      </c>
    </row>
    <row r="57" spans="1:7" ht="15.75" x14ac:dyDescent="0.25">
      <c r="A57" s="66">
        <f t="shared" si="7"/>
        <v>40</v>
      </c>
      <c r="B57" s="67" t="s">
        <v>478</v>
      </c>
      <c r="C57" s="74" t="s">
        <v>431</v>
      </c>
      <c r="D57" s="68">
        <v>8.6</v>
      </c>
      <c r="E57" s="179">
        <v>1007.6976744186048</v>
      </c>
      <c r="F57" s="105">
        <f t="shared" si="0"/>
        <v>8666.2000000000007</v>
      </c>
      <c r="G57" s="105">
        <f t="shared" si="1"/>
        <v>10399.44</v>
      </c>
    </row>
    <row r="58" spans="1:7" ht="15.75" x14ac:dyDescent="0.25">
      <c r="A58" s="66">
        <f t="shared" si="7"/>
        <v>41</v>
      </c>
      <c r="B58" s="67" t="s">
        <v>479</v>
      </c>
      <c r="C58" s="74" t="s">
        <v>431</v>
      </c>
      <c r="D58" s="68">
        <v>8.6</v>
      </c>
      <c r="E58" s="179">
        <v>85</v>
      </c>
      <c r="F58" s="105">
        <f t="shared" si="0"/>
        <v>731</v>
      </c>
      <c r="G58" s="105">
        <f t="shared" si="1"/>
        <v>877.2</v>
      </c>
    </row>
    <row r="59" spans="1:7" ht="15.75" x14ac:dyDescent="0.25">
      <c r="A59" s="66">
        <f t="shared" si="7"/>
        <v>42</v>
      </c>
      <c r="B59" s="67" t="s">
        <v>480</v>
      </c>
      <c r="C59" s="74" t="s">
        <v>431</v>
      </c>
      <c r="D59" s="68">
        <v>8.6</v>
      </c>
      <c r="E59" s="179">
        <v>104.87</v>
      </c>
      <c r="F59" s="105">
        <f t="shared" si="0"/>
        <v>901.88</v>
      </c>
      <c r="G59" s="105">
        <f t="shared" si="1"/>
        <v>1082.26</v>
      </c>
    </row>
    <row r="60" spans="1:7" ht="15.75" x14ac:dyDescent="0.25">
      <c r="A60" s="66">
        <f t="shared" si="7"/>
        <v>43</v>
      </c>
      <c r="B60" s="67" t="s">
        <v>481</v>
      </c>
      <c r="C60" s="74" t="s">
        <v>431</v>
      </c>
      <c r="D60" s="68">
        <v>8.6</v>
      </c>
      <c r="E60" s="179">
        <v>152</v>
      </c>
      <c r="F60" s="105">
        <f t="shared" si="0"/>
        <v>1307.2</v>
      </c>
      <c r="G60" s="105">
        <f t="shared" si="1"/>
        <v>1568.64</v>
      </c>
    </row>
    <row r="61" spans="1:7" ht="15.75" x14ac:dyDescent="0.25">
      <c r="A61" s="66">
        <f t="shared" si="7"/>
        <v>44</v>
      </c>
      <c r="B61" s="67" t="s">
        <v>482</v>
      </c>
      <c r="C61" s="74" t="s">
        <v>431</v>
      </c>
      <c r="D61" s="68">
        <v>8.6</v>
      </c>
      <c r="E61" s="179">
        <v>152</v>
      </c>
      <c r="F61" s="105">
        <f t="shared" si="0"/>
        <v>1307.2</v>
      </c>
      <c r="G61" s="105">
        <f t="shared" si="1"/>
        <v>1568.64</v>
      </c>
    </row>
    <row r="62" spans="1:7" ht="22.5" customHeight="1" x14ac:dyDescent="0.25">
      <c r="A62" s="181"/>
      <c r="B62" s="414" t="s">
        <v>341</v>
      </c>
      <c r="C62" s="436"/>
      <c r="D62" s="436"/>
      <c r="E62" s="182"/>
      <c r="F62" s="193"/>
      <c r="G62" s="137"/>
    </row>
    <row r="63" spans="1:7" x14ac:dyDescent="0.25">
      <c r="A63" s="66"/>
      <c r="B63" s="62" t="s">
        <v>342</v>
      </c>
      <c r="C63" s="74"/>
      <c r="D63" s="75"/>
      <c r="E63" s="89"/>
      <c r="F63" s="89"/>
      <c r="G63" s="133"/>
    </row>
    <row r="64" spans="1:7" ht="15.75" x14ac:dyDescent="0.25">
      <c r="A64" s="66">
        <f>A61+1</f>
        <v>45</v>
      </c>
      <c r="B64" s="67" t="s">
        <v>483</v>
      </c>
      <c r="C64" s="66" t="s">
        <v>193</v>
      </c>
      <c r="D64" s="68">
        <v>6.4</v>
      </c>
      <c r="E64" s="179">
        <v>1240</v>
      </c>
      <c r="F64" s="105">
        <f t="shared" ref="F64:F82" si="8">ROUND(E64*D64,2)</f>
        <v>7936</v>
      </c>
      <c r="G64" s="105">
        <f t="shared" ref="G64:G82" si="9">ROUND(F64*1.2,2)</f>
        <v>9523.2000000000007</v>
      </c>
    </row>
    <row r="65" spans="1:7" ht="15.75" x14ac:dyDescent="0.25">
      <c r="A65" s="66">
        <f t="shared" ref="A65:A82" si="10">A64+1</f>
        <v>46</v>
      </c>
      <c r="B65" s="67" t="s">
        <v>484</v>
      </c>
      <c r="C65" s="66" t="s">
        <v>194</v>
      </c>
      <c r="D65" s="71">
        <v>65</v>
      </c>
      <c r="E65" s="179">
        <v>2455</v>
      </c>
      <c r="F65" s="105">
        <f t="shared" si="8"/>
        <v>159575</v>
      </c>
      <c r="G65" s="105">
        <f t="shared" si="9"/>
        <v>191490</v>
      </c>
    </row>
    <row r="66" spans="1:7" ht="15.75" x14ac:dyDescent="0.25">
      <c r="A66" s="66">
        <f t="shared" si="10"/>
        <v>47</v>
      </c>
      <c r="B66" s="67" t="s">
        <v>485</v>
      </c>
      <c r="C66" s="66" t="s">
        <v>431</v>
      </c>
      <c r="D66" s="68">
        <v>50.49</v>
      </c>
      <c r="E66" s="179">
        <v>315</v>
      </c>
      <c r="F66" s="105">
        <f t="shared" si="8"/>
        <v>15904.35</v>
      </c>
      <c r="G66" s="105">
        <f t="shared" si="9"/>
        <v>19085.22</v>
      </c>
    </row>
    <row r="67" spans="1:7" ht="15.75" x14ac:dyDescent="0.25">
      <c r="A67" s="66"/>
      <c r="B67" s="73" t="s">
        <v>486</v>
      </c>
      <c r="C67" s="74"/>
      <c r="D67" s="68"/>
      <c r="E67" s="189"/>
      <c r="F67" s="105"/>
      <c r="G67" s="105"/>
    </row>
    <row r="68" spans="1:7" ht="15.75" x14ac:dyDescent="0.25">
      <c r="A68" s="66">
        <f>A66+1</f>
        <v>48</v>
      </c>
      <c r="B68" s="67" t="s">
        <v>487</v>
      </c>
      <c r="C68" s="66" t="s">
        <v>193</v>
      </c>
      <c r="D68" s="68">
        <v>3.75</v>
      </c>
      <c r="E68" s="179">
        <v>1777</v>
      </c>
      <c r="F68" s="105">
        <f t="shared" si="8"/>
        <v>6663.75</v>
      </c>
      <c r="G68" s="105">
        <f t="shared" si="9"/>
        <v>7996.5</v>
      </c>
    </row>
    <row r="69" spans="1:7" ht="15.75" x14ac:dyDescent="0.25">
      <c r="A69" s="66">
        <f t="shared" si="10"/>
        <v>49</v>
      </c>
      <c r="B69" s="67" t="s">
        <v>488</v>
      </c>
      <c r="C69" s="66" t="s">
        <v>193</v>
      </c>
      <c r="D69" s="68">
        <v>1.25</v>
      </c>
      <c r="E69" s="179">
        <v>899</v>
      </c>
      <c r="F69" s="105">
        <f t="shared" si="8"/>
        <v>1123.75</v>
      </c>
      <c r="G69" s="105">
        <f t="shared" si="9"/>
        <v>1348.5</v>
      </c>
    </row>
    <row r="70" spans="1:7" ht="15.75" x14ac:dyDescent="0.25">
      <c r="A70" s="66">
        <f t="shared" si="10"/>
        <v>50</v>
      </c>
      <c r="B70" s="67" t="s">
        <v>489</v>
      </c>
      <c r="C70" s="66" t="s">
        <v>193</v>
      </c>
      <c r="D70" s="68">
        <v>2.2000000000000002</v>
      </c>
      <c r="E70" s="179">
        <v>6056</v>
      </c>
      <c r="F70" s="105">
        <f t="shared" si="8"/>
        <v>13323.2</v>
      </c>
      <c r="G70" s="105">
        <f t="shared" si="9"/>
        <v>15987.84</v>
      </c>
    </row>
    <row r="71" spans="1:7" ht="15.75" x14ac:dyDescent="0.25">
      <c r="A71" s="66">
        <f t="shared" si="10"/>
        <v>51</v>
      </c>
      <c r="B71" s="67" t="s">
        <v>485</v>
      </c>
      <c r="C71" s="66" t="s">
        <v>431</v>
      </c>
      <c r="D71" s="68">
        <v>7.62</v>
      </c>
      <c r="E71" s="179">
        <v>315</v>
      </c>
      <c r="F71" s="105">
        <f t="shared" si="8"/>
        <v>2400.3000000000002</v>
      </c>
      <c r="G71" s="105">
        <f t="shared" si="9"/>
        <v>2880.36</v>
      </c>
    </row>
    <row r="72" spans="1:7" ht="15.75" x14ac:dyDescent="0.25">
      <c r="A72" s="66">
        <f t="shared" si="10"/>
        <v>52</v>
      </c>
      <c r="B72" s="67" t="s">
        <v>490</v>
      </c>
      <c r="C72" s="66" t="s">
        <v>193</v>
      </c>
      <c r="D72" s="68">
        <v>1.7</v>
      </c>
      <c r="E72" s="179">
        <v>6799</v>
      </c>
      <c r="F72" s="105">
        <f t="shared" si="8"/>
        <v>11558.3</v>
      </c>
      <c r="G72" s="105">
        <f t="shared" si="9"/>
        <v>13869.96</v>
      </c>
    </row>
    <row r="73" spans="1:7" ht="15.75" x14ac:dyDescent="0.25">
      <c r="A73" s="66">
        <f t="shared" si="10"/>
        <v>53</v>
      </c>
      <c r="B73" s="67" t="s">
        <v>491</v>
      </c>
      <c r="C73" s="66" t="s">
        <v>431</v>
      </c>
      <c r="D73" s="68">
        <v>0.71440000000000003</v>
      </c>
      <c r="E73" s="179">
        <v>334</v>
      </c>
      <c r="F73" s="105">
        <f t="shared" si="8"/>
        <v>238.61</v>
      </c>
      <c r="G73" s="105">
        <f t="shared" si="9"/>
        <v>286.33</v>
      </c>
    </row>
    <row r="74" spans="1:7" ht="15.75" x14ac:dyDescent="0.25">
      <c r="A74" s="66"/>
      <c r="B74" s="62" t="s">
        <v>352</v>
      </c>
      <c r="C74" s="74"/>
      <c r="D74" s="75"/>
      <c r="E74" s="189"/>
      <c r="F74" s="105"/>
      <c r="G74" s="105"/>
    </row>
    <row r="75" spans="1:7" ht="15.75" x14ac:dyDescent="0.25">
      <c r="A75" s="66">
        <f>A73+1</f>
        <v>54</v>
      </c>
      <c r="B75" s="67" t="s">
        <v>492</v>
      </c>
      <c r="C75" s="66" t="s">
        <v>193</v>
      </c>
      <c r="D75" s="71">
        <v>230</v>
      </c>
      <c r="E75" s="179">
        <v>325</v>
      </c>
      <c r="F75" s="105">
        <f t="shared" si="8"/>
        <v>74750</v>
      </c>
      <c r="G75" s="105">
        <f t="shared" si="9"/>
        <v>89700</v>
      </c>
    </row>
    <row r="76" spans="1:7" ht="15.75" x14ac:dyDescent="0.25">
      <c r="A76" s="66">
        <f t="shared" si="10"/>
        <v>55</v>
      </c>
      <c r="B76" s="67" t="s">
        <v>444</v>
      </c>
      <c r="C76" s="74" t="s">
        <v>193</v>
      </c>
      <c r="D76" s="68">
        <v>2.92</v>
      </c>
      <c r="E76" s="179">
        <v>1777</v>
      </c>
      <c r="F76" s="105">
        <f t="shared" si="8"/>
        <v>5188.84</v>
      </c>
      <c r="G76" s="105">
        <f t="shared" si="9"/>
        <v>6226.61</v>
      </c>
    </row>
    <row r="77" spans="1:7" ht="30" x14ac:dyDescent="0.25">
      <c r="A77" s="66">
        <f t="shared" si="10"/>
        <v>56</v>
      </c>
      <c r="B77" s="67" t="s">
        <v>493</v>
      </c>
      <c r="C77" s="74" t="s">
        <v>239</v>
      </c>
      <c r="D77" s="68">
        <v>41.12</v>
      </c>
      <c r="E77" s="195">
        <v>3460</v>
      </c>
      <c r="F77" s="105">
        <f t="shared" si="8"/>
        <v>142275.20000000001</v>
      </c>
      <c r="G77" s="105">
        <f t="shared" si="9"/>
        <v>170730.23999999999</v>
      </c>
    </row>
    <row r="78" spans="1:7" ht="20.25" customHeight="1" x14ac:dyDescent="0.25">
      <c r="A78" s="66">
        <f t="shared" si="10"/>
        <v>57</v>
      </c>
      <c r="B78" s="67" t="s">
        <v>449</v>
      </c>
      <c r="C78" s="74" t="s">
        <v>193</v>
      </c>
      <c r="D78" s="71">
        <v>200</v>
      </c>
      <c r="E78" s="179">
        <v>325</v>
      </c>
      <c r="F78" s="105">
        <f t="shared" si="8"/>
        <v>65000</v>
      </c>
      <c r="G78" s="105">
        <f t="shared" si="9"/>
        <v>78000</v>
      </c>
    </row>
    <row r="79" spans="1:7" ht="15.75" x14ac:dyDescent="0.25">
      <c r="A79" s="66">
        <f t="shared" si="10"/>
        <v>58</v>
      </c>
      <c r="B79" s="67" t="s">
        <v>450</v>
      </c>
      <c r="C79" s="74" t="s">
        <v>193</v>
      </c>
      <c r="D79" s="68">
        <v>7.22</v>
      </c>
      <c r="E79" s="179">
        <v>899</v>
      </c>
      <c r="F79" s="105">
        <f t="shared" si="8"/>
        <v>6490.78</v>
      </c>
      <c r="G79" s="105">
        <f t="shared" si="9"/>
        <v>7788.94</v>
      </c>
    </row>
    <row r="80" spans="1:7" ht="15.75" x14ac:dyDescent="0.25">
      <c r="A80" s="66">
        <f t="shared" si="10"/>
        <v>59</v>
      </c>
      <c r="B80" s="67" t="s">
        <v>461</v>
      </c>
      <c r="C80" s="74" t="s">
        <v>193</v>
      </c>
      <c r="D80" s="68">
        <v>7.3</v>
      </c>
      <c r="E80" s="179">
        <v>3979</v>
      </c>
      <c r="F80" s="105">
        <f t="shared" si="8"/>
        <v>29046.7</v>
      </c>
      <c r="G80" s="105">
        <f t="shared" si="9"/>
        <v>34856.04</v>
      </c>
    </row>
    <row r="81" spans="1:7" ht="15.75" x14ac:dyDescent="0.25">
      <c r="A81" s="66">
        <f t="shared" si="10"/>
        <v>60</v>
      </c>
      <c r="B81" s="67" t="s">
        <v>494</v>
      </c>
      <c r="C81" s="74" t="s">
        <v>193</v>
      </c>
      <c r="D81" s="68">
        <v>25.7</v>
      </c>
      <c r="E81" s="179">
        <v>12200</v>
      </c>
      <c r="F81" s="105">
        <f t="shared" si="8"/>
        <v>313540</v>
      </c>
      <c r="G81" s="105">
        <f t="shared" si="9"/>
        <v>376248</v>
      </c>
    </row>
    <row r="82" spans="1:7" ht="15.75" x14ac:dyDescent="0.25">
      <c r="A82" s="66">
        <f t="shared" si="10"/>
        <v>61</v>
      </c>
      <c r="B82" s="67" t="s">
        <v>485</v>
      </c>
      <c r="C82" s="66" t="s">
        <v>431</v>
      </c>
      <c r="D82" s="68">
        <v>269.14999999999998</v>
      </c>
      <c r="E82" s="179">
        <v>315</v>
      </c>
      <c r="F82" s="105">
        <f t="shared" si="8"/>
        <v>84782.25</v>
      </c>
      <c r="G82" s="105">
        <f t="shared" si="9"/>
        <v>101738.7</v>
      </c>
    </row>
    <row r="83" spans="1:7" ht="19.5" customHeight="1" x14ac:dyDescent="0.25">
      <c r="A83" s="181"/>
      <c r="B83" s="414" t="s">
        <v>364</v>
      </c>
      <c r="C83" s="436"/>
      <c r="D83" s="436"/>
      <c r="E83" s="182"/>
      <c r="F83" s="193"/>
      <c r="G83" s="137"/>
    </row>
    <row r="84" spans="1:7" x14ac:dyDescent="0.25">
      <c r="A84" s="66"/>
      <c r="B84" s="62" t="s">
        <v>495</v>
      </c>
      <c r="C84" s="74"/>
      <c r="D84" s="75"/>
      <c r="E84" s="89"/>
      <c r="F84" s="89"/>
      <c r="G84" s="133"/>
    </row>
    <row r="85" spans="1:7" ht="15.75" x14ac:dyDescent="0.25">
      <c r="A85" s="66">
        <f>A82+1</f>
        <v>62</v>
      </c>
      <c r="B85" s="67" t="s">
        <v>496</v>
      </c>
      <c r="C85" s="74" t="s">
        <v>193</v>
      </c>
      <c r="D85" s="71">
        <v>1109</v>
      </c>
      <c r="E85" s="179">
        <v>125</v>
      </c>
      <c r="F85" s="105">
        <f t="shared" ref="F85:F90" si="11">ROUND(E85*D85,2)</f>
        <v>138625</v>
      </c>
      <c r="G85" s="105">
        <f t="shared" ref="G85:G90" si="12">ROUND(F85*1.2,2)</f>
        <v>166350</v>
      </c>
    </row>
    <row r="86" spans="1:7" ht="15.75" x14ac:dyDescent="0.25">
      <c r="A86" s="66">
        <f>A85+1</f>
        <v>63</v>
      </c>
      <c r="B86" s="67" t="s">
        <v>497</v>
      </c>
      <c r="C86" s="74" t="s">
        <v>193</v>
      </c>
      <c r="D86" s="71">
        <v>1109</v>
      </c>
      <c r="E86" s="179">
        <v>325</v>
      </c>
      <c r="F86" s="105">
        <f t="shared" si="11"/>
        <v>360425</v>
      </c>
      <c r="G86" s="105">
        <f t="shared" si="12"/>
        <v>432510</v>
      </c>
    </row>
    <row r="87" spans="1:7" ht="15.75" x14ac:dyDescent="0.25">
      <c r="A87" s="66">
        <f t="shared" ref="A87:A90" si="13">A86+1</f>
        <v>64</v>
      </c>
      <c r="B87" s="67" t="s">
        <v>446</v>
      </c>
      <c r="C87" s="74" t="s">
        <v>193</v>
      </c>
      <c r="D87" s="71">
        <v>1109</v>
      </c>
      <c r="E87" s="179">
        <v>50</v>
      </c>
      <c r="F87" s="105">
        <f t="shared" si="11"/>
        <v>55450</v>
      </c>
      <c r="G87" s="105">
        <f t="shared" si="12"/>
        <v>66540</v>
      </c>
    </row>
    <row r="88" spans="1:7" ht="15.75" x14ac:dyDescent="0.25">
      <c r="A88" s="66">
        <f t="shared" si="13"/>
        <v>65</v>
      </c>
      <c r="B88" s="67" t="s">
        <v>498</v>
      </c>
      <c r="C88" s="74" t="s">
        <v>193</v>
      </c>
      <c r="D88" s="71">
        <v>1109</v>
      </c>
      <c r="E88" s="179">
        <v>325</v>
      </c>
      <c r="F88" s="105">
        <f t="shared" si="11"/>
        <v>360425</v>
      </c>
      <c r="G88" s="105">
        <f t="shared" si="12"/>
        <v>432510</v>
      </c>
    </row>
    <row r="89" spans="1:7" ht="30" x14ac:dyDescent="0.25">
      <c r="A89" s="66">
        <f t="shared" si="13"/>
        <v>66</v>
      </c>
      <c r="B89" s="67" t="s">
        <v>499</v>
      </c>
      <c r="C89" s="66" t="s">
        <v>239</v>
      </c>
      <c r="D89" s="72">
        <v>1752.2</v>
      </c>
      <c r="E89" s="179">
        <v>3460</v>
      </c>
      <c r="F89" s="105">
        <f t="shared" si="11"/>
        <v>6062612</v>
      </c>
      <c r="G89" s="105">
        <f t="shared" si="12"/>
        <v>7275134.4000000004</v>
      </c>
    </row>
    <row r="90" spans="1:7" ht="15.75" x14ac:dyDescent="0.25">
      <c r="A90" s="66">
        <f t="shared" si="13"/>
        <v>67</v>
      </c>
      <c r="B90" s="67" t="s">
        <v>500</v>
      </c>
      <c r="C90" s="74" t="s">
        <v>431</v>
      </c>
      <c r="D90" s="71">
        <v>2637</v>
      </c>
      <c r="E90" s="179">
        <v>325</v>
      </c>
      <c r="F90" s="105">
        <f t="shared" si="11"/>
        <v>857025</v>
      </c>
      <c r="G90" s="105">
        <f t="shared" si="12"/>
        <v>1028430</v>
      </c>
    </row>
    <row r="91" spans="1:7" ht="15.75" x14ac:dyDescent="0.25">
      <c r="A91" s="66"/>
      <c r="B91" s="62" t="s">
        <v>365</v>
      </c>
      <c r="C91" s="74"/>
      <c r="D91" s="75"/>
      <c r="E91" s="189"/>
      <c r="F91" s="89"/>
      <c r="G91" s="133"/>
    </row>
    <row r="92" spans="1:7" ht="15.75" x14ac:dyDescent="0.25">
      <c r="A92" s="66">
        <f>A90+1</f>
        <v>68</v>
      </c>
      <c r="B92" s="67" t="s">
        <v>501</v>
      </c>
      <c r="C92" s="74" t="s">
        <v>193</v>
      </c>
      <c r="D92" s="68">
        <v>493.58</v>
      </c>
      <c r="E92" s="179">
        <v>325</v>
      </c>
      <c r="F92" s="105">
        <f t="shared" ref="F92:F99" si="14">ROUND(E92*D92,2)</f>
        <v>160413.5</v>
      </c>
      <c r="G92" s="105">
        <f t="shared" ref="G92:G99" si="15">ROUND(F92*1.2,2)</f>
        <v>192496.2</v>
      </c>
    </row>
    <row r="93" spans="1:7" ht="15.75" x14ac:dyDescent="0.25">
      <c r="A93" s="66">
        <f>A92+1</f>
        <v>69</v>
      </c>
      <c r="B93" s="67" t="s">
        <v>502</v>
      </c>
      <c r="C93" s="74" t="s">
        <v>193</v>
      </c>
      <c r="D93" s="71">
        <v>493</v>
      </c>
      <c r="E93" s="179">
        <v>325</v>
      </c>
      <c r="F93" s="105">
        <f t="shared" si="14"/>
        <v>160225</v>
      </c>
      <c r="G93" s="105">
        <f t="shared" si="15"/>
        <v>192270</v>
      </c>
    </row>
    <row r="94" spans="1:7" ht="15.75" x14ac:dyDescent="0.25">
      <c r="A94" s="66">
        <f t="shared" ref="A94:A99" si="16">A93+1</f>
        <v>70</v>
      </c>
      <c r="B94" s="67" t="s">
        <v>503</v>
      </c>
      <c r="C94" s="74" t="s">
        <v>239</v>
      </c>
      <c r="D94" s="71">
        <v>780</v>
      </c>
      <c r="E94" s="179">
        <v>3460</v>
      </c>
      <c r="F94" s="105">
        <f t="shared" si="14"/>
        <v>2698800</v>
      </c>
      <c r="G94" s="105">
        <f t="shared" si="15"/>
        <v>3238560</v>
      </c>
    </row>
    <row r="95" spans="1:7" ht="15.75" x14ac:dyDescent="0.25">
      <c r="A95" s="66">
        <f t="shared" si="16"/>
        <v>71</v>
      </c>
      <c r="B95" s="67" t="s">
        <v>504</v>
      </c>
      <c r="C95" s="74" t="s">
        <v>193</v>
      </c>
      <c r="D95" s="71">
        <v>281</v>
      </c>
      <c r="E95" s="179">
        <v>1111</v>
      </c>
      <c r="F95" s="105">
        <f t="shared" si="14"/>
        <v>312191</v>
      </c>
      <c r="G95" s="105">
        <f t="shared" si="15"/>
        <v>374629.2</v>
      </c>
    </row>
    <row r="96" spans="1:7" ht="15.75" x14ac:dyDescent="0.25">
      <c r="A96" s="66">
        <f t="shared" si="16"/>
        <v>72</v>
      </c>
      <c r="B96" s="67" t="s">
        <v>505</v>
      </c>
      <c r="C96" s="74" t="s">
        <v>193</v>
      </c>
      <c r="D96" s="72">
        <v>141.69999999999999</v>
      </c>
      <c r="E96" s="179">
        <v>1754</v>
      </c>
      <c r="F96" s="105">
        <f t="shared" si="14"/>
        <v>248541.8</v>
      </c>
      <c r="G96" s="105">
        <f t="shared" si="15"/>
        <v>298250.15999999997</v>
      </c>
    </row>
    <row r="97" spans="1:7" ht="30" x14ac:dyDescent="0.25">
      <c r="A97" s="66">
        <f t="shared" si="16"/>
        <v>73</v>
      </c>
      <c r="B97" s="67" t="s">
        <v>506</v>
      </c>
      <c r="C97" s="74" t="s">
        <v>193</v>
      </c>
      <c r="D97" s="72">
        <v>71.5</v>
      </c>
      <c r="E97" s="179">
        <v>1754</v>
      </c>
      <c r="F97" s="105">
        <f t="shared" si="14"/>
        <v>125411</v>
      </c>
      <c r="G97" s="105">
        <f t="shared" si="15"/>
        <v>150493.20000000001</v>
      </c>
    </row>
    <row r="98" spans="1:7" ht="15.75" x14ac:dyDescent="0.25">
      <c r="A98" s="66">
        <f t="shared" si="16"/>
        <v>74</v>
      </c>
      <c r="B98" s="67" t="s">
        <v>507</v>
      </c>
      <c r="C98" s="74" t="s">
        <v>239</v>
      </c>
      <c r="D98" s="72">
        <v>1.4</v>
      </c>
      <c r="E98" s="179">
        <v>1854</v>
      </c>
      <c r="F98" s="105">
        <f t="shared" si="14"/>
        <v>2595.6</v>
      </c>
      <c r="G98" s="105">
        <f t="shared" si="15"/>
        <v>3114.72</v>
      </c>
    </row>
    <row r="99" spans="1:7" ht="15.75" x14ac:dyDescent="0.25">
      <c r="A99" s="66">
        <f t="shared" si="16"/>
        <v>75</v>
      </c>
      <c r="B99" s="67" t="s">
        <v>508</v>
      </c>
      <c r="C99" s="74" t="s">
        <v>431</v>
      </c>
      <c r="D99" s="71">
        <v>851</v>
      </c>
      <c r="E99" s="179">
        <v>1140</v>
      </c>
      <c r="F99" s="105">
        <f t="shared" si="14"/>
        <v>970140</v>
      </c>
      <c r="G99" s="105">
        <f t="shared" si="15"/>
        <v>1164168</v>
      </c>
    </row>
    <row r="100" spans="1:7" ht="15.75" x14ac:dyDescent="0.25">
      <c r="A100" s="224"/>
      <c r="B100" s="225" t="s">
        <v>927</v>
      </c>
      <c r="C100" s="226"/>
      <c r="D100" s="227"/>
      <c r="E100" s="228"/>
      <c r="F100" s="229"/>
      <c r="G100" s="229"/>
    </row>
    <row r="101" spans="1:7" ht="30" x14ac:dyDescent="0.25">
      <c r="A101" s="224">
        <f>A99+1</f>
        <v>76</v>
      </c>
      <c r="B101" s="230" t="s">
        <v>928</v>
      </c>
      <c r="C101" s="224" t="s">
        <v>220</v>
      </c>
      <c r="D101" s="227">
        <v>3</v>
      </c>
      <c r="E101" s="228">
        <v>1438</v>
      </c>
      <c r="F101" s="229">
        <f t="shared" ref="F101:F102" si="17">ROUND(E101*D101,2)</f>
        <v>4314</v>
      </c>
      <c r="G101" s="229">
        <f t="shared" ref="G101:G102" si="18">ROUND(F101*1.2,2)</f>
        <v>5176.8</v>
      </c>
    </row>
    <row r="102" spans="1:7" ht="15.75" x14ac:dyDescent="0.25">
      <c r="A102" s="224">
        <f>A101+1</f>
        <v>77</v>
      </c>
      <c r="B102" s="230" t="s">
        <v>929</v>
      </c>
      <c r="C102" s="224" t="s">
        <v>220</v>
      </c>
      <c r="D102" s="227">
        <v>3</v>
      </c>
      <c r="E102" s="228">
        <v>2078</v>
      </c>
      <c r="F102" s="229">
        <f t="shared" si="17"/>
        <v>6234</v>
      </c>
      <c r="G102" s="229">
        <f t="shared" si="18"/>
        <v>7480.8</v>
      </c>
    </row>
    <row r="103" spans="1:7" ht="15.75" x14ac:dyDescent="0.25">
      <c r="A103" s="66"/>
      <c r="B103" s="62" t="s">
        <v>371</v>
      </c>
      <c r="C103" s="74"/>
      <c r="D103" s="71"/>
      <c r="E103" s="189"/>
      <c r="F103" s="89"/>
      <c r="G103" s="133"/>
    </row>
    <row r="104" spans="1:7" ht="15.75" x14ac:dyDescent="0.25">
      <c r="A104" s="66">
        <f>A102+1</f>
        <v>78</v>
      </c>
      <c r="B104" s="67" t="s">
        <v>509</v>
      </c>
      <c r="C104" s="74" t="s">
        <v>431</v>
      </c>
      <c r="D104" s="71">
        <v>454</v>
      </c>
      <c r="E104" s="179">
        <v>325</v>
      </c>
      <c r="F104" s="105">
        <f t="shared" ref="F104:F106" si="19">ROUND(E104*D104,2)</f>
        <v>147550</v>
      </c>
      <c r="G104" s="105">
        <f t="shared" ref="G104:G106" si="20">ROUND(F104*1.2,2)</f>
        <v>177060</v>
      </c>
    </row>
    <row r="105" spans="1:7" ht="30" x14ac:dyDescent="0.25">
      <c r="A105" s="66">
        <f>A104+1</f>
        <v>79</v>
      </c>
      <c r="B105" s="67" t="s">
        <v>510</v>
      </c>
      <c r="C105" s="74" t="s">
        <v>431</v>
      </c>
      <c r="D105" s="71">
        <v>454</v>
      </c>
      <c r="E105" s="179">
        <v>549</v>
      </c>
      <c r="F105" s="105">
        <f t="shared" si="19"/>
        <v>249246</v>
      </c>
      <c r="G105" s="105">
        <f t="shared" si="20"/>
        <v>299095.2</v>
      </c>
    </row>
    <row r="106" spans="1:7" ht="15.75" x14ac:dyDescent="0.25">
      <c r="A106" s="66">
        <f>A105+1</f>
        <v>80</v>
      </c>
      <c r="B106" s="67" t="s">
        <v>511</v>
      </c>
      <c r="C106" s="74" t="s">
        <v>431</v>
      </c>
      <c r="D106" s="71">
        <v>454</v>
      </c>
      <c r="E106" s="179">
        <v>110</v>
      </c>
      <c r="F106" s="105">
        <f t="shared" si="19"/>
        <v>49940</v>
      </c>
      <c r="G106" s="105">
        <f t="shared" si="20"/>
        <v>59928</v>
      </c>
    </row>
    <row r="107" spans="1:7" ht="22.5" customHeight="1" x14ac:dyDescent="0.25">
      <c r="A107" s="181"/>
      <c r="B107" s="414" t="s">
        <v>375</v>
      </c>
      <c r="C107" s="436"/>
      <c r="D107" s="436"/>
      <c r="E107" s="182"/>
      <c r="F107" s="193"/>
      <c r="G107" s="137"/>
    </row>
    <row r="108" spans="1:7" x14ac:dyDescent="0.25">
      <c r="A108" s="66"/>
      <c r="B108" s="62" t="s">
        <v>512</v>
      </c>
      <c r="C108" s="74"/>
      <c r="D108" s="71"/>
      <c r="E108" s="89"/>
      <c r="F108" s="89"/>
      <c r="G108" s="133"/>
    </row>
    <row r="109" spans="1:7" x14ac:dyDescent="0.25">
      <c r="A109" s="66"/>
      <c r="B109" s="62" t="s">
        <v>513</v>
      </c>
      <c r="C109" s="74"/>
      <c r="D109" s="71"/>
      <c r="E109" s="89"/>
      <c r="F109" s="89"/>
      <c r="G109" s="133"/>
    </row>
    <row r="110" spans="1:7" ht="15.75" x14ac:dyDescent="0.25">
      <c r="A110" s="66">
        <f>A106+1</f>
        <v>81</v>
      </c>
      <c r="B110" s="67" t="s">
        <v>514</v>
      </c>
      <c r="C110" s="66" t="s">
        <v>193</v>
      </c>
      <c r="D110" s="71">
        <f>60+168</f>
        <v>228</v>
      </c>
      <c r="E110" s="179">
        <v>325</v>
      </c>
      <c r="F110" s="105">
        <f t="shared" ref="F110:F116" si="21">ROUND(E110*D110,2)</f>
        <v>74100</v>
      </c>
      <c r="G110" s="105">
        <f t="shared" ref="G110:G116" si="22">ROUND(F110*1.2,2)</f>
        <v>88920</v>
      </c>
    </row>
    <row r="111" spans="1:7" ht="15.75" x14ac:dyDescent="0.25">
      <c r="A111" s="66">
        <f>A110+1</f>
        <v>82</v>
      </c>
      <c r="B111" s="67" t="s">
        <v>487</v>
      </c>
      <c r="C111" s="66" t="s">
        <v>193</v>
      </c>
      <c r="D111" s="71">
        <v>182</v>
      </c>
      <c r="E111" s="179">
        <v>1777</v>
      </c>
      <c r="F111" s="105">
        <f t="shared" si="21"/>
        <v>323414</v>
      </c>
      <c r="G111" s="105">
        <f t="shared" si="22"/>
        <v>388096.8</v>
      </c>
    </row>
    <row r="112" spans="1:7" ht="15.75" x14ac:dyDescent="0.25">
      <c r="A112" s="66">
        <f t="shared" ref="A112:A116" si="23">A111+1</f>
        <v>83</v>
      </c>
      <c r="B112" s="67" t="s">
        <v>515</v>
      </c>
      <c r="C112" s="66" t="s">
        <v>193</v>
      </c>
      <c r="D112" s="71">
        <v>2</v>
      </c>
      <c r="E112" s="179">
        <v>1777</v>
      </c>
      <c r="F112" s="105">
        <f t="shared" si="21"/>
        <v>3554</v>
      </c>
      <c r="G112" s="105">
        <f t="shared" si="22"/>
        <v>4264.8</v>
      </c>
    </row>
    <row r="113" spans="1:7" ht="15.75" x14ac:dyDescent="0.25">
      <c r="A113" s="66">
        <f t="shared" si="23"/>
        <v>84</v>
      </c>
      <c r="B113" s="67" t="s">
        <v>516</v>
      </c>
      <c r="C113" s="66" t="s">
        <v>193</v>
      </c>
      <c r="D113" s="71">
        <v>360</v>
      </c>
      <c r="E113" s="179">
        <v>125</v>
      </c>
      <c r="F113" s="105">
        <f t="shared" si="21"/>
        <v>45000</v>
      </c>
      <c r="G113" s="105">
        <f t="shared" si="22"/>
        <v>54000</v>
      </c>
    </row>
    <row r="114" spans="1:7" ht="15.75" x14ac:dyDescent="0.25">
      <c r="A114" s="66">
        <f t="shared" si="23"/>
        <v>85</v>
      </c>
      <c r="B114" s="67" t="s">
        <v>517</v>
      </c>
      <c r="C114" s="66" t="s">
        <v>193</v>
      </c>
      <c r="D114" s="71">
        <v>28</v>
      </c>
      <c r="E114" s="179">
        <v>899</v>
      </c>
      <c r="F114" s="105">
        <f t="shared" si="21"/>
        <v>25172</v>
      </c>
      <c r="G114" s="105">
        <f t="shared" si="22"/>
        <v>30206.400000000001</v>
      </c>
    </row>
    <row r="115" spans="1:7" ht="15.75" x14ac:dyDescent="0.25">
      <c r="A115" s="66">
        <f t="shared" si="23"/>
        <v>86</v>
      </c>
      <c r="B115" s="67" t="s">
        <v>518</v>
      </c>
      <c r="C115" s="66" t="s">
        <v>239</v>
      </c>
      <c r="D115" s="72">
        <v>52.8</v>
      </c>
      <c r="E115" s="179">
        <v>325</v>
      </c>
      <c r="F115" s="105">
        <f t="shared" si="21"/>
        <v>17160</v>
      </c>
      <c r="G115" s="105">
        <f t="shared" si="22"/>
        <v>20592</v>
      </c>
    </row>
    <row r="116" spans="1:7" ht="15.75" x14ac:dyDescent="0.25">
      <c r="A116" s="66">
        <f t="shared" si="23"/>
        <v>87</v>
      </c>
      <c r="B116" s="67" t="s">
        <v>503</v>
      </c>
      <c r="C116" s="66" t="s">
        <v>239</v>
      </c>
      <c r="D116" s="72">
        <v>52.8</v>
      </c>
      <c r="E116" s="179">
        <v>3460</v>
      </c>
      <c r="F116" s="105">
        <f t="shared" si="21"/>
        <v>182688</v>
      </c>
      <c r="G116" s="105">
        <f t="shared" si="22"/>
        <v>219225.60000000001</v>
      </c>
    </row>
    <row r="117" spans="1:7" ht="15.75" x14ac:dyDescent="0.25">
      <c r="A117" s="66"/>
      <c r="B117" s="62" t="s">
        <v>519</v>
      </c>
      <c r="C117" s="66"/>
      <c r="D117" s="72"/>
      <c r="E117" s="189"/>
      <c r="F117" s="89"/>
      <c r="G117" s="133"/>
    </row>
    <row r="118" spans="1:7" ht="30" x14ac:dyDescent="0.25">
      <c r="A118" s="66">
        <f>A116+1</f>
        <v>88</v>
      </c>
      <c r="B118" s="67" t="s">
        <v>520</v>
      </c>
      <c r="C118" s="66" t="s">
        <v>193</v>
      </c>
      <c r="D118" s="72">
        <v>0.8</v>
      </c>
      <c r="E118" s="179">
        <v>1422</v>
      </c>
      <c r="F118" s="105">
        <f t="shared" ref="F118:F120" si="24">ROUND(E118*D118,2)</f>
        <v>1137.5999999999999</v>
      </c>
      <c r="G118" s="105">
        <f t="shared" ref="G118:G120" si="25">ROUND(F118*1.2,2)</f>
        <v>1365.12</v>
      </c>
    </row>
    <row r="119" spans="1:7" ht="15.75" x14ac:dyDescent="0.25">
      <c r="A119" s="66">
        <f>A118+1</f>
        <v>89</v>
      </c>
      <c r="B119" s="67" t="s">
        <v>521</v>
      </c>
      <c r="C119" s="66" t="s">
        <v>193</v>
      </c>
      <c r="D119" s="71">
        <v>3</v>
      </c>
      <c r="E119" s="179">
        <v>1380</v>
      </c>
      <c r="F119" s="105">
        <f t="shared" si="24"/>
        <v>4140</v>
      </c>
      <c r="G119" s="105">
        <f t="shared" si="25"/>
        <v>4968</v>
      </c>
    </row>
    <row r="120" spans="1:7" ht="15.75" x14ac:dyDescent="0.25">
      <c r="A120" s="66">
        <f>A119+1</f>
        <v>90</v>
      </c>
      <c r="B120" s="67" t="s">
        <v>522</v>
      </c>
      <c r="C120" s="66" t="s">
        <v>193</v>
      </c>
      <c r="D120" s="71">
        <v>9</v>
      </c>
      <c r="E120" s="179">
        <v>1380</v>
      </c>
      <c r="F120" s="105">
        <f t="shared" si="24"/>
        <v>12420</v>
      </c>
      <c r="G120" s="105">
        <f t="shared" si="25"/>
        <v>14904</v>
      </c>
    </row>
    <row r="121" spans="1:7" ht="15.75" x14ac:dyDescent="0.25">
      <c r="A121" s="66"/>
      <c r="B121" s="62" t="s">
        <v>523</v>
      </c>
      <c r="C121" s="66"/>
      <c r="D121" s="71"/>
      <c r="E121" s="189"/>
      <c r="F121" s="89"/>
      <c r="G121" s="133"/>
    </row>
    <row r="122" spans="1:7" ht="30" x14ac:dyDescent="0.25">
      <c r="A122" s="66">
        <f>A120+1</f>
        <v>91</v>
      </c>
      <c r="B122" s="67" t="s">
        <v>524</v>
      </c>
      <c r="C122" s="66" t="s">
        <v>194</v>
      </c>
      <c r="D122" s="71">
        <v>29</v>
      </c>
      <c r="E122" s="179">
        <v>539</v>
      </c>
      <c r="F122" s="105">
        <f t="shared" ref="F122" si="26">ROUND(E122*D122,2)</f>
        <v>15631</v>
      </c>
      <c r="G122" s="105">
        <f t="shared" ref="G122" si="27">ROUND(F122*1.2,2)</f>
        <v>18757.2</v>
      </c>
    </row>
    <row r="123" spans="1:7" ht="15.75" x14ac:dyDescent="0.25">
      <c r="A123" s="66"/>
      <c r="B123" s="62" t="s">
        <v>525</v>
      </c>
      <c r="C123" s="66"/>
      <c r="D123" s="71"/>
      <c r="E123" s="189"/>
      <c r="F123" s="89"/>
      <c r="G123" s="133"/>
    </row>
    <row r="124" spans="1:7" ht="30" x14ac:dyDescent="0.25">
      <c r="A124" s="66">
        <f>A122+1</f>
        <v>92</v>
      </c>
      <c r="B124" s="67" t="s">
        <v>526</v>
      </c>
      <c r="C124" s="66" t="s">
        <v>193</v>
      </c>
      <c r="D124" s="68">
        <v>3.24</v>
      </c>
      <c r="E124" s="179">
        <v>18174</v>
      </c>
      <c r="F124" s="105">
        <f t="shared" ref="F124:F126" si="28">ROUND(E124*D124,2)</f>
        <v>58883.76</v>
      </c>
      <c r="G124" s="105">
        <f t="shared" ref="G124:G126" si="29">ROUND(F124*1.2,2)</f>
        <v>70660.509999999995</v>
      </c>
    </row>
    <row r="125" spans="1:7" ht="15.75" x14ac:dyDescent="0.25">
      <c r="A125" s="66">
        <f>A124+1</f>
        <v>93</v>
      </c>
      <c r="B125" s="67" t="s">
        <v>527</v>
      </c>
      <c r="C125" s="66" t="s">
        <v>193</v>
      </c>
      <c r="D125" s="72">
        <v>3.5</v>
      </c>
      <c r="E125" s="179">
        <v>25276</v>
      </c>
      <c r="F125" s="105">
        <f t="shared" si="28"/>
        <v>88466</v>
      </c>
      <c r="G125" s="105">
        <f t="shared" si="29"/>
        <v>106159.2</v>
      </c>
    </row>
    <row r="126" spans="1:7" ht="15.75" x14ac:dyDescent="0.25">
      <c r="A126" s="66">
        <f>A125+1</f>
        <v>94</v>
      </c>
      <c r="B126" s="67" t="s">
        <v>528</v>
      </c>
      <c r="C126" s="66" t="s">
        <v>239</v>
      </c>
      <c r="D126" s="77">
        <v>7.4999999999999997E-3</v>
      </c>
      <c r="E126" s="179">
        <v>69775</v>
      </c>
      <c r="F126" s="105">
        <f t="shared" si="28"/>
        <v>523.30999999999995</v>
      </c>
      <c r="G126" s="105">
        <f t="shared" si="29"/>
        <v>627.97</v>
      </c>
    </row>
    <row r="127" spans="1:7" ht="28.5" x14ac:dyDescent="0.25">
      <c r="A127" s="66"/>
      <c r="B127" s="62" t="s">
        <v>529</v>
      </c>
      <c r="C127" s="66"/>
      <c r="D127" s="71"/>
      <c r="E127" s="189"/>
      <c r="F127" s="89"/>
      <c r="G127" s="133"/>
    </row>
    <row r="128" spans="1:7" ht="15.75" x14ac:dyDescent="0.25">
      <c r="A128" s="66">
        <f>A126+1</f>
        <v>95</v>
      </c>
      <c r="B128" s="67" t="s">
        <v>514</v>
      </c>
      <c r="C128" s="66" t="s">
        <v>193</v>
      </c>
      <c r="D128" s="71">
        <v>332</v>
      </c>
      <c r="E128" s="179">
        <v>325</v>
      </c>
      <c r="F128" s="105">
        <f t="shared" ref="F128:F136" si="30">ROUND(E128*D128,2)</f>
        <v>107900</v>
      </c>
      <c r="G128" s="105">
        <f t="shared" ref="G128:G136" si="31">ROUND(F128*1.2,2)</f>
        <v>129480</v>
      </c>
    </row>
    <row r="129" spans="1:7" ht="15.75" x14ac:dyDescent="0.25">
      <c r="A129" s="66">
        <f>A128+1</f>
        <v>96</v>
      </c>
      <c r="B129" s="67" t="s">
        <v>487</v>
      </c>
      <c r="C129" s="66" t="s">
        <v>193</v>
      </c>
      <c r="D129" s="71">
        <v>10</v>
      </c>
      <c r="E129" s="179">
        <v>1777</v>
      </c>
      <c r="F129" s="105">
        <f t="shared" si="30"/>
        <v>17770</v>
      </c>
      <c r="G129" s="105">
        <f t="shared" si="31"/>
        <v>21324</v>
      </c>
    </row>
    <row r="130" spans="1:7" ht="15.75" x14ac:dyDescent="0.25">
      <c r="A130" s="66">
        <f t="shared" ref="A130:A136" si="32">A129+1</f>
        <v>97</v>
      </c>
      <c r="B130" s="67" t="s">
        <v>530</v>
      </c>
      <c r="C130" s="66" t="s">
        <v>194</v>
      </c>
      <c r="D130" s="71">
        <v>27</v>
      </c>
      <c r="E130" s="179">
        <v>4886</v>
      </c>
      <c r="F130" s="105">
        <f t="shared" si="30"/>
        <v>131922</v>
      </c>
      <c r="G130" s="105">
        <f t="shared" si="31"/>
        <v>158306.4</v>
      </c>
    </row>
    <row r="131" spans="1:7" ht="30" x14ac:dyDescent="0.25">
      <c r="A131" s="66">
        <f t="shared" si="32"/>
        <v>98</v>
      </c>
      <c r="B131" s="67" t="s">
        <v>531</v>
      </c>
      <c r="C131" s="66" t="s">
        <v>194</v>
      </c>
      <c r="D131" s="71">
        <v>27</v>
      </c>
      <c r="E131" s="179">
        <v>414</v>
      </c>
      <c r="F131" s="105">
        <f t="shared" si="30"/>
        <v>11178</v>
      </c>
      <c r="G131" s="105">
        <f t="shared" si="31"/>
        <v>13413.6</v>
      </c>
    </row>
    <row r="132" spans="1:7" ht="30" x14ac:dyDescent="0.25">
      <c r="A132" s="66">
        <f t="shared" si="32"/>
        <v>99</v>
      </c>
      <c r="B132" s="67" t="s">
        <v>532</v>
      </c>
      <c r="C132" s="66" t="s">
        <v>194</v>
      </c>
      <c r="D132" s="71">
        <v>27</v>
      </c>
      <c r="E132" s="179">
        <v>3703</v>
      </c>
      <c r="F132" s="105">
        <f t="shared" si="30"/>
        <v>99981</v>
      </c>
      <c r="G132" s="105">
        <f t="shared" si="31"/>
        <v>119977.2</v>
      </c>
    </row>
    <row r="133" spans="1:7" ht="15.75" x14ac:dyDescent="0.25">
      <c r="A133" s="66">
        <f t="shared" si="32"/>
        <v>100</v>
      </c>
      <c r="B133" s="67" t="s">
        <v>516</v>
      </c>
      <c r="C133" s="66" t="s">
        <v>193</v>
      </c>
      <c r="D133" s="71">
        <v>321</v>
      </c>
      <c r="E133" s="179">
        <v>125</v>
      </c>
      <c r="F133" s="105">
        <f t="shared" si="30"/>
        <v>40125</v>
      </c>
      <c r="G133" s="105">
        <f t="shared" si="31"/>
        <v>48150</v>
      </c>
    </row>
    <row r="134" spans="1:7" ht="15.75" x14ac:dyDescent="0.25">
      <c r="A134" s="66">
        <f t="shared" si="32"/>
        <v>101</v>
      </c>
      <c r="B134" s="67" t="s">
        <v>517</v>
      </c>
      <c r="C134" s="66" t="s">
        <v>193</v>
      </c>
      <c r="D134" s="71">
        <v>17</v>
      </c>
      <c r="E134" s="179">
        <v>899</v>
      </c>
      <c r="F134" s="105">
        <f t="shared" si="30"/>
        <v>15283</v>
      </c>
      <c r="G134" s="105">
        <f t="shared" si="31"/>
        <v>18339.599999999999</v>
      </c>
    </row>
    <row r="135" spans="1:7" ht="15.75" x14ac:dyDescent="0.25">
      <c r="A135" s="66">
        <f t="shared" si="32"/>
        <v>102</v>
      </c>
      <c r="B135" s="67" t="s">
        <v>518</v>
      </c>
      <c r="C135" s="66" t="s">
        <v>239</v>
      </c>
      <c r="D135" s="72">
        <v>6.4</v>
      </c>
      <c r="E135" s="179">
        <v>325</v>
      </c>
      <c r="F135" s="105">
        <f t="shared" si="30"/>
        <v>2080</v>
      </c>
      <c r="G135" s="105">
        <f t="shared" si="31"/>
        <v>2496</v>
      </c>
    </row>
    <row r="136" spans="1:7" ht="15.75" x14ac:dyDescent="0.25">
      <c r="A136" s="66">
        <f t="shared" si="32"/>
        <v>103</v>
      </c>
      <c r="B136" s="67" t="s">
        <v>503</v>
      </c>
      <c r="C136" s="66" t="s">
        <v>239</v>
      </c>
      <c r="D136" s="72">
        <v>6.4</v>
      </c>
      <c r="E136" s="179">
        <v>3460</v>
      </c>
      <c r="F136" s="105">
        <f t="shared" si="30"/>
        <v>22144</v>
      </c>
      <c r="G136" s="105">
        <f t="shared" si="31"/>
        <v>26572.799999999999</v>
      </c>
    </row>
    <row r="137" spans="1:7" ht="21" customHeight="1" x14ac:dyDescent="0.25">
      <c r="A137" s="181"/>
      <c r="B137" s="414" t="s">
        <v>399</v>
      </c>
      <c r="C137" s="436"/>
      <c r="D137" s="436"/>
      <c r="E137" s="182"/>
      <c r="F137" s="193"/>
      <c r="G137" s="137"/>
    </row>
    <row r="138" spans="1:7" x14ac:dyDescent="0.25">
      <c r="A138" s="66"/>
      <c r="B138" s="62" t="s">
        <v>512</v>
      </c>
      <c r="C138" s="74"/>
      <c r="D138" s="71"/>
      <c r="E138" s="89"/>
      <c r="F138" s="89"/>
      <c r="G138" s="133"/>
    </row>
    <row r="139" spans="1:7" x14ac:dyDescent="0.25">
      <c r="A139" s="66"/>
      <c r="B139" s="62" t="s">
        <v>713</v>
      </c>
      <c r="C139" s="66"/>
      <c r="D139" s="72"/>
      <c r="E139" s="89"/>
      <c r="F139" s="89"/>
      <c r="G139" s="133"/>
    </row>
    <row r="140" spans="1:7" ht="15.75" x14ac:dyDescent="0.25">
      <c r="A140" s="66">
        <f>A136+1</f>
        <v>104</v>
      </c>
      <c r="B140" s="67" t="s">
        <v>533</v>
      </c>
      <c r="C140" s="66" t="s">
        <v>193</v>
      </c>
      <c r="D140" s="72">
        <v>5.4</v>
      </c>
      <c r="E140" s="179">
        <v>18650.372222222224</v>
      </c>
      <c r="F140" s="105">
        <f t="shared" ref="F140:F145" si="33">ROUND(E140*D140,2)</f>
        <v>100712.01</v>
      </c>
      <c r="G140" s="105">
        <f t="shared" ref="G140:G145" si="34">ROUND(F140*1.2,2)</f>
        <v>120854.41</v>
      </c>
    </row>
    <row r="141" spans="1:7" ht="15.75" x14ac:dyDescent="0.25">
      <c r="A141" s="66">
        <f>A140+1</f>
        <v>105</v>
      </c>
      <c r="B141" s="67" t="s">
        <v>534</v>
      </c>
      <c r="C141" s="66" t="s">
        <v>239</v>
      </c>
      <c r="D141" s="236">
        <v>2.06</v>
      </c>
      <c r="E141" s="179">
        <v>31141.773584905659</v>
      </c>
      <c r="F141" s="105">
        <f t="shared" si="33"/>
        <v>64152.05</v>
      </c>
      <c r="G141" s="105">
        <f t="shared" si="34"/>
        <v>76982.460000000006</v>
      </c>
    </row>
    <row r="142" spans="1:7" ht="15.75" x14ac:dyDescent="0.25">
      <c r="A142" s="88">
        <f t="shared" ref="A142:A144" si="35">A141+1</f>
        <v>106</v>
      </c>
      <c r="B142" s="253" t="s">
        <v>932</v>
      </c>
      <c r="C142" s="88" t="s">
        <v>239</v>
      </c>
      <c r="D142" s="236">
        <v>1.95</v>
      </c>
      <c r="E142" s="178">
        <v>31141.773584905659</v>
      </c>
      <c r="F142" s="107">
        <f t="shared" ref="F142" si="36">ROUND(E142*D142,2)</f>
        <v>60726.46</v>
      </c>
      <c r="G142" s="107">
        <f t="shared" ref="G142" si="37">ROUND(F142*1.2,2)</f>
        <v>72871.75</v>
      </c>
    </row>
    <row r="143" spans="1:7" ht="15.75" x14ac:dyDescent="0.25">
      <c r="A143" s="66">
        <f t="shared" si="35"/>
        <v>107</v>
      </c>
      <c r="B143" s="67" t="s">
        <v>535</v>
      </c>
      <c r="C143" s="66" t="s">
        <v>239</v>
      </c>
      <c r="D143" s="236">
        <v>1.65</v>
      </c>
      <c r="E143" s="179">
        <v>31141.773584905663</v>
      </c>
      <c r="F143" s="105">
        <f t="shared" si="33"/>
        <v>51383.93</v>
      </c>
      <c r="G143" s="105">
        <f t="shared" si="34"/>
        <v>61660.72</v>
      </c>
    </row>
    <row r="144" spans="1:7" x14ac:dyDescent="0.25">
      <c r="A144" s="66">
        <f t="shared" si="35"/>
        <v>108</v>
      </c>
      <c r="B144" s="67" t="s">
        <v>536</v>
      </c>
      <c r="C144" s="66" t="s">
        <v>239</v>
      </c>
      <c r="D144" s="236">
        <v>20</v>
      </c>
      <c r="E144" s="195">
        <v>250</v>
      </c>
      <c r="F144" s="105">
        <f t="shared" si="33"/>
        <v>5000</v>
      </c>
      <c r="G144" s="105">
        <f t="shared" si="34"/>
        <v>6000</v>
      </c>
    </row>
    <row r="145" spans="1:7" x14ac:dyDescent="0.25">
      <c r="A145" s="66">
        <f t="shared" ref="A145" si="38">A144+1</f>
        <v>109</v>
      </c>
      <c r="B145" s="80" t="s">
        <v>446</v>
      </c>
      <c r="C145" s="66" t="s">
        <v>193</v>
      </c>
      <c r="D145" s="236">
        <v>20</v>
      </c>
      <c r="E145" s="195">
        <v>50</v>
      </c>
      <c r="F145" s="105">
        <f t="shared" si="33"/>
        <v>1000</v>
      </c>
      <c r="G145" s="105">
        <f t="shared" si="34"/>
        <v>1200</v>
      </c>
    </row>
    <row r="146" spans="1:7" x14ac:dyDescent="0.25">
      <c r="A146" s="66"/>
      <c r="B146" s="194" t="s">
        <v>513</v>
      </c>
      <c r="C146" s="74"/>
      <c r="D146" s="237"/>
      <c r="E146" s="195"/>
      <c r="F146" s="89"/>
      <c r="G146" s="133"/>
    </row>
    <row r="147" spans="1:7" ht="19.5" customHeight="1" x14ac:dyDescent="0.25">
      <c r="A147" s="66">
        <f>A144+1</f>
        <v>109</v>
      </c>
      <c r="B147" s="67" t="s">
        <v>514</v>
      </c>
      <c r="C147" s="66" t="s">
        <v>193</v>
      </c>
      <c r="D147" s="237">
        <v>77.400000000000006</v>
      </c>
      <c r="E147" s="179">
        <v>325</v>
      </c>
      <c r="F147" s="105">
        <f t="shared" ref="F147:F151" si="39">ROUND(E147*D147,2)</f>
        <v>25155</v>
      </c>
      <c r="G147" s="105">
        <f t="shared" ref="G147:G151" si="40">ROUND(F147*1.2,2)</f>
        <v>30186</v>
      </c>
    </row>
    <row r="148" spans="1:7" ht="15.75" x14ac:dyDescent="0.25">
      <c r="A148" s="66">
        <f>A147+1</f>
        <v>110</v>
      </c>
      <c r="B148" s="67" t="s">
        <v>515</v>
      </c>
      <c r="C148" s="66" t="s">
        <v>193</v>
      </c>
      <c r="D148" s="237">
        <v>1.5</v>
      </c>
      <c r="E148" s="179">
        <v>1776.64</v>
      </c>
      <c r="F148" s="105">
        <f t="shared" si="39"/>
        <v>2664.96</v>
      </c>
      <c r="G148" s="105">
        <f t="shared" si="40"/>
        <v>3197.95</v>
      </c>
    </row>
    <row r="149" spans="1:7" ht="15.75" x14ac:dyDescent="0.25">
      <c r="A149" s="66">
        <f t="shared" ref="A149:A151" si="41">A148+1</f>
        <v>111</v>
      </c>
      <c r="B149" s="67" t="s">
        <v>537</v>
      </c>
      <c r="C149" s="66" t="s">
        <v>193</v>
      </c>
      <c r="D149" s="237">
        <v>80.099999999999994</v>
      </c>
      <c r="E149" s="179">
        <v>125</v>
      </c>
      <c r="F149" s="105">
        <f t="shared" si="39"/>
        <v>10012.5</v>
      </c>
      <c r="G149" s="105">
        <f t="shared" si="40"/>
        <v>12015</v>
      </c>
    </row>
    <row r="150" spans="1:7" ht="15.75" x14ac:dyDescent="0.25">
      <c r="A150" s="66">
        <f t="shared" si="41"/>
        <v>112</v>
      </c>
      <c r="B150" s="67" t="s">
        <v>538</v>
      </c>
      <c r="C150" s="66" t="s">
        <v>193</v>
      </c>
      <c r="D150" s="237">
        <v>4.2</v>
      </c>
      <c r="E150" s="179">
        <v>898.85000000000014</v>
      </c>
      <c r="F150" s="105">
        <f t="shared" si="39"/>
        <v>3775.17</v>
      </c>
      <c r="G150" s="105">
        <f t="shared" si="40"/>
        <v>4530.2</v>
      </c>
    </row>
    <row r="151" spans="1:7" x14ac:dyDescent="0.25">
      <c r="A151" s="66">
        <f t="shared" si="41"/>
        <v>113</v>
      </c>
      <c r="B151" s="67" t="s">
        <v>539</v>
      </c>
      <c r="C151" s="66" t="s">
        <v>239</v>
      </c>
      <c r="D151" s="236">
        <v>8.64</v>
      </c>
      <c r="E151" s="195">
        <v>125</v>
      </c>
      <c r="F151" s="105">
        <f t="shared" si="39"/>
        <v>1080</v>
      </c>
      <c r="G151" s="105">
        <f t="shared" si="40"/>
        <v>1296</v>
      </c>
    </row>
    <row r="152" spans="1:7" x14ac:dyDescent="0.25">
      <c r="A152" s="66"/>
      <c r="B152" s="62" t="s">
        <v>513</v>
      </c>
      <c r="C152" s="74"/>
      <c r="D152" s="160"/>
      <c r="E152" s="195"/>
      <c r="F152" s="89"/>
      <c r="G152" s="133"/>
    </row>
    <row r="153" spans="1:7" ht="23.25" customHeight="1" x14ac:dyDescent="0.25">
      <c r="A153" s="66">
        <f>A151+1</f>
        <v>114</v>
      </c>
      <c r="B153" s="67" t="s">
        <v>514</v>
      </c>
      <c r="C153" s="66" t="s">
        <v>193</v>
      </c>
      <c r="D153" s="237">
        <f>490.6+217.7</f>
        <v>708.3</v>
      </c>
      <c r="E153" s="179">
        <v>325</v>
      </c>
      <c r="F153" s="105">
        <f t="shared" ref="F153:F159" si="42">ROUND(E153*D153,2)</f>
        <v>230197.5</v>
      </c>
      <c r="G153" s="105">
        <f t="shared" ref="G153:G159" si="43">ROUND(F153*1.2,2)</f>
        <v>276237</v>
      </c>
    </row>
    <row r="154" spans="1:7" ht="21" customHeight="1" x14ac:dyDescent="0.25">
      <c r="A154" s="66">
        <f>A153+1</f>
        <v>115</v>
      </c>
      <c r="B154" s="67" t="s">
        <v>515</v>
      </c>
      <c r="C154" s="66" t="s">
        <v>193</v>
      </c>
      <c r="D154" s="237">
        <f>14.72+3.81</f>
        <v>18.53</v>
      </c>
      <c r="E154" s="179">
        <v>1776.9307116104872</v>
      </c>
      <c r="F154" s="105">
        <f t="shared" si="42"/>
        <v>32926.53</v>
      </c>
      <c r="G154" s="105">
        <f t="shared" si="43"/>
        <v>39511.839999999997</v>
      </c>
    </row>
    <row r="155" spans="1:7" ht="19.5" customHeight="1" x14ac:dyDescent="0.25">
      <c r="A155" s="66">
        <f t="shared" ref="A155:A159" si="44">A154+1</f>
        <v>116</v>
      </c>
      <c r="B155" s="67" t="s">
        <v>540</v>
      </c>
      <c r="C155" s="66" t="s">
        <v>193</v>
      </c>
      <c r="D155" s="237">
        <f>337.86+170.18</f>
        <v>508.04</v>
      </c>
      <c r="E155" s="179">
        <v>125</v>
      </c>
      <c r="F155" s="105">
        <f t="shared" si="42"/>
        <v>63505</v>
      </c>
      <c r="G155" s="105">
        <f t="shared" si="43"/>
        <v>76206</v>
      </c>
    </row>
    <row r="156" spans="1:7" ht="15.75" x14ac:dyDescent="0.25">
      <c r="A156" s="66">
        <f t="shared" si="44"/>
        <v>117</v>
      </c>
      <c r="B156" s="67" t="s">
        <v>517</v>
      </c>
      <c r="C156" s="66" t="s">
        <v>193</v>
      </c>
      <c r="D156" s="160">
        <f>84.46+42.54</f>
        <v>127</v>
      </c>
      <c r="E156" s="179">
        <v>898.68666666666672</v>
      </c>
      <c r="F156" s="105">
        <f t="shared" si="42"/>
        <v>114133.21</v>
      </c>
      <c r="G156" s="105">
        <f t="shared" si="43"/>
        <v>136959.85</v>
      </c>
    </row>
    <row r="157" spans="1:7" ht="15.75" x14ac:dyDescent="0.25">
      <c r="A157" s="66">
        <f t="shared" si="44"/>
        <v>118</v>
      </c>
      <c r="B157" s="67" t="s">
        <v>518</v>
      </c>
      <c r="C157" s="66" t="s">
        <v>239</v>
      </c>
      <c r="D157" s="237">
        <f>132.8+14.1</f>
        <v>146.9</v>
      </c>
      <c r="E157" s="179">
        <v>325</v>
      </c>
      <c r="F157" s="105">
        <f t="shared" si="42"/>
        <v>47742.5</v>
      </c>
      <c r="G157" s="105">
        <f t="shared" si="43"/>
        <v>57291</v>
      </c>
    </row>
    <row r="158" spans="1:7" ht="15.75" x14ac:dyDescent="0.25">
      <c r="A158" s="66">
        <f t="shared" si="44"/>
        <v>119</v>
      </c>
      <c r="B158" s="67" t="s">
        <v>541</v>
      </c>
      <c r="C158" s="66" t="s">
        <v>239</v>
      </c>
      <c r="D158" s="237">
        <f t="shared" ref="D158:D159" si="45">132.8+14.1</f>
        <v>146.9</v>
      </c>
      <c r="E158" s="179">
        <v>250</v>
      </c>
      <c r="F158" s="105">
        <f t="shared" si="42"/>
        <v>36725</v>
      </c>
      <c r="G158" s="105">
        <f t="shared" si="43"/>
        <v>44070</v>
      </c>
    </row>
    <row r="159" spans="1:7" ht="15.75" x14ac:dyDescent="0.25">
      <c r="A159" s="66">
        <f t="shared" si="44"/>
        <v>120</v>
      </c>
      <c r="B159" s="80" t="s">
        <v>446</v>
      </c>
      <c r="C159" s="66" t="s">
        <v>193</v>
      </c>
      <c r="D159" s="237">
        <f t="shared" si="45"/>
        <v>146.9</v>
      </c>
      <c r="E159" s="179">
        <v>50</v>
      </c>
      <c r="F159" s="105">
        <f t="shared" si="42"/>
        <v>7345</v>
      </c>
      <c r="G159" s="105">
        <f t="shared" si="43"/>
        <v>8814</v>
      </c>
    </row>
    <row r="160" spans="1:7" ht="28.5" x14ac:dyDescent="0.25">
      <c r="A160" s="66"/>
      <c r="B160" s="62" t="s">
        <v>945</v>
      </c>
      <c r="C160" s="66"/>
      <c r="D160" s="72"/>
      <c r="E160" s="195"/>
      <c r="F160" s="89"/>
      <c r="G160" s="133"/>
    </row>
    <row r="161" spans="1:8" ht="45" x14ac:dyDescent="0.25">
      <c r="A161" s="66">
        <f>A159+1</f>
        <v>121</v>
      </c>
      <c r="B161" s="67" t="s">
        <v>542</v>
      </c>
      <c r="C161" s="66" t="s">
        <v>220</v>
      </c>
      <c r="D161" s="160">
        <v>11</v>
      </c>
      <c r="E161" s="179">
        <v>6240</v>
      </c>
      <c r="F161" s="105">
        <f t="shared" ref="F161:F215" si="46">ROUND(E161*D161,2)</f>
        <v>68640</v>
      </c>
      <c r="G161" s="105">
        <f t="shared" ref="G161:G215" si="47">ROUND(F161*1.2,2)</f>
        <v>82368</v>
      </c>
    </row>
    <row r="162" spans="1:8" ht="45" x14ac:dyDescent="0.25">
      <c r="A162" s="66">
        <f t="shared" ref="A162:A202" si="48">A161+1</f>
        <v>122</v>
      </c>
      <c r="B162" s="67" t="s">
        <v>543</v>
      </c>
      <c r="C162" s="66" t="s">
        <v>220</v>
      </c>
      <c r="D162" s="160">
        <v>43</v>
      </c>
      <c r="E162" s="179">
        <v>1560</v>
      </c>
      <c r="F162" s="105">
        <f t="shared" ref="F162:F169" si="49">ROUND(E162*D162,2)</f>
        <v>67080</v>
      </c>
      <c r="G162" s="105">
        <f t="shared" ref="G162:G169" si="50">ROUND(F162*1.2,2)</f>
        <v>80496</v>
      </c>
    </row>
    <row r="163" spans="1:8" ht="45" x14ac:dyDescent="0.25">
      <c r="A163" s="66">
        <f t="shared" si="48"/>
        <v>123</v>
      </c>
      <c r="B163" s="67" t="s">
        <v>544</v>
      </c>
      <c r="C163" s="66" t="s">
        <v>220</v>
      </c>
      <c r="D163" s="160">
        <v>14</v>
      </c>
      <c r="E163" s="179">
        <v>1060</v>
      </c>
      <c r="F163" s="105">
        <f t="shared" si="49"/>
        <v>14840</v>
      </c>
      <c r="G163" s="105">
        <f t="shared" si="50"/>
        <v>17808</v>
      </c>
    </row>
    <row r="164" spans="1:8" ht="30" x14ac:dyDescent="0.25">
      <c r="A164" s="66">
        <f t="shared" si="48"/>
        <v>124</v>
      </c>
      <c r="B164" s="67" t="s">
        <v>545</v>
      </c>
      <c r="C164" s="66" t="s">
        <v>193</v>
      </c>
      <c r="D164" s="236">
        <v>0.02</v>
      </c>
      <c r="E164" s="179">
        <v>127396</v>
      </c>
      <c r="F164" s="105">
        <f t="shared" si="49"/>
        <v>2547.92</v>
      </c>
      <c r="G164" s="105">
        <f t="shared" si="50"/>
        <v>3057.5</v>
      </c>
    </row>
    <row r="165" spans="1:8" ht="30" x14ac:dyDescent="0.25">
      <c r="A165" s="66">
        <f t="shared" si="48"/>
        <v>125</v>
      </c>
      <c r="B165" s="67" t="s">
        <v>546</v>
      </c>
      <c r="C165" s="66" t="s">
        <v>193</v>
      </c>
      <c r="D165" s="236">
        <v>5.63</v>
      </c>
      <c r="E165" s="179">
        <v>5763.1974358974367</v>
      </c>
      <c r="F165" s="105">
        <f t="shared" si="49"/>
        <v>32446.799999999999</v>
      </c>
      <c r="G165" s="105">
        <f t="shared" si="50"/>
        <v>38936.160000000003</v>
      </c>
    </row>
    <row r="166" spans="1:8" ht="30" x14ac:dyDescent="0.25">
      <c r="A166" s="88">
        <f t="shared" si="48"/>
        <v>126</v>
      </c>
      <c r="B166" s="253" t="s">
        <v>933</v>
      </c>
      <c r="C166" s="88" t="s">
        <v>431</v>
      </c>
      <c r="D166" s="236">
        <v>171.64</v>
      </c>
      <c r="E166" s="178">
        <v>1007.6976744186048</v>
      </c>
      <c r="F166" s="107">
        <f t="shared" si="49"/>
        <v>172961.23</v>
      </c>
      <c r="G166" s="107">
        <f t="shared" si="50"/>
        <v>207553.48</v>
      </c>
    </row>
    <row r="167" spans="1:8" ht="30" x14ac:dyDescent="0.25">
      <c r="A167" s="88">
        <f t="shared" si="48"/>
        <v>127</v>
      </c>
      <c r="B167" s="253" t="s">
        <v>934</v>
      </c>
      <c r="C167" s="260" t="s">
        <v>431</v>
      </c>
      <c r="D167" s="236">
        <v>171.64</v>
      </c>
      <c r="E167" s="178">
        <v>152</v>
      </c>
      <c r="F167" s="107">
        <f t="shared" si="49"/>
        <v>26089.279999999999</v>
      </c>
      <c r="G167" s="107">
        <f t="shared" si="50"/>
        <v>31307.14</v>
      </c>
    </row>
    <row r="168" spans="1:8" ht="30" x14ac:dyDescent="0.25">
      <c r="A168" s="88">
        <f t="shared" si="48"/>
        <v>128</v>
      </c>
      <c r="B168" s="253" t="s">
        <v>935</v>
      </c>
      <c r="C168" s="88" t="s">
        <v>431</v>
      </c>
      <c r="D168" s="236">
        <v>171.64</v>
      </c>
      <c r="E168" s="178">
        <v>315.54000000000002</v>
      </c>
      <c r="F168" s="107">
        <f t="shared" si="49"/>
        <v>54159.29</v>
      </c>
      <c r="G168" s="107">
        <f t="shared" si="50"/>
        <v>64991.15</v>
      </c>
    </row>
    <row r="169" spans="1:8" ht="30" x14ac:dyDescent="0.25">
      <c r="A169" s="224">
        <f t="shared" si="48"/>
        <v>129</v>
      </c>
      <c r="B169" s="232" t="s">
        <v>1071</v>
      </c>
      <c r="C169" s="224" t="s">
        <v>193</v>
      </c>
      <c r="D169" s="233">
        <v>0.34</v>
      </c>
      <c r="E169" s="228">
        <v>30352.94</v>
      </c>
      <c r="F169" s="229">
        <f t="shared" si="49"/>
        <v>10320</v>
      </c>
      <c r="G169" s="229">
        <f t="shared" si="50"/>
        <v>12384</v>
      </c>
      <c r="H169" s="219"/>
    </row>
    <row r="170" spans="1:8" ht="30" x14ac:dyDescent="0.25">
      <c r="A170" s="224">
        <f t="shared" si="48"/>
        <v>130</v>
      </c>
      <c r="B170" s="232" t="s">
        <v>936</v>
      </c>
      <c r="C170" s="224" t="s">
        <v>193</v>
      </c>
      <c r="D170" s="233">
        <v>0.62</v>
      </c>
      <c r="E170" s="228">
        <v>30352.94</v>
      </c>
      <c r="F170" s="229">
        <f t="shared" ref="F170:F174" si="51">ROUND(E170*D170,2)</f>
        <v>18818.82</v>
      </c>
      <c r="G170" s="229">
        <f t="shared" ref="G170:G174" si="52">ROUND(F170*1.2,2)</f>
        <v>22582.58</v>
      </c>
    </row>
    <row r="171" spans="1:8" ht="30" x14ac:dyDescent="0.25">
      <c r="A171" s="88">
        <f t="shared" si="48"/>
        <v>131</v>
      </c>
      <c r="B171" s="253" t="s">
        <v>933</v>
      </c>
      <c r="C171" s="88" t="s">
        <v>431</v>
      </c>
      <c r="D171" s="236">
        <v>0.8</v>
      </c>
      <c r="E171" s="178">
        <v>1007.6976744186048</v>
      </c>
      <c r="F171" s="107">
        <f t="shared" si="51"/>
        <v>806.16</v>
      </c>
      <c r="G171" s="107">
        <f t="shared" si="52"/>
        <v>967.39</v>
      </c>
    </row>
    <row r="172" spans="1:8" ht="30" x14ac:dyDescent="0.25">
      <c r="A172" s="88">
        <f t="shared" si="48"/>
        <v>132</v>
      </c>
      <c r="B172" s="253" t="s">
        <v>934</v>
      </c>
      <c r="C172" s="260" t="s">
        <v>431</v>
      </c>
      <c r="D172" s="236">
        <v>3.8</v>
      </c>
      <c r="E172" s="178">
        <v>152</v>
      </c>
      <c r="F172" s="107">
        <f t="shared" si="51"/>
        <v>577.6</v>
      </c>
      <c r="G172" s="107">
        <f t="shared" si="52"/>
        <v>693.12</v>
      </c>
    </row>
    <row r="173" spans="1:8" ht="30" x14ac:dyDescent="0.25">
      <c r="A173" s="88">
        <f t="shared" si="48"/>
        <v>133</v>
      </c>
      <c r="B173" s="253" t="s">
        <v>935</v>
      </c>
      <c r="C173" s="88" t="s">
        <v>431</v>
      </c>
      <c r="D173" s="236">
        <v>3.8</v>
      </c>
      <c r="E173" s="178">
        <v>315.54000000000002</v>
      </c>
      <c r="F173" s="107">
        <f t="shared" si="51"/>
        <v>1199.05</v>
      </c>
      <c r="G173" s="107">
        <f t="shared" si="52"/>
        <v>1438.86</v>
      </c>
    </row>
    <row r="174" spans="1:8" ht="15.75" x14ac:dyDescent="0.25">
      <c r="A174" s="88">
        <f t="shared" si="48"/>
        <v>134</v>
      </c>
      <c r="B174" s="253" t="s">
        <v>937</v>
      </c>
      <c r="C174" s="88" t="s">
        <v>193</v>
      </c>
      <c r="D174" s="236">
        <v>1.5</v>
      </c>
      <c r="E174" s="178">
        <v>5761.0434782608691</v>
      </c>
      <c r="F174" s="107">
        <f t="shared" si="51"/>
        <v>8641.57</v>
      </c>
      <c r="G174" s="107">
        <f t="shared" si="52"/>
        <v>10369.879999999999</v>
      </c>
    </row>
    <row r="175" spans="1:8" ht="30" x14ac:dyDescent="0.25">
      <c r="A175" s="224">
        <f t="shared" si="48"/>
        <v>135</v>
      </c>
      <c r="B175" s="232" t="s">
        <v>938</v>
      </c>
      <c r="C175" s="224" t="s">
        <v>193</v>
      </c>
      <c r="D175" s="233">
        <v>0.16</v>
      </c>
      <c r="E175" s="228">
        <v>6943.75</v>
      </c>
      <c r="F175" s="229">
        <f t="shared" ref="F175" si="53">ROUND(E175*D175,2)</f>
        <v>1111</v>
      </c>
      <c r="G175" s="229">
        <f t="shared" ref="G175" si="54">ROUND(F175*1.2,2)</f>
        <v>1333.2</v>
      </c>
    </row>
    <row r="176" spans="1:8" ht="15.75" x14ac:dyDescent="0.25">
      <c r="A176" s="224">
        <f t="shared" si="48"/>
        <v>136</v>
      </c>
      <c r="B176" s="232" t="s">
        <v>939</v>
      </c>
      <c r="C176" s="224" t="s">
        <v>193</v>
      </c>
      <c r="D176" s="233">
        <v>0.6</v>
      </c>
      <c r="E176" s="228">
        <f>4166/0.6</f>
        <v>6943.3333333333339</v>
      </c>
      <c r="F176" s="229">
        <f t="shared" ref="F176:F185" si="55">ROUND(E176*D176,2)</f>
        <v>4166</v>
      </c>
      <c r="G176" s="229">
        <f t="shared" ref="G176:G183" si="56">ROUND(F176*1.2,2)</f>
        <v>4999.2</v>
      </c>
    </row>
    <row r="177" spans="1:8" ht="30" x14ac:dyDescent="0.25">
      <c r="A177" s="88">
        <f t="shared" si="48"/>
        <v>137</v>
      </c>
      <c r="B177" s="253" t="s">
        <v>933</v>
      </c>
      <c r="C177" s="88" t="s">
        <v>431</v>
      </c>
      <c r="D177" s="236">
        <v>4.5</v>
      </c>
      <c r="E177" s="178">
        <v>1007.6976744186048</v>
      </c>
      <c r="F177" s="107">
        <f t="shared" si="55"/>
        <v>4534.6400000000003</v>
      </c>
      <c r="G177" s="107">
        <f t="shared" si="56"/>
        <v>5441.57</v>
      </c>
    </row>
    <row r="178" spans="1:8" ht="30" x14ac:dyDescent="0.25">
      <c r="A178" s="88">
        <f t="shared" si="48"/>
        <v>138</v>
      </c>
      <c r="B178" s="253" t="s">
        <v>934</v>
      </c>
      <c r="C178" s="260" t="s">
        <v>431</v>
      </c>
      <c r="D178" s="236">
        <v>4.5</v>
      </c>
      <c r="E178" s="178">
        <v>152</v>
      </c>
      <c r="F178" s="107">
        <f t="shared" si="55"/>
        <v>684</v>
      </c>
      <c r="G178" s="107">
        <f t="shared" si="56"/>
        <v>820.8</v>
      </c>
    </row>
    <row r="179" spans="1:8" ht="30" x14ac:dyDescent="0.25">
      <c r="A179" s="88">
        <f t="shared" si="48"/>
        <v>139</v>
      </c>
      <c r="B179" s="253" t="s">
        <v>935</v>
      </c>
      <c r="C179" s="88" t="s">
        <v>431</v>
      </c>
      <c r="D179" s="236">
        <v>4.5</v>
      </c>
      <c r="E179" s="178">
        <v>315.54000000000002</v>
      </c>
      <c r="F179" s="107">
        <f t="shared" si="55"/>
        <v>1419.93</v>
      </c>
      <c r="G179" s="107">
        <f t="shared" si="56"/>
        <v>1703.92</v>
      </c>
    </row>
    <row r="180" spans="1:8" ht="15.75" x14ac:dyDescent="0.25">
      <c r="A180" s="224">
        <f t="shared" si="48"/>
        <v>140</v>
      </c>
      <c r="B180" s="232" t="s">
        <v>940</v>
      </c>
      <c r="C180" s="224" t="s">
        <v>193</v>
      </c>
      <c r="D180" s="233">
        <v>0.08</v>
      </c>
      <c r="E180" s="228">
        <f>2280/0.08</f>
        <v>28500</v>
      </c>
      <c r="F180" s="229">
        <f t="shared" si="55"/>
        <v>2280</v>
      </c>
      <c r="G180" s="229">
        <f t="shared" si="56"/>
        <v>2736</v>
      </c>
    </row>
    <row r="181" spans="1:8" ht="15.75" x14ac:dyDescent="0.25">
      <c r="A181" s="224">
        <f t="shared" si="48"/>
        <v>141</v>
      </c>
      <c r="B181" s="232" t="s">
        <v>944</v>
      </c>
      <c r="C181" s="224" t="s">
        <v>220</v>
      </c>
      <c r="D181" s="227">
        <v>1</v>
      </c>
      <c r="E181" s="228">
        <v>56237</v>
      </c>
      <c r="F181" s="229">
        <f t="shared" si="55"/>
        <v>56237</v>
      </c>
      <c r="G181" s="229">
        <f t="shared" si="56"/>
        <v>67484.399999999994</v>
      </c>
    </row>
    <row r="182" spans="1:8" ht="15.75" x14ac:dyDescent="0.25">
      <c r="A182" s="224">
        <f t="shared" si="48"/>
        <v>142</v>
      </c>
      <c r="B182" s="232" t="s">
        <v>1257</v>
      </c>
      <c r="C182" s="224" t="s">
        <v>254</v>
      </c>
      <c r="D182" s="233">
        <v>138.83000000000001</v>
      </c>
      <c r="E182" s="228">
        <f>3037/138.83</f>
        <v>21.8756752863214</v>
      </c>
      <c r="F182" s="229">
        <f t="shared" si="55"/>
        <v>3037</v>
      </c>
      <c r="G182" s="229">
        <f t="shared" si="56"/>
        <v>3644.4</v>
      </c>
    </row>
    <row r="183" spans="1:8" ht="15.75" x14ac:dyDescent="0.25">
      <c r="A183" s="224">
        <f t="shared" si="48"/>
        <v>143</v>
      </c>
      <c r="B183" s="232" t="s">
        <v>943</v>
      </c>
      <c r="C183" s="224" t="s">
        <v>254</v>
      </c>
      <c r="D183" s="233">
        <v>45</v>
      </c>
      <c r="E183" s="228">
        <v>115.24</v>
      </c>
      <c r="F183" s="229">
        <f t="shared" si="55"/>
        <v>5185.8</v>
      </c>
      <c r="G183" s="229">
        <f t="shared" si="56"/>
        <v>6222.96</v>
      </c>
    </row>
    <row r="184" spans="1:8" ht="15.75" x14ac:dyDescent="0.25">
      <c r="A184" s="88"/>
      <c r="B184" s="235" t="s">
        <v>946</v>
      </c>
      <c r="C184" s="88"/>
      <c r="D184" s="236"/>
      <c r="E184" s="178"/>
      <c r="F184" s="107"/>
      <c r="G184" s="107"/>
    </row>
    <row r="185" spans="1:8" ht="15.75" x14ac:dyDescent="0.25">
      <c r="A185" s="224">
        <f>A183+1</f>
        <v>144</v>
      </c>
      <c r="B185" s="232" t="s">
        <v>947</v>
      </c>
      <c r="C185" s="224" t="s">
        <v>193</v>
      </c>
      <c r="D185" s="233">
        <v>9.9</v>
      </c>
      <c r="E185" s="228">
        <v>13642.522222222222</v>
      </c>
      <c r="F185" s="229">
        <f t="shared" si="55"/>
        <v>135060.97</v>
      </c>
      <c r="G185" s="229">
        <f t="shared" ref="G185" si="57">ROUND(F185*1.2,2)</f>
        <v>162073.16</v>
      </c>
    </row>
    <row r="186" spans="1:8" ht="15.75" x14ac:dyDescent="0.25">
      <c r="A186" s="88">
        <f>A185+1</f>
        <v>145</v>
      </c>
      <c r="B186" s="253" t="s">
        <v>948</v>
      </c>
      <c r="C186" s="88" t="s">
        <v>193</v>
      </c>
      <c r="D186" s="236">
        <v>1.7</v>
      </c>
      <c r="E186" s="178">
        <v>13272.15</v>
      </c>
      <c r="F186" s="107">
        <f t="shared" ref="F186:F191" si="58">ROUND(E186*D186,2)</f>
        <v>22562.66</v>
      </c>
      <c r="G186" s="107">
        <f t="shared" ref="G186:G191" si="59">ROUND(F186*1.2,2)</f>
        <v>27075.19</v>
      </c>
    </row>
    <row r="187" spans="1:8" ht="15.75" x14ac:dyDescent="0.25">
      <c r="A187" s="224">
        <f t="shared" ref="A187:A192" si="60">A186+1</f>
        <v>146</v>
      </c>
      <c r="B187" s="232" t="s">
        <v>1258</v>
      </c>
      <c r="C187" s="280" t="s">
        <v>220</v>
      </c>
      <c r="D187" s="251">
        <v>3</v>
      </c>
      <c r="E187" s="228">
        <v>3041</v>
      </c>
      <c r="F187" s="229">
        <f t="shared" si="58"/>
        <v>9123</v>
      </c>
      <c r="G187" s="229">
        <f t="shared" si="59"/>
        <v>10947.6</v>
      </c>
      <c r="H187" s="281" t="s">
        <v>1261</v>
      </c>
    </row>
    <row r="188" spans="1:8" ht="15.75" x14ac:dyDescent="0.25">
      <c r="A188" s="224">
        <f t="shared" si="60"/>
        <v>147</v>
      </c>
      <c r="B188" s="232" t="s">
        <v>1259</v>
      </c>
      <c r="C188" s="280" t="s">
        <v>220</v>
      </c>
      <c r="D188" s="251">
        <v>2</v>
      </c>
      <c r="E188" s="228">
        <v>1416</v>
      </c>
      <c r="F188" s="229">
        <f t="shared" si="58"/>
        <v>2832</v>
      </c>
      <c r="G188" s="229">
        <f t="shared" si="59"/>
        <v>3398.4</v>
      </c>
      <c r="H188" s="281" t="s">
        <v>1261</v>
      </c>
    </row>
    <row r="189" spans="1:8" ht="15.75" x14ac:dyDescent="0.25">
      <c r="A189" s="224">
        <f t="shared" si="60"/>
        <v>148</v>
      </c>
      <c r="B189" s="232" t="s">
        <v>1260</v>
      </c>
      <c r="C189" s="280" t="s">
        <v>220</v>
      </c>
      <c r="D189" s="251">
        <v>1</v>
      </c>
      <c r="E189" s="228">
        <v>1294</v>
      </c>
      <c r="F189" s="229">
        <f t="shared" si="58"/>
        <v>1294</v>
      </c>
      <c r="G189" s="229">
        <f t="shared" si="59"/>
        <v>1552.8</v>
      </c>
      <c r="H189" s="281" t="s">
        <v>1261</v>
      </c>
    </row>
    <row r="190" spans="1:8" ht="15.75" x14ac:dyDescent="0.25">
      <c r="A190" s="224">
        <f t="shared" si="60"/>
        <v>149</v>
      </c>
      <c r="B190" s="232" t="s">
        <v>949</v>
      </c>
      <c r="C190" s="224" t="s">
        <v>220</v>
      </c>
      <c r="D190" s="227">
        <v>2</v>
      </c>
      <c r="E190" s="228">
        <v>4289</v>
      </c>
      <c r="F190" s="229">
        <f t="shared" si="58"/>
        <v>8578</v>
      </c>
      <c r="G190" s="229">
        <f t="shared" si="59"/>
        <v>10293.6</v>
      </c>
    </row>
    <row r="191" spans="1:8" ht="15.75" x14ac:dyDescent="0.25">
      <c r="A191" s="224">
        <f t="shared" si="60"/>
        <v>150</v>
      </c>
      <c r="B191" s="232" t="s">
        <v>950</v>
      </c>
      <c r="C191" s="224" t="s">
        <v>220</v>
      </c>
      <c r="D191" s="227">
        <v>2</v>
      </c>
      <c r="E191" s="228">
        <v>2078</v>
      </c>
      <c r="F191" s="229">
        <f t="shared" si="58"/>
        <v>4156</v>
      </c>
      <c r="G191" s="229">
        <f t="shared" si="59"/>
        <v>4987.2</v>
      </c>
    </row>
    <row r="192" spans="1:8" ht="15.75" x14ac:dyDescent="0.25">
      <c r="A192" s="224">
        <f t="shared" si="60"/>
        <v>151</v>
      </c>
      <c r="B192" s="232" t="s">
        <v>951</v>
      </c>
      <c r="C192" s="224" t="s">
        <v>220</v>
      </c>
      <c r="D192" s="227">
        <v>2</v>
      </c>
      <c r="E192" s="228">
        <v>2078</v>
      </c>
      <c r="F192" s="229">
        <f t="shared" ref="F192" si="61">ROUND(E192*D192,2)</f>
        <v>4156</v>
      </c>
      <c r="G192" s="229">
        <f t="shared" ref="G192" si="62">ROUND(F192*1.2,2)</f>
        <v>4987.2</v>
      </c>
    </row>
    <row r="193" spans="1:8" ht="30" x14ac:dyDescent="0.25">
      <c r="A193" s="224">
        <f>A192+1</f>
        <v>152</v>
      </c>
      <c r="B193" s="232" t="s">
        <v>952</v>
      </c>
      <c r="C193" s="224" t="s">
        <v>220</v>
      </c>
      <c r="D193" s="227">
        <v>2</v>
      </c>
      <c r="E193" s="228">
        <v>5667</v>
      </c>
      <c r="F193" s="229">
        <f t="shared" ref="F193:F194" si="63">ROUND(E193*D193,2)</f>
        <v>11334</v>
      </c>
      <c r="G193" s="229">
        <f t="shared" ref="G193:G194" si="64">ROUND(F193*1.2,2)</f>
        <v>13600.8</v>
      </c>
    </row>
    <row r="194" spans="1:8" ht="30" x14ac:dyDescent="0.25">
      <c r="A194" s="224">
        <f t="shared" ref="A194:A196" si="65">A193+1</f>
        <v>153</v>
      </c>
      <c r="B194" s="232" t="s">
        <v>953</v>
      </c>
      <c r="C194" s="224" t="s">
        <v>220</v>
      </c>
      <c r="D194" s="227">
        <v>2</v>
      </c>
      <c r="E194" s="228">
        <v>18703</v>
      </c>
      <c r="F194" s="229">
        <f t="shared" si="63"/>
        <v>37406</v>
      </c>
      <c r="G194" s="229">
        <f t="shared" si="64"/>
        <v>44887.199999999997</v>
      </c>
    </row>
    <row r="195" spans="1:8" ht="30" x14ac:dyDescent="0.25">
      <c r="A195" s="224">
        <f t="shared" si="65"/>
        <v>154</v>
      </c>
      <c r="B195" s="232" t="s">
        <v>954</v>
      </c>
      <c r="C195" s="224" t="s">
        <v>220</v>
      </c>
      <c r="D195" s="227">
        <v>2</v>
      </c>
      <c r="E195" s="228">
        <v>6960</v>
      </c>
      <c r="F195" s="229">
        <f t="shared" ref="F195" si="66">ROUND(E195*D195,2)</f>
        <v>13920</v>
      </c>
      <c r="G195" s="229">
        <f t="shared" ref="G195" si="67">ROUND(F195*1.2,2)</f>
        <v>16704</v>
      </c>
    </row>
    <row r="196" spans="1:8" ht="30" x14ac:dyDescent="0.25">
      <c r="A196" s="224">
        <f t="shared" si="65"/>
        <v>155</v>
      </c>
      <c r="B196" s="232" t="s">
        <v>955</v>
      </c>
      <c r="C196" s="224" t="s">
        <v>220</v>
      </c>
      <c r="D196" s="227">
        <v>2</v>
      </c>
      <c r="E196" s="228">
        <f>1258*2</f>
        <v>2516</v>
      </c>
      <c r="F196" s="229">
        <f t="shared" ref="F196" si="68">ROUND(E196*D196,2)</f>
        <v>5032</v>
      </c>
      <c r="G196" s="229">
        <f t="shared" ref="G196" si="69">ROUND(F196*1.2,2)</f>
        <v>6038.4</v>
      </c>
    </row>
    <row r="197" spans="1:8" ht="30" x14ac:dyDescent="0.25">
      <c r="A197" s="224">
        <f>A196+1</f>
        <v>156</v>
      </c>
      <c r="B197" s="232" t="s">
        <v>956</v>
      </c>
      <c r="C197" s="224" t="s">
        <v>239</v>
      </c>
      <c r="D197" s="238">
        <v>7.8E-2</v>
      </c>
      <c r="E197" s="228">
        <f>9795/0.078</f>
        <v>125576.92307692308</v>
      </c>
      <c r="F197" s="229">
        <f t="shared" ref="F197:F202" si="70">ROUND(E197*D197,2)</f>
        <v>9795</v>
      </c>
      <c r="G197" s="229">
        <f t="shared" ref="G197:G202" si="71">ROUND(F197*1.2,2)</f>
        <v>11754</v>
      </c>
    </row>
    <row r="198" spans="1:8" ht="30" x14ac:dyDescent="0.25">
      <c r="A198" s="88">
        <f t="shared" si="48"/>
        <v>157</v>
      </c>
      <c r="B198" s="253" t="s">
        <v>934</v>
      </c>
      <c r="C198" s="88" t="s">
        <v>431</v>
      </c>
      <c r="D198" s="236">
        <v>54.1</v>
      </c>
      <c r="E198" s="178">
        <v>152</v>
      </c>
      <c r="F198" s="107">
        <f t="shared" si="70"/>
        <v>8223.2000000000007</v>
      </c>
      <c r="G198" s="107">
        <f t="shared" si="71"/>
        <v>9867.84</v>
      </c>
    </row>
    <row r="199" spans="1:8" ht="30" x14ac:dyDescent="0.25">
      <c r="A199" s="88">
        <f t="shared" si="48"/>
        <v>158</v>
      </c>
      <c r="B199" s="253" t="s">
        <v>935</v>
      </c>
      <c r="C199" s="88" t="s">
        <v>431</v>
      </c>
      <c r="D199" s="236">
        <v>54.1</v>
      </c>
      <c r="E199" s="178">
        <v>315.54000000000002</v>
      </c>
      <c r="F199" s="107">
        <f t="shared" si="70"/>
        <v>17070.71</v>
      </c>
      <c r="G199" s="107">
        <f t="shared" si="71"/>
        <v>20484.849999999999</v>
      </c>
    </row>
    <row r="200" spans="1:8" ht="30" x14ac:dyDescent="0.25">
      <c r="A200" s="66">
        <f t="shared" si="48"/>
        <v>159</v>
      </c>
      <c r="B200" s="67" t="s">
        <v>547</v>
      </c>
      <c r="C200" s="66" t="s">
        <v>431</v>
      </c>
      <c r="D200" s="160">
        <v>2</v>
      </c>
      <c r="E200" s="179">
        <v>182</v>
      </c>
      <c r="F200" s="105">
        <f t="shared" si="70"/>
        <v>364</v>
      </c>
      <c r="G200" s="105">
        <f t="shared" si="71"/>
        <v>436.8</v>
      </c>
    </row>
    <row r="201" spans="1:8" ht="15.75" x14ac:dyDescent="0.25">
      <c r="A201" s="66">
        <f t="shared" si="48"/>
        <v>160</v>
      </c>
      <c r="B201" s="67" t="s">
        <v>548</v>
      </c>
      <c r="C201" s="66" t="s">
        <v>431</v>
      </c>
      <c r="D201" s="160">
        <v>2</v>
      </c>
      <c r="E201" s="179">
        <v>182</v>
      </c>
      <c r="F201" s="105">
        <f t="shared" si="70"/>
        <v>364</v>
      </c>
      <c r="G201" s="105">
        <f t="shared" si="71"/>
        <v>436.8</v>
      </c>
    </row>
    <row r="202" spans="1:8" ht="30" x14ac:dyDescent="0.25">
      <c r="A202" s="66">
        <f t="shared" si="48"/>
        <v>161</v>
      </c>
      <c r="B202" s="67" t="s">
        <v>549</v>
      </c>
      <c r="C202" s="66" t="s">
        <v>193</v>
      </c>
      <c r="D202" s="72">
        <v>0.2</v>
      </c>
      <c r="E202" s="179">
        <v>13272.15</v>
      </c>
      <c r="F202" s="105">
        <f t="shared" si="70"/>
        <v>2654.43</v>
      </c>
      <c r="G202" s="105">
        <f t="shared" si="71"/>
        <v>3185.32</v>
      </c>
    </row>
    <row r="203" spans="1:8" ht="30" x14ac:dyDescent="0.25">
      <c r="A203" s="224">
        <f>A202+1</f>
        <v>162</v>
      </c>
      <c r="B203" s="232" t="s">
        <v>957</v>
      </c>
      <c r="C203" s="224" t="s">
        <v>193</v>
      </c>
      <c r="D203" s="238">
        <v>0.621</v>
      </c>
      <c r="E203" s="228">
        <f>52655/0.621</f>
        <v>84790.660225442829</v>
      </c>
      <c r="F203" s="229">
        <f t="shared" ref="F203:F205" si="72">ROUND(E203*D203,2)</f>
        <v>52655</v>
      </c>
      <c r="G203" s="229">
        <f t="shared" ref="G203:G205" si="73">ROUND(F203*1.2,2)</f>
        <v>63186</v>
      </c>
    </row>
    <row r="204" spans="1:8" ht="30" x14ac:dyDescent="0.25">
      <c r="A204" s="224">
        <f>A203+1</f>
        <v>163</v>
      </c>
      <c r="B204" s="232" t="s">
        <v>958</v>
      </c>
      <c r="C204" s="224" t="s">
        <v>960</v>
      </c>
      <c r="D204" s="233">
        <v>23.55</v>
      </c>
      <c r="E204" s="228">
        <v>626.07000000000005</v>
      </c>
      <c r="F204" s="229">
        <f t="shared" si="72"/>
        <v>14743.95</v>
      </c>
      <c r="G204" s="229">
        <f t="shared" si="73"/>
        <v>17692.740000000002</v>
      </c>
    </row>
    <row r="205" spans="1:8" ht="15.75" x14ac:dyDescent="0.25">
      <c r="A205" s="224">
        <f>A204+1</f>
        <v>164</v>
      </c>
      <c r="B205" s="232" t="s">
        <v>959</v>
      </c>
      <c r="C205" s="224" t="s">
        <v>431</v>
      </c>
      <c r="D205" s="233">
        <v>0.3</v>
      </c>
      <c r="E205" s="228">
        <f>102/0.3</f>
        <v>340</v>
      </c>
      <c r="F205" s="229">
        <f t="shared" si="72"/>
        <v>102</v>
      </c>
      <c r="G205" s="229">
        <f t="shared" si="73"/>
        <v>122.4</v>
      </c>
    </row>
    <row r="206" spans="1:8" ht="15.75" x14ac:dyDescent="0.25">
      <c r="A206" s="66"/>
      <c r="B206" s="62" t="s">
        <v>404</v>
      </c>
      <c r="C206" s="66"/>
      <c r="D206" s="72"/>
      <c r="E206" s="189"/>
      <c r="F206" s="105"/>
      <c r="G206" s="105"/>
    </row>
    <row r="207" spans="1:8" ht="45" x14ac:dyDescent="0.25">
      <c r="A207" s="66">
        <f>A205+1</f>
        <v>165</v>
      </c>
      <c r="B207" s="217" t="s">
        <v>961</v>
      </c>
      <c r="C207" s="66" t="s">
        <v>194</v>
      </c>
      <c r="D207" s="237">
        <v>115</v>
      </c>
      <c r="E207" s="179">
        <v>2290.1579999999999</v>
      </c>
      <c r="F207" s="105">
        <f t="shared" si="46"/>
        <v>263368.17</v>
      </c>
      <c r="G207" s="105">
        <f t="shared" si="47"/>
        <v>316041.8</v>
      </c>
      <c r="H207" s="250" t="s">
        <v>1080</v>
      </c>
    </row>
    <row r="208" spans="1:8" ht="15.75" x14ac:dyDescent="0.25">
      <c r="A208" s="66">
        <f>A207+1</f>
        <v>166</v>
      </c>
      <c r="B208" s="240" t="s">
        <v>1081</v>
      </c>
      <c r="C208" s="66" t="s">
        <v>220</v>
      </c>
      <c r="D208" s="72">
        <v>24</v>
      </c>
      <c r="E208" s="179">
        <v>9339.7969230769231</v>
      </c>
      <c r="F208" s="105">
        <f t="shared" si="46"/>
        <v>224155.13</v>
      </c>
      <c r="G208" s="105">
        <f t="shared" si="47"/>
        <v>268986.15999999997</v>
      </c>
      <c r="H208" s="239" t="s">
        <v>973</v>
      </c>
    </row>
    <row r="209" spans="1:8" ht="15.75" x14ac:dyDescent="0.25">
      <c r="A209" s="66">
        <f t="shared" ref="A209:A211" si="74">A208+1</f>
        <v>167</v>
      </c>
      <c r="B209" s="240" t="s">
        <v>1082</v>
      </c>
      <c r="C209" s="66" t="s">
        <v>220</v>
      </c>
      <c r="D209" s="72">
        <v>24</v>
      </c>
      <c r="E209" s="179">
        <v>1866.7559615384619</v>
      </c>
      <c r="F209" s="105">
        <f t="shared" si="46"/>
        <v>44802.14</v>
      </c>
      <c r="G209" s="105">
        <f t="shared" si="47"/>
        <v>53762.57</v>
      </c>
      <c r="H209" s="239" t="s">
        <v>973</v>
      </c>
    </row>
    <row r="210" spans="1:8" ht="19.5" customHeight="1" x14ac:dyDescent="0.25">
      <c r="A210" s="224">
        <f t="shared" si="74"/>
        <v>168</v>
      </c>
      <c r="B210" s="232" t="s">
        <v>1048</v>
      </c>
      <c r="C210" s="224" t="s">
        <v>217</v>
      </c>
      <c r="D210" s="234">
        <f>12+12</f>
        <v>24</v>
      </c>
      <c r="E210" s="228">
        <v>10778</v>
      </c>
      <c r="F210" s="229">
        <f t="shared" ref="F210" si="75">ROUND(E210*D210,2)</f>
        <v>258672</v>
      </c>
      <c r="G210" s="229">
        <f t="shared" ref="G210" si="76">ROUND(F210*1.2,2)</f>
        <v>310406.40000000002</v>
      </c>
      <c r="H210" s="281" t="s">
        <v>1272</v>
      </c>
    </row>
    <row r="211" spans="1:8" ht="45" x14ac:dyDescent="0.25">
      <c r="A211" s="224">
        <f t="shared" si="74"/>
        <v>169</v>
      </c>
      <c r="B211" s="232" t="s">
        <v>1262</v>
      </c>
      <c r="C211" s="224" t="s">
        <v>194</v>
      </c>
      <c r="D211" s="234">
        <v>11</v>
      </c>
      <c r="E211" s="228">
        <v>981.27272727272725</v>
      </c>
      <c r="F211" s="229">
        <f t="shared" ref="F211" si="77">ROUND(E211*D211,2)</f>
        <v>10794</v>
      </c>
      <c r="G211" s="229">
        <f t="shared" ref="G211" si="78">ROUND(F211*1.2,2)</f>
        <v>12952.8</v>
      </c>
    </row>
    <row r="212" spans="1:8" ht="30" x14ac:dyDescent="0.25">
      <c r="A212" s="224">
        <f>A211+1</f>
        <v>170</v>
      </c>
      <c r="B212" s="232" t="s">
        <v>962</v>
      </c>
      <c r="C212" s="224" t="s">
        <v>194</v>
      </c>
      <c r="D212" s="234">
        <v>10.5</v>
      </c>
      <c r="E212" s="228">
        <v>918.1</v>
      </c>
      <c r="F212" s="229">
        <f t="shared" ref="F212" si="79">ROUND(E212*D212,2)</f>
        <v>9640.0499999999993</v>
      </c>
      <c r="G212" s="229">
        <f t="shared" ref="G212" si="80">ROUND(F212*1.2,2)</f>
        <v>11568.06</v>
      </c>
      <c r="H212" s="267"/>
    </row>
    <row r="213" spans="1:8" ht="15.75" x14ac:dyDescent="0.25">
      <c r="A213" s="88">
        <f>A212+1</f>
        <v>171</v>
      </c>
      <c r="B213" s="253" t="s">
        <v>963</v>
      </c>
      <c r="C213" s="88" t="s">
        <v>220</v>
      </c>
      <c r="D213" s="160">
        <v>16</v>
      </c>
      <c r="E213" s="178">
        <v>4680</v>
      </c>
      <c r="F213" s="107">
        <f t="shared" si="46"/>
        <v>74880</v>
      </c>
      <c r="G213" s="107">
        <f t="shared" si="47"/>
        <v>89856</v>
      </c>
      <c r="H213" s="268"/>
    </row>
    <row r="214" spans="1:8" ht="15.75" x14ac:dyDescent="0.25">
      <c r="A214" s="224">
        <f>A213+1</f>
        <v>172</v>
      </c>
      <c r="B214" s="232" t="s">
        <v>964</v>
      </c>
      <c r="C214" s="224" t="s">
        <v>220</v>
      </c>
      <c r="D214" s="227">
        <v>6</v>
      </c>
      <c r="E214" s="228">
        <v>1347.33</v>
      </c>
      <c r="F214" s="229">
        <f t="shared" si="46"/>
        <v>8083.98</v>
      </c>
      <c r="G214" s="229">
        <f t="shared" si="47"/>
        <v>9700.7800000000007</v>
      </c>
      <c r="H214" s="268"/>
    </row>
    <row r="215" spans="1:8" ht="15.75" x14ac:dyDescent="0.25">
      <c r="A215" s="224">
        <f>A214+1</f>
        <v>173</v>
      </c>
      <c r="B215" s="232" t="s">
        <v>965</v>
      </c>
      <c r="C215" s="224" t="s">
        <v>220</v>
      </c>
      <c r="D215" s="227">
        <v>8</v>
      </c>
      <c r="E215" s="228">
        <v>275.38</v>
      </c>
      <c r="F215" s="229">
        <f t="shared" si="46"/>
        <v>2203.04</v>
      </c>
      <c r="G215" s="229">
        <f t="shared" si="47"/>
        <v>2643.65</v>
      </c>
    </row>
    <row r="216" spans="1:8" ht="30" x14ac:dyDescent="0.25">
      <c r="A216" s="224">
        <f t="shared" ref="A216:A224" si="81">A215+1</f>
        <v>174</v>
      </c>
      <c r="B216" s="232" t="s">
        <v>966</v>
      </c>
      <c r="C216" s="224" t="s">
        <v>220</v>
      </c>
      <c r="D216" s="227">
        <v>4</v>
      </c>
      <c r="E216" s="309">
        <v>13305</v>
      </c>
      <c r="F216" s="229">
        <f t="shared" ref="F216:F225" si="82">ROUND(E216*D216,2)</f>
        <v>53220</v>
      </c>
      <c r="G216" s="229">
        <f t="shared" ref="G216:G225" si="83">ROUND(F216*1.2,2)</f>
        <v>63864</v>
      </c>
    </row>
    <row r="217" spans="1:8" ht="30" x14ac:dyDescent="0.25">
      <c r="A217" s="224">
        <f t="shared" si="81"/>
        <v>175</v>
      </c>
      <c r="B217" s="232" t="s">
        <v>967</v>
      </c>
      <c r="C217" s="224" t="s">
        <v>220</v>
      </c>
      <c r="D217" s="227">
        <v>2</v>
      </c>
      <c r="E217" s="309">
        <v>7683</v>
      </c>
      <c r="F217" s="229">
        <f t="shared" si="82"/>
        <v>15366</v>
      </c>
      <c r="G217" s="229">
        <f t="shared" si="83"/>
        <v>18439.2</v>
      </c>
    </row>
    <row r="218" spans="1:8" ht="30" x14ac:dyDescent="0.25">
      <c r="A218" s="224">
        <f t="shared" si="81"/>
        <v>176</v>
      </c>
      <c r="B218" s="232" t="s">
        <v>968</v>
      </c>
      <c r="C218" s="224" t="s">
        <v>220</v>
      </c>
      <c r="D218" s="227">
        <v>4</v>
      </c>
      <c r="E218" s="309">
        <v>4797</v>
      </c>
      <c r="F218" s="229">
        <f t="shared" si="82"/>
        <v>19188</v>
      </c>
      <c r="G218" s="229">
        <f t="shared" si="83"/>
        <v>23025.599999999999</v>
      </c>
    </row>
    <row r="219" spans="1:8" ht="15.75" x14ac:dyDescent="0.25">
      <c r="A219" s="224">
        <f t="shared" si="81"/>
        <v>177</v>
      </c>
      <c r="B219" s="232" t="s">
        <v>969</v>
      </c>
      <c r="C219" s="224" t="s">
        <v>220</v>
      </c>
      <c r="D219" s="227">
        <v>2</v>
      </c>
      <c r="E219" s="228">
        <v>1529</v>
      </c>
      <c r="F219" s="229">
        <f t="shared" si="82"/>
        <v>3058</v>
      </c>
      <c r="G219" s="229">
        <f t="shared" si="83"/>
        <v>3669.6</v>
      </c>
    </row>
    <row r="220" spans="1:8" ht="15.75" x14ac:dyDescent="0.25">
      <c r="A220" s="224">
        <f t="shared" si="81"/>
        <v>178</v>
      </c>
      <c r="B220" s="232" t="s">
        <v>970</v>
      </c>
      <c r="C220" s="224" t="s">
        <v>194</v>
      </c>
      <c r="D220" s="234">
        <v>2.2999999999999998</v>
      </c>
      <c r="E220" s="228">
        <f>1596/D220</f>
        <v>693.91304347826087</v>
      </c>
      <c r="F220" s="229">
        <f t="shared" si="82"/>
        <v>1596</v>
      </c>
      <c r="G220" s="229">
        <f t="shared" si="83"/>
        <v>1915.2</v>
      </c>
    </row>
    <row r="221" spans="1:8" ht="15.75" x14ac:dyDescent="0.25">
      <c r="A221" s="224">
        <f t="shared" si="81"/>
        <v>179</v>
      </c>
      <c r="B221" s="232" t="s">
        <v>971</v>
      </c>
      <c r="C221" s="224" t="s">
        <v>220</v>
      </c>
      <c r="D221" s="227">
        <v>1</v>
      </c>
      <c r="E221" s="228">
        <v>3453</v>
      </c>
      <c r="F221" s="229">
        <f t="shared" si="82"/>
        <v>3453</v>
      </c>
      <c r="G221" s="229">
        <f t="shared" si="83"/>
        <v>4143.6000000000004</v>
      </c>
    </row>
    <row r="222" spans="1:8" ht="15.75" x14ac:dyDescent="0.25">
      <c r="A222" s="224">
        <f t="shared" si="81"/>
        <v>180</v>
      </c>
      <c r="B222" s="232" t="s">
        <v>972</v>
      </c>
      <c r="C222" s="224" t="s">
        <v>220</v>
      </c>
      <c r="D222" s="227">
        <v>4</v>
      </c>
      <c r="E222" s="228">
        <f>3211</f>
        <v>3211</v>
      </c>
      <c r="F222" s="229">
        <f t="shared" si="82"/>
        <v>12844</v>
      </c>
      <c r="G222" s="229">
        <f t="shared" si="83"/>
        <v>15412.8</v>
      </c>
      <c r="H222" s="281" t="s">
        <v>1264</v>
      </c>
    </row>
    <row r="223" spans="1:8" ht="15.75" x14ac:dyDescent="0.25">
      <c r="A223" s="224">
        <f t="shared" si="81"/>
        <v>181</v>
      </c>
      <c r="B223" s="232" t="s">
        <v>1041</v>
      </c>
      <c r="C223" s="224" t="s">
        <v>217</v>
      </c>
      <c r="D223" s="227">
        <v>4</v>
      </c>
      <c r="E223" s="228">
        <v>425</v>
      </c>
      <c r="F223" s="229">
        <f t="shared" ref="F223" si="84">ROUND(E223*D223,2)</f>
        <v>1700</v>
      </c>
      <c r="G223" s="229">
        <f t="shared" ref="G223" si="85">ROUND(F223*1.2,2)</f>
        <v>2040</v>
      </c>
      <c r="H223" s="281" t="s">
        <v>1265</v>
      </c>
    </row>
    <row r="224" spans="1:8" ht="15.75" x14ac:dyDescent="0.25">
      <c r="A224" s="88">
        <f t="shared" si="81"/>
        <v>182</v>
      </c>
      <c r="B224" s="253" t="s">
        <v>974</v>
      </c>
      <c r="C224" s="88" t="s">
        <v>193</v>
      </c>
      <c r="D224" s="237">
        <f>0.31+0.34+0.27+0.403</f>
        <v>1.323</v>
      </c>
      <c r="E224" s="178">
        <v>18174</v>
      </c>
      <c r="F224" s="107">
        <f t="shared" si="82"/>
        <v>24044.2</v>
      </c>
      <c r="G224" s="107">
        <f t="shared" si="83"/>
        <v>28853.040000000001</v>
      </c>
    </row>
    <row r="225" spans="1:8" ht="15.75" x14ac:dyDescent="0.25">
      <c r="A225" s="224">
        <f>A224+1</f>
        <v>183</v>
      </c>
      <c r="B225" s="232" t="s">
        <v>951</v>
      </c>
      <c r="C225" s="224" t="s">
        <v>220</v>
      </c>
      <c r="D225" s="227">
        <v>1</v>
      </c>
      <c r="E225" s="228">
        <v>2078</v>
      </c>
      <c r="F225" s="229">
        <f t="shared" si="82"/>
        <v>2078</v>
      </c>
      <c r="G225" s="229">
        <f t="shared" si="83"/>
        <v>2493.6</v>
      </c>
    </row>
    <row r="226" spans="1:8" ht="15.75" x14ac:dyDescent="0.25">
      <c r="A226" s="224">
        <f>A225+1</f>
        <v>184</v>
      </c>
      <c r="B226" s="232" t="s">
        <v>981</v>
      </c>
      <c r="C226" s="224" t="s">
        <v>193</v>
      </c>
      <c r="D226" s="233">
        <v>0.28000000000000003</v>
      </c>
      <c r="E226" s="228">
        <f>4703/D226</f>
        <v>16796.428571428569</v>
      </c>
      <c r="F226" s="229">
        <f t="shared" ref="F226:F232" si="86">ROUND(E226*D226,2)</f>
        <v>4703</v>
      </c>
      <c r="G226" s="229">
        <f t="shared" ref="G226:G232" si="87">ROUND(F226*1.2,2)</f>
        <v>5643.6</v>
      </c>
    </row>
    <row r="227" spans="1:8" ht="15.75" x14ac:dyDescent="0.25">
      <c r="A227" s="224">
        <f t="shared" ref="A227:A235" si="88">A226+1</f>
        <v>185</v>
      </c>
      <c r="B227" s="232" t="s">
        <v>982</v>
      </c>
      <c r="C227" s="224" t="s">
        <v>193</v>
      </c>
      <c r="D227" s="233">
        <v>0.05</v>
      </c>
      <c r="E227" s="228">
        <f>1324/D227</f>
        <v>26480</v>
      </c>
      <c r="F227" s="229">
        <f t="shared" si="86"/>
        <v>1324</v>
      </c>
      <c r="G227" s="229">
        <f t="shared" si="87"/>
        <v>1588.8</v>
      </c>
      <c r="H227" s="281" t="s">
        <v>1266</v>
      </c>
    </row>
    <row r="228" spans="1:8" ht="15.75" x14ac:dyDescent="0.25">
      <c r="A228" s="224">
        <f t="shared" si="88"/>
        <v>186</v>
      </c>
      <c r="B228" s="232" t="s">
        <v>983</v>
      </c>
      <c r="C228" s="224" t="s">
        <v>193</v>
      </c>
      <c r="D228" s="234">
        <v>0.3</v>
      </c>
      <c r="E228" s="228">
        <v>1380</v>
      </c>
      <c r="F228" s="229">
        <f t="shared" si="86"/>
        <v>414</v>
      </c>
      <c r="G228" s="229">
        <f t="shared" si="87"/>
        <v>496.8</v>
      </c>
    </row>
    <row r="229" spans="1:8" ht="15.75" x14ac:dyDescent="0.25">
      <c r="A229" s="224">
        <f t="shared" si="88"/>
        <v>187</v>
      </c>
      <c r="B229" s="232" t="s">
        <v>984</v>
      </c>
      <c r="C229" s="224" t="s">
        <v>239</v>
      </c>
      <c r="D229" s="238">
        <v>0.123</v>
      </c>
      <c r="E229" s="228">
        <f>8639/D229</f>
        <v>70235.772357723574</v>
      </c>
      <c r="F229" s="229">
        <f t="shared" si="86"/>
        <v>8639</v>
      </c>
      <c r="G229" s="229">
        <f t="shared" si="87"/>
        <v>10366.799999999999</v>
      </c>
    </row>
    <row r="230" spans="1:8" ht="15.75" x14ac:dyDescent="0.25">
      <c r="A230" s="224">
        <f t="shared" si="88"/>
        <v>188</v>
      </c>
      <c r="B230" s="232" t="s">
        <v>986</v>
      </c>
      <c r="C230" s="224" t="s">
        <v>220</v>
      </c>
      <c r="D230" s="227">
        <v>3</v>
      </c>
      <c r="E230" s="228">
        <v>874</v>
      </c>
      <c r="F230" s="229">
        <f t="shared" si="86"/>
        <v>2622</v>
      </c>
      <c r="G230" s="229">
        <f t="shared" si="87"/>
        <v>3146.4</v>
      </c>
    </row>
    <row r="231" spans="1:8" ht="15.75" x14ac:dyDescent="0.25">
      <c r="A231" s="224">
        <f t="shared" si="88"/>
        <v>189</v>
      </c>
      <c r="B231" s="232" t="s">
        <v>980</v>
      </c>
      <c r="C231" s="224" t="s">
        <v>193</v>
      </c>
      <c r="D231" s="233">
        <v>0.02</v>
      </c>
      <c r="E231" s="228">
        <f>1391/D231</f>
        <v>69550</v>
      </c>
      <c r="F231" s="229">
        <f t="shared" si="86"/>
        <v>1391</v>
      </c>
      <c r="G231" s="229">
        <f t="shared" si="87"/>
        <v>1669.2</v>
      </c>
    </row>
    <row r="232" spans="1:8" ht="15.75" x14ac:dyDescent="0.25">
      <c r="A232" s="224">
        <f t="shared" si="88"/>
        <v>190</v>
      </c>
      <c r="B232" s="232" t="s">
        <v>1263</v>
      </c>
      <c r="C232" s="224" t="s">
        <v>193</v>
      </c>
      <c r="D232" s="238">
        <v>4.3890000000000002</v>
      </c>
      <c r="E232" s="228">
        <f>61720/D232</f>
        <v>14062.428799270903</v>
      </c>
      <c r="F232" s="229">
        <f t="shared" si="86"/>
        <v>61720</v>
      </c>
      <c r="G232" s="229">
        <f t="shared" si="87"/>
        <v>74064</v>
      </c>
    </row>
    <row r="233" spans="1:8" ht="15.75" x14ac:dyDescent="0.25">
      <c r="A233" s="88">
        <f t="shared" si="88"/>
        <v>191</v>
      </c>
      <c r="B233" s="253" t="s">
        <v>978</v>
      </c>
      <c r="C233" s="88" t="s">
        <v>431</v>
      </c>
      <c r="D233" s="236">
        <v>41.6</v>
      </c>
      <c r="E233" s="178">
        <v>152</v>
      </c>
      <c r="F233" s="107">
        <f t="shared" ref="F233:F235" si="89">ROUND(E233*D233,2)</f>
        <v>6323.2</v>
      </c>
      <c r="G233" s="107">
        <f t="shared" ref="G233:G235" si="90">ROUND(F233*1.2,2)</f>
        <v>7587.84</v>
      </c>
    </row>
    <row r="234" spans="1:8" ht="15.75" x14ac:dyDescent="0.25">
      <c r="A234" s="88">
        <f t="shared" si="88"/>
        <v>192</v>
      </c>
      <c r="B234" s="253" t="s">
        <v>979</v>
      </c>
      <c r="C234" s="88" t="s">
        <v>431</v>
      </c>
      <c r="D234" s="236">
        <v>41.6</v>
      </c>
      <c r="E234" s="178">
        <v>315.54000000000002</v>
      </c>
      <c r="F234" s="107">
        <f t="shared" si="89"/>
        <v>13126.46</v>
      </c>
      <c r="G234" s="107">
        <f t="shared" si="90"/>
        <v>15751.75</v>
      </c>
    </row>
    <row r="235" spans="1:8" ht="15.75" x14ac:dyDescent="0.25">
      <c r="A235" s="224">
        <f t="shared" si="88"/>
        <v>193</v>
      </c>
      <c r="B235" s="232" t="s">
        <v>985</v>
      </c>
      <c r="C235" s="224" t="s">
        <v>239</v>
      </c>
      <c r="D235" s="238">
        <v>0.13300000000000001</v>
      </c>
      <c r="E235" s="228">
        <f>9341/D235</f>
        <v>70233.082706766916</v>
      </c>
      <c r="F235" s="229">
        <f t="shared" si="89"/>
        <v>9341</v>
      </c>
      <c r="G235" s="229">
        <f t="shared" si="90"/>
        <v>11209.2</v>
      </c>
    </row>
    <row r="236" spans="1:8" x14ac:dyDescent="0.25">
      <c r="A236" s="411" t="s">
        <v>721</v>
      </c>
      <c r="B236" s="412"/>
      <c r="C236" s="412"/>
      <c r="D236" s="412"/>
      <c r="E236" s="413"/>
      <c r="F236" s="165">
        <f>SUM(F7:F235)</f>
        <v>28478442.130000014</v>
      </c>
      <c r="G236" s="165">
        <f>SUM(G7:G235)</f>
        <v>34174130.570000008</v>
      </c>
    </row>
    <row r="237" spans="1:8" x14ac:dyDescent="0.25">
      <c r="A237" s="411" t="s">
        <v>722</v>
      </c>
      <c r="B237" s="412"/>
      <c r="C237" s="412"/>
      <c r="D237" s="412"/>
      <c r="E237" s="413"/>
      <c r="F237" s="220">
        <f>ROUND(F236*0.03,2)</f>
        <v>854353.26</v>
      </c>
      <c r="G237" s="220">
        <f>ROUND(G236*0.03,2)</f>
        <v>1025223.92</v>
      </c>
    </row>
    <row r="238" spans="1:8" x14ac:dyDescent="0.25">
      <c r="A238" s="411" t="s">
        <v>723</v>
      </c>
      <c r="B238" s="412"/>
      <c r="C238" s="412"/>
      <c r="D238" s="412"/>
      <c r="E238" s="413"/>
      <c r="F238" s="220">
        <f>F236+F237</f>
        <v>29332795.390000015</v>
      </c>
      <c r="G238" s="220">
        <f>G236+G237</f>
        <v>35199354.49000001</v>
      </c>
    </row>
  </sheetData>
  <mergeCells count="13">
    <mergeCell ref="A236:E236"/>
    <mergeCell ref="A237:E237"/>
    <mergeCell ref="A238:E238"/>
    <mergeCell ref="B137:D137"/>
    <mergeCell ref="E1:G2"/>
    <mergeCell ref="B62:D62"/>
    <mergeCell ref="B83:D83"/>
    <mergeCell ref="B107:D107"/>
    <mergeCell ref="B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1"/>
  <sheetViews>
    <sheetView view="pageBreakPreview" topLeftCell="A247" zoomScale="80" zoomScaleNormal="100" zoomScaleSheetLayoutView="80" workbookViewId="0">
      <selection activeCell="B267" sqref="B267"/>
    </sheetView>
  </sheetViews>
  <sheetFormatPr defaultRowHeight="15" x14ac:dyDescent="0.25"/>
  <cols>
    <col min="1" max="1" width="6.140625" customWidth="1"/>
    <col min="2" max="2" width="61.42578125" style="2" customWidth="1"/>
    <col min="3" max="3" width="7" bestFit="1" customWidth="1"/>
    <col min="4" max="4" width="10.28515625" customWidth="1"/>
    <col min="5" max="5" width="15.85546875" bestFit="1" customWidth="1"/>
    <col min="6" max="6" width="16.42578125" customWidth="1"/>
    <col min="7" max="7" width="16.7109375" style="52" customWidth="1"/>
    <col min="8" max="8" width="119.7109375" customWidth="1"/>
  </cols>
  <sheetData>
    <row r="1" spans="1:7" ht="14.45" customHeight="1" x14ac:dyDescent="0.25">
      <c r="A1" s="420" t="s">
        <v>226</v>
      </c>
      <c r="B1" s="464" t="s">
        <v>201</v>
      </c>
      <c r="C1" s="432" t="s">
        <v>230</v>
      </c>
      <c r="D1" s="432" t="s">
        <v>202</v>
      </c>
      <c r="E1" s="459" t="s">
        <v>703</v>
      </c>
      <c r="F1" s="460"/>
      <c r="G1" s="460"/>
    </row>
    <row r="2" spans="1:7" ht="14.45" customHeight="1" x14ac:dyDescent="0.25">
      <c r="A2" s="463"/>
      <c r="B2" s="465"/>
      <c r="C2" s="432"/>
      <c r="D2" s="432"/>
      <c r="E2" s="459"/>
      <c r="F2" s="460"/>
      <c r="G2" s="460"/>
    </row>
    <row r="3" spans="1:7" ht="28.5" x14ac:dyDescent="0.25">
      <c r="A3" s="421"/>
      <c r="B3" s="466"/>
      <c r="C3" s="432"/>
      <c r="D3" s="432"/>
      <c r="E3" s="59" t="s">
        <v>231</v>
      </c>
      <c r="F3" s="59" t="s">
        <v>410</v>
      </c>
      <c r="G3" s="61" t="s">
        <v>409</v>
      </c>
    </row>
    <row r="4" spans="1:7" x14ac:dyDescent="0.25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</row>
    <row r="5" spans="1:7" ht="20.25" customHeight="1" x14ac:dyDescent="0.25">
      <c r="A5" s="181"/>
      <c r="B5" s="414" t="s">
        <v>232</v>
      </c>
      <c r="C5" s="436"/>
      <c r="D5" s="436"/>
      <c r="E5" s="182"/>
      <c r="F5" s="183"/>
      <c r="G5" s="184"/>
    </row>
    <row r="6" spans="1:7" x14ac:dyDescent="0.25">
      <c r="A6" s="60"/>
      <c r="B6" s="62" t="s">
        <v>233</v>
      </c>
      <c r="C6" s="63"/>
      <c r="D6" s="63"/>
      <c r="E6" s="64"/>
      <c r="F6" s="65"/>
      <c r="G6" s="55"/>
    </row>
    <row r="7" spans="1:7" ht="15.75" x14ac:dyDescent="0.25">
      <c r="A7" s="66">
        <v>1</v>
      </c>
      <c r="B7" s="67" t="s">
        <v>234</v>
      </c>
      <c r="C7" s="66" t="s">
        <v>193</v>
      </c>
      <c r="D7" s="68">
        <v>218.4</v>
      </c>
      <c r="E7" s="189">
        <v>1320</v>
      </c>
      <c r="F7" s="105">
        <f t="shared" ref="F7:F14" si="0">ROUND(E7*D7,2)</f>
        <v>288288</v>
      </c>
      <c r="G7" s="105">
        <f t="shared" ref="G7:G14" si="1">ROUND(F7*1.2,2)</f>
        <v>345945.59999999998</v>
      </c>
    </row>
    <row r="8" spans="1:7" ht="15.75" x14ac:dyDescent="0.25">
      <c r="A8" s="66">
        <f>A7+1</f>
        <v>2</v>
      </c>
      <c r="B8" s="67" t="s">
        <v>235</v>
      </c>
      <c r="C8" s="66" t="s">
        <v>193</v>
      </c>
      <c r="D8" s="68">
        <v>370.8</v>
      </c>
      <c r="E8" s="189">
        <v>1581</v>
      </c>
      <c r="F8" s="105">
        <f t="shared" si="0"/>
        <v>586234.80000000005</v>
      </c>
      <c r="G8" s="105">
        <f t="shared" si="1"/>
        <v>703481.76</v>
      </c>
    </row>
    <row r="9" spans="1:7" ht="15.75" x14ac:dyDescent="0.25">
      <c r="A9" s="66">
        <f>A8+1</f>
        <v>3</v>
      </c>
      <c r="B9" s="67" t="s">
        <v>236</v>
      </c>
      <c r="C9" s="66" t="s">
        <v>193</v>
      </c>
      <c r="D9" s="68">
        <v>337.22199999999998</v>
      </c>
      <c r="E9" s="189">
        <v>4006</v>
      </c>
      <c r="F9" s="105">
        <f t="shared" si="0"/>
        <v>1350911.33</v>
      </c>
      <c r="G9" s="105">
        <f t="shared" si="1"/>
        <v>1621093.6</v>
      </c>
    </row>
    <row r="10" spans="1:7" ht="15.75" x14ac:dyDescent="0.25">
      <c r="A10" s="66">
        <f t="shared" ref="A10:A14" si="2">A9+1</f>
        <v>4</v>
      </c>
      <c r="B10" s="67" t="s">
        <v>237</v>
      </c>
      <c r="C10" s="66" t="s">
        <v>193</v>
      </c>
      <c r="D10" s="68">
        <v>141.57</v>
      </c>
      <c r="E10" s="189">
        <v>4217</v>
      </c>
      <c r="F10" s="105">
        <f t="shared" si="0"/>
        <v>597000.68999999994</v>
      </c>
      <c r="G10" s="105">
        <f t="shared" si="1"/>
        <v>716400.83</v>
      </c>
    </row>
    <row r="11" spans="1:7" ht="15.75" x14ac:dyDescent="0.25">
      <c r="A11" s="66">
        <f t="shared" si="2"/>
        <v>5</v>
      </c>
      <c r="B11" s="67" t="s">
        <v>238</v>
      </c>
      <c r="C11" s="66" t="s">
        <v>239</v>
      </c>
      <c r="D11" s="68">
        <v>123.17</v>
      </c>
      <c r="E11" s="189">
        <v>6220</v>
      </c>
      <c r="F11" s="105">
        <f t="shared" si="0"/>
        <v>766117.4</v>
      </c>
      <c r="G11" s="105">
        <f t="shared" si="1"/>
        <v>919340.88</v>
      </c>
    </row>
    <row r="12" spans="1:7" ht="15.75" x14ac:dyDescent="0.25">
      <c r="A12" s="66">
        <f t="shared" si="2"/>
        <v>6</v>
      </c>
      <c r="B12" s="67" t="s">
        <v>240</v>
      </c>
      <c r="C12" s="66" t="s">
        <v>220</v>
      </c>
      <c r="D12" s="71">
        <v>100</v>
      </c>
      <c r="E12" s="189">
        <v>401</v>
      </c>
      <c r="F12" s="105">
        <f t="shared" si="0"/>
        <v>40100</v>
      </c>
      <c r="G12" s="105">
        <f t="shared" si="1"/>
        <v>48120</v>
      </c>
    </row>
    <row r="13" spans="1:7" ht="15.75" x14ac:dyDescent="0.25">
      <c r="A13" s="66">
        <f t="shared" si="2"/>
        <v>7</v>
      </c>
      <c r="B13" s="67" t="s">
        <v>241</v>
      </c>
      <c r="C13" s="66" t="s">
        <v>193</v>
      </c>
      <c r="D13" s="72">
        <v>5.9</v>
      </c>
      <c r="E13" s="189">
        <v>5060</v>
      </c>
      <c r="F13" s="105">
        <f t="shared" si="0"/>
        <v>29854</v>
      </c>
      <c r="G13" s="105">
        <f t="shared" si="1"/>
        <v>35824.800000000003</v>
      </c>
    </row>
    <row r="14" spans="1:7" ht="30" x14ac:dyDescent="0.25">
      <c r="A14" s="66">
        <f t="shared" si="2"/>
        <v>8</v>
      </c>
      <c r="B14" s="67" t="s">
        <v>242</v>
      </c>
      <c r="C14" s="66" t="s">
        <v>243</v>
      </c>
      <c r="D14" s="71">
        <v>1</v>
      </c>
      <c r="E14" s="189">
        <v>33000</v>
      </c>
      <c r="F14" s="105">
        <f t="shared" si="0"/>
        <v>33000</v>
      </c>
      <c r="G14" s="105">
        <f t="shared" si="1"/>
        <v>39600</v>
      </c>
    </row>
    <row r="15" spans="1:7" ht="20.25" x14ac:dyDescent="0.25">
      <c r="A15" s="60"/>
      <c r="B15" s="62" t="s">
        <v>244</v>
      </c>
      <c r="C15" s="63"/>
      <c r="D15" s="63"/>
      <c r="E15" s="190"/>
      <c r="F15" s="105"/>
      <c r="G15" s="105"/>
    </row>
    <row r="16" spans="1:7" ht="15.75" x14ac:dyDescent="0.25">
      <c r="A16" s="66">
        <f>A14+1</f>
        <v>9</v>
      </c>
      <c r="B16" s="67" t="s">
        <v>245</v>
      </c>
      <c r="C16" s="66" t="s">
        <v>220</v>
      </c>
      <c r="D16" s="71">
        <v>284</v>
      </c>
      <c r="E16" s="179">
        <v>2635</v>
      </c>
      <c r="F16" s="105">
        <f t="shared" ref="F16:F21" si="3">ROUND(E16*D16,2)</f>
        <v>748340</v>
      </c>
      <c r="G16" s="105">
        <f t="shared" ref="G16:G21" si="4">ROUND(F16*1.2,2)</f>
        <v>898008</v>
      </c>
    </row>
    <row r="17" spans="1:7" ht="15.75" x14ac:dyDescent="0.25">
      <c r="A17" s="66">
        <f>A16+1</f>
        <v>10</v>
      </c>
      <c r="B17" s="67" t="s">
        <v>246</v>
      </c>
      <c r="C17" s="66" t="s">
        <v>220</v>
      </c>
      <c r="D17" s="71">
        <v>16</v>
      </c>
      <c r="E17" s="179">
        <v>81171</v>
      </c>
      <c r="F17" s="105">
        <f t="shared" si="3"/>
        <v>1298736</v>
      </c>
      <c r="G17" s="105">
        <f t="shared" si="4"/>
        <v>1558483.2</v>
      </c>
    </row>
    <row r="18" spans="1:7" ht="15.75" x14ac:dyDescent="0.25">
      <c r="A18" s="66">
        <f t="shared" ref="A18:A21" si="5">A17+1</f>
        <v>11</v>
      </c>
      <c r="B18" s="67" t="s">
        <v>247</v>
      </c>
      <c r="C18" s="66" t="s">
        <v>239</v>
      </c>
      <c r="D18" s="68">
        <v>4.04</v>
      </c>
      <c r="E18" s="179">
        <v>253000.00000000003</v>
      </c>
      <c r="F18" s="105">
        <f t="shared" si="3"/>
        <v>1022120</v>
      </c>
      <c r="G18" s="105">
        <f t="shared" si="4"/>
        <v>1226544</v>
      </c>
    </row>
    <row r="19" spans="1:7" ht="15.75" x14ac:dyDescent="0.25">
      <c r="A19" s="66">
        <f t="shared" si="5"/>
        <v>12</v>
      </c>
      <c r="B19" s="67" t="s">
        <v>248</v>
      </c>
      <c r="C19" s="66" t="s">
        <v>220</v>
      </c>
      <c r="D19" s="71">
        <v>574</v>
      </c>
      <c r="E19" s="179">
        <v>79</v>
      </c>
      <c r="F19" s="105">
        <f t="shared" si="3"/>
        <v>45346</v>
      </c>
      <c r="G19" s="105">
        <f t="shared" si="4"/>
        <v>54415.199999999997</v>
      </c>
    </row>
    <row r="20" spans="1:7" ht="15.75" x14ac:dyDescent="0.25">
      <c r="A20" s="66">
        <f t="shared" si="5"/>
        <v>13</v>
      </c>
      <c r="B20" s="67" t="s">
        <v>249</v>
      </c>
      <c r="C20" s="66" t="s">
        <v>220</v>
      </c>
      <c r="D20" s="71">
        <v>574</v>
      </c>
      <c r="E20" s="179">
        <v>71</v>
      </c>
      <c r="F20" s="105">
        <f t="shared" si="3"/>
        <v>40754</v>
      </c>
      <c r="G20" s="105">
        <f t="shared" si="4"/>
        <v>48904.800000000003</v>
      </c>
    </row>
    <row r="21" spans="1:7" ht="30" x14ac:dyDescent="0.25">
      <c r="A21" s="66">
        <f t="shared" si="5"/>
        <v>14</v>
      </c>
      <c r="B21" s="67" t="s">
        <v>250</v>
      </c>
      <c r="C21" s="66" t="s">
        <v>243</v>
      </c>
      <c r="D21" s="71">
        <v>1</v>
      </c>
      <c r="E21" s="189">
        <v>330000</v>
      </c>
      <c r="F21" s="105">
        <f t="shared" si="3"/>
        <v>330000</v>
      </c>
      <c r="G21" s="105">
        <f t="shared" si="4"/>
        <v>396000</v>
      </c>
    </row>
    <row r="22" spans="1:7" ht="20.25" x14ac:dyDescent="0.25">
      <c r="A22" s="60"/>
      <c r="B22" s="62" t="s">
        <v>251</v>
      </c>
      <c r="C22" s="63"/>
      <c r="D22" s="63"/>
      <c r="E22" s="190"/>
      <c r="F22" s="105"/>
      <c r="G22" s="105"/>
    </row>
    <row r="23" spans="1:7" ht="15.75" x14ac:dyDescent="0.25">
      <c r="A23" s="66"/>
      <c r="B23" s="73" t="s">
        <v>252</v>
      </c>
      <c r="C23" s="74"/>
      <c r="D23" s="75"/>
      <c r="E23" s="189"/>
      <c r="F23" s="105"/>
      <c r="G23" s="105"/>
    </row>
    <row r="24" spans="1:7" ht="15.75" x14ac:dyDescent="0.25">
      <c r="A24" s="66">
        <f>A21+1</f>
        <v>15</v>
      </c>
      <c r="B24" s="67" t="s">
        <v>253</v>
      </c>
      <c r="C24" s="66" t="s">
        <v>254</v>
      </c>
      <c r="D24" s="68">
        <f>10*1.73*4*2</f>
        <v>138.4</v>
      </c>
      <c r="E24" s="179">
        <v>63</v>
      </c>
      <c r="F24" s="105">
        <f t="shared" ref="F24:F33" si="6">ROUND(E24*D24,2)</f>
        <v>8719.2000000000007</v>
      </c>
      <c r="G24" s="105">
        <f t="shared" ref="G24:G33" si="7">ROUND(F24*1.2,2)</f>
        <v>10463.040000000001</v>
      </c>
    </row>
    <row r="25" spans="1:7" ht="15.75" x14ac:dyDescent="0.25">
      <c r="A25" s="66">
        <f>A24+1</f>
        <v>16</v>
      </c>
      <c r="B25" s="67" t="s">
        <v>255</v>
      </c>
      <c r="C25" s="66" t="s">
        <v>254</v>
      </c>
      <c r="D25" s="76">
        <f>8*2.524*4</f>
        <v>80.768000000000001</v>
      </c>
      <c r="E25" s="179">
        <v>68</v>
      </c>
      <c r="F25" s="105">
        <f t="shared" si="6"/>
        <v>5492.22</v>
      </c>
      <c r="G25" s="105">
        <f t="shared" si="7"/>
        <v>6590.66</v>
      </c>
    </row>
    <row r="26" spans="1:7" ht="15.75" x14ac:dyDescent="0.25">
      <c r="A26" s="66">
        <f t="shared" ref="A26:A32" si="8">A25+1</f>
        <v>17</v>
      </c>
      <c r="B26" s="67" t="s">
        <v>256</v>
      </c>
      <c r="C26" s="66" t="s">
        <v>254</v>
      </c>
      <c r="D26" s="76">
        <f>4*1.191*4</f>
        <v>19.056000000000001</v>
      </c>
      <c r="E26" s="179">
        <v>70</v>
      </c>
      <c r="F26" s="105">
        <f t="shared" si="6"/>
        <v>1333.92</v>
      </c>
      <c r="G26" s="105">
        <f t="shared" si="7"/>
        <v>1600.7</v>
      </c>
    </row>
    <row r="27" spans="1:7" ht="15.75" x14ac:dyDescent="0.25">
      <c r="A27" s="66">
        <f t="shared" si="8"/>
        <v>18</v>
      </c>
      <c r="B27" s="67" t="s">
        <v>256</v>
      </c>
      <c r="C27" s="66" t="s">
        <v>254</v>
      </c>
      <c r="D27" s="68">
        <f>4*0.86*4</f>
        <v>13.76</v>
      </c>
      <c r="E27" s="179">
        <v>70</v>
      </c>
      <c r="F27" s="105">
        <f t="shared" si="6"/>
        <v>963.2</v>
      </c>
      <c r="G27" s="105">
        <f t="shared" si="7"/>
        <v>1155.8399999999999</v>
      </c>
    </row>
    <row r="28" spans="1:7" ht="15.75" x14ac:dyDescent="0.25">
      <c r="A28" s="66">
        <f t="shared" si="8"/>
        <v>19</v>
      </c>
      <c r="B28" s="67" t="s">
        <v>257</v>
      </c>
      <c r="C28" s="66" t="s">
        <v>254</v>
      </c>
      <c r="D28" s="68">
        <f>4*6.77*4</f>
        <v>108.32</v>
      </c>
      <c r="E28" s="179">
        <v>184</v>
      </c>
      <c r="F28" s="105">
        <f t="shared" si="6"/>
        <v>19930.88</v>
      </c>
      <c r="G28" s="105">
        <f t="shared" si="7"/>
        <v>23917.06</v>
      </c>
    </row>
    <row r="29" spans="1:7" ht="15.75" x14ac:dyDescent="0.25">
      <c r="A29" s="66">
        <f t="shared" si="8"/>
        <v>20</v>
      </c>
      <c r="B29" s="67" t="s">
        <v>258</v>
      </c>
      <c r="C29" s="66" t="s">
        <v>254</v>
      </c>
      <c r="D29" s="68">
        <f>(2+2)*1.51*4</f>
        <v>24.16</v>
      </c>
      <c r="E29" s="179">
        <v>75</v>
      </c>
      <c r="F29" s="105">
        <f t="shared" si="6"/>
        <v>1812</v>
      </c>
      <c r="G29" s="105">
        <f t="shared" si="7"/>
        <v>2174.4</v>
      </c>
    </row>
    <row r="30" spans="1:7" ht="15.75" x14ac:dyDescent="0.25">
      <c r="A30" s="66">
        <f t="shared" si="8"/>
        <v>21</v>
      </c>
      <c r="B30" s="67" t="s">
        <v>259</v>
      </c>
      <c r="C30" s="66" t="s">
        <v>193</v>
      </c>
      <c r="D30" s="76">
        <f>1.8*4*1.015</f>
        <v>7.3079999999999998</v>
      </c>
      <c r="E30" s="179">
        <v>6114</v>
      </c>
      <c r="F30" s="105">
        <f t="shared" si="6"/>
        <v>44681.11</v>
      </c>
      <c r="G30" s="105">
        <f t="shared" si="7"/>
        <v>53617.33</v>
      </c>
    </row>
    <row r="31" spans="1:7" ht="15.75" x14ac:dyDescent="0.25">
      <c r="A31" s="66">
        <f t="shared" si="8"/>
        <v>22</v>
      </c>
      <c r="B31" s="67" t="s">
        <v>260</v>
      </c>
      <c r="C31" s="66" t="s">
        <v>193</v>
      </c>
      <c r="D31" s="77">
        <f>0.48*4*1.02</f>
        <v>1.9583999999999999</v>
      </c>
      <c r="E31" s="179">
        <v>5060</v>
      </c>
      <c r="F31" s="105">
        <f t="shared" si="6"/>
        <v>9909.5</v>
      </c>
      <c r="G31" s="105">
        <f t="shared" si="7"/>
        <v>11891.4</v>
      </c>
    </row>
    <row r="32" spans="1:7" ht="15.75" x14ac:dyDescent="0.25">
      <c r="A32" s="66">
        <f t="shared" si="8"/>
        <v>23</v>
      </c>
      <c r="B32" s="67" t="s">
        <v>261</v>
      </c>
      <c r="C32" s="66" t="s">
        <v>254</v>
      </c>
      <c r="D32" s="76">
        <v>86.016000000000005</v>
      </c>
      <c r="E32" s="179">
        <v>157</v>
      </c>
      <c r="F32" s="105">
        <f t="shared" si="6"/>
        <v>13504.51</v>
      </c>
      <c r="G32" s="105">
        <f t="shared" si="7"/>
        <v>16205.41</v>
      </c>
    </row>
    <row r="33" spans="1:7" ht="30" x14ac:dyDescent="0.25">
      <c r="A33" s="66">
        <f>A32+1</f>
        <v>24</v>
      </c>
      <c r="B33" s="67" t="s">
        <v>262</v>
      </c>
      <c r="C33" s="66" t="s">
        <v>243</v>
      </c>
      <c r="D33" s="71">
        <v>1</v>
      </c>
      <c r="E33" s="189">
        <v>33000</v>
      </c>
      <c r="F33" s="105">
        <f t="shared" si="6"/>
        <v>33000</v>
      </c>
      <c r="G33" s="105">
        <f t="shared" si="7"/>
        <v>39600</v>
      </c>
    </row>
    <row r="34" spans="1:7" ht="15.75" x14ac:dyDescent="0.25">
      <c r="A34" s="66"/>
      <c r="B34" s="73" t="s">
        <v>263</v>
      </c>
      <c r="C34" s="66"/>
      <c r="D34" s="71"/>
      <c r="E34" s="189"/>
      <c r="F34" s="105"/>
      <c r="G34" s="105"/>
    </row>
    <row r="35" spans="1:7" ht="15.75" x14ac:dyDescent="0.25">
      <c r="A35" s="66">
        <f>A33+1</f>
        <v>25</v>
      </c>
      <c r="B35" s="67" t="s">
        <v>264</v>
      </c>
      <c r="C35" s="66" t="s">
        <v>254</v>
      </c>
      <c r="D35" s="76">
        <f>12*2.618*4</f>
        <v>125.66399999999999</v>
      </c>
      <c r="E35" s="179">
        <v>63</v>
      </c>
      <c r="F35" s="105">
        <f t="shared" ref="F35:F41" si="9">ROUND(E35*D35,2)</f>
        <v>7916.83</v>
      </c>
      <c r="G35" s="105">
        <f t="shared" ref="G35:G41" si="10">ROUND(F35*1.2,2)</f>
        <v>9500.2000000000007</v>
      </c>
    </row>
    <row r="36" spans="1:7" ht="15.75" x14ac:dyDescent="0.25">
      <c r="A36" s="66">
        <f>A35+1</f>
        <v>26</v>
      </c>
      <c r="B36" s="67" t="s">
        <v>265</v>
      </c>
      <c r="C36" s="66" t="s">
        <v>254</v>
      </c>
      <c r="D36" s="68">
        <f>30*1.02*4</f>
        <v>122.4</v>
      </c>
      <c r="E36" s="179">
        <v>68</v>
      </c>
      <c r="F36" s="105">
        <f t="shared" si="9"/>
        <v>8323.2000000000007</v>
      </c>
      <c r="G36" s="105">
        <f t="shared" si="10"/>
        <v>9987.84</v>
      </c>
    </row>
    <row r="37" spans="1:7" ht="15.75" x14ac:dyDescent="0.25">
      <c r="A37" s="66">
        <f t="shared" ref="A37:A42" si="11">A36+1</f>
        <v>27</v>
      </c>
      <c r="B37" s="67" t="s">
        <v>266</v>
      </c>
      <c r="C37" s="66" t="s">
        <v>254</v>
      </c>
      <c r="D37" s="76">
        <f>(42+4)*0.371*4</f>
        <v>68.263999999999996</v>
      </c>
      <c r="E37" s="179">
        <v>70</v>
      </c>
      <c r="F37" s="105">
        <f t="shared" si="9"/>
        <v>4778.4799999999996</v>
      </c>
      <c r="G37" s="105">
        <f t="shared" si="10"/>
        <v>5734.18</v>
      </c>
    </row>
    <row r="38" spans="1:7" ht="15.75" x14ac:dyDescent="0.25">
      <c r="A38" s="66">
        <f t="shared" si="11"/>
        <v>28</v>
      </c>
      <c r="B38" s="67" t="s">
        <v>259</v>
      </c>
      <c r="C38" s="66" t="s">
        <v>193</v>
      </c>
      <c r="D38" s="76">
        <f>0.9*4*1.015</f>
        <v>3.6539999999999999</v>
      </c>
      <c r="E38" s="179">
        <v>6114</v>
      </c>
      <c r="F38" s="105">
        <f t="shared" si="9"/>
        <v>22340.560000000001</v>
      </c>
      <c r="G38" s="105">
        <f t="shared" si="10"/>
        <v>26808.67</v>
      </c>
    </row>
    <row r="39" spans="1:7" ht="15.75" x14ac:dyDescent="0.25">
      <c r="A39" s="66">
        <f t="shared" si="11"/>
        <v>29</v>
      </c>
      <c r="B39" s="67" t="s">
        <v>260</v>
      </c>
      <c r="C39" s="66" t="s">
        <v>193</v>
      </c>
      <c r="D39" s="76">
        <f>0.45*4*1.02</f>
        <v>1.8360000000000001</v>
      </c>
      <c r="E39" s="179">
        <v>5060</v>
      </c>
      <c r="F39" s="105">
        <f t="shared" si="9"/>
        <v>9290.16</v>
      </c>
      <c r="G39" s="105">
        <f t="shared" si="10"/>
        <v>11148.19</v>
      </c>
    </row>
    <row r="40" spans="1:7" ht="15.75" x14ac:dyDescent="0.25">
      <c r="A40" s="66">
        <f t="shared" si="11"/>
        <v>30</v>
      </c>
      <c r="B40" s="67" t="s">
        <v>261</v>
      </c>
      <c r="C40" s="66" t="s">
        <v>254</v>
      </c>
      <c r="D40" s="68">
        <v>63.36</v>
      </c>
      <c r="E40" s="179">
        <v>157</v>
      </c>
      <c r="F40" s="105">
        <f t="shared" si="9"/>
        <v>9947.52</v>
      </c>
      <c r="G40" s="105">
        <f t="shared" si="10"/>
        <v>11937.02</v>
      </c>
    </row>
    <row r="41" spans="1:7" ht="30" x14ac:dyDescent="0.25">
      <c r="A41" s="66">
        <f t="shared" si="11"/>
        <v>31</v>
      </c>
      <c r="B41" s="67" t="s">
        <v>267</v>
      </c>
      <c r="C41" s="66" t="s">
        <v>243</v>
      </c>
      <c r="D41" s="71">
        <v>1</v>
      </c>
      <c r="E41" s="189">
        <v>5500</v>
      </c>
      <c r="F41" s="105">
        <f t="shared" si="9"/>
        <v>5500</v>
      </c>
      <c r="G41" s="105">
        <f t="shared" si="10"/>
        <v>6600</v>
      </c>
    </row>
    <row r="42" spans="1:7" ht="15.75" x14ac:dyDescent="0.25">
      <c r="A42" s="66">
        <f t="shared" si="11"/>
        <v>32</v>
      </c>
      <c r="B42" s="78" t="s">
        <v>268</v>
      </c>
      <c r="C42" s="66"/>
      <c r="D42" s="71"/>
      <c r="E42" s="189"/>
      <c r="F42" s="105"/>
      <c r="G42" s="105"/>
    </row>
    <row r="43" spans="1:7" ht="15.75" x14ac:dyDescent="0.25">
      <c r="A43" s="79" t="s">
        <v>269</v>
      </c>
      <c r="B43" s="67" t="s">
        <v>270</v>
      </c>
      <c r="C43" s="66" t="s">
        <v>254</v>
      </c>
      <c r="D43" s="68">
        <f>1*10.73*2*4</f>
        <v>85.84</v>
      </c>
      <c r="E43" s="179">
        <v>114</v>
      </c>
      <c r="F43" s="105">
        <f t="shared" ref="F43:F49" si="12">ROUND(E43*D43,2)</f>
        <v>9785.76</v>
      </c>
      <c r="G43" s="105">
        <f t="shared" ref="G43:G49" si="13">ROUND(F43*1.2,2)</f>
        <v>11742.91</v>
      </c>
    </row>
    <row r="44" spans="1:7" ht="15.75" x14ac:dyDescent="0.25">
      <c r="A44" s="79" t="s">
        <v>271</v>
      </c>
      <c r="B44" s="67" t="s">
        <v>272</v>
      </c>
      <c r="C44" s="66" t="s">
        <v>254</v>
      </c>
      <c r="D44" s="68">
        <f>1*11.3*2*4</f>
        <v>90.4</v>
      </c>
      <c r="E44" s="179">
        <v>89</v>
      </c>
      <c r="F44" s="105">
        <f t="shared" si="12"/>
        <v>8045.6</v>
      </c>
      <c r="G44" s="105">
        <f t="shared" si="13"/>
        <v>9654.7199999999993</v>
      </c>
    </row>
    <row r="45" spans="1:7" ht="15.75" x14ac:dyDescent="0.25">
      <c r="A45" s="79" t="s">
        <v>273</v>
      </c>
      <c r="B45" s="67" t="s">
        <v>274</v>
      </c>
      <c r="C45" s="66" t="s">
        <v>254</v>
      </c>
      <c r="D45" s="68">
        <f>2*5.54*2*4</f>
        <v>88.64</v>
      </c>
      <c r="E45" s="179">
        <v>89</v>
      </c>
      <c r="F45" s="105">
        <f t="shared" si="12"/>
        <v>7888.96</v>
      </c>
      <c r="G45" s="105">
        <f t="shared" si="13"/>
        <v>9466.75</v>
      </c>
    </row>
    <row r="46" spans="1:7" ht="15.75" x14ac:dyDescent="0.25">
      <c r="A46" s="79" t="s">
        <v>275</v>
      </c>
      <c r="B46" s="67" t="s">
        <v>276</v>
      </c>
      <c r="C46" s="66" t="s">
        <v>254</v>
      </c>
      <c r="D46" s="68">
        <f>1*3.46*2*4</f>
        <v>27.68</v>
      </c>
      <c r="E46" s="179">
        <v>89</v>
      </c>
      <c r="F46" s="105">
        <f t="shared" si="12"/>
        <v>2463.52</v>
      </c>
      <c r="G46" s="105">
        <f t="shared" si="13"/>
        <v>2956.22</v>
      </c>
    </row>
    <row r="47" spans="1:7" ht="15.75" x14ac:dyDescent="0.25">
      <c r="A47" s="79" t="s">
        <v>277</v>
      </c>
      <c r="B47" s="67" t="s">
        <v>278</v>
      </c>
      <c r="C47" s="66" t="s">
        <v>254</v>
      </c>
      <c r="D47" s="68">
        <f>9*0.31*2*4</f>
        <v>22.32</v>
      </c>
      <c r="E47" s="179">
        <v>89</v>
      </c>
      <c r="F47" s="105">
        <f t="shared" si="12"/>
        <v>1986.48</v>
      </c>
      <c r="G47" s="105">
        <f t="shared" si="13"/>
        <v>2383.7800000000002</v>
      </c>
    </row>
    <row r="48" spans="1:7" ht="15.75" x14ac:dyDescent="0.25">
      <c r="A48" s="79" t="s">
        <v>279</v>
      </c>
      <c r="B48" s="67" t="s">
        <v>280</v>
      </c>
      <c r="C48" s="66" t="s">
        <v>254</v>
      </c>
      <c r="D48" s="68">
        <f>9*0.19*2*4</f>
        <v>13.68</v>
      </c>
      <c r="E48" s="179">
        <v>69</v>
      </c>
      <c r="F48" s="105">
        <f t="shared" si="12"/>
        <v>943.92</v>
      </c>
      <c r="G48" s="105">
        <f t="shared" si="13"/>
        <v>1132.7</v>
      </c>
    </row>
    <row r="49" spans="1:7" ht="15.75" x14ac:dyDescent="0.25">
      <c r="A49" s="79" t="s">
        <v>281</v>
      </c>
      <c r="B49" s="67" t="s">
        <v>282</v>
      </c>
      <c r="C49" s="66" t="s">
        <v>254</v>
      </c>
      <c r="D49" s="68">
        <f>16*0.3</f>
        <v>4.8</v>
      </c>
      <c r="E49" s="179">
        <v>317</v>
      </c>
      <c r="F49" s="105">
        <f t="shared" si="12"/>
        <v>1521.6</v>
      </c>
      <c r="G49" s="105">
        <f t="shared" si="13"/>
        <v>1825.92</v>
      </c>
    </row>
    <row r="50" spans="1:7" ht="15.75" x14ac:dyDescent="0.25">
      <c r="A50" s="66"/>
      <c r="B50" s="62" t="s">
        <v>283</v>
      </c>
      <c r="C50" s="66"/>
      <c r="D50" s="71"/>
      <c r="E50" s="189"/>
      <c r="F50" s="105"/>
      <c r="G50" s="105"/>
    </row>
    <row r="51" spans="1:7" ht="15.75" x14ac:dyDescent="0.25">
      <c r="A51" s="66"/>
      <c r="B51" s="73" t="s">
        <v>284</v>
      </c>
      <c r="C51" s="66"/>
      <c r="D51" s="71"/>
      <c r="E51" s="189"/>
      <c r="F51" s="105"/>
      <c r="G51" s="105"/>
    </row>
    <row r="52" spans="1:7" ht="15.75" x14ac:dyDescent="0.25">
      <c r="A52" s="66">
        <f>A42+1</f>
        <v>33</v>
      </c>
      <c r="B52" s="67" t="s">
        <v>285</v>
      </c>
      <c r="C52" s="66" t="s">
        <v>254</v>
      </c>
      <c r="D52" s="68">
        <f>0.9*5.8*4</f>
        <v>20.88</v>
      </c>
      <c r="E52" s="179">
        <v>75</v>
      </c>
      <c r="F52" s="105">
        <f t="shared" ref="F52:F61" si="14">ROUND(E52*D52,2)</f>
        <v>1566</v>
      </c>
      <c r="G52" s="105">
        <f t="shared" ref="G52:G61" si="15">ROUND(F52*1.2,2)</f>
        <v>1879.2</v>
      </c>
    </row>
    <row r="53" spans="1:7" ht="15.75" x14ac:dyDescent="0.25">
      <c r="A53" s="66">
        <f>A52+1</f>
        <v>34</v>
      </c>
      <c r="B53" s="67" t="s">
        <v>286</v>
      </c>
      <c r="C53" s="66" t="s">
        <v>254</v>
      </c>
      <c r="D53" s="68">
        <f>7.5*59.07*4</f>
        <v>1772.1</v>
      </c>
      <c r="E53" s="179">
        <v>112</v>
      </c>
      <c r="F53" s="105">
        <f t="shared" si="14"/>
        <v>198475.2</v>
      </c>
      <c r="G53" s="105">
        <f t="shared" si="15"/>
        <v>238170.23999999999</v>
      </c>
    </row>
    <row r="54" spans="1:7" ht="15.75" x14ac:dyDescent="0.25">
      <c r="A54" s="66">
        <f t="shared" ref="A54:A61" si="16">A53+1</f>
        <v>35</v>
      </c>
      <c r="B54" s="67" t="s">
        <v>287</v>
      </c>
      <c r="C54" s="66" t="s">
        <v>254</v>
      </c>
      <c r="D54" s="68">
        <f>0.27*235.5*4</f>
        <v>254.34</v>
      </c>
      <c r="E54" s="179">
        <v>94</v>
      </c>
      <c r="F54" s="105">
        <f t="shared" si="14"/>
        <v>23907.96</v>
      </c>
      <c r="G54" s="105">
        <f t="shared" si="15"/>
        <v>28689.55</v>
      </c>
    </row>
    <row r="55" spans="1:7" ht="15.75" x14ac:dyDescent="0.25">
      <c r="A55" s="66">
        <f t="shared" si="16"/>
        <v>36</v>
      </c>
      <c r="B55" s="67" t="s">
        <v>288</v>
      </c>
      <c r="C55" s="66" t="s">
        <v>254</v>
      </c>
      <c r="D55" s="68">
        <f>0.53*94.2*4</f>
        <v>199.70400000000001</v>
      </c>
      <c r="E55" s="179">
        <v>89</v>
      </c>
      <c r="F55" s="105">
        <f t="shared" si="14"/>
        <v>17773.66</v>
      </c>
      <c r="G55" s="105">
        <f t="shared" si="15"/>
        <v>21328.39</v>
      </c>
    </row>
    <row r="56" spans="1:7" ht="15.75" x14ac:dyDescent="0.25">
      <c r="A56" s="66">
        <f t="shared" si="16"/>
        <v>37</v>
      </c>
      <c r="B56" s="67" t="s">
        <v>289</v>
      </c>
      <c r="C56" s="66" t="s">
        <v>254</v>
      </c>
      <c r="D56" s="68">
        <f>0.07*39.25*4</f>
        <v>10.99</v>
      </c>
      <c r="E56" s="179">
        <v>89</v>
      </c>
      <c r="F56" s="105">
        <f t="shared" si="14"/>
        <v>978.11</v>
      </c>
      <c r="G56" s="105">
        <f t="shared" si="15"/>
        <v>1173.73</v>
      </c>
    </row>
    <row r="57" spans="1:7" ht="15.75" x14ac:dyDescent="0.25">
      <c r="A57" s="66">
        <f t="shared" si="16"/>
        <v>38</v>
      </c>
      <c r="B57" s="67" t="s">
        <v>290</v>
      </c>
      <c r="C57" s="66" t="s">
        <v>193</v>
      </c>
      <c r="D57" s="77">
        <f>0.21*4*1.015</f>
        <v>0.85259999999999991</v>
      </c>
      <c r="E57" s="179">
        <v>5271</v>
      </c>
      <c r="F57" s="105">
        <f t="shared" si="14"/>
        <v>4494.05</v>
      </c>
      <c r="G57" s="105">
        <f t="shared" si="15"/>
        <v>5392.86</v>
      </c>
    </row>
    <row r="58" spans="1:7" ht="15.75" x14ac:dyDescent="0.25">
      <c r="A58" s="66">
        <f t="shared" si="16"/>
        <v>39</v>
      </c>
      <c r="B58" s="67" t="s">
        <v>291</v>
      </c>
      <c r="C58" s="66" t="s">
        <v>193</v>
      </c>
      <c r="D58" s="76">
        <v>8.7999999999999995E-2</v>
      </c>
      <c r="E58" s="179">
        <v>8855</v>
      </c>
      <c r="F58" s="105">
        <f t="shared" si="14"/>
        <v>779.24</v>
      </c>
      <c r="G58" s="105">
        <f t="shared" si="15"/>
        <v>935.09</v>
      </c>
    </row>
    <row r="59" spans="1:7" ht="15.75" x14ac:dyDescent="0.25">
      <c r="A59" s="66">
        <f t="shared" si="16"/>
        <v>40</v>
      </c>
      <c r="B59" s="67" t="s">
        <v>292</v>
      </c>
      <c r="C59" s="66" t="s">
        <v>254</v>
      </c>
      <c r="D59" s="68">
        <v>9.9600000000000009</v>
      </c>
      <c r="E59" s="179">
        <v>157</v>
      </c>
      <c r="F59" s="105">
        <f t="shared" si="14"/>
        <v>1563.72</v>
      </c>
      <c r="G59" s="105">
        <f t="shared" si="15"/>
        <v>1876.46</v>
      </c>
    </row>
    <row r="60" spans="1:7" ht="15.75" x14ac:dyDescent="0.25">
      <c r="A60" s="66">
        <f t="shared" si="16"/>
        <v>41</v>
      </c>
      <c r="B60" s="67" t="s">
        <v>293</v>
      </c>
      <c r="C60" s="66" t="s">
        <v>254</v>
      </c>
      <c r="D60" s="68">
        <v>9.9600000000000009</v>
      </c>
      <c r="E60" s="179">
        <v>174</v>
      </c>
      <c r="F60" s="105">
        <f t="shared" si="14"/>
        <v>1733.04</v>
      </c>
      <c r="G60" s="105">
        <f t="shared" si="15"/>
        <v>2079.65</v>
      </c>
    </row>
    <row r="61" spans="1:7" ht="30" x14ac:dyDescent="0.25">
      <c r="A61" s="66">
        <f t="shared" si="16"/>
        <v>42</v>
      </c>
      <c r="B61" s="67" t="s">
        <v>262</v>
      </c>
      <c r="C61" s="66"/>
      <c r="D61" s="71">
        <v>1</v>
      </c>
      <c r="E61" s="189">
        <v>6600.0000000000009</v>
      </c>
      <c r="F61" s="105">
        <f t="shared" si="14"/>
        <v>6600</v>
      </c>
      <c r="G61" s="105">
        <f t="shared" si="15"/>
        <v>7920</v>
      </c>
    </row>
    <row r="62" spans="1:7" ht="15.75" x14ac:dyDescent="0.25">
      <c r="A62" s="66"/>
      <c r="B62" s="73" t="s">
        <v>294</v>
      </c>
      <c r="C62" s="66"/>
      <c r="D62" s="71"/>
      <c r="E62" s="189"/>
      <c r="F62" s="105"/>
      <c r="G62" s="105"/>
    </row>
    <row r="63" spans="1:7" ht="15.75" x14ac:dyDescent="0.25">
      <c r="A63" s="66">
        <f>A61+1</f>
        <v>43</v>
      </c>
      <c r="B63" s="67" t="s">
        <v>295</v>
      </c>
      <c r="C63" s="66" t="s">
        <v>254</v>
      </c>
      <c r="D63" s="68">
        <f>75.6*5.8*2</f>
        <v>876.95999999999992</v>
      </c>
      <c r="E63" s="179">
        <v>75</v>
      </c>
      <c r="F63" s="105">
        <f t="shared" ref="F63:F71" si="17">ROUND(E63*D63,2)</f>
        <v>65772</v>
      </c>
      <c r="G63" s="105">
        <f t="shared" ref="G63:G71" si="18">ROUND(F63*1.2,2)</f>
        <v>78926.399999999994</v>
      </c>
    </row>
    <row r="64" spans="1:7" ht="15.75" x14ac:dyDescent="0.25">
      <c r="A64" s="66">
        <f>A63+1</f>
        <v>44</v>
      </c>
      <c r="B64" s="67" t="s">
        <v>296</v>
      </c>
      <c r="C64" s="66" t="s">
        <v>254</v>
      </c>
      <c r="D64" s="68">
        <f>121.2*3.05*2</f>
        <v>739.31999999999994</v>
      </c>
      <c r="E64" s="179">
        <v>75</v>
      </c>
      <c r="F64" s="105">
        <f t="shared" si="17"/>
        <v>55449</v>
      </c>
      <c r="G64" s="105">
        <f t="shared" si="18"/>
        <v>66538.8</v>
      </c>
    </row>
    <row r="65" spans="1:7" ht="15.75" x14ac:dyDescent="0.25">
      <c r="A65" s="66">
        <f t="shared" ref="A65:A71" si="19">A64+1</f>
        <v>45</v>
      </c>
      <c r="B65" s="67" t="s">
        <v>297</v>
      </c>
      <c r="C65" s="66" t="s">
        <v>254</v>
      </c>
      <c r="D65" s="68">
        <f>0.15*125.6*2</f>
        <v>37.68</v>
      </c>
      <c r="E65" s="179">
        <v>89</v>
      </c>
      <c r="F65" s="105">
        <f t="shared" si="17"/>
        <v>3353.52</v>
      </c>
      <c r="G65" s="105">
        <f t="shared" si="18"/>
        <v>4024.22</v>
      </c>
    </row>
    <row r="66" spans="1:7" ht="15.75" x14ac:dyDescent="0.25">
      <c r="A66" s="66">
        <f t="shared" si="19"/>
        <v>46</v>
      </c>
      <c r="B66" s="67" t="s">
        <v>298</v>
      </c>
      <c r="C66" s="66" t="s">
        <v>254</v>
      </c>
      <c r="D66" s="68">
        <f>0.24*78.5*2</f>
        <v>37.68</v>
      </c>
      <c r="E66" s="179">
        <v>89</v>
      </c>
      <c r="F66" s="105">
        <f t="shared" si="17"/>
        <v>3353.52</v>
      </c>
      <c r="G66" s="105">
        <f t="shared" si="18"/>
        <v>4024.22</v>
      </c>
    </row>
    <row r="67" spans="1:7" ht="15.75" x14ac:dyDescent="0.25">
      <c r="A67" s="66">
        <f t="shared" si="19"/>
        <v>47</v>
      </c>
      <c r="B67" s="67" t="s">
        <v>299</v>
      </c>
      <c r="C67" s="66" t="s">
        <v>254</v>
      </c>
      <c r="D67" s="68">
        <f>1.62*39.25*2</f>
        <v>127.17</v>
      </c>
      <c r="E67" s="179">
        <v>89</v>
      </c>
      <c r="F67" s="105">
        <f t="shared" si="17"/>
        <v>11318.13</v>
      </c>
      <c r="G67" s="105">
        <f t="shared" si="18"/>
        <v>13581.76</v>
      </c>
    </row>
    <row r="68" spans="1:7" ht="15.75" x14ac:dyDescent="0.25">
      <c r="A68" s="66">
        <f t="shared" si="19"/>
        <v>48</v>
      </c>
      <c r="B68" s="67" t="s">
        <v>300</v>
      </c>
      <c r="C68" s="66" t="s">
        <v>254</v>
      </c>
      <c r="D68" s="68">
        <f>16*0.137</f>
        <v>2.1920000000000002</v>
      </c>
      <c r="E68" s="179">
        <v>127</v>
      </c>
      <c r="F68" s="105">
        <f t="shared" si="17"/>
        <v>278.38</v>
      </c>
      <c r="G68" s="105">
        <f t="shared" si="18"/>
        <v>334.06</v>
      </c>
    </row>
    <row r="69" spans="1:7" ht="15.75" x14ac:dyDescent="0.25">
      <c r="A69" s="66">
        <f t="shared" si="19"/>
        <v>49</v>
      </c>
      <c r="B69" s="67" t="s">
        <v>301</v>
      </c>
      <c r="C69" s="66" t="s">
        <v>254</v>
      </c>
      <c r="D69" s="68">
        <f>16*0.032</f>
        <v>0.51200000000000001</v>
      </c>
      <c r="E69" s="179">
        <v>147</v>
      </c>
      <c r="F69" s="105">
        <f t="shared" si="17"/>
        <v>75.260000000000005</v>
      </c>
      <c r="G69" s="105">
        <f t="shared" si="18"/>
        <v>90.31</v>
      </c>
    </row>
    <row r="70" spans="1:7" ht="15.75" x14ac:dyDescent="0.25">
      <c r="A70" s="66">
        <f t="shared" si="19"/>
        <v>50</v>
      </c>
      <c r="B70" s="67" t="s">
        <v>302</v>
      </c>
      <c r="C70" s="66" t="s">
        <v>254</v>
      </c>
      <c r="D70" s="68">
        <f>16*0.013</f>
        <v>0.20799999999999999</v>
      </c>
      <c r="E70" s="179">
        <v>197</v>
      </c>
      <c r="F70" s="105">
        <f t="shared" si="17"/>
        <v>40.98</v>
      </c>
      <c r="G70" s="105">
        <f t="shared" si="18"/>
        <v>49.18</v>
      </c>
    </row>
    <row r="71" spans="1:7" ht="15.75" x14ac:dyDescent="0.25">
      <c r="A71" s="66">
        <f t="shared" si="19"/>
        <v>51</v>
      </c>
      <c r="B71" s="67" t="s">
        <v>303</v>
      </c>
      <c r="C71" s="66" t="s">
        <v>254</v>
      </c>
      <c r="D71" s="68">
        <f>16*0.006</f>
        <v>9.6000000000000002E-2</v>
      </c>
      <c r="E71" s="179">
        <v>214</v>
      </c>
      <c r="F71" s="105">
        <f t="shared" si="17"/>
        <v>20.54</v>
      </c>
      <c r="G71" s="105">
        <f t="shared" si="18"/>
        <v>24.65</v>
      </c>
    </row>
    <row r="72" spans="1:7" ht="15.75" x14ac:dyDescent="0.25">
      <c r="A72" s="66"/>
      <c r="B72" s="73" t="s">
        <v>304</v>
      </c>
      <c r="C72" s="66"/>
      <c r="D72" s="71"/>
      <c r="E72" s="189"/>
      <c r="F72" s="105"/>
      <c r="G72" s="105"/>
    </row>
    <row r="73" spans="1:7" ht="15.75" x14ac:dyDescent="0.25">
      <c r="A73" s="66">
        <f>A71+1</f>
        <v>52</v>
      </c>
      <c r="B73" s="67" t="s">
        <v>305</v>
      </c>
      <c r="C73" s="66" t="s">
        <v>254</v>
      </c>
      <c r="D73" s="68">
        <f>56.4*5.8</f>
        <v>327.12</v>
      </c>
      <c r="E73" s="179">
        <v>75</v>
      </c>
      <c r="F73" s="105">
        <f t="shared" ref="F73:F84" si="20">ROUND(E73*D73,2)</f>
        <v>24534</v>
      </c>
      <c r="G73" s="105">
        <f t="shared" ref="G73:G84" si="21">ROUND(F73*1.2,2)</f>
        <v>29440.799999999999</v>
      </c>
    </row>
    <row r="74" spans="1:7" ht="15.75" x14ac:dyDescent="0.25">
      <c r="A74" s="66">
        <f>A73+1</f>
        <v>53</v>
      </c>
      <c r="B74" s="67" t="s">
        <v>306</v>
      </c>
      <c r="C74" s="66" t="s">
        <v>254</v>
      </c>
      <c r="D74" s="68">
        <f>107.7*3.05</f>
        <v>328.48500000000001</v>
      </c>
      <c r="E74" s="179">
        <v>75</v>
      </c>
      <c r="F74" s="105">
        <f t="shared" si="20"/>
        <v>24636.38</v>
      </c>
      <c r="G74" s="105">
        <f t="shared" si="21"/>
        <v>29563.66</v>
      </c>
    </row>
    <row r="75" spans="1:7" ht="15.75" x14ac:dyDescent="0.25">
      <c r="A75" s="66">
        <f t="shared" ref="A75:A84" si="22">A74+1</f>
        <v>54</v>
      </c>
      <c r="B75" s="67" t="s">
        <v>307</v>
      </c>
      <c r="C75" s="66" t="s">
        <v>254</v>
      </c>
      <c r="D75" s="68">
        <f>0.15*125.6</f>
        <v>18.84</v>
      </c>
      <c r="E75" s="179">
        <v>89</v>
      </c>
      <c r="F75" s="105">
        <f t="shared" si="20"/>
        <v>1676.76</v>
      </c>
      <c r="G75" s="105">
        <f t="shared" si="21"/>
        <v>2012.11</v>
      </c>
    </row>
    <row r="76" spans="1:7" ht="15.75" x14ac:dyDescent="0.25">
      <c r="A76" s="66">
        <f t="shared" si="22"/>
        <v>55</v>
      </c>
      <c r="B76" s="67" t="s">
        <v>308</v>
      </c>
      <c r="C76" s="66" t="s">
        <v>254</v>
      </c>
      <c r="D76" s="68">
        <f>0.24*78.5</f>
        <v>18.84</v>
      </c>
      <c r="E76" s="179">
        <v>89</v>
      </c>
      <c r="F76" s="105">
        <f t="shared" si="20"/>
        <v>1676.76</v>
      </c>
      <c r="G76" s="105">
        <f t="shared" si="21"/>
        <v>2012.11</v>
      </c>
    </row>
    <row r="77" spans="1:7" ht="15.75" x14ac:dyDescent="0.25">
      <c r="A77" s="66">
        <f t="shared" si="22"/>
        <v>56</v>
      </c>
      <c r="B77" s="67" t="s">
        <v>309</v>
      </c>
      <c r="C77" s="66" t="s">
        <v>254</v>
      </c>
      <c r="D77" s="68">
        <f>1.62*39.25*2</f>
        <v>127.17</v>
      </c>
      <c r="E77" s="179">
        <v>89</v>
      </c>
      <c r="F77" s="105">
        <f t="shared" si="20"/>
        <v>11318.13</v>
      </c>
      <c r="G77" s="105">
        <f t="shared" si="21"/>
        <v>13581.76</v>
      </c>
    </row>
    <row r="78" spans="1:7" ht="15.75" x14ac:dyDescent="0.25">
      <c r="A78" s="66">
        <f t="shared" si="22"/>
        <v>57</v>
      </c>
      <c r="B78" s="67" t="s">
        <v>310</v>
      </c>
      <c r="C78" s="66" t="s">
        <v>254</v>
      </c>
      <c r="D78" s="68">
        <f>8*0.137</f>
        <v>1.0960000000000001</v>
      </c>
      <c r="E78" s="179">
        <v>127</v>
      </c>
      <c r="F78" s="105">
        <f t="shared" si="20"/>
        <v>139.19</v>
      </c>
      <c r="G78" s="105">
        <f t="shared" si="21"/>
        <v>167.03</v>
      </c>
    </row>
    <row r="79" spans="1:7" ht="15.75" x14ac:dyDescent="0.25">
      <c r="A79" s="66">
        <f t="shared" si="22"/>
        <v>58</v>
      </c>
      <c r="B79" s="67" t="s">
        <v>311</v>
      </c>
      <c r="C79" s="66" t="s">
        <v>254</v>
      </c>
      <c r="D79" s="68">
        <f>8*0.032</f>
        <v>0.25600000000000001</v>
      </c>
      <c r="E79" s="179">
        <v>147</v>
      </c>
      <c r="F79" s="105">
        <f t="shared" si="20"/>
        <v>37.630000000000003</v>
      </c>
      <c r="G79" s="105">
        <f t="shared" si="21"/>
        <v>45.16</v>
      </c>
    </row>
    <row r="80" spans="1:7" ht="15.75" x14ac:dyDescent="0.25">
      <c r="A80" s="66">
        <f t="shared" si="22"/>
        <v>59</v>
      </c>
      <c r="B80" s="67" t="s">
        <v>312</v>
      </c>
      <c r="C80" s="66" t="s">
        <v>254</v>
      </c>
      <c r="D80" s="68">
        <f>8*0.013</f>
        <v>0.104</v>
      </c>
      <c r="E80" s="179">
        <v>197</v>
      </c>
      <c r="F80" s="105">
        <f t="shared" si="20"/>
        <v>20.49</v>
      </c>
      <c r="G80" s="105">
        <f t="shared" si="21"/>
        <v>24.59</v>
      </c>
    </row>
    <row r="81" spans="1:7" ht="15.75" x14ac:dyDescent="0.25">
      <c r="A81" s="66">
        <f t="shared" si="22"/>
        <v>60</v>
      </c>
      <c r="B81" s="67" t="s">
        <v>313</v>
      </c>
      <c r="C81" s="66" t="s">
        <v>254</v>
      </c>
      <c r="D81" s="68">
        <f>8*0.006</f>
        <v>4.8000000000000001E-2</v>
      </c>
      <c r="E81" s="179">
        <v>214</v>
      </c>
      <c r="F81" s="105">
        <f t="shared" si="20"/>
        <v>10.27</v>
      </c>
      <c r="G81" s="105">
        <f t="shared" si="21"/>
        <v>12.32</v>
      </c>
    </row>
    <row r="82" spans="1:7" ht="15.75" x14ac:dyDescent="0.25">
      <c r="A82" s="66">
        <f t="shared" si="22"/>
        <v>61</v>
      </c>
      <c r="B82" s="67" t="s">
        <v>292</v>
      </c>
      <c r="C82" s="66" t="s">
        <v>254</v>
      </c>
      <c r="D82" s="68">
        <f>5.85*2</f>
        <v>11.7</v>
      </c>
      <c r="E82" s="179">
        <v>157</v>
      </c>
      <c r="F82" s="105">
        <f t="shared" si="20"/>
        <v>1836.9</v>
      </c>
      <c r="G82" s="105">
        <f t="shared" si="21"/>
        <v>2204.2800000000002</v>
      </c>
    </row>
    <row r="83" spans="1:7" ht="15.75" x14ac:dyDescent="0.25">
      <c r="A83" s="66">
        <f t="shared" si="22"/>
        <v>62</v>
      </c>
      <c r="B83" s="67" t="s">
        <v>293</v>
      </c>
      <c r="C83" s="66" t="s">
        <v>254</v>
      </c>
      <c r="D83" s="68">
        <f>5.85*2</f>
        <v>11.7</v>
      </c>
      <c r="E83" s="179">
        <v>174</v>
      </c>
      <c r="F83" s="105">
        <f t="shared" si="20"/>
        <v>2035.8</v>
      </c>
      <c r="G83" s="105">
        <f t="shared" si="21"/>
        <v>2442.96</v>
      </c>
    </row>
    <row r="84" spans="1:7" ht="30" x14ac:dyDescent="0.25">
      <c r="A84" s="66">
        <f t="shared" si="22"/>
        <v>63</v>
      </c>
      <c r="B84" s="67" t="s">
        <v>262</v>
      </c>
      <c r="C84" s="66" t="s">
        <v>243</v>
      </c>
      <c r="D84" s="71">
        <v>1</v>
      </c>
      <c r="E84" s="189">
        <v>22000</v>
      </c>
      <c r="F84" s="105">
        <f t="shared" si="20"/>
        <v>22000</v>
      </c>
      <c r="G84" s="105">
        <f t="shared" si="21"/>
        <v>26400</v>
      </c>
    </row>
    <row r="85" spans="1:7" ht="15.75" x14ac:dyDescent="0.25">
      <c r="A85" s="66"/>
      <c r="B85" s="62" t="s">
        <v>314</v>
      </c>
      <c r="C85" s="66"/>
      <c r="D85" s="71"/>
      <c r="E85" s="189"/>
      <c r="F85" s="105"/>
      <c r="G85" s="105"/>
    </row>
    <row r="86" spans="1:7" ht="15.75" x14ac:dyDescent="0.25">
      <c r="A86" s="66"/>
      <c r="B86" s="73" t="s">
        <v>315</v>
      </c>
      <c r="C86" s="66"/>
      <c r="D86" s="71"/>
      <c r="E86" s="189"/>
      <c r="F86" s="105"/>
      <c r="G86" s="105"/>
    </row>
    <row r="87" spans="1:7" ht="15.75" x14ac:dyDescent="0.25">
      <c r="A87" s="66">
        <f>A84+1</f>
        <v>64</v>
      </c>
      <c r="B87" s="67" t="s">
        <v>316</v>
      </c>
      <c r="C87" s="66" t="s">
        <v>254</v>
      </c>
      <c r="D87" s="68">
        <f>10*0.059</f>
        <v>0.59</v>
      </c>
      <c r="E87" s="179">
        <v>70</v>
      </c>
      <c r="F87" s="105">
        <f t="shared" ref="F87:F93" si="23">ROUND(E87*D87,2)</f>
        <v>41.3</v>
      </c>
      <c r="G87" s="105">
        <f t="shared" ref="G87:G93" si="24">ROUND(F87*1.2,2)</f>
        <v>49.56</v>
      </c>
    </row>
    <row r="88" spans="1:7" ht="15.75" x14ac:dyDescent="0.25">
      <c r="A88" s="66">
        <f>A87+1</f>
        <v>65</v>
      </c>
      <c r="B88" s="67" t="s">
        <v>317</v>
      </c>
      <c r="C88" s="66" t="s">
        <v>254</v>
      </c>
      <c r="D88" s="68">
        <f>2*1.36</f>
        <v>2.72</v>
      </c>
      <c r="E88" s="179">
        <v>75</v>
      </c>
      <c r="F88" s="105">
        <f t="shared" si="23"/>
        <v>204</v>
      </c>
      <c r="G88" s="105">
        <f t="shared" si="24"/>
        <v>244.8</v>
      </c>
    </row>
    <row r="89" spans="1:7" ht="15.75" x14ac:dyDescent="0.25">
      <c r="A89" s="66">
        <f t="shared" ref="A89:A93" si="25">A88+1</f>
        <v>66</v>
      </c>
      <c r="B89" s="67" t="s">
        <v>318</v>
      </c>
      <c r="C89" s="66" t="s">
        <v>254</v>
      </c>
      <c r="D89" s="72">
        <f>12.6</f>
        <v>12.6</v>
      </c>
      <c r="E89" s="179">
        <v>114</v>
      </c>
      <c r="F89" s="105">
        <f t="shared" si="23"/>
        <v>1436.4</v>
      </c>
      <c r="G89" s="105">
        <f t="shared" si="24"/>
        <v>1723.68</v>
      </c>
    </row>
    <row r="90" spans="1:7" ht="15.75" x14ac:dyDescent="0.25">
      <c r="A90" s="66">
        <f t="shared" si="25"/>
        <v>67</v>
      </c>
      <c r="B90" s="67" t="s">
        <v>319</v>
      </c>
      <c r="C90" s="66" t="s">
        <v>254</v>
      </c>
      <c r="D90" s="72">
        <v>20.3</v>
      </c>
      <c r="E90" s="179">
        <v>655</v>
      </c>
      <c r="F90" s="105">
        <f t="shared" si="23"/>
        <v>13296.5</v>
      </c>
      <c r="G90" s="105">
        <f t="shared" si="24"/>
        <v>15955.8</v>
      </c>
    </row>
    <row r="91" spans="1:7" ht="15.75" x14ac:dyDescent="0.25">
      <c r="A91" s="66">
        <f t="shared" si="25"/>
        <v>68</v>
      </c>
      <c r="B91" s="67" t="s">
        <v>259</v>
      </c>
      <c r="C91" s="66" t="s">
        <v>193</v>
      </c>
      <c r="D91" s="77">
        <f>0.5*1.015</f>
        <v>0.50749999999999995</v>
      </c>
      <c r="E91" s="179">
        <v>6114</v>
      </c>
      <c r="F91" s="105">
        <f t="shared" si="23"/>
        <v>3102.86</v>
      </c>
      <c r="G91" s="105">
        <f t="shared" si="24"/>
        <v>3723.43</v>
      </c>
    </row>
    <row r="92" spans="1:7" ht="15.75" x14ac:dyDescent="0.25">
      <c r="A92" s="66">
        <f t="shared" si="25"/>
        <v>69</v>
      </c>
      <c r="B92" s="67" t="s">
        <v>260</v>
      </c>
      <c r="C92" s="66" t="s">
        <v>193</v>
      </c>
      <c r="D92" s="77">
        <f>0.11*1.02</f>
        <v>0.11220000000000001</v>
      </c>
      <c r="E92" s="179">
        <v>5060</v>
      </c>
      <c r="F92" s="105">
        <f t="shared" si="23"/>
        <v>567.73</v>
      </c>
      <c r="G92" s="105">
        <f t="shared" si="24"/>
        <v>681.28</v>
      </c>
    </row>
    <row r="93" spans="1:7" ht="30" x14ac:dyDescent="0.25">
      <c r="A93" s="66">
        <f t="shared" si="25"/>
        <v>70</v>
      </c>
      <c r="B93" s="67" t="s">
        <v>262</v>
      </c>
      <c r="C93" s="66" t="s">
        <v>243</v>
      </c>
      <c r="D93" s="71">
        <v>1</v>
      </c>
      <c r="E93" s="189">
        <v>3300.0000000000005</v>
      </c>
      <c r="F93" s="105">
        <f t="shared" si="23"/>
        <v>3300</v>
      </c>
      <c r="G93" s="105">
        <f t="shared" si="24"/>
        <v>3960</v>
      </c>
    </row>
    <row r="94" spans="1:7" ht="15.75" x14ac:dyDescent="0.25">
      <c r="A94" s="66"/>
      <c r="B94" s="73" t="s">
        <v>320</v>
      </c>
      <c r="C94" s="66"/>
      <c r="D94" s="71"/>
      <c r="E94" s="189"/>
      <c r="F94" s="105"/>
      <c r="G94" s="105"/>
    </row>
    <row r="95" spans="1:7" ht="30" x14ac:dyDescent="0.25">
      <c r="A95" s="66">
        <f>A93+1</f>
        <v>71</v>
      </c>
      <c r="B95" s="67" t="s">
        <v>321</v>
      </c>
      <c r="C95" s="66" t="s">
        <v>220</v>
      </c>
      <c r="D95" s="71">
        <v>1</v>
      </c>
      <c r="E95" s="179">
        <v>37079</v>
      </c>
      <c r="F95" s="105">
        <f t="shared" ref="F95:F114" si="26">ROUND(E95*D95,2)</f>
        <v>37079</v>
      </c>
      <c r="G95" s="105">
        <f t="shared" ref="G95:G114" si="27">ROUND(F95*1.2,2)</f>
        <v>44494.8</v>
      </c>
    </row>
    <row r="96" spans="1:7" ht="30" x14ac:dyDescent="0.25">
      <c r="A96" s="66">
        <f>A95+1</f>
        <v>72</v>
      </c>
      <c r="B96" s="67" t="s">
        <v>322</v>
      </c>
      <c r="C96" s="66" t="s">
        <v>220</v>
      </c>
      <c r="D96" s="71">
        <v>1</v>
      </c>
      <c r="E96" s="179">
        <v>37079</v>
      </c>
      <c r="F96" s="105">
        <f t="shared" si="26"/>
        <v>37079</v>
      </c>
      <c r="G96" s="105">
        <f t="shared" si="27"/>
        <v>44494.8</v>
      </c>
    </row>
    <row r="97" spans="1:7" ht="30" x14ac:dyDescent="0.25">
      <c r="A97" s="66">
        <f t="shared" ref="A97:A114" si="28">A96+1</f>
        <v>73</v>
      </c>
      <c r="B97" s="67" t="s">
        <v>323</v>
      </c>
      <c r="C97" s="66" t="s">
        <v>220</v>
      </c>
      <c r="D97" s="71">
        <v>1</v>
      </c>
      <c r="E97" s="179">
        <v>37079</v>
      </c>
      <c r="F97" s="105">
        <f t="shared" si="26"/>
        <v>37079</v>
      </c>
      <c r="G97" s="105">
        <f t="shared" si="27"/>
        <v>44494.8</v>
      </c>
    </row>
    <row r="98" spans="1:7" ht="30" x14ac:dyDescent="0.25">
      <c r="A98" s="66">
        <f t="shared" si="28"/>
        <v>74</v>
      </c>
      <c r="B98" s="67" t="s">
        <v>324</v>
      </c>
      <c r="C98" s="66" t="s">
        <v>220</v>
      </c>
      <c r="D98" s="71">
        <v>1</v>
      </c>
      <c r="E98" s="179">
        <v>37079</v>
      </c>
      <c r="F98" s="105">
        <f t="shared" si="26"/>
        <v>37079</v>
      </c>
      <c r="G98" s="105">
        <f t="shared" si="27"/>
        <v>44494.8</v>
      </c>
    </row>
    <row r="99" spans="1:7" ht="30" x14ac:dyDescent="0.25">
      <c r="A99" s="66">
        <f t="shared" si="28"/>
        <v>75</v>
      </c>
      <c r="B99" s="67" t="s">
        <v>325</v>
      </c>
      <c r="C99" s="66" t="s">
        <v>220</v>
      </c>
      <c r="D99" s="71">
        <v>1</v>
      </c>
      <c r="E99" s="179">
        <v>36315</v>
      </c>
      <c r="F99" s="105">
        <f t="shared" si="26"/>
        <v>36315</v>
      </c>
      <c r="G99" s="105">
        <f t="shared" si="27"/>
        <v>43578</v>
      </c>
    </row>
    <row r="100" spans="1:7" ht="30" x14ac:dyDescent="0.25">
      <c r="A100" s="66">
        <f t="shared" si="28"/>
        <v>76</v>
      </c>
      <c r="B100" s="67" t="s">
        <v>326</v>
      </c>
      <c r="C100" s="66" t="s">
        <v>220</v>
      </c>
      <c r="D100" s="71">
        <v>1</v>
      </c>
      <c r="E100" s="179">
        <v>36315</v>
      </c>
      <c r="F100" s="105">
        <f t="shared" si="26"/>
        <v>36315</v>
      </c>
      <c r="G100" s="105">
        <f t="shared" si="27"/>
        <v>43578</v>
      </c>
    </row>
    <row r="101" spans="1:7" ht="30" x14ac:dyDescent="0.25">
      <c r="A101" s="66">
        <f t="shared" si="28"/>
        <v>77</v>
      </c>
      <c r="B101" s="67" t="s">
        <v>327</v>
      </c>
      <c r="C101" s="66" t="s">
        <v>220</v>
      </c>
      <c r="D101" s="71">
        <v>1</v>
      </c>
      <c r="E101" s="179">
        <v>36315</v>
      </c>
      <c r="F101" s="105">
        <f t="shared" si="26"/>
        <v>36315</v>
      </c>
      <c r="G101" s="105">
        <f t="shared" si="27"/>
        <v>43578</v>
      </c>
    </row>
    <row r="102" spans="1:7" ht="30" x14ac:dyDescent="0.25">
      <c r="A102" s="66">
        <f t="shared" si="28"/>
        <v>78</v>
      </c>
      <c r="B102" s="67" t="s">
        <v>328</v>
      </c>
      <c r="C102" s="66" t="s">
        <v>220</v>
      </c>
      <c r="D102" s="71">
        <v>1</v>
      </c>
      <c r="E102" s="179">
        <v>36315</v>
      </c>
      <c r="F102" s="105">
        <f t="shared" si="26"/>
        <v>36315</v>
      </c>
      <c r="G102" s="105">
        <f t="shared" si="27"/>
        <v>43578</v>
      </c>
    </row>
    <row r="103" spans="1:7" ht="30" x14ac:dyDescent="0.25">
      <c r="A103" s="66">
        <f t="shared" si="28"/>
        <v>79</v>
      </c>
      <c r="B103" s="67" t="s">
        <v>329</v>
      </c>
      <c r="C103" s="66" t="s">
        <v>220</v>
      </c>
      <c r="D103" s="71">
        <v>1</v>
      </c>
      <c r="E103" s="179">
        <v>36315</v>
      </c>
      <c r="F103" s="105">
        <f t="shared" si="26"/>
        <v>36315</v>
      </c>
      <c r="G103" s="105">
        <f t="shared" si="27"/>
        <v>43578</v>
      </c>
    </row>
    <row r="104" spans="1:7" ht="30" x14ac:dyDescent="0.25">
      <c r="A104" s="66">
        <f t="shared" si="28"/>
        <v>80</v>
      </c>
      <c r="B104" s="67" t="s">
        <v>330</v>
      </c>
      <c r="C104" s="66" t="s">
        <v>220</v>
      </c>
      <c r="D104" s="71">
        <v>1</v>
      </c>
      <c r="E104" s="179">
        <v>35552</v>
      </c>
      <c r="F104" s="105">
        <f t="shared" si="26"/>
        <v>35552</v>
      </c>
      <c r="G104" s="105">
        <f t="shared" si="27"/>
        <v>42662.400000000001</v>
      </c>
    </row>
    <row r="105" spans="1:7" ht="30" x14ac:dyDescent="0.25">
      <c r="A105" s="66">
        <f t="shared" si="28"/>
        <v>81</v>
      </c>
      <c r="B105" s="67" t="s">
        <v>331</v>
      </c>
      <c r="C105" s="66" t="s">
        <v>220</v>
      </c>
      <c r="D105" s="71">
        <v>1</v>
      </c>
      <c r="E105" s="179">
        <v>35552</v>
      </c>
      <c r="F105" s="105">
        <f t="shared" si="26"/>
        <v>35552</v>
      </c>
      <c r="G105" s="105">
        <f t="shared" si="27"/>
        <v>42662.400000000001</v>
      </c>
    </row>
    <row r="106" spans="1:7" ht="30" x14ac:dyDescent="0.25">
      <c r="A106" s="66">
        <f t="shared" si="28"/>
        <v>82</v>
      </c>
      <c r="B106" s="67" t="s">
        <v>332</v>
      </c>
      <c r="C106" s="66" t="s">
        <v>220</v>
      </c>
      <c r="D106" s="71">
        <v>1</v>
      </c>
      <c r="E106" s="179">
        <v>35552</v>
      </c>
      <c r="F106" s="105">
        <f t="shared" si="26"/>
        <v>35552</v>
      </c>
      <c r="G106" s="105">
        <f t="shared" si="27"/>
        <v>42662.400000000001</v>
      </c>
    </row>
    <row r="107" spans="1:7" ht="30" x14ac:dyDescent="0.25">
      <c r="A107" s="66">
        <f t="shared" si="28"/>
        <v>83</v>
      </c>
      <c r="B107" s="67" t="s">
        <v>333</v>
      </c>
      <c r="C107" s="66" t="s">
        <v>220</v>
      </c>
      <c r="D107" s="71">
        <v>26</v>
      </c>
      <c r="E107" s="179">
        <v>9509</v>
      </c>
      <c r="F107" s="105">
        <f t="shared" si="26"/>
        <v>247234</v>
      </c>
      <c r="G107" s="105">
        <f t="shared" si="27"/>
        <v>296680.8</v>
      </c>
    </row>
    <row r="108" spans="1:7" ht="15.75" x14ac:dyDescent="0.25">
      <c r="A108" s="66">
        <f t="shared" si="28"/>
        <v>84</v>
      </c>
      <c r="B108" s="67" t="s">
        <v>334</v>
      </c>
      <c r="C108" s="66" t="s">
        <v>254</v>
      </c>
      <c r="D108" s="71">
        <f>8*10</f>
        <v>80</v>
      </c>
      <c r="E108" s="179">
        <v>89</v>
      </c>
      <c r="F108" s="105">
        <f t="shared" si="26"/>
        <v>7120</v>
      </c>
      <c r="G108" s="105">
        <f t="shared" si="27"/>
        <v>8544</v>
      </c>
    </row>
    <row r="109" spans="1:7" ht="15.75" x14ac:dyDescent="0.25">
      <c r="A109" s="66">
        <f t="shared" si="28"/>
        <v>85</v>
      </c>
      <c r="B109" s="67" t="s">
        <v>335</v>
      </c>
      <c r="C109" s="66" t="s">
        <v>254</v>
      </c>
      <c r="D109" s="72">
        <v>8.1999999999999993</v>
      </c>
      <c r="E109" s="179">
        <v>89</v>
      </c>
      <c r="F109" s="105">
        <f t="shared" si="26"/>
        <v>729.8</v>
      </c>
      <c r="G109" s="105">
        <f t="shared" si="27"/>
        <v>875.76</v>
      </c>
    </row>
    <row r="110" spans="1:7" ht="15.75" x14ac:dyDescent="0.25">
      <c r="A110" s="66">
        <f t="shared" si="28"/>
        <v>86</v>
      </c>
      <c r="B110" s="67" t="s">
        <v>336</v>
      </c>
      <c r="C110" s="66" t="s">
        <v>194</v>
      </c>
      <c r="D110" s="77">
        <f>2.49*2*1.01</f>
        <v>5.0298000000000007</v>
      </c>
      <c r="E110" s="179">
        <v>4428</v>
      </c>
      <c r="F110" s="105">
        <f t="shared" si="26"/>
        <v>22271.95</v>
      </c>
      <c r="G110" s="105">
        <f t="shared" si="27"/>
        <v>26726.34</v>
      </c>
    </row>
    <row r="111" spans="1:7" ht="15.75" x14ac:dyDescent="0.25">
      <c r="A111" s="66">
        <f t="shared" si="28"/>
        <v>87</v>
      </c>
      <c r="B111" s="67" t="s">
        <v>337</v>
      </c>
      <c r="C111" s="66" t="s">
        <v>194</v>
      </c>
      <c r="D111" s="77">
        <f>2.29*2*1.01</f>
        <v>4.6257999999999999</v>
      </c>
      <c r="E111" s="179">
        <v>4428</v>
      </c>
      <c r="F111" s="105">
        <f t="shared" si="26"/>
        <v>20483.04</v>
      </c>
      <c r="G111" s="105">
        <f t="shared" si="27"/>
        <v>24579.65</v>
      </c>
    </row>
    <row r="112" spans="1:7" ht="15.75" x14ac:dyDescent="0.25">
      <c r="A112" s="66">
        <f t="shared" si="28"/>
        <v>88</v>
      </c>
      <c r="B112" s="80" t="s">
        <v>338</v>
      </c>
      <c r="C112" s="66" t="s">
        <v>254</v>
      </c>
      <c r="D112" s="76">
        <v>2.7519999999999998</v>
      </c>
      <c r="E112" s="179">
        <v>182</v>
      </c>
      <c r="F112" s="105">
        <f t="shared" si="26"/>
        <v>500.86</v>
      </c>
      <c r="G112" s="105">
        <f t="shared" si="27"/>
        <v>601.03</v>
      </c>
    </row>
    <row r="113" spans="1:7" ht="15.75" x14ac:dyDescent="0.25">
      <c r="A113" s="66">
        <f t="shared" si="28"/>
        <v>89</v>
      </c>
      <c r="B113" s="67" t="s">
        <v>339</v>
      </c>
      <c r="C113" s="66" t="s">
        <v>254</v>
      </c>
      <c r="D113" s="68">
        <v>1.29</v>
      </c>
      <c r="E113" s="179">
        <v>1376</v>
      </c>
      <c r="F113" s="105">
        <f t="shared" si="26"/>
        <v>1775.04</v>
      </c>
      <c r="G113" s="105">
        <f t="shared" si="27"/>
        <v>2130.0500000000002</v>
      </c>
    </row>
    <row r="114" spans="1:7" ht="30" x14ac:dyDescent="0.25">
      <c r="A114" s="66">
        <f t="shared" si="28"/>
        <v>90</v>
      </c>
      <c r="B114" s="67" t="s">
        <v>340</v>
      </c>
      <c r="C114" s="66" t="s">
        <v>254</v>
      </c>
      <c r="D114" s="68">
        <v>2.81</v>
      </c>
      <c r="E114" s="179">
        <v>660</v>
      </c>
      <c r="F114" s="105">
        <f t="shared" si="26"/>
        <v>1854.6</v>
      </c>
      <c r="G114" s="105">
        <f t="shared" si="27"/>
        <v>2225.52</v>
      </c>
    </row>
    <row r="115" spans="1:7" x14ac:dyDescent="0.25">
      <c r="A115" s="181"/>
      <c r="B115" s="414" t="s">
        <v>341</v>
      </c>
      <c r="C115" s="436"/>
      <c r="D115" s="436"/>
      <c r="E115" s="182"/>
      <c r="F115" s="183"/>
      <c r="G115" s="184"/>
    </row>
    <row r="116" spans="1:7" x14ac:dyDescent="0.25">
      <c r="A116" s="66"/>
      <c r="B116" s="62" t="s">
        <v>342</v>
      </c>
      <c r="C116" s="74"/>
      <c r="D116" s="75"/>
      <c r="E116" s="69"/>
      <c r="F116" s="70"/>
      <c r="G116" s="55"/>
    </row>
    <row r="117" spans="1:7" ht="15.75" x14ac:dyDescent="0.25">
      <c r="A117" s="66">
        <f>A114+1</f>
        <v>91</v>
      </c>
      <c r="B117" s="67" t="s">
        <v>343</v>
      </c>
      <c r="C117" s="66" t="s">
        <v>193</v>
      </c>
      <c r="D117" s="68">
        <v>7.36</v>
      </c>
      <c r="E117" s="179">
        <v>2635</v>
      </c>
      <c r="F117" s="105">
        <f t="shared" ref="F117:F143" si="29">ROUND(E117*D117,2)</f>
        <v>19393.599999999999</v>
      </c>
      <c r="G117" s="105">
        <f t="shared" ref="G117:G143" si="30">ROUND(F117*1.2,2)</f>
        <v>23272.32</v>
      </c>
    </row>
    <row r="118" spans="1:7" ht="15.75" x14ac:dyDescent="0.25">
      <c r="A118" s="66">
        <f t="shared" ref="A118:A143" si="31">A117+1</f>
        <v>92</v>
      </c>
      <c r="B118" s="67" t="s">
        <v>344</v>
      </c>
      <c r="C118" s="74" t="s">
        <v>220</v>
      </c>
      <c r="D118" s="71">
        <v>26</v>
      </c>
      <c r="E118" s="179">
        <v>12650.000000000002</v>
      </c>
      <c r="F118" s="105">
        <f t="shared" si="29"/>
        <v>328900</v>
      </c>
      <c r="G118" s="105">
        <f t="shared" si="30"/>
        <v>394680</v>
      </c>
    </row>
    <row r="119" spans="1:7" ht="15.75" x14ac:dyDescent="0.25">
      <c r="A119" s="66">
        <f t="shared" si="31"/>
        <v>93</v>
      </c>
      <c r="B119" s="67" t="s">
        <v>345</v>
      </c>
      <c r="C119" s="74" t="s">
        <v>220</v>
      </c>
      <c r="D119" s="71">
        <v>27</v>
      </c>
      <c r="E119" s="179">
        <v>4006</v>
      </c>
      <c r="F119" s="105">
        <f t="shared" si="29"/>
        <v>108162</v>
      </c>
      <c r="G119" s="105">
        <f t="shared" si="30"/>
        <v>129794.4</v>
      </c>
    </row>
    <row r="120" spans="1:7" ht="15.75" x14ac:dyDescent="0.25">
      <c r="A120" s="66">
        <f t="shared" si="31"/>
        <v>94</v>
      </c>
      <c r="B120" s="67" t="s">
        <v>346</v>
      </c>
      <c r="C120" s="74" t="s">
        <v>193</v>
      </c>
      <c r="D120" s="76">
        <f>2.5*1.014</f>
        <v>2.5350000000000001</v>
      </c>
      <c r="E120" s="179">
        <v>5587</v>
      </c>
      <c r="F120" s="105">
        <f t="shared" si="29"/>
        <v>14163.05</v>
      </c>
      <c r="G120" s="105">
        <f t="shared" si="30"/>
        <v>16995.66</v>
      </c>
    </row>
    <row r="121" spans="1:7" ht="15.75" x14ac:dyDescent="0.25">
      <c r="A121" s="66">
        <f t="shared" si="31"/>
        <v>95</v>
      </c>
      <c r="B121" s="67" t="s">
        <v>347</v>
      </c>
      <c r="C121" s="74" t="s">
        <v>220</v>
      </c>
      <c r="D121" s="71">
        <v>646</v>
      </c>
      <c r="E121" s="179">
        <v>15</v>
      </c>
      <c r="F121" s="105">
        <f t="shared" si="29"/>
        <v>9690</v>
      </c>
      <c r="G121" s="105">
        <f t="shared" si="30"/>
        <v>11628</v>
      </c>
    </row>
    <row r="122" spans="1:7" ht="21.75" customHeight="1" x14ac:dyDescent="0.25">
      <c r="A122" s="66">
        <f t="shared" si="31"/>
        <v>96</v>
      </c>
      <c r="B122" s="67" t="s">
        <v>348</v>
      </c>
      <c r="C122" s="66" t="s">
        <v>193</v>
      </c>
      <c r="D122" s="76">
        <v>0.40799999999999997</v>
      </c>
      <c r="E122" s="179">
        <v>4428</v>
      </c>
      <c r="F122" s="105">
        <f t="shared" si="29"/>
        <v>1806.62</v>
      </c>
      <c r="G122" s="105">
        <f t="shared" si="30"/>
        <v>2167.94</v>
      </c>
    </row>
    <row r="123" spans="1:7" ht="15.75" x14ac:dyDescent="0.25">
      <c r="A123" s="66">
        <f t="shared" si="31"/>
        <v>97</v>
      </c>
      <c r="B123" s="67" t="s">
        <v>349</v>
      </c>
      <c r="C123" s="74" t="s">
        <v>254</v>
      </c>
      <c r="D123" s="77">
        <f>8.0784+1.12192</f>
        <v>9.2003199999999996</v>
      </c>
      <c r="E123" s="179">
        <v>440</v>
      </c>
      <c r="F123" s="105">
        <f t="shared" si="29"/>
        <v>4048.14</v>
      </c>
      <c r="G123" s="105">
        <f t="shared" si="30"/>
        <v>4857.7700000000004</v>
      </c>
    </row>
    <row r="124" spans="1:7" ht="15.75" x14ac:dyDescent="0.25">
      <c r="A124" s="66">
        <f t="shared" si="31"/>
        <v>98</v>
      </c>
      <c r="B124" s="67" t="s">
        <v>350</v>
      </c>
      <c r="C124" s="74" t="s">
        <v>254</v>
      </c>
      <c r="D124" s="76">
        <f>121.176+0.018288</f>
        <v>121.194288</v>
      </c>
      <c r="E124" s="179">
        <v>41</v>
      </c>
      <c r="F124" s="105">
        <f t="shared" si="29"/>
        <v>4968.97</v>
      </c>
      <c r="G124" s="105">
        <f t="shared" si="30"/>
        <v>5962.76</v>
      </c>
    </row>
    <row r="125" spans="1:7" ht="15.75" x14ac:dyDescent="0.25">
      <c r="A125" s="66">
        <f t="shared" si="31"/>
        <v>99</v>
      </c>
      <c r="B125" s="67" t="s">
        <v>351</v>
      </c>
      <c r="C125" s="74" t="s">
        <v>193</v>
      </c>
      <c r="D125" s="81">
        <v>1.45738E-2</v>
      </c>
      <c r="E125" s="179">
        <v>5693</v>
      </c>
      <c r="F125" s="105">
        <f t="shared" si="29"/>
        <v>82.97</v>
      </c>
      <c r="G125" s="105">
        <f t="shared" si="30"/>
        <v>99.56</v>
      </c>
    </row>
    <row r="126" spans="1:7" ht="30" x14ac:dyDescent="0.25">
      <c r="A126" s="66">
        <f t="shared" si="31"/>
        <v>100</v>
      </c>
      <c r="B126" s="67" t="s">
        <v>262</v>
      </c>
      <c r="C126" s="66" t="s">
        <v>243</v>
      </c>
      <c r="D126" s="71">
        <v>1</v>
      </c>
      <c r="E126" s="189">
        <v>5500</v>
      </c>
      <c r="F126" s="105">
        <f t="shared" si="29"/>
        <v>5500</v>
      </c>
      <c r="G126" s="105">
        <f t="shared" si="30"/>
        <v>6600</v>
      </c>
    </row>
    <row r="127" spans="1:7" ht="15.75" x14ac:dyDescent="0.25">
      <c r="A127" s="66"/>
      <c r="B127" s="62" t="s">
        <v>352</v>
      </c>
      <c r="C127" s="74"/>
      <c r="D127" s="75"/>
      <c r="E127" s="189"/>
      <c r="F127" s="105"/>
      <c r="G127" s="105"/>
    </row>
    <row r="128" spans="1:7" ht="16.5" customHeight="1" x14ac:dyDescent="0.25">
      <c r="A128" s="66">
        <f>A126+1</f>
        <v>101</v>
      </c>
      <c r="B128" s="67" t="s">
        <v>353</v>
      </c>
      <c r="C128" s="66" t="s">
        <v>254</v>
      </c>
      <c r="D128" s="76">
        <f>255*1.314</f>
        <v>335.07</v>
      </c>
      <c r="E128" s="179">
        <v>89</v>
      </c>
      <c r="F128" s="105">
        <f t="shared" si="29"/>
        <v>29821.23</v>
      </c>
      <c r="G128" s="105">
        <f t="shared" si="30"/>
        <v>35785.480000000003</v>
      </c>
    </row>
    <row r="129" spans="1:7" ht="16.5" customHeight="1" x14ac:dyDescent="0.25">
      <c r="A129" s="66">
        <f t="shared" si="31"/>
        <v>102</v>
      </c>
      <c r="B129" s="67" t="s">
        <v>354</v>
      </c>
      <c r="C129" s="66" t="s">
        <v>254</v>
      </c>
      <c r="D129" s="76">
        <f>255*1.067</f>
        <v>272.08499999999998</v>
      </c>
      <c r="E129" s="179">
        <v>89</v>
      </c>
      <c r="F129" s="105">
        <f t="shared" si="29"/>
        <v>24215.57</v>
      </c>
      <c r="G129" s="105">
        <f t="shared" si="30"/>
        <v>29058.68</v>
      </c>
    </row>
    <row r="130" spans="1:7" ht="16.5" customHeight="1" x14ac:dyDescent="0.25">
      <c r="A130" s="66">
        <f t="shared" si="31"/>
        <v>103</v>
      </c>
      <c r="B130" s="67" t="s">
        <v>355</v>
      </c>
      <c r="C130" s="66" t="s">
        <v>254</v>
      </c>
      <c r="D130" s="76">
        <f>512*0.716</f>
        <v>366.59199999999998</v>
      </c>
      <c r="E130" s="179">
        <v>89</v>
      </c>
      <c r="F130" s="105">
        <f t="shared" si="29"/>
        <v>32626.69</v>
      </c>
      <c r="G130" s="105">
        <f t="shared" si="30"/>
        <v>39152.03</v>
      </c>
    </row>
    <row r="131" spans="1:7" ht="16.5" customHeight="1" x14ac:dyDescent="0.25">
      <c r="A131" s="66">
        <f t="shared" si="31"/>
        <v>104</v>
      </c>
      <c r="B131" s="67" t="s">
        <v>356</v>
      </c>
      <c r="C131" s="66" t="s">
        <v>254</v>
      </c>
      <c r="D131" s="76">
        <f>12*4.911</f>
        <v>58.931999999999995</v>
      </c>
      <c r="E131" s="179">
        <v>89</v>
      </c>
      <c r="F131" s="105">
        <f t="shared" si="29"/>
        <v>5244.95</v>
      </c>
      <c r="G131" s="105">
        <f t="shared" si="30"/>
        <v>6293.94</v>
      </c>
    </row>
    <row r="132" spans="1:7" ht="16.5" customHeight="1" x14ac:dyDescent="0.25">
      <c r="A132" s="66">
        <f t="shared" si="31"/>
        <v>105</v>
      </c>
      <c r="B132" s="67" t="s">
        <v>357</v>
      </c>
      <c r="C132" s="66" t="s">
        <v>254</v>
      </c>
      <c r="D132" s="76">
        <f>14*4.294</f>
        <v>60.115999999999993</v>
      </c>
      <c r="E132" s="179">
        <v>89</v>
      </c>
      <c r="F132" s="105">
        <f t="shared" si="29"/>
        <v>5350.32</v>
      </c>
      <c r="G132" s="105">
        <f t="shared" si="30"/>
        <v>6420.38</v>
      </c>
    </row>
    <row r="133" spans="1:7" ht="16.5" customHeight="1" x14ac:dyDescent="0.25">
      <c r="A133" s="66">
        <f t="shared" si="31"/>
        <v>106</v>
      </c>
      <c r="B133" s="67" t="s">
        <v>358</v>
      </c>
      <c r="C133" s="66" t="s">
        <v>254</v>
      </c>
      <c r="D133" s="76">
        <f>1200*0.617</f>
        <v>740.4</v>
      </c>
      <c r="E133" s="179">
        <v>89</v>
      </c>
      <c r="F133" s="105">
        <f t="shared" si="29"/>
        <v>65895.600000000006</v>
      </c>
      <c r="G133" s="105">
        <f t="shared" si="30"/>
        <v>79074.720000000001</v>
      </c>
    </row>
    <row r="134" spans="1:7" ht="16.5" customHeight="1" x14ac:dyDescent="0.25">
      <c r="A134" s="66">
        <f t="shared" si="31"/>
        <v>107</v>
      </c>
      <c r="B134" s="67" t="s">
        <v>359</v>
      </c>
      <c r="C134" s="66" t="s">
        <v>254</v>
      </c>
      <c r="D134" s="76">
        <f>134*0.558</f>
        <v>74.772000000000006</v>
      </c>
      <c r="E134" s="179">
        <v>89</v>
      </c>
      <c r="F134" s="105">
        <f t="shared" si="29"/>
        <v>6654.71</v>
      </c>
      <c r="G134" s="105">
        <f t="shared" si="30"/>
        <v>7985.65</v>
      </c>
    </row>
    <row r="135" spans="1:7" ht="16.5" customHeight="1" x14ac:dyDescent="0.25">
      <c r="A135" s="66">
        <f t="shared" si="31"/>
        <v>108</v>
      </c>
      <c r="B135" s="67" t="s">
        <v>360</v>
      </c>
      <c r="C135" s="66" t="s">
        <v>254</v>
      </c>
      <c r="D135" s="76">
        <f>256*0.546</f>
        <v>139.77600000000001</v>
      </c>
      <c r="E135" s="179">
        <v>89</v>
      </c>
      <c r="F135" s="105">
        <f t="shared" si="29"/>
        <v>12440.06</v>
      </c>
      <c r="G135" s="105">
        <f t="shared" si="30"/>
        <v>14928.07</v>
      </c>
    </row>
    <row r="136" spans="1:7" ht="16.5" customHeight="1" x14ac:dyDescent="0.25">
      <c r="A136" s="66">
        <f t="shared" si="31"/>
        <v>109</v>
      </c>
      <c r="B136" s="67" t="s">
        <v>361</v>
      </c>
      <c r="C136" s="66" t="s">
        <v>254</v>
      </c>
      <c r="D136" s="76">
        <f>510*0.552</f>
        <v>281.52000000000004</v>
      </c>
      <c r="E136" s="179">
        <v>89</v>
      </c>
      <c r="F136" s="105">
        <f t="shared" si="29"/>
        <v>25055.279999999999</v>
      </c>
      <c r="G136" s="105">
        <f t="shared" si="30"/>
        <v>30066.34</v>
      </c>
    </row>
    <row r="137" spans="1:7" ht="16.5" customHeight="1" x14ac:dyDescent="0.25">
      <c r="A137" s="66">
        <f t="shared" si="31"/>
        <v>110</v>
      </c>
      <c r="B137" s="67" t="s">
        <v>362</v>
      </c>
      <c r="C137" s="66" t="s">
        <v>254</v>
      </c>
      <c r="D137" s="76">
        <f>265*0.518</f>
        <v>137.27000000000001</v>
      </c>
      <c r="E137" s="179">
        <v>89</v>
      </c>
      <c r="F137" s="105">
        <f t="shared" si="29"/>
        <v>12217.03</v>
      </c>
      <c r="G137" s="105">
        <f t="shared" si="30"/>
        <v>14660.44</v>
      </c>
    </row>
    <row r="138" spans="1:7" ht="16.5" customHeight="1" x14ac:dyDescent="0.25">
      <c r="A138" s="66">
        <f t="shared" si="31"/>
        <v>111</v>
      </c>
      <c r="B138" s="67" t="s">
        <v>363</v>
      </c>
      <c r="C138" s="66" t="s">
        <v>254</v>
      </c>
      <c r="D138" s="76">
        <f>177*0.099</f>
        <v>17.523</v>
      </c>
      <c r="E138" s="179">
        <v>70</v>
      </c>
      <c r="F138" s="105">
        <f t="shared" si="29"/>
        <v>1226.6099999999999</v>
      </c>
      <c r="G138" s="105">
        <f t="shared" si="30"/>
        <v>1471.93</v>
      </c>
    </row>
    <row r="139" spans="1:7" ht="15.75" x14ac:dyDescent="0.25">
      <c r="A139" s="66">
        <f t="shared" si="31"/>
        <v>112</v>
      </c>
      <c r="B139" s="67" t="s">
        <v>259</v>
      </c>
      <c r="C139" s="66" t="s">
        <v>193</v>
      </c>
      <c r="D139" s="77">
        <f>25.7*1.015</f>
        <v>26.085499999999996</v>
      </c>
      <c r="E139" s="179">
        <v>6114</v>
      </c>
      <c r="F139" s="105">
        <f t="shared" si="29"/>
        <v>159486.75</v>
      </c>
      <c r="G139" s="105">
        <f t="shared" si="30"/>
        <v>191384.1</v>
      </c>
    </row>
    <row r="140" spans="1:7" ht="15.75" x14ac:dyDescent="0.25">
      <c r="A140" s="66">
        <f t="shared" si="31"/>
        <v>113</v>
      </c>
      <c r="B140" s="67" t="s">
        <v>260</v>
      </c>
      <c r="C140" s="66" t="s">
        <v>193</v>
      </c>
      <c r="D140" s="76">
        <f>7.3*1.02</f>
        <v>7.4459999999999997</v>
      </c>
      <c r="E140" s="179">
        <v>5060</v>
      </c>
      <c r="F140" s="105">
        <f t="shared" si="29"/>
        <v>37676.76</v>
      </c>
      <c r="G140" s="105">
        <f t="shared" si="30"/>
        <v>45212.11</v>
      </c>
    </row>
    <row r="141" spans="1:7" ht="15.75" x14ac:dyDescent="0.25">
      <c r="A141" s="66">
        <f t="shared" si="31"/>
        <v>114</v>
      </c>
      <c r="B141" s="67" t="s">
        <v>349</v>
      </c>
      <c r="C141" s="74" t="s">
        <v>254</v>
      </c>
      <c r="D141" s="76">
        <v>43.064</v>
      </c>
      <c r="E141" s="179">
        <v>440</v>
      </c>
      <c r="F141" s="105">
        <f t="shared" si="29"/>
        <v>18948.16</v>
      </c>
      <c r="G141" s="105">
        <f t="shared" si="30"/>
        <v>22737.79</v>
      </c>
    </row>
    <row r="142" spans="1:7" ht="15.75" x14ac:dyDescent="0.25">
      <c r="A142" s="66">
        <f t="shared" si="31"/>
        <v>115</v>
      </c>
      <c r="B142" s="67" t="s">
        <v>350</v>
      </c>
      <c r="C142" s="74" t="s">
        <v>254</v>
      </c>
      <c r="D142" s="68">
        <v>645.96</v>
      </c>
      <c r="E142" s="179">
        <v>41</v>
      </c>
      <c r="F142" s="105">
        <f t="shared" si="29"/>
        <v>26484.36</v>
      </c>
      <c r="G142" s="105">
        <f t="shared" si="30"/>
        <v>31781.23</v>
      </c>
    </row>
    <row r="143" spans="1:7" ht="30" x14ac:dyDescent="0.25">
      <c r="A143" s="66">
        <f t="shared" si="31"/>
        <v>116</v>
      </c>
      <c r="B143" s="67" t="s">
        <v>262</v>
      </c>
      <c r="C143" s="66" t="s">
        <v>243</v>
      </c>
      <c r="D143" s="71">
        <v>1</v>
      </c>
      <c r="E143" s="189">
        <v>55000.000000000007</v>
      </c>
      <c r="F143" s="105">
        <f t="shared" si="29"/>
        <v>55000</v>
      </c>
      <c r="G143" s="105">
        <f t="shared" si="30"/>
        <v>66000</v>
      </c>
    </row>
    <row r="144" spans="1:7" x14ac:dyDescent="0.25">
      <c r="A144" s="185"/>
      <c r="B144" s="414" t="s">
        <v>364</v>
      </c>
      <c r="C144" s="436"/>
      <c r="D144" s="436"/>
      <c r="E144" s="186"/>
      <c r="F144" s="187"/>
      <c r="G144" s="188"/>
    </row>
    <row r="145" spans="1:8" ht="21" customHeight="1" x14ac:dyDescent="0.25">
      <c r="A145" s="66"/>
      <c r="B145" s="62" t="s">
        <v>365</v>
      </c>
      <c r="C145" s="74"/>
      <c r="D145" s="75"/>
      <c r="E145" s="69"/>
      <c r="F145" s="70"/>
      <c r="G145" s="55"/>
    </row>
    <row r="146" spans="1:8" ht="20.25" customHeight="1" x14ac:dyDescent="0.25">
      <c r="A146" s="66">
        <f>A143+1</f>
        <v>117</v>
      </c>
      <c r="B146" s="67" t="s">
        <v>366</v>
      </c>
      <c r="C146" s="66" t="s">
        <v>193</v>
      </c>
      <c r="D146" s="71">
        <v>281</v>
      </c>
      <c r="E146" s="179">
        <v>1581</v>
      </c>
      <c r="F146" s="105">
        <f t="shared" ref="F146:F150" si="32">ROUND(E146*D146,2)</f>
        <v>444261</v>
      </c>
      <c r="G146" s="105">
        <f t="shared" ref="G146:G150" si="33">ROUND(F146*1.2,2)</f>
        <v>533113.19999999995</v>
      </c>
    </row>
    <row r="147" spans="1:8" ht="20.25" customHeight="1" x14ac:dyDescent="0.25">
      <c r="A147" s="66">
        <f>A146+1</f>
        <v>118</v>
      </c>
      <c r="B147" s="67" t="s">
        <v>367</v>
      </c>
      <c r="C147" s="74" t="s">
        <v>193</v>
      </c>
      <c r="D147" s="68">
        <v>141.69999999999999</v>
      </c>
      <c r="E147" s="179">
        <v>4006</v>
      </c>
      <c r="F147" s="105">
        <f t="shared" si="32"/>
        <v>567650.19999999995</v>
      </c>
      <c r="G147" s="105">
        <f t="shared" si="33"/>
        <v>681180.24</v>
      </c>
    </row>
    <row r="148" spans="1:8" ht="15.75" x14ac:dyDescent="0.25">
      <c r="A148" s="66">
        <f t="shared" ref="A148:A150" si="34">A147+1</f>
        <v>119</v>
      </c>
      <c r="B148" s="67" t="s">
        <v>368</v>
      </c>
      <c r="C148" s="74" t="s">
        <v>193</v>
      </c>
      <c r="D148" s="68">
        <v>71.5</v>
      </c>
      <c r="E148" s="179">
        <v>4428</v>
      </c>
      <c r="F148" s="105">
        <f t="shared" si="32"/>
        <v>316602</v>
      </c>
      <c r="G148" s="105">
        <f t="shared" si="33"/>
        <v>379922.4</v>
      </c>
    </row>
    <row r="149" spans="1:8" ht="19.5" customHeight="1" x14ac:dyDescent="0.25">
      <c r="A149" s="66">
        <f t="shared" si="34"/>
        <v>120</v>
      </c>
      <c r="B149" s="67" t="s">
        <v>369</v>
      </c>
      <c r="C149" s="66" t="s">
        <v>239</v>
      </c>
      <c r="D149" s="68">
        <v>104.8</v>
      </c>
      <c r="E149" s="179">
        <v>4638</v>
      </c>
      <c r="F149" s="105">
        <f t="shared" si="32"/>
        <v>486062.4</v>
      </c>
      <c r="G149" s="105">
        <f t="shared" si="33"/>
        <v>583274.88</v>
      </c>
    </row>
    <row r="150" spans="1:8" ht="15.75" x14ac:dyDescent="0.25">
      <c r="A150" s="66">
        <f t="shared" si="34"/>
        <v>121</v>
      </c>
      <c r="B150" s="67" t="s">
        <v>370</v>
      </c>
      <c r="C150" s="66" t="s">
        <v>239</v>
      </c>
      <c r="D150" s="68">
        <v>1.4</v>
      </c>
      <c r="E150" s="179">
        <v>26354</v>
      </c>
      <c r="F150" s="105">
        <f t="shared" si="32"/>
        <v>36895.599999999999</v>
      </c>
      <c r="G150" s="105">
        <f t="shared" si="33"/>
        <v>44274.720000000001</v>
      </c>
    </row>
    <row r="151" spans="1:8" ht="15.75" x14ac:dyDescent="0.25">
      <c r="A151" s="224"/>
      <c r="B151" s="225" t="s">
        <v>927</v>
      </c>
      <c r="C151" s="226"/>
      <c r="D151" s="227"/>
      <c r="E151" s="228"/>
      <c r="F151" s="229"/>
      <c r="G151" s="229"/>
      <c r="H151" s="52"/>
    </row>
    <row r="152" spans="1:8" ht="15.75" x14ac:dyDescent="0.25">
      <c r="A152" s="224">
        <f>A150+1</f>
        <v>122</v>
      </c>
      <c r="B152" s="230" t="s">
        <v>930</v>
      </c>
      <c r="C152" s="224" t="s">
        <v>220</v>
      </c>
      <c r="D152" s="227">
        <v>3</v>
      </c>
      <c r="E152" s="228"/>
      <c r="F152" s="229">
        <f t="shared" ref="F152:F153" si="35">ROUND(E152*D152,2)</f>
        <v>0</v>
      </c>
      <c r="G152" s="229">
        <f t="shared" ref="G152:G153" si="36">ROUND(F152*1.2,2)</f>
        <v>0</v>
      </c>
      <c r="H152" s="52"/>
    </row>
    <row r="153" spans="1:8" ht="15.75" x14ac:dyDescent="0.25">
      <c r="A153" s="224">
        <f>A152+1</f>
        <v>123</v>
      </c>
      <c r="B153" s="230" t="s">
        <v>931</v>
      </c>
      <c r="C153" s="224" t="s">
        <v>220</v>
      </c>
      <c r="D153" s="227">
        <v>3</v>
      </c>
      <c r="E153" s="228"/>
      <c r="F153" s="229">
        <f t="shared" si="35"/>
        <v>0</v>
      </c>
      <c r="G153" s="229">
        <f t="shared" si="36"/>
        <v>0</v>
      </c>
      <c r="H153" s="52"/>
    </row>
    <row r="154" spans="1:8" ht="19.5" customHeight="1" x14ac:dyDescent="0.25">
      <c r="A154" s="66"/>
      <c r="B154" s="62" t="s">
        <v>371</v>
      </c>
      <c r="C154" s="74"/>
      <c r="D154" s="68"/>
      <c r="E154" s="179"/>
      <c r="F154" s="70"/>
      <c r="G154" s="55"/>
    </row>
    <row r="155" spans="1:8" ht="18.75" customHeight="1" x14ac:dyDescent="0.25">
      <c r="A155" s="66">
        <f>A153+1</f>
        <v>124</v>
      </c>
      <c r="B155" s="67" t="s">
        <v>372</v>
      </c>
      <c r="C155" s="74" t="s">
        <v>254</v>
      </c>
      <c r="D155" s="68">
        <v>1.3</v>
      </c>
      <c r="E155" s="179">
        <v>486</v>
      </c>
      <c r="F155" s="105">
        <f t="shared" ref="F155:F158" si="37">ROUND(E155*D155,2)</f>
        <v>631.79999999999995</v>
      </c>
      <c r="G155" s="105">
        <f t="shared" ref="G155:G182" si="38">ROUND(F155*1.2,2)</f>
        <v>758.16</v>
      </c>
    </row>
    <row r="156" spans="1:8" ht="18.75" customHeight="1" x14ac:dyDescent="0.25">
      <c r="A156" s="66">
        <f>A155+1</f>
        <v>125</v>
      </c>
      <c r="B156" s="67" t="s">
        <v>373</v>
      </c>
      <c r="C156" s="74" t="s">
        <v>254</v>
      </c>
      <c r="D156" s="68">
        <v>1</v>
      </c>
      <c r="E156" s="179">
        <v>648</v>
      </c>
      <c r="F156" s="105">
        <f t="shared" si="37"/>
        <v>648</v>
      </c>
      <c r="G156" s="105">
        <f t="shared" si="38"/>
        <v>777.6</v>
      </c>
    </row>
    <row r="157" spans="1:8" ht="18.75" customHeight="1" x14ac:dyDescent="0.25">
      <c r="A157" s="66">
        <f t="shared" ref="A157:A158" si="39">A156+1</f>
        <v>126</v>
      </c>
      <c r="B157" s="67" t="s">
        <v>374</v>
      </c>
      <c r="C157" s="74" t="s">
        <v>254</v>
      </c>
      <c r="D157" s="68">
        <v>0.9</v>
      </c>
      <c r="E157" s="179">
        <v>1265</v>
      </c>
      <c r="F157" s="105">
        <f t="shared" si="37"/>
        <v>1138.5</v>
      </c>
      <c r="G157" s="105">
        <f t="shared" si="38"/>
        <v>1366.2</v>
      </c>
    </row>
    <row r="158" spans="1:8" ht="30" x14ac:dyDescent="0.25">
      <c r="A158" s="66">
        <f t="shared" si="39"/>
        <v>127</v>
      </c>
      <c r="B158" s="67" t="s">
        <v>262</v>
      </c>
      <c r="C158" s="66" t="s">
        <v>243</v>
      </c>
      <c r="D158" s="71">
        <v>1</v>
      </c>
      <c r="E158" s="189">
        <v>22000</v>
      </c>
      <c r="F158" s="105">
        <f t="shared" si="37"/>
        <v>22000</v>
      </c>
      <c r="G158" s="105">
        <f t="shared" si="38"/>
        <v>26400</v>
      </c>
    </row>
    <row r="159" spans="1:8" ht="22.5" customHeight="1" x14ac:dyDescent="0.25">
      <c r="A159" s="181"/>
      <c r="B159" s="414" t="s">
        <v>375</v>
      </c>
      <c r="C159" s="436"/>
      <c r="D159" s="436"/>
      <c r="E159" s="182"/>
      <c r="F159" s="183"/>
      <c r="G159" s="184"/>
    </row>
    <row r="160" spans="1:8" ht="30" x14ac:dyDescent="0.25">
      <c r="A160" s="66">
        <f>A158+1</f>
        <v>128</v>
      </c>
      <c r="B160" s="67" t="s">
        <v>376</v>
      </c>
      <c r="C160" s="74" t="s">
        <v>194</v>
      </c>
      <c r="D160" s="71">
        <v>29</v>
      </c>
      <c r="E160" s="179">
        <v>4301</v>
      </c>
      <c r="F160" s="105">
        <f t="shared" ref="F160:F182" si="40">ROUND(E160*D160,2)</f>
        <v>124729</v>
      </c>
      <c r="G160" s="105">
        <f t="shared" si="38"/>
        <v>149674.79999999999</v>
      </c>
    </row>
    <row r="161" spans="1:7" ht="30" x14ac:dyDescent="0.25">
      <c r="A161" s="66">
        <f>A160+1</f>
        <v>129</v>
      </c>
      <c r="B161" s="67" t="s">
        <v>377</v>
      </c>
      <c r="C161" s="74" t="s">
        <v>194</v>
      </c>
      <c r="D161" s="68">
        <f>27*1.01</f>
        <v>27.27</v>
      </c>
      <c r="E161" s="179">
        <v>7337.0000000000009</v>
      </c>
      <c r="F161" s="105">
        <f t="shared" si="40"/>
        <v>200079.99</v>
      </c>
      <c r="G161" s="105">
        <f t="shared" si="38"/>
        <v>240095.99</v>
      </c>
    </row>
    <row r="162" spans="1:7" ht="15.75" x14ac:dyDescent="0.25">
      <c r="A162" s="66">
        <f t="shared" ref="A162:A182" si="41">A161+1</f>
        <v>130</v>
      </c>
      <c r="B162" s="67" t="s">
        <v>378</v>
      </c>
      <c r="C162" s="74" t="s">
        <v>220</v>
      </c>
      <c r="D162" s="71">
        <v>1</v>
      </c>
      <c r="E162" s="179">
        <v>10753</v>
      </c>
      <c r="F162" s="105">
        <f t="shared" si="40"/>
        <v>10753</v>
      </c>
      <c r="G162" s="105">
        <f t="shared" si="38"/>
        <v>12903.6</v>
      </c>
    </row>
    <row r="163" spans="1:7" ht="15.75" x14ac:dyDescent="0.25">
      <c r="A163" s="66">
        <f t="shared" si="41"/>
        <v>131</v>
      </c>
      <c r="B163" s="67" t="s">
        <v>379</v>
      </c>
      <c r="C163" s="74" t="s">
        <v>220</v>
      </c>
      <c r="D163" s="71">
        <v>1</v>
      </c>
      <c r="E163" s="179">
        <v>11385.000000000002</v>
      </c>
      <c r="F163" s="105">
        <f t="shared" si="40"/>
        <v>11385</v>
      </c>
      <c r="G163" s="105">
        <f t="shared" si="38"/>
        <v>13662</v>
      </c>
    </row>
    <row r="164" spans="1:7" ht="15.75" x14ac:dyDescent="0.25">
      <c r="A164" s="66">
        <f t="shared" si="41"/>
        <v>132</v>
      </c>
      <c r="B164" s="67" t="s">
        <v>380</v>
      </c>
      <c r="C164" s="74" t="s">
        <v>220</v>
      </c>
      <c r="D164" s="71">
        <v>1</v>
      </c>
      <c r="E164" s="179">
        <v>10247</v>
      </c>
      <c r="F164" s="105">
        <f t="shared" si="40"/>
        <v>10247</v>
      </c>
      <c r="G164" s="105">
        <f t="shared" si="38"/>
        <v>12296.4</v>
      </c>
    </row>
    <row r="165" spans="1:7" ht="15.75" x14ac:dyDescent="0.25">
      <c r="A165" s="66">
        <f t="shared" si="41"/>
        <v>133</v>
      </c>
      <c r="B165" s="67" t="s">
        <v>381</v>
      </c>
      <c r="C165" s="74" t="s">
        <v>220</v>
      </c>
      <c r="D165" s="71">
        <v>3</v>
      </c>
      <c r="E165" s="179">
        <v>11006</v>
      </c>
      <c r="F165" s="105">
        <f t="shared" si="40"/>
        <v>33018</v>
      </c>
      <c r="G165" s="105">
        <f t="shared" si="38"/>
        <v>39621.599999999999</v>
      </c>
    </row>
    <row r="166" spans="1:7" ht="15.75" x14ac:dyDescent="0.25">
      <c r="A166" s="66">
        <f t="shared" si="41"/>
        <v>134</v>
      </c>
      <c r="B166" s="67" t="s">
        <v>382</v>
      </c>
      <c r="C166" s="74" t="s">
        <v>220</v>
      </c>
      <c r="D166" s="71">
        <v>1</v>
      </c>
      <c r="E166" s="179">
        <v>6199</v>
      </c>
      <c r="F166" s="105">
        <f t="shared" si="40"/>
        <v>6199</v>
      </c>
      <c r="G166" s="105">
        <f t="shared" si="38"/>
        <v>7438.8</v>
      </c>
    </row>
    <row r="167" spans="1:7" ht="15.75" x14ac:dyDescent="0.25">
      <c r="A167" s="66">
        <f t="shared" si="41"/>
        <v>135</v>
      </c>
      <c r="B167" s="67" t="s">
        <v>383</v>
      </c>
      <c r="C167" s="74" t="s">
        <v>220</v>
      </c>
      <c r="D167" s="71">
        <v>1</v>
      </c>
      <c r="E167" s="179">
        <v>15180.000000000002</v>
      </c>
      <c r="F167" s="105">
        <f t="shared" si="40"/>
        <v>15180</v>
      </c>
      <c r="G167" s="105">
        <f t="shared" si="38"/>
        <v>18216</v>
      </c>
    </row>
    <row r="168" spans="1:7" ht="45" x14ac:dyDescent="0.25">
      <c r="A168" s="66">
        <f t="shared" si="41"/>
        <v>136</v>
      </c>
      <c r="B168" s="67" t="s">
        <v>384</v>
      </c>
      <c r="C168" s="74" t="s">
        <v>220</v>
      </c>
      <c r="D168" s="71">
        <v>1</v>
      </c>
      <c r="E168" s="179">
        <v>3669</v>
      </c>
      <c r="F168" s="105">
        <f t="shared" si="40"/>
        <v>3669</v>
      </c>
      <c r="G168" s="105">
        <f t="shared" si="38"/>
        <v>4402.8</v>
      </c>
    </row>
    <row r="169" spans="1:7" ht="30" x14ac:dyDescent="0.25">
      <c r="A169" s="66">
        <f t="shared" si="41"/>
        <v>137</v>
      </c>
      <c r="B169" s="67" t="s">
        <v>385</v>
      </c>
      <c r="C169" s="74" t="s">
        <v>254</v>
      </c>
      <c r="D169" s="68">
        <v>16.13</v>
      </c>
      <c r="E169" s="179">
        <v>702</v>
      </c>
      <c r="F169" s="105">
        <f t="shared" si="40"/>
        <v>11323.26</v>
      </c>
      <c r="G169" s="105">
        <f t="shared" si="38"/>
        <v>13587.91</v>
      </c>
    </row>
    <row r="170" spans="1:7" ht="15.75" x14ac:dyDescent="0.25">
      <c r="A170" s="66">
        <f t="shared" si="41"/>
        <v>138</v>
      </c>
      <c r="B170" s="67" t="s">
        <v>386</v>
      </c>
      <c r="C170" s="74" t="s">
        <v>387</v>
      </c>
      <c r="D170" s="71">
        <v>50</v>
      </c>
      <c r="E170" s="179">
        <v>249</v>
      </c>
      <c r="F170" s="105">
        <f t="shared" si="40"/>
        <v>12450</v>
      </c>
      <c r="G170" s="105">
        <f t="shared" si="38"/>
        <v>14940</v>
      </c>
    </row>
    <row r="171" spans="1:7" ht="15.75" x14ac:dyDescent="0.25">
      <c r="A171" s="66">
        <f t="shared" si="41"/>
        <v>139</v>
      </c>
      <c r="B171" s="67" t="s">
        <v>388</v>
      </c>
      <c r="C171" s="74" t="s">
        <v>254</v>
      </c>
      <c r="D171" s="71">
        <v>75</v>
      </c>
      <c r="E171" s="179">
        <v>312</v>
      </c>
      <c r="F171" s="105">
        <f t="shared" si="40"/>
        <v>23400</v>
      </c>
      <c r="G171" s="105">
        <f t="shared" si="38"/>
        <v>28080</v>
      </c>
    </row>
    <row r="172" spans="1:7" ht="15.75" x14ac:dyDescent="0.25">
      <c r="A172" s="66">
        <f t="shared" si="41"/>
        <v>140</v>
      </c>
      <c r="B172" s="67" t="s">
        <v>389</v>
      </c>
      <c r="C172" s="74" t="s">
        <v>193</v>
      </c>
      <c r="D172" s="77">
        <f>3.5*1.015</f>
        <v>3.5524999999999998</v>
      </c>
      <c r="E172" s="179">
        <v>6114</v>
      </c>
      <c r="F172" s="105">
        <f t="shared" si="40"/>
        <v>21719.99</v>
      </c>
      <c r="G172" s="105">
        <f t="shared" si="38"/>
        <v>26063.99</v>
      </c>
    </row>
    <row r="173" spans="1:7" ht="15.75" x14ac:dyDescent="0.25">
      <c r="A173" s="66">
        <f t="shared" si="41"/>
        <v>141</v>
      </c>
      <c r="B173" s="67" t="s">
        <v>390</v>
      </c>
      <c r="C173" s="74" t="s">
        <v>193</v>
      </c>
      <c r="D173" s="72">
        <f>12*1.1</f>
        <v>13.200000000000001</v>
      </c>
      <c r="E173" s="179">
        <v>1265</v>
      </c>
      <c r="F173" s="105">
        <f t="shared" si="40"/>
        <v>16698</v>
      </c>
      <c r="G173" s="105">
        <f t="shared" si="38"/>
        <v>20037.599999999999</v>
      </c>
    </row>
    <row r="174" spans="1:7" ht="15.75" x14ac:dyDescent="0.25">
      <c r="A174" s="66">
        <f t="shared" si="41"/>
        <v>142</v>
      </c>
      <c r="B174" s="67" t="s">
        <v>391</v>
      </c>
      <c r="C174" s="74" t="s">
        <v>193</v>
      </c>
      <c r="D174" s="72">
        <f>0.8*1.2</f>
        <v>0.96</v>
      </c>
      <c r="E174" s="179">
        <v>1368</v>
      </c>
      <c r="F174" s="105">
        <f t="shared" si="40"/>
        <v>1313.28</v>
      </c>
      <c r="G174" s="105">
        <f t="shared" si="38"/>
        <v>1575.94</v>
      </c>
    </row>
    <row r="175" spans="1:7" ht="15.75" x14ac:dyDescent="0.25">
      <c r="A175" s="66">
        <f t="shared" si="41"/>
        <v>143</v>
      </c>
      <c r="B175" s="67" t="s">
        <v>392</v>
      </c>
      <c r="C175" s="74" t="s">
        <v>254</v>
      </c>
      <c r="D175" s="71">
        <v>17</v>
      </c>
      <c r="E175" s="179">
        <v>85</v>
      </c>
      <c r="F175" s="105">
        <f t="shared" si="40"/>
        <v>1445</v>
      </c>
      <c r="G175" s="105">
        <f t="shared" si="38"/>
        <v>1734</v>
      </c>
    </row>
    <row r="176" spans="1:7" ht="15.75" x14ac:dyDescent="0.25">
      <c r="A176" s="66">
        <f t="shared" si="41"/>
        <v>144</v>
      </c>
      <c r="B176" s="67" t="s">
        <v>393</v>
      </c>
      <c r="C176" s="74" t="s">
        <v>254</v>
      </c>
      <c r="D176" s="71">
        <v>4</v>
      </c>
      <c r="E176" s="179">
        <v>85</v>
      </c>
      <c r="F176" s="105">
        <f t="shared" si="40"/>
        <v>340</v>
      </c>
      <c r="G176" s="105">
        <f t="shared" si="38"/>
        <v>408</v>
      </c>
    </row>
    <row r="177" spans="1:10" ht="15.75" x14ac:dyDescent="0.25">
      <c r="A177" s="66">
        <f t="shared" si="41"/>
        <v>145</v>
      </c>
      <c r="B177" s="67" t="s">
        <v>394</v>
      </c>
      <c r="C177" s="74" t="s">
        <v>254</v>
      </c>
      <c r="D177" s="72">
        <v>4.5999999999999996</v>
      </c>
      <c r="E177" s="179">
        <v>104</v>
      </c>
      <c r="F177" s="105">
        <f t="shared" si="40"/>
        <v>478.4</v>
      </c>
      <c r="G177" s="105">
        <f t="shared" si="38"/>
        <v>574.08000000000004</v>
      </c>
    </row>
    <row r="178" spans="1:10" ht="15.75" x14ac:dyDescent="0.25">
      <c r="A178" s="66">
        <f t="shared" si="41"/>
        <v>146</v>
      </c>
      <c r="B178" s="67" t="s">
        <v>395</v>
      </c>
      <c r="C178" s="74" t="s">
        <v>254</v>
      </c>
      <c r="D178" s="68">
        <v>2.82</v>
      </c>
      <c r="E178" s="179">
        <v>95</v>
      </c>
      <c r="F178" s="105">
        <f t="shared" si="40"/>
        <v>267.89999999999998</v>
      </c>
      <c r="G178" s="105">
        <f t="shared" si="38"/>
        <v>321.48</v>
      </c>
    </row>
    <row r="179" spans="1:10" ht="15.75" x14ac:dyDescent="0.25">
      <c r="A179" s="66">
        <f t="shared" si="41"/>
        <v>147</v>
      </c>
      <c r="B179" s="67" t="s">
        <v>241</v>
      </c>
      <c r="C179" s="74" t="s">
        <v>193</v>
      </c>
      <c r="D179" s="68">
        <v>1.85</v>
      </c>
      <c r="E179" s="179">
        <v>6072.0000000000009</v>
      </c>
      <c r="F179" s="105">
        <f t="shared" si="40"/>
        <v>11233.2</v>
      </c>
      <c r="G179" s="105">
        <f t="shared" si="38"/>
        <v>13479.84</v>
      </c>
    </row>
    <row r="180" spans="1:10" ht="15.75" x14ac:dyDescent="0.25">
      <c r="A180" s="66">
        <f t="shared" si="41"/>
        <v>148</v>
      </c>
      <c r="B180" s="67" t="s">
        <v>396</v>
      </c>
      <c r="C180" s="74" t="s">
        <v>193</v>
      </c>
      <c r="D180" s="68">
        <v>0.28999999999999998</v>
      </c>
      <c r="E180" s="179">
        <v>5313</v>
      </c>
      <c r="F180" s="105">
        <f t="shared" si="40"/>
        <v>1540.77</v>
      </c>
      <c r="G180" s="105">
        <f t="shared" si="38"/>
        <v>1848.92</v>
      </c>
    </row>
    <row r="181" spans="1:10" ht="15.75" x14ac:dyDescent="0.25">
      <c r="A181" s="66">
        <f t="shared" si="41"/>
        <v>149</v>
      </c>
      <c r="B181" s="67" t="s">
        <v>397</v>
      </c>
      <c r="C181" s="74" t="s">
        <v>193</v>
      </c>
      <c r="D181" s="68">
        <v>0.22</v>
      </c>
      <c r="E181" s="179">
        <v>2425</v>
      </c>
      <c r="F181" s="105">
        <f t="shared" si="40"/>
        <v>533.5</v>
      </c>
      <c r="G181" s="105">
        <f t="shared" si="38"/>
        <v>640.20000000000005</v>
      </c>
    </row>
    <row r="182" spans="1:10" ht="30" x14ac:dyDescent="0.25">
      <c r="A182" s="66">
        <f t="shared" si="41"/>
        <v>150</v>
      </c>
      <c r="B182" s="67" t="s">
        <v>398</v>
      </c>
      <c r="C182" s="66" t="s">
        <v>243</v>
      </c>
      <c r="D182" s="71">
        <v>1</v>
      </c>
      <c r="E182" s="179">
        <v>55000.000000000007</v>
      </c>
      <c r="F182" s="105">
        <f t="shared" si="40"/>
        <v>55000</v>
      </c>
      <c r="G182" s="105">
        <f t="shared" si="38"/>
        <v>66000</v>
      </c>
    </row>
    <row r="183" spans="1:10" ht="21.75" customHeight="1" x14ac:dyDescent="0.25">
      <c r="A183" s="181"/>
      <c r="B183" s="414" t="s">
        <v>399</v>
      </c>
      <c r="C183" s="436"/>
      <c r="D183" s="436"/>
      <c r="E183" s="182"/>
      <c r="F183" s="183"/>
      <c r="G183" s="184"/>
    </row>
    <row r="184" spans="1:10" x14ac:dyDescent="0.25">
      <c r="A184" s="66"/>
      <c r="B184" s="73" t="s">
        <v>1067</v>
      </c>
      <c r="C184" s="66"/>
      <c r="D184" s="82"/>
      <c r="E184" s="69"/>
      <c r="F184" s="70"/>
      <c r="G184" s="55"/>
    </row>
    <row r="185" spans="1:10" ht="15.75" x14ac:dyDescent="0.25">
      <c r="A185" s="66">
        <f>A182+1</f>
        <v>151</v>
      </c>
      <c r="B185" s="67" t="s">
        <v>400</v>
      </c>
      <c r="C185" s="66" t="s">
        <v>220</v>
      </c>
      <c r="D185" s="247">
        <v>11</v>
      </c>
      <c r="E185" s="179">
        <v>17695</v>
      </c>
      <c r="F185" s="105">
        <f t="shared" ref="F185:F189" si="42">ROUND(E185*D185,2)</f>
        <v>194645</v>
      </c>
      <c r="G185" s="105">
        <f t="shared" ref="G185:G189" si="43">ROUND(F185*1.2,2)</f>
        <v>233574</v>
      </c>
      <c r="I185" s="245"/>
      <c r="J185" s="248"/>
    </row>
    <row r="186" spans="1:10" ht="15.75" x14ac:dyDescent="0.25">
      <c r="A186" s="66">
        <f>A185+1</f>
        <v>152</v>
      </c>
      <c r="B186" s="67" t="s">
        <v>987</v>
      </c>
      <c r="C186" s="66" t="s">
        <v>220</v>
      </c>
      <c r="D186" s="247">
        <v>43</v>
      </c>
      <c r="E186" s="179">
        <v>5149</v>
      </c>
      <c r="F186" s="105">
        <f t="shared" si="42"/>
        <v>221407</v>
      </c>
      <c r="G186" s="105">
        <f t="shared" si="43"/>
        <v>265688.40000000002</v>
      </c>
      <c r="I186" s="245"/>
      <c r="J186" s="248"/>
    </row>
    <row r="187" spans="1:10" ht="19.5" customHeight="1" x14ac:dyDescent="0.25">
      <c r="A187" s="88">
        <f t="shared" ref="A187" si="44">A186+1</f>
        <v>153</v>
      </c>
      <c r="B187" s="67" t="s">
        <v>401</v>
      </c>
      <c r="C187" s="66" t="s">
        <v>220</v>
      </c>
      <c r="D187" s="71">
        <v>14</v>
      </c>
      <c r="E187" s="179">
        <v>2882</v>
      </c>
      <c r="F187" s="105">
        <f t="shared" si="42"/>
        <v>40348</v>
      </c>
      <c r="G187" s="105">
        <f t="shared" si="43"/>
        <v>48417.599999999999</v>
      </c>
      <c r="I187" s="245"/>
      <c r="J187" s="248"/>
    </row>
    <row r="188" spans="1:10" ht="19.5" customHeight="1" x14ac:dyDescent="0.25">
      <c r="A188" s="224">
        <f>A187+1</f>
        <v>154</v>
      </c>
      <c r="B188" s="232" t="s">
        <v>1068</v>
      </c>
      <c r="C188" s="224" t="s">
        <v>193</v>
      </c>
      <c r="D188" s="243">
        <v>0.02</v>
      </c>
      <c r="E188" s="228">
        <v>0</v>
      </c>
      <c r="F188" s="229">
        <f t="shared" si="42"/>
        <v>0</v>
      </c>
      <c r="G188" s="229">
        <f t="shared" si="43"/>
        <v>0</v>
      </c>
      <c r="I188" s="242"/>
      <c r="J188" s="248"/>
    </row>
    <row r="189" spans="1:10" ht="19.5" customHeight="1" x14ac:dyDescent="0.25">
      <c r="A189" s="88">
        <f>A188+1</f>
        <v>155</v>
      </c>
      <c r="B189" s="253" t="s">
        <v>391</v>
      </c>
      <c r="C189" s="88" t="s">
        <v>193</v>
      </c>
      <c r="D189" s="269">
        <v>5.63</v>
      </c>
      <c r="E189" s="178">
        <v>1368</v>
      </c>
      <c r="F189" s="107">
        <f t="shared" si="42"/>
        <v>7701.84</v>
      </c>
      <c r="G189" s="107">
        <f t="shared" si="43"/>
        <v>9242.2099999999991</v>
      </c>
      <c r="I189" s="242"/>
      <c r="J189" s="248"/>
    </row>
    <row r="190" spans="1:10" ht="19.5" customHeight="1" x14ac:dyDescent="0.25">
      <c r="A190" s="88">
        <f t="shared" ref="A190:A191" si="45">A189+1</f>
        <v>156</v>
      </c>
      <c r="B190" s="253" t="s">
        <v>1070</v>
      </c>
      <c r="C190" s="88" t="s">
        <v>387</v>
      </c>
      <c r="D190" s="247">
        <f>43*20/16</f>
        <v>53.75</v>
      </c>
      <c r="E190" s="178">
        <v>250</v>
      </c>
      <c r="F190" s="107">
        <f t="shared" ref="F190:F191" si="46">ROUND(E190*D190,2)</f>
        <v>13437.5</v>
      </c>
      <c r="G190" s="107">
        <f t="shared" ref="G190:G191" si="47">ROUND(F190*1.2,2)</f>
        <v>16125</v>
      </c>
      <c r="I190" s="242"/>
      <c r="J190" s="248"/>
    </row>
    <row r="191" spans="1:10" ht="19.5" customHeight="1" x14ac:dyDescent="0.25">
      <c r="A191" s="88">
        <f t="shared" si="45"/>
        <v>157</v>
      </c>
      <c r="B191" s="253" t="s">
        <v>1069</v>
      </c>
      <c r="C191" s="88" t="s">
        <v>254</v>
      </c>
      <c r="D191" s="269">
        <v>120.15</v>
      </c>
      <c r="E191" s="178">
        <v>312</v>
      </c>
      <c r="F191" s="107">
        <f t="shared" si="46"/>
        <v>37486.800000000003</v>
      </c>
      <c r="G191" s="107">
        <f t="shared" si="47"/>
        <v>44984.160000000003</v>
      </c>
      <c r="I191" s="242"/>
      <c r="J191" s="248"/>
    </row>
    <row r="192" spans="1:10" ht="19.5" customHeight="1" x14ac:dyDescent="0.25">
      <c r="A192" s="88"/>
      <c r="B192" s="270" t="s">
        <v>1017</v>
      </c>
      <c r="C192" s="88"/>
      <c r="D192" s="271"/>
      <c r="E192" s="178"/>
      <c r="F192" s="107"/>
      <c r="G192" s="107"/>
      <c r="I192" s="242"/>
    </row>
    <row r="193" spans="1:9" ht="19.5" customHeight="1" x14ac:dyDescent="0.25">
      <c r="A193" s="224">
        <f>A191+1</f>
        <v>158</v>
      </c>
      <c r="B193" s="232" t="s">
        <v>1005</v>
      </c>
      <c r="C193" s="224" t="s">
        <v>193</v>
      </c>
      <c r="D193" s="243">
        <v>0.62</v>
      </c>
      <c r="E193" s="228">
        <v>0</v>
      </c>
      <c r="F193" s="229">
        <f t="shared" ref="F193:F196" si="48">ROUND(E193*D193,2)</f>
        <v>0</v>
      </c>
      <c r="G193" s="229">
        <f t="shared" ref="G193:G196" si="49">ROUND(F193*1.2,2)</f>
        <v>0</v>
      </c>
      <c r="I193" s="242"/>
    </row>
    <row r="194" spans="1:9" ht="19.5" customHeight="1" x14ac:dyDescent="0.25">
      <c r="A194" s="88">
        <f>A193+1</f>
        <v>159</v>
      </c>
      <c r="B194" s="253" t="s">
        <v>1020</v>
      </c>
      <c r="C194" s="88" t="s">
        <v>254</v>
      </c>
      <c r="D194" s="272">
        <v>53</v>
      </c>
      <c r="E194" s="178">
        <v>85</v>
      </c>
      <c r="F194" s="107">
        <f t="shared" si="48"/>
        <v>4505</v>
      </c>
      <c r="G194" s="107">
        <f t="shared" si="49"/>
        <v>5406</v>
      </c>
      <c r="I194" s="242"/>
    </row>
    <row r="195" spans="1:9" ht="19.5" customHeight="1" x14ac:dyDescent="0.25">
      <c r="A195" s="88">
        <f t="shared" ref="A195:A196" si="50">A194+1</f>
        <v>160</v>
      </c>
      <c r="B195" s="253" t="s">
        <v>1070</v>
      </c>
      <c r="C195" s="88" t="s">
        <v>387</v>
      </c>
      <c r="D195" s="269">
        <f>0.95*20/16</f>
        <v>1.1875</v>
      </c>
      <c r="E195" s="178">
        <v>250</v>
      </c>
      <c r="F195" s="107">
        <f t="shared" si="48"/>
        <v>296.88</v>
      </c>
      <c r="G195" s="107">
        <f t="shared" si="49"/>
        <v>356.26</v>
      </c>
      <c r="I195" s="242"/>
    </row>
    <row r="196" spans="1:9" ht="19.5" customHeight="1" x14ac:dyDescent="0.25">
      <c r="A196" s="88">
        <f t="shared" si="50"/>
        <v>161</v>
      </c>
      <c r="B196" s="253" t="s">
        <v>1069</v>
      </c>
      <c r="C196" s="88" t="s">
        <v>254</v>
      </c>
      <c r="D196" s="269">
        <v>2.7</v>
      </c>
      <c r="E196" s="178">
        <v>312</v>
      </c>
      <c r="F196" s="107">
        <f t="shared" si="48"/>
        <v>842.4</v>
      </c>
      <c r="G196" s="107">
        <f t="shared" si="49"/>
        <v>1010.88</v>
      </c>
      <c r="I196" s="242"/>
    </row>
    <row r="197" spans="1:9" ht="19.5" customHeight="1" x14ac:dyDescent="0.25">
      <c r="A197" s="88"/>
      <c r="B197" s="270" t="s">
        <v>1072</v>
      </c>
      <c r="C197" s="88"/>
      <c r="D197" s="269"/>
      <c r="E197" s="178"/>
      <c r="F197" s="107"/>
      <c r="G197" s="107"/>
      <c r="I197" s="242"/>
    </row>
    <row r="198" spans="1:9" ht="19.5" customHeight="1" x14ac:dyDescent="0.25">
      <c r="A198" s="88">
        <f>A196+1</f>
        <v>162</v>
      </c>
      <c r="B198" s="253" t="s">
        <v>1073</v>
      </c>
      <c r="C198" s="88" t="s">
        <v>193</v>
      </c>
      <c r="D198" s="269">
        <v>1.5</v>
      </c>
      <c r="E198" s="178">
        <v>1368</v>
      </c>
      <c r="F198" s="107">
        <f t="shared" ref="F198:F199" si="51">ROUND(E198*D198,2)</f>
        <v>2052</v>
      </c>
      <c r="G198" s="107">
        <f t="shared" ref="G198:G199" si="52">ROUND(F198*1.2,2)</f>
        <v>2462.4</v>
      </c>
      <c r="I198" s="242"/>
    </row>
    <row r="199" spans="1:9" ht="19.5" customHeight="1" x14ac:dyDescent="0.25">
      <c r="A199" s="224">
        <f>A198+1</f>
        <v>163</v>
      </c>
      <c r="B199" s="232" t="s">
        <v>1074</v>
      </c>
      <c r="C199" s="224" t="s">
        <v>193</v>
      </c>
      <c r="D199" s="243">
        <f>0.16+0.6</f>
        <v>0.76</v>
      </c>
      <c r="E199" s="228">
        <v>0</v>
      </c>
      <c r="F199" s="229">
        <f t="shared" si="51"/>
        <v>0</v>
      </c>
      <c r="G199" s="229">
        <f t="shared" si="52"/>
        <v>0</v>
      </c>
      <c r="I199" s="242"/>
    </row>
    <row r="200" spans="1:9" ht="19.5" customHeight="1" x14ac:dyDescent="0.25">
      <c r="A200" s="88">
        <f t="shared" ref="A200:A207" si="53">A199+1</f>
        <v>164</v>
      </c>
      <c r="B200" s="253" t="s">
        <v>1075</v>
      </c>
      <c r="C200" s="88" t="s">
        <v>254</v>
      </c>
      <c r="D200" s="247">
        <v>31</v>
      </c>
      <c r="E200" s="178">
        <v>85</v>
      </c>
      <c r="F200" s="107">
        <f t="shared" ref="F200:F204" si="54">ROUND(E200*D200,2)</f>
        <v>2635</v>
      </c>
      <c r="G200" s="107">
        <f t="shared" ref="G200:G204" si="55">ROUND(F200*1.2,2)</f>
        <v>3162</v>
      </c>
      <c r="I200" s="242"/>
    </row>
    <row r="201" spans="1:9" ht="19.5" customHeight="1" x14ac:dyDescent="0.25">
      <c r="A201" s="88">
        <f t="shared" si="53"/>
        <v>165</v>
      </c>
      <c r="B201" s="253" t="s">
        <v>1076</v>
      </c>
      <c r="C201" s="88" t="s">
        <v>254</v>
      </c>
      <c r="D201" s="272">
        <v>5.0999999999999996</v>
      </c>
      <c r="E201" s="178">
        <v>85</v>
      </c>
      <c r="F201" s="107">
        <f t="shared" si="54"/>
        <v>433.5</v>
      </c>
      <c r="G201" s="107">
        <f t="shared" si="55"/>
        <v>520.20000000000005</v>
      </c>
      <c r="I201" s="242"/>
    </row>
    <row r="202" spans="1:9" ht="19.5" customHeight="1" x14ac:dyDescent="0.25">
      <c r="A202" s="88">
        <f t="shared" si="53"/>
        <v>166</v>
      </c>
      <c r="B202" s="253" t="s">
        <v>1070</v>
      </c>
      <c r="C202" s="88" t="s">
        <v>387</v>
      </c>
      <c r="D202" s="269">
        <f>1.13*20/16</f>
        <v>1.4124999999999999</v>
      </c>
      <c r="E202" s="178">
        <v>250</v>
      </c>
      <c r="F202" s="107">
        <f t="shared" si="54"/>
        <v>353.13</v>
      </c>
      <c r="G202" s="107">
        <f t="shared" si="55"/>
        <v>423.76</v>
      </c>
      <c r="I202" s="242"/>
    </row>
    <row r="203" spans="1:9" ht="19.5" customHeight="1" x14ac:dyDescent="0.25">
      <c r="A203" s="88">
        <f t="shared" si="53"/>
        <v>167</v>
      </c>
      <c r="B203" s="253" t="s">
        <v>1069</v>
      </c>
      <c r="C203" s="88" t="s">
        <v>254</v>
      </c>
      <c r="D203" s="269">
        <v>3.2</v>
      </c>
      <c r="E203" s="178">
        <v>312</v>
      </c>
      <c r="F203" s="107">
        <f t="shared" si="54"/>
        <v>998.4</v>
      </c>
      <c r="G203" s="107">
        <f t="shared" si="55"/>
        <v>1198.08</v>
      </c>
      <c r="I203" s="242"/>
    </row>
    <row r="204" spans="1:9" ht="15.75" customHeight="1" x14ac:dyDescent="0.25">
      <c r="A204" s="224">
        <f t="shared" si="53"/>
        <v>168</v>
      </c>
      <c r="B204" s="232" t="s">
        <v>1077</v>
      </c>
      <c r="C204" s="224" t="s">
        <v>193</v>
      </c>
      <c r="D204" s="243">
        <v>0.08</v>
      </c>
      <c r="E204" s="228">
        <v>0</v>
      </c>
      <c r="F204" s="229">
        <f t="shared" si="54"/>
        <v>0</v>
      </c>
      <c r="G204" s="229">
        <f t="shared" si="55"/>
        <v>0</v>
      </c>
      <c r="I204" s="242"/>
    </row>
    <row r="205" spans="1:9" ht="15.75" customHeight="1" x14ac:dyDescent="0.25">
      <c r="A205" s="224">
        <f t="shared" si="53"/>
        <v>169</v>
      </c>
      <c r="B205" s="232" t="s">
        <v>941</v>
      </c>
      <c r="C205" s="224" t="s">
        <v>220</v>
      </c>
      <c r="D205" s="241">
        <v>1</v>
      </c>
      <c r="E205" s="228">
        <v>0</v>
      </c>
      <c r="F205" s="229">
        <f t="shared" ref="F205:F207" si="56">ROUND(E205*D205,2)</f>
        <v>0</v>
      </c>
      <c r="G205" s="229">
        <f t="shared" ref="G205:G207" si="57">ROUND(F205*1.2,2)</f>
        <v>0</v>
      </c>
      <c r="I205" s="242"/>
    </row>
    <row r="206" spans="1:9" ht="15.75" customHeight="1" x14ac:dyDescent="0.25">
      <c r="A206" s="224">
        <f t="shared" si="53"/>
        <v>170</v>
      </c>
      <c r="B206" s="232" t="s">
        <v>942</v>
      </c>
      <c r="C206" s="224" t="s">
        <v>254</v>
      </c>
      <c r="D206" s="243">
        <v>138.83000000000001</v>
      </c>
      <c r="E206" s="228">
        <v>0</v>
      </c>
      <c r="F206" s="229">
        <f t="shared" si="56"/>
        <v>0</v>
      </c>
      <c r="G206" s="229">
        <f t="shared" si="57"/>
        <v>0</v>
      </c>
      <c r="I206" s="242"/>
    </row>
    <row r="207" spans="1:9" ht="15.75" customHeight="1" x14ac:dyDescent="0.25">
      <c r="A207" s="224">
        <f t="shared" si="53"/>
        <v>171</v>
      </c>
      <c r="B207" s="232" t="s">
        <v>1078</v>
      </c>
      <c r="C207" s="224" t="s">
        <v>254</v>
      </c>
      <c r="D207" s="241">
        <v>45</v>
      </c>
      <c r="E207" s="228">
        <v>0</v>
      </c>
      <c r="F207" s="229">
        <f t="shared" si="56"/>
        <v>0</v>
      </c>
      <c r="G207" s="229">
        <f t="shared" si="57"/>
        <v>0</v>
      </c>
      <c r="I207" s="242"/>
    </row>
    <row r="208" spans="1:9" ht="19.5" customHeight="1" x14ac:dyDescent="0.25">
      <c r="A208" s="88"/>
      <c r="B208" s="235" t="s">
        <v>1007</v>
      </c>
      <c r="C208" s="88"/>
      <c r="D208" s="271"/>
      <c r="E208" s="178"/>
      <c r="F208" s="107"/>
      <c r="G208" s="107"/>
      <c r="I208" s="245"/>
    </row>
    <row r="209" spans="1:9" ht="19.5" customHeight="1" x14ac:dyDescent="0.25">
      <c r="A209" s="224">
        <f>A188+1</f>
        <v>155</v>
      </c>
      <c r="B209" s="232" t="s">
        <v>1008</v>
      </c>
      <c r="C209" s="224" t="s">
        <v>220</v>
      </c>
      <c r="D209" s="241">
        <v>2</v>
      </c>
      <c r="E209" s="228">
        <v>0</v>
      </c>
      <c r="F209" s="229">
        <f t="shared" ref="F209:F210" si="58">ROUND(E209*D209,2)</f>
        <v>0</v>
      </c>
      <c r="G209" s="229">
        <f t="shared" ref="G209:G210" si="59">ROUND(F209*1.2,2)</f>
        <v>0</v>
      </c>
      <c r="I209" s="245"/>
    </row>
    <row r="210" spans="1:9" ht="19.5" customHeight="1" x14ac:dyDescent="0.25">
      <c r="A210" s="88">
        <f>A209+1</f>
        <v>156</v>
      </c>
      <c r="B210" s="253" t="s">
        <v>1009</v>
      </c>
      <c r="C210" s="88" t="s">
        <v>220</v>
      </c>
      <c r="D210" s="256" t="s">
        <v>765</v>
      </c>
      <c r="E210" s="255">
        <v>15180.000000000002</v>
      </c>
      <c r="F210" s="107">
        <f t="shared" si="58"/>
        <v>30360</v>
      </c>
      <c r="G210" s="107">
        <f t="shared" si="59"/>
        <v>36432</v>
      </c>
      <c r="I210" s="245"/>
    </row>
    <row r="211" spans="1:9" ht="19.5" customHeight="1" x14ac:dyDescent="0.25">
      <c r="A211" s="224">
        <f>A210+1</f>
        <v>157</v>
      </c>
      <c r="B211" s="232" t="s">
        <v>1010</v>
      </c>
      <c r="C211" s="224" t="s">
        <v>220</v>
      </c>
      <c r="D211" s="244" t="s">
        <v>765</v>
      </c>
      <c r="E211" s="228">
        <v>0</v>
      </c>
      <c r="F211" s="229">
        <f t="shared" ref="F211" si="60">ROUND(E211*D211,2)</f>
        <v>0</v>
      </c>
      <c r="G211" s="229">
        <f t="shared" ref="G211" si="61">ROUND(F211*1.2,2)</f>
        <v>0</v>
      </c>
      <c r="I211" s="245"/>
    </row>
    <row r="212" spans="1:9" ht="19.5" customHeight="1" x14ac:dyDescent="0.25">
      <c r="A212" s="224">
        <f>A211+1</f>
        <v>158</v>
      </c>
      <c r="B212" s="232" t="s">
        <v>1011</v>
      </c>
      <c r="C212" s="224" t="s">
        <v>220</v>
      </c>
      <c r="D212" s="244" t="s">
        <v>765</v>
      </c>
      <c r="E212" s="228">
        <v>0</v>
      </c>
      <c r="F212" s="229">
        <f t="shared" ref="F212" si="62">ROUND(E212*D212,2)</f>
        <v>0</v>
      </c>
      <c r="G212" s="229">
        <f t="shared" ref="G212" si="63">ROUND(F212*1.2,2)</f>
        <v>0</v>
      </c>
      <c r="I212" s="245"/>
    </row>
    <row r="213" spans="1:9" ht="19.5" customHeight="1" x14ac:dyDescent="0.25">
      <c r="A213" s="224">
        <f>A212+1</f>
        <v>159</v>
      </c>
      <c r="B213" s="232" t="s">
        <v>1012</v>
      </c>
      <c r="C213" s="224" t="s">
        <v>220</v>
      </c>
      <c r="D213" s="244" t="s">
        <v>765</v>
      </c>
      <c r="E213" s="228">
        <v>0</v>
      </c>
      <c r="F213" s="229">
        <f t="shared" ref="F213" si="64">ROUND(E213*D213,2)</f>
        <v>0</v>
      </c>
      <c r="G213" s="229">
        <f t="shared" ref="G213" si="65">ROUND(F213*1.2,2)</f>
        <v>0</v>
      </c>
      <c r="I213" s="245"/>
    </row>
    <row r="214" spans="1:9" ht="19.5" customHeight="1" x14ac:dyDescent="0.25">
      <c r="A214" s="224">
        <f>A213+1</f>
        <v>160</v>
      </c>
      <c r="B214" s="232" t="s">
        <v>1013</v>
      </c>
      <c r="C214" s="224" t="s">
        <v>220</v>
      </c>
      <c r="D214" s="244" t="s">
        <v>762</v>
      </c>
      <c r="E214" s="228">
        <v>0</v>
      </c>
      <c r="F214" s="229">
        <f t="shared" ref="F214" si="66">ROUND(E214*D214,2)</f>
        <v>0</v>
      </c>
      <c r="G214" s="229">
        <f t="shared" ref="G214" si="67">ROUND(F214*1.2,2)</f>
        <v>0</v>
      </c>
      <c r="I214" s="245"/>
    </row>
    <row r="215" spans="1:9" ht="19.5" customHeight="1" x14ac:dyDescent="0.25">
      <c r="A215" s="88"/>
      <c r="B215" s="270" t="s">
        <v>1016</v>
      </c>
      <c r="C215" s="88"/>
      <c r="D215" s="271"/>
      <c r="E215" s="178"/>
      <c r="F215" s="107"/>
      <c r="G215" s="107"/>
      <c r="H215" s="218"/>
      <c r="I215" s="242"/>
    </row>
    <row r="216" spans="1:9" ht="19.5" customHeight="1" x14ac:dyDescent="0.25">
      <c r="A216" s="224">
        <f>A214+1</f>
        <v>161</v>
      </c>
      <c r="B216" s="232" t="s">
        <v>1005</v>
      </c>
      <c r="C216" s="224" t="s">
        <v>193</v>
      </c>
      <c r="D216" s="243">
        <v>0.34</v>
      </c>
      <c r="E216" s="228">
        <v>0</v>
      </c>
      <c r="F216" s="229">
        <f t="shared" ref="F216:F222" si="68">ROUND(E216*D216,2)</f>
        <v>0</v>
      </c>
      <c r="G216" s="229">
        <f t="shared" ref="G216:G222" si="69">ROUND(F216*1.2,2)</f>
        <v>0</v>
      </c>
      <c r="I216" s="242"/>
    </row>
    <row r="217" spans="1:9" ht="19.5" customHeight="1" x14ac:dyDescent="0.25">
      <c r="A217" s="88">
        <f>A216+1</f>
        <v>162</v>
      </c>
      <c r="B217" s="253" t="s">
        <v>1020</v>
      </c>
      <c r="C217" s="88" t="s">
        <v>254</v>
      </c>
      <c r="D217" s="269">
        <v>30.1</v>
      </c>
      <c r="E217" s="178">
        <v>85</v>
      </c>
      <c r="F217" s="107">
        <f t="shared" si="68"/>
        <v>2558.5</v>
      </c>
      <c r="G217" s="107">
        <f t="shared" si="69"/>
        <v>3070.2</v>
      </c>
      <c r="I217" s="242"/>
    </row>
    <row r="218" spans="1:9" ht="19.5" customHeight="1" x14ac:dyDescent="0.25">
      <c r="A218" s="224">
        <f>A217+1</f>
        <v>163</v>
      </c>
      <c r="B218" s="232" t="s">
        <v>1015</v>
      </c>
      <c r="C218" s="224" t="s">
        <v>431</v>
      </c>
      <c r="D218" s="244" t="s">
        <v>1014</v>
      </c>
      <c r="E218" s="228">
        <v>0</v>
      </c>
      <c r="F218" s="229">
        <f t="shared" si="68"/>
        <v>0</v>
      </c>
      <c r="G218" s="229">
        <f t="shared" si="69"/>
        <v>0</v>
      </c>
      <c r="I218" s="245"/>
    </row>
    <row r="219" spans="1:9" ht="19.5" customHeight="1" x14ac:dyDescent="0.25">
      <c r="A219" s="88">
        <f>A217+1</f>
        <v>163</v>
      </c>
      <c r="B219" s="253" t="s">
        <v>1070</v>
      </c>
      <c r="C219" s="88" t="s">
        <v>387</v>
      </c>
      <c r="D219" s="269">
        <f>54.1*0.25</f>
        <v>13.525</v>
      </c>
      <c r="E219" s="178">
        <v>250</v>
      </c>
      <c r="F219" s="107">
        <f t="shared" si="68"/>
        <v>3381.25</v>
      </c>
      <c r="G219" s="107">
        <f t="shared" si="69"/>
        <v>4057.5</v>
      </c>
      <c r="H219" s="218"/>
      <c r="I219" s="242"/>
    </row>
    <row r="220" spans="1:9" ht="19.5" customHeight="1" x14ac:dyDescent="0.25">
      <c r="A220" s="88">
        <f t="shared" ref="A220:A223" si="70">A219+1</f>
        <v>164</v>
      </c>
      <c r="B220" s="253" t="s">
        <v>1069</v>
      </c>
      <c r="C220" s="88" t="s">
        <v>254</v>
      </c>
      <c r="D220" s="269">
        <f>0.7*54.1*2</f>
        <v>75.739999999999995</v>
      </c>
      <c r="E220" s="178">
        <v>312</v>
      </c>
      <c r="F220" s="107">
        <f t="shared" si="68"/>
        <v>23630.880000000001</v>
      </c>
      <c r="G220" s="107">
        <f t="shared" si="69"/>
        <v>28357.06</v>
      </c>
      <c r="I220" s="242"/>
    </row>
    <row r="221" spans="1:9" ht="15.75" x14ac:dyDescent="0.25">
      <c r="A221" s="88">
        <f t="shared" si="70"/>
        <v>165</v>
      </c>
      <c r="B221" s="253" t="s">
        <v>402</v>
      </c>
      <c r="C221" s="88" t="s">
        <v>254</v>
      </c>
      <c r="D221" s="160">
        <v>40</v>
      </c>
      <c r="E221" s="178">
        <v>1376</v>
      </c>
      <c r="F221" s="107">
        <f t="shared" si="68"/>
        <v>55040</v>
      </c>
      <c r="G221" s="107">
        <f t="shared" si="69"/>
        <v>66048</v>
      </c>
    </row>
    <row r="222" spans="1:9" ht="15.75" x14ac:dyDescent="0.25">
      <c r="A222" s="88">
        <f t="shared" si="70"/>
        <v>166</v>
      </c>
      <c r="B222" s="253" t="s">
        <v>403</v>
      </c>
      <c r="C222" s="88" t="s">
        <v>254</v>
      </c>
      <c r="D222" s="160">
        <v>80</v>
      </c>
      <c r="E222" s="178">
        <v>1518.0000000000002</v>
      </c>
      <c r="F222" s="107">
        <f t="shared" si="68"/>
        <v>121440</v>
      </c>
      <c r="G222" s="107">
        <f t="shared" si="69"/>
        <v>145728</v>
      </c>
    </row>
    <row r="223" spans="1:9" ht="15.75" x14ac:dyDescent="0.25">
      <c r="A223" s="224">
        <f t="shared" si="70"/>
        <v>167</v>
      </c>
      <c r="B223" s="232" t="s">
        <v>1079</v>
      </c>
      <c r="C223" s="224" t="s">
        <v>193</v>
      </c>
      <c r="D223" s="234">
        <v>0.2</v>
      </c>
      <c r="E223" s="228">
        <v>0</v>
      </c>
      <c r="F223" s="229">
        <f t="shared" ref="F223" si="71">ROUND(E223*D223,2)</f>
        <v>0</v>
      </c>
      <c r="G223" s="229">
        <f t="shared" ref="G223" si="72">ROUND(F223*1.2,2)</f>
        <v>0</v>
      </c>
    </row>
    <row r="224" spans="1:9" ht="19.5" customHeight="1" x14ac:dyDescent="0.25">
      <c r="A224" s="88"/>
      <c r="B224" s="270" t="s">
        <v>988</v>
      </c>
      <c r="C224" s="88"/>
      <c r="D224" s="271"/>
      <c r="E224" s="178"/>
      <c r="F224" s="107"/>
      <c r="G224" s="107"/>
      <c r="I224" s="242"/>
    </row>
    <row r="225" spans="1:9" ht="19.5" customHeight="1" x14ac:dyDescent="0.25">
      <c r="A225" s="224">
        <f>A188+1</f>
        <v>155</v>
      </c>
      <c r="B225" s="232" t="s">
        <v>1005</v>
      </c>
      <c r="C225" s="224" t="s">
        <v>193</v>
      </c>
      <c r="D225" s="243">
        <v>9.9</v>
      </c>
      <c r="E225" s="228">
        <v>0</v>
      </c>
      <c r="F225" s="229">
        <f t="shared" ref="F225:F226" si="73">ROUND(E225*D225,2)</f>
        <v>0</v>
      </c>
      <c r="G225" s="229">
        <f t="shared" ref="G225:G226" si="74">ROUND(F225*1.2,2)</f>
        <v>0</v>
      </c>
      <c r="I225" s="245"/>
    </row>
    <row r="226" spans="1:9" ht="19.5" customHeight="1" x14ac:dyDescent="0.25">
      <c r="A226" s="224">
        <f>A225+1</f>
        <v>156</v>
      </c>
      <c r="B226" s="232" t="s">
        <v>1006</v>
      </c>
      <c r="C226" s="224" t="s">
        <v>193</v>
      </c>
      <c r="D226" s="243">
        <v>1.7</v>
      </c>
      <c r="E226" s="228">
        <v>0</v>
      </c>
      <c r="F226" s="229">
        <f t="shared" si="73"/>
        <v>0</v>
      </c>
      <c r="G226" s="229">
        <f t="shared" si="74"/>
        <v>0</v>
      </c>
      <c r="I226" s="245"/>
    </row>
    <row r="227" spans="1:9" ht="19.5" customHeight="1" x14ac:dyDescent="0.25">
      <c r="A227" s="88">
        <f t="shared" ref="A227:A241" si="75">A226+1</f>
        <v>157</v>
      </c>
      <c r="B227" s="253" t="s">
        <v>989</v>
      </c>
      <c r="C227" s="88" t="s">
        <v>254</v>
      </c>
      <c r="D227" s="269">
        <f>5.8*62</f>
        <v>359.59999999999997</v>
      </c>
      <c r="E227" s="178">
        <v>85</v>
      </c>
      <c r="F227" s="107">
        <f t="shared" ref="F227" si="76">ROUND(E227*D227,2)</f>
        <v>30566</v>
      </c>
      <c r="G227" s="107">
        <f t="shared" ref="G227" si="77">ROUND(F227*1.2,2)</f>
        <v>36679.199999999997</v>
      </c>
      <c r="I227" s="245"/>
    </row>
    <row r="228" spans="1:9" ht="19.5" customHeight="1" x14ac:dyDescent="0.25">
      <c r="A228" s="88">
        <f t="shared" si="75"/>
        <v>158</v>
      </c>
      <c r="B228" s="253" t="s">
        <v>990</v>
      </c>
      <c r="C228" s="88" t="s">
        <v>254</v>
      </c>
      <c r="D228" s="269">
        <f>24*2.9</f>
        <v>69.599999999999994</v>
      </c>
      <c r="E228" s="178">
        <v>85</v>
      </c>
      <c r="F228" s="107">
        <f t="shared" ref="F228:F238" si="78">ROUND(E228*D228,2)</f>
        <v>5916</v>
      </c>
      <c r="G228" s="107">
        <f t="shared" ref="G228:G238" si="79">ROUND(F228*1.2,2)</f>
        <v>7099.2</v>
      </c>
      <c r="I228" s="245"/>
    </row>
    <row r="229" spans="1:9" ht="19.5" customHeight="1" x14ac:dyDescent="0.25">
      <c r="A229" s="88">
        <f t="shared" si="75"/>
        <v>159</v>
      </c>
      <c r="B229" s="253" t="s">
        <v>991</v>
      </c>
      <c r="C229" s="88" t="s">
        <v>254</v>
      </c>
      <c r="D229" s="269">
        <f>144*2.1</f>
        <v>302.40000000000003</v>
      </c>
      <c r="E229" s="178">
        <v>85</v>
      </c>
      <c r="F229" s="107">
        <f t="shared" si="78"/>
        <v>25704</v>
      </c>
      <c r="G229" s="107">
        <f t="shared" si="79"/>
        <v>30844.799999999999</v>
      </c>
      <c r="I229" s="245"/>
    </row>
    <row r="230" spans="1:9" ht="19.5" customHeight="1" x14ac:dyDescent="0.25">
      <c r="A230" s="88">
        <f t="shared" si="75"/>
        <v>160</v>
      </c>
      <c r="B230" s="253" t="s">
        <v>992</v>
      </c>
      <c r="C230" s="88" t="s">
        <v>254</v>
      </c>
      <c r="D230" s="269">
        <f>48*2.3</f>
        <v>110.39999999999999</v>
      </c>
      <c r="E230" s="178">
        <v>85</v>
      </c>
      <c r="F230" s="107">
        <f t="shared" si="78"/>
        <v>9384</v>
      </c>
      <c r="G230" s="107">
        <f t="shared" si="79"/>
        <v>11260.8</v>
      </c>
      <c r="I230" s="245"/>
    </row>
    <row r="231" spans="1:9" ht="19.5" customHeight="1" x14ac:dyDescent="0.25">
      <c r="A231" s="88">
        <f t="shared" si="75"/>
        <v>161</v>
      </c>
      <c r="B231" s="253" t="s">
        <v>993</v>
      </c>
      <c r="C231" s="88" t="s">
        <v>254</v>
      </c>
      <c r="D231" s="269">
        <f>36*0.5</f>
        <v>18</v>
      </c>
      <c r="E231" s="178">
        <v>85</v>
      </c>
      <c r="F231" s="107">
        <f t="shared" si="78"/>
        <v>1530</v>
      </c>
      <c r="G231" s="107">
        <f t="shared" si="79"/>
        <v>1836</v>
      </c>
      <c r="I231" s="245"/>
    </row>
    <row r="232" spans="1:9" ht="19.5" customHeight="1" x14ac:dyDescent="0.25">
      <c r="A232" s="88">
        <f t="shared" si="75"/>
        <v>162</v>
      </c>
      <c r="B232" s="253" t="s">
        <v>994</v>
      </c>
      <c r="C232" s="88" t="s">
        <v>254</v>
      </c>
      <c r="D232" s="269">
        <f>48*1.2</f>
        <v>57.599999999999994</v>
      </c>
      <c r="E232" s="178">
        <v>85</v>
      </c>
      <c r="F232" s="107">
        <f t="shared" si="78"/>
        <v>4896</v>
      </c>
      <c r="G232" s="107">
        <f t="shared" si="79"/>
        <v>5875.2</v>
      </c>
      <c r="I232" s="245"/>
    </row>
    <row r="233" spans="1:9" ht="19.5" customHeight="1" x14ac:dyDescent="0.25">
      <c r="A233" s="88">
        <f t="shared" si="75"/>
        <v>163</v>
      </c>
      <c r="B233" s="253" t="s">
        <v>995</v>
      </c>
      <c r="C233" s="88" t="s">
        <v>254</v>
      </c>
      <c r="D233" s="269">
        <f>144*1.8</f>
        <v>259.2</v>
      </c>
      <c r="E233" s="178">
        <v>85</v>
      </c>
      <c r="F233" s="107">
        <f t="shared" si="78"/>
        <v>22032</v>
      </c>
      <c r="G233" s="107">
        <f t="shared" si="79"/>
        <v>26438.400000000001</v>
      </c>
      <c r="I233" s="245"/>
    </row>
    <row r="234" spans="1:9" ht="19.5" customHeight="1" x14ac:dyDescent="0.25">
      <c r="A234" s="88">
        <f t="shared" si="75"/>
        <v>164</v>
      </c>
      <c r="B234" s="253" t="s">
        <v>996</v>
      </c>
      <c r="C234" s="88" t="s">
        <v>254</v>
      </c>
      <c r="D234" s="269">
        <f>48*1.2</f>
        <v>57.599999999999994</v>
      </c>
      <c r="E234" s="178">
        <v>85</v>
      </c>
      <c r="F234" s="107">
        <f t="shared" si="78"/>
        <v>4896</v>
      </c>
      <c r="G234" s="107">
        <f t="shared" si="79"/>
        <v>5875.2</v>
      </c>
      <c r="I234" s="245"/>
    </row>
    <row r="235" spans="1:9" ht="19.5" customHeight="1" x14ac:dyDescent="0.25">
      <c r="A235" s="88">
        <f t="shared" si="75"/>
        <v>165</v>
      </c>
      <c r="B235" s="253" t="s">
        <v>997</v>
      </c>
      <c r="C235" s="88" t="s">
        <v>254</v>
      </c>
      <c r="D235" s="269">
        <f>186*0.09</f>
        <v>16.739999999999998</v>
      </c>
      <c r="E235" s="178">
        <v>85</v>
      </c>
      <c r="F235" s="107">
        <f t="shared" si="78"/>
        <v>1422.9</v>
      </c>
      <c r="G235" s="107">
        <f t="shared" si="79"/>
        <v>1707.48</v>
      </c>
      <c r="I235" s="245"/>
    </row>
    <row r="236" spans="1:9" ht="19.5" customHeight="1" x14ac:dyDescent="0.25">
      <c r="A236" s="88">
        <f t="shared" si="75"/>
        <v>166</v>
      </c>
      <c r="B236" s="253" t="s">
        <v>998</v>
      </c>
      <c r="C236" s="88" t="s">
        <v>254</v>
      </c>
      <c r="D236" s="269">
        <f>80*3.8</f>
        <v>304</v>
      </c>
      <c r="E236" s="178">
        <v>85</v>
      </c>
      <c r="F236" s="107">
        <f t="shared" si="78"/>
        <v>25840</v>
      </c>
      <c r="G236" s="107">
        <f t="shared" si="79"/>
        <v>31008</v>
      </c>
      <c r="I236" s="245"/>
    </row>
    <row r="237" spans="1:9" ht="19.5" customHeight="1" x14ac:dyDescent="0.25">
      <c r="A237" s="88">
        <f t="shared" si="75"/>
        <v>167</v>
      </c>
      <c r="B237" s="253" t="s">
        <v>999</v>
      </c>
      <c r="C237" s="88" t="s">
        <v>254</v>
      </c>
      <c r="D237" s="269">
        <f>12*3.8</f>
        <v>45.599999999999994</v>
      </c>
      <c r="E237" s="178">
        <v>85</v>
      </c>
      <c r="F237" s="107">
        <f t="shared" si="78"/>
        <v>3876</v>
      </c>
      <c r="G237" s="107">
        <f t="shared" si="79"/>
        <v>4651.2</v>
      </c>
      <c r="I237" s="245"/>
    </row>
    <row r="238" spans="1:9" ht="19.5" customHeight="1" x14ac:dyDescent="0.25">
      <c r="A238" s="88">
        <f t="shared" si="75"/>
        <v>168</v>
      </c>
      <c r="B238" s="253" t="s">
        <v>1000</v>
      </c>
      <c r="C238" s="88" t="s">
        <v>254</v>
      </c>
      <c r="D238" s="269">
        <f>12*1.3</f>
        <v>15.600000000000001</v>
      </c>
      <c r="E238" s="178">
        <v>85</v>
      </c>
      <c r="F238" s="107">
        <f t="shared" si="78"/>
        <v>1326</v>
      </c>
      <c r="G238" s="107">
        <f t="shared" si="79"/>
        <v>1591.2</v>
      </c>
      <c r="I238" s="245"/>
    </row>
    <row r="239" spans="1:9" ht="19.5" customHeight="1" x14ac:dyDescent="0.25">
      <c r="A239" s="224">
        <f t="shared" si="75"/>
        <v>169</v>
      </c>
      <c r="B239" s="232" t="s">
        <v>1002</v>
      </c>
      <c r="C239" s="224" t="s">
        <v>254</v>
      </c>
      <c r="D239" s="243">
        <f>10.4*3</f>
        <v>31.200000000000003</v>
      </c>
      <c r="E239" s="228">
        <v>0</v>
      </c>
      <c r="F239" s="229">
        <f t="shared" ref="F239:F241" si="80">ROUND(E239*D239,2)</f>
        <v>0</v>
      </c>
      <c r="G239" s="229">
        <f t="shared" ref="G239:G241" si="81">ROUND(F239*1.2,2)</f>
        <v>0</v>
      </c>
      <c r="I239" s="245"/>
    </row>
    <row r="240" spans="1:9" ht="19.5" customHeight="1" x14ac:dyDescent="0.25">
      <c r="A240" s="224">
        <f t="shared" si="75"/>
        <v>170</v>
      </c>
      <c r="B240" s="232" t="s">
        <v>1003</v>
      </c>
      <c r="C240" s="224" t="s">
        <v>254</v>
      </c>
      <c r="D240" s="243">
        <f>2.9*2</f>
        <v>5.8</v>
      </c>
      <c r="E240" s="228">
        <v>0</v>
      </c>
      <c r="F240" s="229">
        <f t="shared" si="80"/>
        <v>0</v>
      </c>
      <c r="G240" s="229">
        <f t="shared" si="81"/>
        <v>0</v>
      </c>
      <c r="I240" s="242"/>
    </row>
    <row r="241" spans="1:9" ht="19.5" customHeight="1" x14ac:dyDescent="0.25">
      <c r="A241" s="224">
        <f t="shared" si="75"/>
        <v>171</v>
      </c>
      <c r="B241" s="232" t="s">
        <v>1004</v>
      </c>
      <c r="C241" s="224" t="s">
        <v>254</v>
      </c>
      <c r="D241" s="243">
        <v>1.6</v>
      </c>
      <c r="E241" s="228">
        <v>0</v>
      </c>
      <c r="F241" s="229">
        <f t="shared" si="80"/>
        <v>0</v>
      </c>
      <c r="G241" s="229">
        <f t="shared" si="81"/>
        <v>0</v>
      </c>
      <c r="I241" s="242"/>
    </row>
    <row r="242" spans="1:9" ht="19.5" customHeight="1" x14ac:dyDescent="0.25">
      <c r="A242" s="88"/>
      <c r="B242" s="270" t="s">
        <v>1001</v>
      </c>
      <c r="C242" s="88"/>
      <c r="D242" s="271"/>
      <c r="E242" s="178"/>
      <c r="F242" s="107"/>
      <c r="G242" s="107"/>
      <c r="I242" s="245"/>
    </row>
    <row r="243" spans="1:9" ht="19.5" customHeight="1" x14ac:dyDescent="0.25">
      <c r="A243" s="88">
        <f>A241+1</f>
        <v>172</v>
      </c>
      <c r="B243" s="253" t="s">
        <v>1018</v>
      </c>
      <c r="C243" s="88" t="s">
        <v>254</v>
      </c>
      <c r="D243" s="269">
        <f>1.22*3</f>
        <v>3.66</v>
      </c>
      <c r="E243" s="178">
        <v>85</v>
      </c>
      <c r="F243" s="107">
        <f t="shared" ref="F243:F244" si="82">ROUND(E243*D243,2)</f>
        <v>311.10000000000002</v>
      </c>
      <c r="G243" s="107">
        <f t="shared" ref="G243:G244" si="83">ROUND(F243*1.2,2)</f>
        <v>373.32</v>
      </c>
      <c r="I243" s="245"/>
    </row>
    <row r="244" spans="1:9" ht="19.5" customHeight="1" x14ac:dyDescent="0.25">
      <c r="A244" s="88">
        <f>A243+1</f>
        <v>173</v>
      </c>
      <c r="B244" s="253" t="s">
        <v>1019</v>
      </c>
      <c r="C244" s="88" t="s">
        <v>254</v>
      </c>
      <c r="D244" s="269">
        <f>0.27*16</f>
        <v>4.32</v>
      </c>
      <c r="E244" s="178">
        <v>85</v>
      </c>
      <c r="F244" s="107">
        <f t="shared" si="82"/>
        <v>367.2</v>
      </c>
      <c r="G244" s="107">
        <f t="shared" si="83"/>
        <v>440.64</v>
      </c>
      <c r="I244" s="245"/>
    </row>
    <row r="245" spans="1:9" ht="19.5" customHeight="1" x14ac:dyDescent="0.25">
      <c r="A245" s="88"/>
      <c r="B245" s="270" t="s">
        <v>1021</v>
      </c>
      <c r="C245" s="88"/>
      <c r="D245" s="271"/>
      <c r="E245" s="178"/>
      <c r="F245" s="107"/>
      <c r="G245" s="107"/>
      <c r="I245" s="242"/>
    </row>
    <row r="246" spans="1:9" ht="19.5" customHeight="1" x14ac:dyDescent="0.25">
      <c r="A246" s="224">
        <f>A244+1</f>
        <v>174</v>
      </c>
      <c r="B246" s="232" t="s">
        <v>1022</v>
      </c>
      <c r="C246" s="224" t="s">
        <v>194</v>
      </c>
      <c r="D246" s="243">
        <v>23.55</v>
      </c>
      <c r="E246" s="228">
        <v>0</v>
      </c>
      <c r="F246" s="229">
        <f t="shared" ref="F246:F248" si="84">ROUND(E246*D246,2)</f>
        <v>0</v>
      </c>
      <c r="G246" s="229">
        <f t="shared" ref="G246:G248" si="85">ROUND(F246*1.2,2)</f>
        <v>0</v>
      </c>
      <c r="I246" s="242"/>
    </row>
    <row r="247" spans="1:9" ht="19.5" customHeight="1" x14ac:dyDescent="0.25">
      <c r="A247" s="88">
        <f>A246+1</f>
        <v>175</v>
      </c>
      <c r="B247" s="253" t="s">
        <v>1023</v>
      </c>
      <c r="C247" s="88" t="s">
        <v>193</v>
      </c>
      <c r="D247" s="273">
        <v>0.621</v>
      </c>
      <c r="E247" s="178">
        <v>5060</v>
      </c>
      <c r="F247" s="107">
        <f t="shared" si="84"/>
        <v>3142.26</v>
      </c>
      <c r="G247" s="107">
        <f t="shared" si="85"/>
        <v>3770.71</v>
      </c>
      <c r="I247" s="242"/>
    </row>
    <row r="248" spans="1:9" ht="19.5" customHeight="1" x14ac:dyDescent="0.25">
      <c r="A248" s="224">
        <f>A247+1</f>
        <v>176</v>
      </c>
      <c r="B248" s="232" t="s">
        <v>1024</v>
      </c>
      <c r="C248" s="224" t="s">
        <v>431</v>
      </c>
      <c r="D248" s="243">
        <f>0.3</f>
        <v>0.3</v>
      </c>
      <c r="E248" s="228">
        <v>0</v>
      </c>
      <c r="F248" s="229">
        <f t="shared" si="84"/>
        <v>0</v>
      </c>
      <c r="G248" s="229">
        <f t="shared" si="85"/>
        <v>0</v>
      </c>
      <c r="I248" s="242"/>
    </row>
    <row r="249" spans="1:9" ht="19.5" customHeight="1" x14ac:dyDescent="0.25">
      <c r="A249" s="88"/>
      <c r="B249" s="235" t="s">
        <v>1025</v>
      </c>
      <c r="C249" s="88"/>
      <c r="D249" s="271"/>
      <c r="E249" s="178"/>
      <c r="F249" s="107"/>
      <c r="G249" s="107"/>
      <c r="I249" s="242"/>
    </row>
    <row r="250" spans="1:9" ht="19.5" customHeight="1" x14ac:dyDescent="0.25">
      <c r="A250" s="224">
        <f>A248+1</f>
        <v>177</v>
      </c>
      <c r="B250" s="232" t="s">
        <v>1008</v>
      </c>
      <c r="C250" s="224" t="s">
        <v>220</v>
      </c>
      <c r="D250" s="241">
        <v>1</v>
      </c>
      <c r="E250" s="228">
        <v>0</v>
      </c>
      <c r="F250" s="229">
        <f t="shared" ref="F250" si="86">ROUND(E250*D250,2)</f>
        <v>0</v>
      </c>
      <c r="G250" s="229">
        <f t="shared" ref="G250" si="87">ROUND(F250*1.2,2)</f>
        <v>0</v>
      </c>
      <c r="I250" s="242"/>
    </row>
    <row r="251" spans="1:9" ht="19.5" customHeight="1" x14ac:dyDescent="0.25">
      <c r="A251" s="224">
        <f t="shared" ref="A251:A256" si="88">A250+1</f>
        <v>178</v>
      </c>
      <c r="B251" s="232" t="s">
        <v>1026</v>
      </c>
      <c r="C251" s="224" t="s">
        <v>220</v>
      </c>
      <c r="D251" s="241">
        <v>1</v>
      </c>
      <c r="E251" s="228">
        <v>0</v>
      </c>
      <c r="F251" s="229">
        <f t="shared" ref="F251" si="89">ROUND(E251*D251,2)</f>
        <v>0</v>
      </c>
      <c r="G251" s="229">
        <f t="shared" ref="G251" si="90">ROUND(F251*1.2,2)</f>
        <v>0</v>
      </c>
      <c r="I251" s="242"/>
    </row>
    <row r="252" spans="1:9" ht="19.5" customHeight="1" x14ac:dyDescent="0.25">
      <c r="A252" s="224">
        <f t="shared" si="88"/>
        <v>179</v>
      </c>
      <c r="B252" s="232" t="s">
        <v>1027</v>
      </c>
      <c r="C252" s="224" t="s">
        <v>220</v>
      </c>
      <c r="D252" s="241">
        <v>1</v>
      </c>
      <c r="E252" s="228">
        <v>0</v>
      </c>
      <c r="F252" s="229">
        <f t="shared" ref="F252" si="91">ROUND(E252*D252,2)</f>
        <v>0</v>
      </c>
      <c r="G252" s="229">
        <f t="shared" ref="G252" si="92">ROUND(F252*1.2,2)</f>
        <v>0</v>
      </c>
      <c r="I252" s="242"/>
    </row>
    <row r="253" spans="1:9" ht="19.5" customHeight="1" x14ac:dyDescent="0.25">
      <c r="A253" s="224">
        <f t="shared" si="88"/>
        <v>180</v>
      </c>
      <c r="B253" s="232" t="s">
        <v>1011</v>
      </c>
      <c r="C253" s="224" t="s">
        <v>220</v>
      </c>
      <c r="D253" s="241">
        <v>1</v>
      </c>
      <c r="E253" s="228">
        <v>0</v>
      </c>
      <c r="F253" s="229">
        <f t="shared" ref="F253" si="93">ROUND(E253*D253,2)</f>
        <v>0</v>
      </c>
      <c r="G253" s="229">
        <f t="shared" ref="G253" si="94">ROUND(F253*1.2,2)</f>
        <v>0</v>
      </c>
      <c r="I253" s="242"/>
    </row>
    <row r="254" spans="1:9" ht="19.5" customHeight="1" x14ac:dyDescent="0.25">
      <c r="A254" s="88">
        <f t="shared" si="88"/>
        <v>181</v>
      </c>
      <c r="B254" s="253" t="s">
        <v>1009</v>
      </c>
      <c r="C254" s="88" t="s">
        <v>220</v>
      </c>
      <c r="D254" s="247">
        <v>1</v>
      </c>
      <c r="E254" s="255">
        <v>15180.000000000002</v>
      </c>
      <c r="F254" s="107">
        <f t="shared" ref="F254" si="95">ROUND(E254*D254,2)</f>
        <v>15180</v>
      </c>
      <c r="G254" s="107">
        <f t="shared" ref="G254" si="96">ROUND(F254*1.2,2)</f>
        <v>18216</v>
      </c>
      <c r="I254" s="242"/>
    </row>
    <row r="255" spans="1:9" ht="19.5" customHeight="1" x14ac:dyDescent="0.25">
      <c r="A255" s="224">
        <f t="shared" si="88"/>
        <v>182</v>
      </c>
      <c r="B255" s="232" t="s">
        <v>1010</v>
      </c>
      <c r="C255" s="224" t="s">
        <v>220</v>
      </c>
      <c r="D255" s="241">
        <v>1</v>
      </c>
      <c r="E255" s="228">
        <v>0</v>
      </c>
      <c r="F255" s="229">
        <f t="shared" ref="F255:F260" si="97">ROUND(E255*D255,2)</f>
        <v>0</v>
      </c>
      <c r="G255" s="229">
        <f t="shared" ref="G255:G260" si="98">ROUND(F255*1.2,2)</f>
        <v>0</v>
      </c>
      <c r="I255" s="242"/>
    </row>
    <row r="256" spans="1:9" ht="19.5" customHeight="1" x14ac:dyDescent="0.25">
      <c r="A256" s="224">
        <f t="shared" si="88"/>
        <v>183</v>
      </c>
      <c r="B256" s="232" t="s">
        <v>1028</v>
      </c>
      <c r="C256" s="224" t="s">
        <v>254</v>
      </c>
      <c r="D256" s="241">
        <v>45</v>
      </c>
      <c r="E256" s="228">
        <v>0</v>
      </c>
      <c r="F256" s="229">
        <f t="shared" si="97"/>
        <v>0</v>
      </c>
      <c r="G256" s="229">
        <f t="shared" si="98"/>
        <v>0</v>
      </c>
      <c r="I256" s="242"/>
    </row>
    <row r="257" spans="1:9" ht="19.5" customHeight="1" x14ac:dyDescent="0.25">
      <c r="A257" s="224">
        <f t="shared" ref="A257:A266" si="99">A256+1</f>
        <v>184</v>
      </c>
      <c r="B257" s="232" t="s">
        <v>1029</v>
      </c>
      <c r="C257" s="224" t="s">
        <v>220</v>
      </c>
      <c r="D257" s="241">
        <v>3</v>
      </c>
      <c r="E257" s="228">
        <v>0</v>
      </c>
      <c r="F257" s="229">
        <f t="shared" si="97"/>
        <v>0</v>
      </c>
      <c r="G257" s="229">
        <f t="shared" si="98"/>
        <v>0</v>
      </c>
      <c r="I257" s="242"/>
    </row>
    <row r="258" spans="1:9" ht="19.5" customHeight="1" x14ac:dyDescent="0.25">
      <c r="A258" s="224">
        <f t="shared" si="99"/>
        <v>185</v>
      </c>
      <c r="B258" s="232" t="s">
        <v>975</v>
      </c>
      <c r="C258" s="224" t="s">
        <v>220</v>
      </c>
      <c r="D258" s="241">
        <v>4</v>
      </c>
      <c r="E258" s="228">
        <v>0</v>
      </c>
      <c r="F258" s="229">
        <f t="shared" si="97"/>
        <v>0</v>
      </c>
      <c r="G258" s="229">
        <f t="shared" si="98"/>
        <v>0</v>
      </c>
      <c r="I258" s="242"/>
    </row>
    <row r="259" spans="1:9" ht="19.5" customHeight="1" x14ac:dyDescent="0.25">
      <c r="A259" s="224">
        <f t="shared" si="99"/>
        <v>186</v>
      </c>
      <c r="B259" s="232" t="s">
        <v>1030</v>
      </c>
      <c r="C259" s="224" t="s">
        <v>193</v>
      </c>
      <c r="D259" s="243">
        <v>0.28000000000000003</v>
      </c>
      <c r="E259" s="228">
        <v>0</v>
      </c>
      <c r="F259" s="229">
        <f t="shared" si="97"/>
        <v>0</v>
      </c>
      <c r="G259" s="229">
        <f t="shared" si="98"/>
        <v>0</v>
      </c>
      <c r="I259" s="242"/>
    </row>
    <row r="260" spans="1:9" ht="19.5" customHeight="1" x14ac:dyDescent="0.25">
      <c r="A260" s="88">
        <f t="shared" si="99"/>
        <v>187</v>
      </c>
      <c r="B260" s="253" t="s">
        <v>1031</v>
      </c>
      <c r="C260" s="88" t="s">
        <v>193</v>
      </c>
      <c r="D260" s="269">
        <v>0.05</v>
      </c>
      <c r="E260" s="178">
        <v>6072</v>
      </c>
      <c r="F260" s="107">
        <f t="shared" si="97"/>
        <v>303.60000000000002</v>
      </c>
      <c r="G260" s="107">
        <f t="shared" si="98"/>
        <v>364.32</v>
      </c>
      <c r="I260" s="242"/>
    </row>
    <row r="261" spans="1:9" ht="19.5" customHeight="1" x14ac:dyDescent="0.25">
      <c r="A261" s="88">
        <f t="shared" si="99"/>
        <v>188</v>
      </c>
      <c r="B261" s="253" t="s">
        <v>161</v>
      </c>
      <c r="C261" s="88" t="s">
        <v>193</v>
      </c>
      <c r="D261" s="272">
        <v>0.3</v>
      </c>
      <c r="E261" s="178">
        <v>1320</v>
      </c>
      <c r="F261" s="107">
        <f t="shared" ref="F261:F262" si="100">ROUND(E261*D261,2)</f>
        <v>396</v>
      </c>
      <c r="G261" s="107">
        <f t="shared" ref="G261:G262" si="101">ROUND(F261*1.2,2)</f>
        <v>475.2</v>
      </c>
      <c r="I261" s="242"/>
    </row>
    <row r="262" spans="1:9" ht="19.5" customHeight="1" x14ac:dyDescent="0.25">
      <c r="A262" s="224">
        <f t="shared" si="99"/>
        <v>189</v>
      </c>
      <c r="B262" s="232" t="s">
        <v>976</v>
      </c>
      <c r="C262" s="224" t="s">
        <v>254</v>
      </c>
      <c r="D262" s="246">
        <v>122.7</v>
      </c>
      <c r="E262" s="228">
        <v>0</v>
      </c>
      <c r="F262" s="229">
        <f t="shared" si="100"/>
        <v>0</v>
      </c>
      <c r="G262" s="229">
        <f t="shared" si="101"/>
        <v>0</v>
      </c>
      <c r="I262" s="242"/>
    </row>
    <row r="263" spans="1:9" ht="19.5" customHeight="1" x14ac:dyDescent="0.25">
      <c r="A263" s="224">
        <f t="shared" si="99"/>
        <v>190</v>
      </c>
      <c r="B263" s="232" t="s">
        <v>1032</v>
      </c>
      <c r="C263" s="224" t="s">
        <v>220</v>
      </c>
      <c r="D263" s="241">
        <v>1</v>
      </c>
      <c r="E263" s="228">
        <v>0</v>
      </c>
      <c r="F263" s="229">
        <f t="shared" ref="F263:F266" si="102">ROUND(E263*D263,2)</f>
        <v>0</v>
      </c>
      <c r="G263" s="229">
        <f t="shared" ref="G263:G266" si="103">ROUND(F263*1.2,2)</f>
        <v>0</v>
      </c>
      <c r="I263" s="242"/>
    </row>
    <row r="264" spans="1:9" ht="19.5" customHeight="1" x14ac:dyDescent="0.25">
      <c r="A264" s="88">
        <f t="shared" si="99"/>
        <v>191</v>
      </c>
      <c r="B264" s="253" t="s">
        <v>1070</v>
      </c>
      <c r="C264" s="88" t="s">
        <v>387</v>
      </c>
      <c r="D264" s="269">
        <f>41.6*0.25</f>
        <v>10.4</v>
      </c>
      <c r="E264" s="178">
        <v>250</v>
      </c>
      <c r="F264" s="107">
        <f t="shared" si="102"/>
        <v>2600</v>
      </c>
      <c r="G264" s="107">
        <f t="shared" si="103"/>
        <v>3120</v>
      </c>
      <c r="I264" s="242"/>
    </row>
    <row r="265" spans="1:9" ht="19.5" customHeight="1" x14ac:dyDescent="0.25">
      <c r="A265" s="88">
        <f t="shared" si="99"/>
        <v>192</v>
      </c>
      <c r="B265" s="253" t="s">
        <v>1069</v>
      </c>
      <c r="C265" s="88" t="s">
        <v>254</v>
      </c>
      <c r="D265" s="269">
        <f>0.7*41.6*2</f>
        <v>58.239999999999995</v>
      </c>
      <c r="E265" s="178">
        <v>312</v>
      </c>
      <c r="F265" s="107">
        <f t="shared" si="102"/>
        <v>18170.88</v>
      </c>
      <c r="G265" s="107">
        <f t="shared" si="103"/>
        <v>21805.06</v>
      </c>
      <c r="I265" s="242"/>
    </row>
    <row r="266" spans="1:9" ht="19.5" customHeight="1" x14ac:dyDescent="0.25">
      <c r="A266" s="224">
        <f t="shared" si="99"/>
        <v>193</v>
      </c>
      <c r="B266" s="232" t="s">
        <v>977</v>
      </c>
      <c r="C266" s="224" t="s">
        <v>254</v>
      </c>
      <c r="D266" s="241">
        <v>133</v>
      </c>
      <c r="E266" s="228">
        <v>0</v>
      </c>
      <c r="F266" s="229">
        <f t="shared" si="102"/>
        <v>0</v>
      </c>
      <c r="G266" s="229">
        <f t="shared" si="103"/>
        <v>0</v>
      </c>
      <c r="I266" s="242"/>
    </row>
    <row r="267" spans="1:9" ht="19.5" customHeight="1" x14ac:dyDescent="0.25">
      <c r="A267" s="88"/>
      <c r="B267" s="235" t="s">
        <v>1059</v>
      </c>
      <c r="C267" s="88"/>
      <c r="D267" s="272"/>
      <c r="E267" s="178"/>
      <c r="F267" s="107"/>
      <c r="G267" s="107"/>
      <c r="I267" s="242"/>
    </row>
    <row r="268" spans="1:9" ht="19.5" customHeight="1" x14ac:dyDescent="0.25">
      <c r="A268" s="224">
        <f>A263+1</f>
        <v>191</v>
      </c>
      <c r="B268" s="232" t="s">
        <v>1033</v>
      </c>
      <c r="C268" s="224" t="s">
        <v>220</v>
      </c>
      <c r="D268" s="241">
        <f>1*4</f>
        <v>4</v>
      </c>
      <c r="E268" s="228">
        <v>0</v>
      </c>
      <c r="F268" s="229">
        <f t="shared" ref="F268" si="104">ROUND(E268*D268,2)</f>
        <v>0</v>
      </c>
      <c r="G268" s="229">
        <f t="shared" ref="G268" si="105">ROUND(F268*1.2,2)</f>
        <v>0</v>
      </c>
      <c r="I268" s="242"/>
    </row>
    <row r="269" spans="1:9" ht="19.5" customHeight="1" x14ac:dyDescent="0.25">
      <c r="A269" s="224">
        <f>A268+1</f>
        <v>192</v>
      </c>
      <c r="B269" s="232" t="s">
        <v>1034</v>
      </c>
      <c r="C269" s="224" t="s">
        <v>254</v>
      </c>
      <c r="D269" s="243">
        <f>0.66*4</f>
        <v>2.64</v>
      </c>
      <c r="E269" s="228">
        <v>0</v>
      </c>
      <c r="F269" s="229">
        <f t="shared" ref="F269:F271" si="106">ROUND(E269*D269,2)</f>
        <v>0</v>
      </c>
      <c r="G269" s="229">
        <f t="shared" ref="G269:G271" si="107">ROUND(F269*1.2,2)</f>
        <v>0</v>
      </c>
      <c r="I269" s="242"/>
    </row>
    <row r="270" spans="1:9" ht="19.5" customHeight="1" x14ac:dyDescent="0.25">
      <c r="A270" s="224">
        <f>A269+1</f>
        <v>193</v>
      </c>
      <c r="B270" s="232" t="s">
        <v>1035</v>
      </c>
      <c r="C270" s="224" t="s">
        <v>220</v>
      </c>
      <c r="D270" s="241">
        <f>1*4</f>
        <v>4</v>
      </c>
      <c r="E270" s="228">
        <v>0</v>
      </c>
      <c r="F270" s="229">
        <f t="shared" si="106"/>
        <v>0</v>
      </c>
      <c r="G270" s="229">
        <f t="shared" si="107"/>
        <v>0</v>
      </c>
      <c r="I270" s="242"/>
    </row>
    <row r="271" spans="1:9" ht="19.5" customHeight="1" x14ac:dyDescent="0.25">
      <c r="A271" s="224">
        <f>A270+1</f>
        <v>194</v>
      </c>
      <c r="B271" s="232" t="s">
        <v>1036</v>
      </c>
      <c r="C271" s="224" t="s">
        <v>194</v>
      </c>
      <c r="D271" s="246">
        <f>0.2*4</f>
        <v>0.8</v>
      </c>
      <c r="E271" s="228">
        <v>0</v>
      </c>
      <c r="F271" s="229">
        <f t="shared" si="106"/>
        <v>0</v>
      </c>
      <c r="G271" s="229">
        <f t="shared" si="107"/>
        <v>0</v>
      </c>
      <c r="I271" s="242"/>
    </row>
    <row r="272" spans="1:9" ht="19.5" customHeight="1" x14ac:dyDescent="0.25">
      <c r="A272" s="88">
        <f t="shared" ref="A272:A275" si="108">A271+1</f>
        <v>195</v>
      </c>
      <c r="B272" s="253" t="s">
        <v>1037</v>
      </c>
      <c r="C272" s="88" t="s">
        <v>254</v>
      </c>
      <c r="D272" s="273">
        <f>0.032*2*4</f>
        <v>0.25600000000000001</v>
      </c>
      <c r="E272" s="178">
        <v>127</v>
      </c>
      <c r="F272" s="107">
        <f t="shared" ref="F272:F275" si="109">ROUND(E272*D272,2)</f>
        <v>32.51</v>
      </c>
      <c r="G272" s="107">
        <f t="shared" ref="G272:G275" si="110">ROUND(F272*1.2,2)</f>
        <v>39.01</v>
      </c>
      <c r="I272" s="242"/>
    </row>
    <row r="273" spans="1:9" ht="19.5" customHeight="1" x14ac:dyDescent="0.25">
      <c r="A273" s="88">
        <f t="shared" si="108"/>
        <v>196</v>
      </c>
      <c r="B273" s="253" t="s">
        <v>1038</v>
      </c>
      <c r="C273" s="88" t="s">
        <v>254</v>
      </c>
      <c r="D273" s="273">
        <f>0.012*2*4</f>
        <v>9.6000000000000002E-2</v>
      </c>
      <c r="E273" s="178">
        <v>147</v>
      </c>
      <c r="F273" s="107">
        <f t="shared" si="109"/>
        <v>14.11</v>
      </c>
      <c r="G273" s="107">
        <f t="shared" si="110"/>
        <v>16.93</v>
      </c>
      <c r="I273" s="242"/>
    </row>
    <row r="274" spans="1:9" ht="19.5" customHeight="1" x14ac:dyDescent="0.25">
      <c r="A274" s="88">
        <f t="shared" si="108"/>
        <v>197</v>
      </c>
      <c r="B274" s="253" t="s">
        <v>1039</v>
      </c>
      <c r="C274" s="88" t="s">
        <v>254</v>
      </c>
      <c r="D274" s="273">
        <f>0.002*2*4</f>
        <v>1.6E-2</v>
      </c>
      <c r="E274" s="178">
        <v>197</v>
      </c>
      <c r="F274" s="107">
        <f t="shared" si="109"/>
        <v>3.15</v>
      </c>
      <c r="G274" s="107">
        <f t="shared" si="110"/>
        <v>3.78</v>
      </c>
      <c r="I274" s="242"/>
    </row>
    <row r="275" spans="1:9" ht="19.5" customHeight="1" x14ac:dyDescent="0.25">
      <c r="A275" s="88">
        <f t="shared" si="108"/>
        <v>198</v>
      </c>
      <c r="B275" s="253" t="s">
        <v>1040</v>
      </c>
      <c r="C275" s="88" t="s">
        <v>254</v>
      </c>
      <c r="D275" s="273">
        <f>0.004*2*4</f>
        <v>3.2000000000000001E-2</v>
      </c>
      <c r="E275" s="178">
        <v>197</v>
      </c>
      <c r="F275" s="107">
        <f t="shared" si="109"/>
        <v>6.3</v>
      </c>
      <c r="G275" s="107">
        <f t="shared" si="110"/>
        <v>7.56</v>
      </c>
      <c r="I275" s="242"/>
    </row>
    <row r="276" spans="1:9" ht="19.5" customHeight="1" x14ac:dyDescent="0.25">
      <c r="A276" s="88"/>
      <c r="B276" s="235" t="s">
        <v>404</v>
      </c>
      <c r="C276" s="88"/>
      <c r="D276" s="271"/>
      <c r="E276" s="178"/>
      <c r="F276" s="107"/>
      <c r="G276" s="107"/>
      <c r="I276" s="242"/>
    </row>
    <row r="277" spans="1:9" ht="24.75" customHeight="1" x14ac:dyDescent="0.25">
      <c r="A277" s="224">
        <f>A275+1</f>
        <v>199</v>
      </c>
      <c r="B277" s="232" t="s">
        <v>1051</v>
      </c>
      <c r="C277" s="224" t="s">
        <v>194</v>
      </c>
      <c r="D277" s="241">
        <v>115</v>
      </c>
      <c r="E277" s="228">
        <v>0</v>
      </c>
      <c r="F277" s="229">
        <f t="shared" ref="F277" si="111">ROUND(E277*D277,2)</f>
        <v>0</v>
      </c>
      <c r="G277" s="229">
        <f t="shared" ref="G277" si="112">ROUND(F277*1.2,2)</f>
        <v>0</v>
      </c>
      <c r="H277" s="249" t="s">
        <v>1206</v>
      </c>
      <c r="I277" s="242"/>
    </row>
    <row r="278" spans="1:9" ht="19.5" customHeight="1" x14ac:dyDescent="0.25">
      <c r="A278" s="224">
        <f>A277+1</f>
        <v>200</v>
      </c>
      <c r="B278" s="232" t="s">
        <v>1042</v>
      </c>
      <c r="C278" s="224" t="s">
        <v>194</v>
      </c>
      <c r="D278" s="241">
        <v>20</v>
      </c>
      <c r="E278" s="228">
        <v>0</v>
      </c>
      <c r="F278" s="229">
        <f t="shared" ref="F278" si="113">ROUND(E278*D278,2)</f>
        <v>0</v>
      </c>
      <c r="G278" s="229">
        <f t="shared" ref="G278" si="114">ROUND(F278*1.2,2)</f>
        <v>0</v>
      </c>
      <c r="I278" s="242"/>
    </row>
    <row r="279" spans="1:9" ht="19.5" customHeight="1" x14ac:dyDescent="0.25">
      <c r="A279" s="224">
        <f t="shared" ref="A279:A285" si="115">A278+1</f>
        <v>201</v>
      </c>
      <c r="B279" s="232" t="s">
        <v>1054</v>
      </c>
      <c r="C279" s="224" t="s">
        <v>194</v>
      </c>
      <c r="D279" s="241">
        <v>24</v>
      </c>
      <c r="E279" s="228">
        <v>0</v>
      </c>
      <c r="F279" s="229">
        <f t="shared" ref="F279" si="116">ROUND(E279*D279,2)</f>
        <v>0</v>
      </c>
      <c r="G279" s="229">
        <f t="shared" ref="G279" si="117">ROUND(F279*1.2,2)</f>
        <v>0</v>
      </c>
      <c r="I279" s="242"/>
    </row>
    <row r="280" spans="1:9" ht="19.5" customHeight="1" x14ac:dyDescent="0.25">
      <c r="A280" s="224">
        <f t="shared" si="115"/>
        <v>202</v>
      </c>
      <c r="B280" s="232" t="s">
        <v>1052</v>
      </c>
      <c r="C280" s="224" t="s">
        <v>194</v>
      </c>
      <c r="D280" s="241">
        <v>11</v>
      </c>
      <c r="E280" s="228">
        <v>0</v>
      </c>
      <c r="F280" s="229">
        <f t="shared" ref="F280" si="118">ROUND(E280*D280,2)</f>
        <v>0</v>
      </c>
      <c r="G280" s="229">
        <f t="shared" ref="G280" si="119">ROUND(F280*1.2,2)</f>
        <v>0</v>
      </c>
      <c r="I280" s="242"/>
    </row>
    <row r="281" spans="1:9" ht="19.5" customHeight="1" x14ac:dyDescent="0.25">
      <c r="A281" s="224">
        <f t="shared" si="115"/>
        <v>203</v>
      </c>
      <c r="B281" s="232" t="s">
        <v>1053</v>
      </c>
      <c r="C281" s="224" t="s">
        <v>194</v>
      </c>
      <c r="D281" s="246">
        <v>10.5</v>
      </c>
      <c r="E281" s="228">
        <v>0</v>
      </c>
      <c r="F281" s="229">
        <f t="shared" ref="F281:F282" si="120">ROUND(E281*D281,2)</f>
        <v>0</v>
      </c>
      <c r="G281" s="229">
        <f t="shared" ref="G281:G282" si="121">ROUND(F281*1.2,2)</f>
        <v>0</v>
      </c>
      <c r="H281" s="218"/>
      <c r="I281" s="242"/>
    </row>
    <row r="282" spans="1:9" ht="19.5" customHeight="1" x14ac:dyDescent="0.25">
      <c r="A282" s="224">
        <f t="shared" si="115"/>
        <v>204</v>
      </c>
      <c r="B282" s="232" t="s">
        <v>1055</v>
      </c>
      <c r="C282" s="224" t="s">
        <v>194</v>
      </c>
      <c r="D282" s="246">
        <v>2</v>
      </c>
      <c r="E282" s="228">
        <v>0</v>
      </c>
      <c r="F282" s="229">
        <f t="shared" si="120"/>
        <v>0</v>
      </c>
      <c r="G282" s="229">
        <f t="shared" si="121"/>
        <v>0</v>
      </c>
      <c r="H282" s="218"/>
      <c r="I282" s="242"/>
    </row>
    <row r="283" spans="1:9" ht="19.5" customHeight="1" x14ac:dyDescent="0.25">
      <c r="A283" s="224">
        <f t="shared" si="115"/>
        <v>205</v>
      </c>
      <c r="B283" s="232" t="s">
        <v>1043</v>
      </c>
      <c r="C283" s="224" t="s">
        <v>220</v>
      </c>
      <c r="D283" s="241">
        <f>4+12</f>
        <v>16</v>
      </c>
      <c r="E283" s="228">
        <v>0</v>
      </c>
      <c r="F283" s="229">
        <f t="shared" ref="F283:F284" si="122">ROUND(E283*D283,2)</f>
        <v>0</v>
      </c>
      <c r="G283" s="229">
        <f t="shared" ref="G283:G284" si="123">ROUND(F283*1.2,2)</f>
        <v>0</v>
      </c>
      <c r="H283" s="218"/>
      <c r="I283" s="242"/>
    </row>
    <row r="284" spans="1:9" ht="19.5" customHeight="1" x14ac:dyDescent="0.25">
      <c r="A284" s="224">
        <f t="shared" si="115"/>
        <v>206</v>
      </c>
      <c r="B284" s="232" t="s">
        <v>1056</v>
      </c>
      <c r="C284" s="224" t="s">
        <v>220</v>
      </c>
      <c r="D284" s="241">
        <v>6</v>
      </c>
      <c r="E284" s="228">
        <v>0</v>
      </c>
      <c r="F284" s="229">
        <f t="shared" si="122"/>
        <v>0</v>
      </c>
      <c r="G284" s="229">
        <f t="shared" si="123"/>
        <v>0</v>
      </c>
      <c r="H284" s="218"/>
      <c r="I284" s="242"/>
    </row>
    <row r="285" spans="1:9" ht="19.5" customHeight="1" x14ac:dyDescent="0.25">
      <c r="A285" s="224">
        <f t="shared" si="115"/>
        <v>207</v>
      </c>
      <c r="B285" s="232" t="s">
        <v>1044</v>
      </c>
      <c r="C285" s="224" t="s">
        <v>220</v>
      </c>
      <c r="D285" s="241">
        <f>4+4</f>
        <v>8</v>
      </c>
      <c r="E285" s="228">
        <v>0</v>
      </c>
      <c r="F285" s="229">
        <f t="shared" ref="F285" si="124">ROUND(E285*D285,2)</f>
        <v>0</v>
      </c>
      <c r="G285" s="229">
        <f t="shared" ref="G285" si="125">ROUND(F285*1.2,2)</f>
        <v>0</v>
      </c>
      <c r="H285" s="218"/>
      <c r="I285" s="242"/>
    </row>
    <row r="286" spans="1:9" ht="33" customHeight="1" x14ac:dyDescent="0.25">
      <c r="A286" s="224">
        <f t="shared" ref="A286:A300" si="126">A285+1</f>
        <v>208</v>
      </c>
      <c r="B286" s="232" t="s">
        <v>1045</v>
      </c>
      <c r="C286" s="224" t="s">
        <v>220</v>
      </c>
      <c r="D286" s="241">
        <f>2+2</f>
        <v>4</v>
      </c>
      <c r="E286" s="228">
        <v>0</v>
      </c>
      <c r="F286" s="229">
        <f t="shared" ref="F286" si="127">ROUND(E286*D286,2)</f>
        <v>0</v>
      </c>
      <c r="G286" s="229">
        <f t="shared" ref="G286" si="128">ROUND(F286*1.2,2)</f>
        <v>0</v>
      </c>
      <c r="I286" s="242"/>
    </row>
    <row r="287" spans="1:9" ht="33" customHeight="1" x14ac:dyDescent="0.25">
      <c r="A287" s="224">
        <f t="shared" si="126"/>
        <v>209</v>
      </c>
      <c r="B287" s="232" t="s">
        <v>1057</v>
      </c>
      <c r="C287" s="224" t="s">
        <v>220</v>
      </c>
      <c r="D287" s="241">
        <v>2</v>
      </c>
      <c r="E287" s="228">
        <v>0</v>
      </c>
      <c r="F287" s="229">
        <f t="shared" ref="F287" si="129">ROUND(E287*D287,2)</f>
        <v>0</v>
      </c>
      <c r="G287" s="229">
        <f t="shared" ref="G287" si="130">ROUND(F287*1.2,2)</f>
        <v>0</v>
      </c>
      <c r="I287" s="242"/>
    </row>
    <row r="288" spans="1:9" ht="30" customHeight="1" x14ac:dyDescent="0.25">
      <c r="A288" s="224">
        <f t="shared" si="126"/>
        <v>210</v>
      </c>
      <c r="B288" s="232" t="s">
        <v>1046</v>
      </c>
      <c r="C288" s="224" t="s">
        <v>220</v>
      </c>
      <c r="D288" s="241">
        <f>2+2</f>
        <v>4</v>
      </c>
      <c r="E288" s="228">
        <v>0</v>
      </c>
      <c r="F288" s="229">
        <f t="shared" ref="F288" si="131">ROUND(E288*D288,2)</f>
        <v>0</v>
      </c>
      <c r="G288" s="229">
        <f t="shared" ref="G288" si="132">ROUND(F288*1.2,2)</f>
        <v>0</v>
      </c>
      <c r="I288" s="242"/>
    </row>
    <row r="289" spans="1:9" ht="15.75" customHeight="1" x14ac:dyDescent="0.25">
      <c r="A289" s="224">
        <f t="shared" si="126"/>
        <v>211</v>
      </c>
      <c r="B289" s="232" t="s">
        <v>1047</v>
      </c>
      <c r="C289" s="224" t="s">
        <v>220</v>
      </c>
      <c r="D289" s="241">
        <v>24</v>
      </c>
      <c r="E289" s="228">
        <v>0</v>
      </c>
      <c r="F289" s="229">
        <f t="shared" ref="F289:F293" si="133">ROUND(E289*D289,2)</f>
        <v>0</v>
      </c>
      <c r="G289" s="229">
        <f t="shared" ref="G289:G293" si="134">ROUND(F289*1.2,2)</f>
        <v>0</v>
      </c>
      <c r="H289" s="218"/>
      <c r="I289" s="242"/>
    </row>
    <row r="290" spans="1:9" ht="15.75" customHeight="1" x14ac:dyDescent="0.25">
      <c r="A290" s="224">
        <f t="shared" ref="A290:A292" si="135">A289+1</f>
        <v>212</v>
      </c>
      <c r="B290" s="232" t="s">
        <v>1058</v>
      </c>
      <c r="C290" s="224" t="s">
        <v>220</v>
      </c>
      <c r="D290" s="241">
        <v>2</v>
      </c>
      <c r="E290" s="228">
        <v>0</v>
      </c>
      <c r="F290" s="229">
        <f t="shared" ref="F290" si="136">ROUND(E290*D290,2)</f>
        <v>0</v>
      </c>
      <c r="G290" s="229">
        <f t="shared" ref="G290" si="137">ROUND(F290*1.2,2)</f>
        <v>0</v>
      </c>
      <c r="I290" s="242"/>
    </row>
    <row r="291" spans="1:9" ht="15.75" customHeight="1" x14ac:dyDescent="0.25">
      <c r="A291" s="224">
        <f t="shared" si="135"/>
        <v>213</v>
      </c>
      <c r="B291" s="232" t="s">
        <v>1060</v>
      </c>
      <c r="C291" s="224" t="s">
        <v>220</v>
      </c>
      <c r="D291" s="241">
        <v>2</v>
      </c>
      <c r="E291" s="228">
        <v>0</v>
      </c>
      <c r="F291" s="229">
        <f t="shared" ref="F291" si="138">ROUND(E291*D291,2)</f>
        <v>0</v>
      </c>
      <c r="G291" s="229">
        <f t="shared" ref="G291" si="139">ROUND(F291*1.2,2)</f>
        <v>0</v>
      </c>
      <c r="H291" s="218"/>
      <c r="I291" s="242"/>
    </row>
    <row r="292" spans="1:9" ht="15.75" customHeight="1" x14ac:dyDescent="0.25">
      <c r="A292" s="224">
        <f t="shared" si="135"/>
        <v>214</v>
      </c>
      <c r="B292" s="232" t="s">
        <v>1049</v>
      </c>
      <c r="C292" s="224" t="s">
        <v>220</v>
      </c>
      <c r="D292" s="241">
        <v>4</v>
      </c>
      <c r="E292" s="228">
        <v>0</v>
      </c>
      <c r="F292" s="229">
        <f t="shared" si="133"/>
        <v>0</v>
      </c>
      <c r="G292" s="229">
        <f t="shared" si="134"/>
        <v>0</v>
      </c>
      <c r="I292" s="242"/>
    </row>
    <row r="293" spans="1:9" ht="15.75" customHeight="1" x14ac:dyDescent="0.25">
      <c r="A293" s="224">
        <f t="shared" si="126"/>
        <v>215</v>
      </c>
      <c r="B293" s="232" t="s">
        <v>1050</v>
      </c>
      <c r="C293" s="224" t="s">
        <v>220</v>
      </c>
      <c r="D293" s="241">
        <v>1</v>
      </c>
      <c r="E293" s="228">
        <v>0</v>
      </c>
      <c r="F293" s="229">
        <f t="shared" si="133"/>
        <v>0</v>
      </c>
      <c r="G293" s="229">
        <f t="shared" si="134"/>
        <v>0</v>
      </c>
      <c r="I293" s="242"/>
    </row>
    <row r="294" spans="1:9" ht="15.75" customHeight="1" x14ac:dyDescent="0.25">
      <c r="A294" s="224">
        <f t="shared" si="126"/>
        <v>216</v>
      </c>
      <c r="B294" s="232" t="s">
        <v>1061</v>
      </c>
      <c r="C294" s="224" t="s">
        <v>194</v>
      </c>
      <c r="D294" s="246">
        <v>2.2999999999999998</v>
      </c>
      <c r="E294" s="228">
        <v>0</v>
      </c>
      <c r="F294" s="229">
        <f t="shared" ref="F294:F300" si="140">ROUND(E294*D294,2)</f>
        <v>0</v>
      </c>
      <c r="G294" s="229">
        <f t="shared" ref="G294:G300" si="141">ROUND(F294*1.2,2)</f>
        <v>0</v>
      </c>
      <c r="I294" s="242"/>
    </row>
    <row r="295" spans="1:9" ht="15.75" customHeight="1" x14ac:dyDescent="0.25">
      <c r="A295" s="224">
        <f t="shared" si="126"/>
        <v>217</v>
      </c>
      <c r="B295" s="232" t="s">
        <v>1062</v>
      </c>
      <c r="C295" s="224" t="s">
        <v>254</v>
      </c>
      <c r="D295" s="246">
        <v>3.5</v>
      </c>
      <c r="E295" s="228">
        <v>0</v>
      </c>
      <c r="F295" s="229">
        <f t="shared" si="140"/>
        <v>0</v>
      </c>
      <c r="G295" s="229">
        <f t="shared" si="141"/>
        <v>0</v>
      </c>
      <c r="I295" s="242"/>
    </row>
    <row r="296" spans="1:9" ht="15.75" customHeight="1" x14ac:dyDescent="0.25">
      <c r="A296" s="224">
        <f t="shared" si="126"/>
        <v>218</v>
      </c>
      <c r="B296" s="232" t="s">
        <v>1063</v>
      </c>
      <c r="C296" s="224" t="s">
        <v>220</v>
      </c>
      <c r="D296" s="241">
        <v>1</v>
      </c>
      <c r="E296" s="228">
        <v>0</v>
      </c>
      <c r="F296" s="229">
        <f t="shared" si="140"/>
        <v>0</v>
      </c>
      <c r="G296" s="229">
        <f t="shared" si="141"/>
        <v>0</v>
      </c>
      <c r="I296" s="242"/>
    </row>
    <row r="297" spans="1:9" ht="15.75" customHeight="1" x14ac:dyDescent="0.25">
      <c r="A297" s="224">
        <f t="shared" si="126"/>
        <v>219</v>
      </c>
      <c r="B297" s="232" t="s">
        <v>1064</v>
      </c>
      <c r="C297" s="224" t="s">
        <v>220</v>
      </c>
      <c r="D297" s="241">
        <v>4</v>
      </c>
      <c r="E297" s="228">
        <v>0</v>
      </c>
      <c r="F297" s="229">
        <f t="shared" si="140"/>
        <v>0</v>
      </c>
      <c r="G297" s="229">
        <f t="shared" si="141"/>
        <v>0</v>
      </c>
      <c r="I297" s="242"/>
    </row>
    <row r="298" spans="1:9" ht="15.75" customHeight="1" x14ac:dyDescent="0.25">
      <c r="A298" s="224">
        <f t="shared" si="126"/>
        <v>220</v>
      </c>
      <c r="B298" s="232" t="s">
        <v>1065</v>
      </c>
      <c r="C298" s="224" t="s">
        <v>431</v>
      </c>
      <c r="D298" s="243">
        <v>1.71</v>
      </c>
      <c r="E298" s="228">
        <v>0</v>
      </c>
      <c r="F298" s="229">
        <f t="shared" si="140"/>
        <v>0</v>
      </c>
      <c r="G298" s="229">
        <f t="shared" si="141"/>
        <v>0</v>
      </c>
      <c r="I298" s="242"/>
    </row>
    <row r="299" spans="1:9" ht="15.75" customHeight="1" x14ac:dyDescent="0.25">
      <c r="A299" s="224">
        <f t="shared" si="126"/>
        <v>221</v>
      </c>
      <c r="B299" s="232" t="s">
        <v>1066</v>
      </c>
      <c r="C299" s="224" t="s">
        <v>220</v>
      </c>
      <c r="D299" s="241">
        <v>1</v>
      </c>
      <c r="E299" s="228">
        <v>0</v>
      </c>
      <c r="F299" s="229">
        <f t="shared" si="140"/>
        <v>0</v>
      </c>
      <c r="G299" s="229">
        <f t="shared" si="141"/>
        <v>0</v>
      </c>
      <c r="I299" s="242"/>
    </row>
    <row r="300" spans="1:9" ht="30" x14ac:dyDescent="0.25">
      <c r="A300" s="66">
        <f t="shared" si="126"/>
        <v>222</v>
      </c>
      <c r="B300" s="67" t="s">
        <v>407</v>
      </c>
      <c r="C300" s="66" t="s">
        <v>243</v>
      </c>
      <c r="D300" s="71">
        <v>1</v>
      </c>
      <c r="E300" s="223">
        <v>110000.00000000001</v>
      </c>
      <c r="F300" s="105">
        <f t="shared" si="140"/>
        <v>110000</v>
      </c>
      <c r="G300" s="105">
        <f t="shared" si="141"/>
        <v>132000</v>
      </c>
    </row>
    <row r="301" spans="1:9" ht="22.5" customHeight="1" x14ac:dyDescent="0.25">
      <c r="A301" s="467" t="s">
        <v>408</v>
      </c>
      <c r="B301" s="467"/>
      <c r="C301" s="467"/>
      <c r="D301" s="467"/>
      <c r="E301" s="467"/>
      <c r="F301" s="83">
        <f>SUM(F6:F300)</f>
        <v>13180222.359999998</v>
      </c>
      <c r="G301" s="83">
        <f>SUM(G6:G300)</f>
        <v>15816266.830000008</v>
      </c>
    </row>
  </sheetData>
  <mergeCells count="11">
    <mergeCell ref="A301:E301"/>
    <mergeCell ref="B5:D5"/>
    <mergeCell ref="B115:D115"/>
    <mergeCell ref="A1:A3"/>
    <mergeCell ref="B1:B3"/>
    <mergeCell ref="C1:C3"/>
    <mergeCell ref="D1:D3"/>
    <mergeCell ref="B183:D183"/>
    <mergeCell ref="E1:G2"/>
    <mergeCell ref="B144:D144"/>
    <mergeCell ref="B159:D159"/>
  </mergeCells>
  <pageMargins left="0.7" right="0.7" top="0.75" bottom="0.75" header="0.3" footer="0.3"/>
  <pageSetup paperSize="9" scale="63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view="pageBreakPreview" zoomScale="90" zoomScaleNormal="100" zoomScaleSheetLayoutView="90" workbookViewId="0">
      <pane ySplit="3" topLeftCell="A19" activePane="bottomLeft" state="frozen"/>
      <selection activeCell="G69" sqref="G69"/>
      <selection pane="bottomLeft" activeCell="C31" sqref="B31:C31"/>
    </sheetView>
  </sheetViews>
  <sheetFormatPr defaultRowHeight="15" x14ac:dyDescent="0.25"/>
  <cols>
    <col min="1" max="1" width="4.42578125" customWidth="1"/>
    <col min="2" max="2" width="60.85546875" customWidth="1"/>
    <col min="3" max="3" width="8.5703125" bestFit="1" customWidth="1"/>
    <col min="4" max="4" width="8.140625" bestFit="1" customWidth="1"/>
    <col min="5" max="5" width="13.140625" customWidth="1"/>
    <col min="6" max="6" width="15" customWidth="1"/>
    <col min="7" max="7" width="15.140625" style="52" customWidth="1"/>
  </cols>
  <sheetData>
    <row r="1" spans="1:8" x14ac:dyDescent="0.25">
      <c r="A1" s="449" t="s">
        <v>226</v>
      </c>
      <c r="B1" s="416" t="s">
        <v>227</v>
      </c>
      <c r="C1" s="416" t="s">
        <v>228</v>
      </c>
      <c r="D1" s="416" t="s">
        <v>229</v>
      </c>
      <c r="E1" s="443" t="s">
        <v>703</v>
      </c>
      <c r="F1" s="444"/>
      <c r="G1" s="444"/>
    </row>
    <row r="2" spans="1:8" x14ac:dyDescent="0.25">
      <c r="A2" s="449"/>
      <c r="B2" s="416"/>
      <c r="C2" s="416"/>
      <c r="D2" s="416"/>
      <c r="E2" s="416" t="s">
        <v>440</v>
      </c>
      <c r="F2" s="416" t="s">
        <v>433</v>
      </c>
      <c r="G2" s="446" t="s">
        <v>409</v>
      </c>
    </row>
    <row r="3" spans="1:8" ht="31.15" customHeight="1" x14ac:dyDescent="0.25">
      <c r="A3" s="449"/>
      <c r="B3" s="416"/>
      <c r="C3" s="416"/>
      <c r="D3" s="416"/>
      <c r="E3" s="416"/>
      <c r="F3" s="416"/>
      <c r="G3" s="446"/>
    </row>
    <row r="4" spans="1:8" x14ac:dyDescent="0.25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</row>
    <row r="5" spans="1:8" x14ac:dyDescent="0.25">
      <c r="A5" s="448" t="s">
        <v>1337</v>
      </c>
      <c r="B5" s="448"/>
      <c r="C5" s="448"/>
      <c r="D5" s="448"/>
      <c r="E5" s="146"/>
      <c r="F5" s="146"/>
      <c r="G5" s="137"/>
    </row>
    <row r="6" spans="1:8" x14ac:dyDescent="0.25">
      <c r="A6" s="468" t="s">
        <v>1336</v>
      </c>
      <c r="B6" s="468"/>
      <c r="C6" s="468"/>
      <c r="D6" s="468"/>
      <c r="E6" s="292"/>
      <c r="F6" s="292"/>
      <c r="G6" s="293"/>
    </row>
    <row r="7" spans="1:8" ht="21" customHeight="1" x14ac:dyDescent="0.25">
      <c r="A7" s="124">
        <v>1</v>
      </c>
      <c r="B7" s="136" t="s">
        <v>1290</v>
      </c>
      <c r="C7" s="129" t="s">
        <v>1291</v>
      </c>
      <c r="D7" s="354">
        <v>432.9</v>
      </c>
      <c r="E7" s="355">
        <v>1360</v>
      </c>
      <c r="F7" s="314">
        <f>ROUND(E7*D7,2)</f>
        <v>588744</v>
      </c>
      <c r="G7" s="314">
        <f>ROUND(F7*1.2,2)</f>
        <v>706492.8</v>
      </c>
      <c r="H7" s="218" t="s">
        <v>1608</v>
      </c>
    </row>
    <row r="8" spans="1:8" ht="20.25" customHeight="1" x14ac:dyDescent="0.25">
      <c r="A8" s="124">
        <f>A7+1</f>
        <v>2</v>
      </c>
      <c r="B8" s="136" t="s">
        <v>1292</v>
      </c>
      <c r="C8" s="129" t="s">
        <v>220</v>
      </c>
      <c r="D8" s="356">
        <v>1</v>
      </c>
      <c r="E8" s="355">
        <v>2352</v>
      </c>
      <c r="F8" s="314">
        <f t="shared" ref="F8:F22" si="0">ROUND(E8*D8,2)</f>
        <v>2352</v>
      </c>
      <c r="G8" s="314">
        <f t="shared" ref="G8:G42" si="1">ROUND(F8*1.2,2)</f>
        <v>2822.4</v>
      </c>
    </row>
    <row r="9" spans="1:8" x14ac:dyDescent="0.25">
      <c r="A9" s="124">
        <f>A7+1</f>
        <v>2</v>
      </c>
      <c r="B9" s="136" t="s">
        <v>1609</v>
      </c>
      <c r="C9" s="129" t="s">
        <v>220</v>
      </c>
      <c r="D9" s="356">
        <v>1</v>
      </c>
      <c r="E9" s="355">
        <v>1326</v>
      </c>
      <c r="F9" s="314">
        <f t="shared" si="0"/>
        <v>1326</v>
      </c>
      <c r="G9" s="314">
        <f t="shared" si="1"/>
        <v>1591.2</v>
      </c>
    </row>
    <row r="10" spans="1:8" ht="30" x14ac:dyDescent="0.25">
      <c r="A10" s="124">
        <f>A8+1</f>
        <v>3</v>
      </c>
      <c r="B10" s="136" t="s">
        <v>1338</v>
      </c>
      <c r="C10" s="129" t="s">
        <v>220</v>
      </c>
      <c r="D10" s="356">
        <v>1</v>
      </c>
      <c r="E10" s="355">
        <v>7735</v>
      </c>
      <c r="F10" s="314">
        <f t="shared" si="0"/>
        <v>7735</v>
      </c>
      <c r="G10" s="314">
        <f t="shared" si="1"/>
        <v>9282</v>
      </c>
    </row>
    <row r="11" spans="1:8" ht="30" x14ac:dyDescent="0.25">
      <c r="A11" s="124">
        <f t="shared" ref="A11:A42" si="2">A10+1</f>
        <v>4</v>
      </c>
      <c r="B11" s="136" t="s">
        <v>1293</v>
      </c>
      <c r="C11" s="129" t="s">
        <v>220</v>
      </c>
      <c r="D11" s="356">
        <v>1</v>
      </c>
      <c r="E11" s="355">
        <v>5161</v>
      </c>
      <c r="F11" s="314">
        <f t="shared" si="0"/>
        <v>5161</v>
      </c>
      <c r="G11" s="314">
        <f t="shared" si="1"/>
        <v>6193.2</v>
      </c>
    </row>
    <row r="12" spans="1:8" ht="30" x14ac:dyDescent="0.25">
      <c r="A12" s="124">
        <f t="shared" si="2"/>
        <v>5</v>
      </c>
      <c r="B12" s="136" t="s">
        <v>1294</v>
      </c>
      <c r="C12" s="129" t="s">
        <v>220</v>
      </c>
      <c r="D12" s="356">
        <v>2</v>
      </c>
      <c r="E12" s="355">
        <v>8099</v>
      </c>
      <c r="F12" s="314">
        <f t="shared" si="0"/>
        <v>16198</v>
      </c>
      <c r="G12" s="314">
        <f t="shared" si="1"/>
        <v>19437.599999999999</v>
      </c>
    </row>
    <row r="13" spans="1:8" ht="30" x14ac:dyDescent="0.25">
      <c r="A13" s="124">
        <f t="shared" si="2"/>
        <v>6</v>
      </c>
      <c r="B13" s="136" t="s">
        <v>1295</v>
      </c>
      <c r="C13" s="129" t="s">
        <v>220</v>
      </c>
      <c r="D13" s="356">
        <v>2</v>
      </c>
      <c r="E13" s="355">
        <v>8099</v>
      </c>
      <c r="F13" s="314">
        <f t="shared" si="0"/>
        <v>16198</v>
      </c>
      <c r="G13" s="314">
        <f t="shared" si="1"/>
        <v>19437.599999999999</v>
      </c>
    </row>
    <row r="14" spans="1:8" ht="30" x14ac:dyDescent="0.25">
      <c r="A14" s="124">
        <f t="shared" si="2"/>
        <v>7</v>
      </c>
      <c r="B14" s="136" t="s">
        <v>1296</v>
      </c>
      <c r="C14" s="129" t="s">
        <v>1291</v>
      </c>
      <c r="D14" s="356">
        <v>85</v>
      </c>
      <c r="E14" s="355">
        <v>956</v>
      </c>
      <c r="F14" s="314">
        <f t="shared" si="0"/>
        <v>81260</v>
      </c>
      <c r="G14" s="314">
        <f t="shared" si="1"/>
        <v>97512</v>
      </c>
    </row>
    <row r="15" spans="1:8" ht="21.75" customHeight="1" x14ac:dyDescent="0.25">
      <c r="A15" s="124">
        <f t="shared" si="2"/>
        <v>8</v>
      </c>
      <c r="B15" s="136" t="s">
        <v>1297</v>
      </c>
      <c r="C15" s="129" t="s">
        <v>220</v>
      </c>
      <c r="D15" s="356">
        <v>32</v>
      </c>
      <c r="E15" s="355">
        <v>956</v>
      </c>
      <c r="F15" s="314">
        <f t="shared" si="0"/>
        <v>30592</v>
      </c>
      <c r="G15" s="314">
        <f t="shared" si="1"/>
        <v>36710.400000000001</v>
      </c>
    </row>
    <row r="16" spans="1:8" ht="21.75" customHeight="1" x14ac:dyDescent="0.25">
      <c r="A16" s="124">
        <f t="shared" si="2"/>
        <v>9</v>
      </c>
      <c r="B16" s="136" t="s">
        <v>1612</v>
      </c>
      <c r="C16" s="129" t="s">
        <v>254</v>
      </c>
      <c r="D16" s="356">
        <v>45</v>
      </c>
      <c r="E16" s="355">
        <f>13877/D16</f>
        <v>308.37777777777779</v>
      </c>
      <c r="F16" s="314">
        <f t="shared" si="0"/>
        <v>13877</v>
      </c>
      <c r="G16" s="314">
        <f t="shared" si="1"/>
        <v>16652.400000000001</v>
      </c>
    </row>
    <row r="17" spans="1:8" x14ac:dyDescent="0.25">
      <c r="A17" s="124">
        <f t="shared" si="2"/>
        <v>10</v>
      </c>
      <c r="B17" s="138" t="s">
        <v>1298</v>
      </c>
      <c r="C17" s="129" t="s">
        <v>1291</v>
      </c>
      <c r="D17" s="139">
        <v>427.9</v>
      </c>
      <c r="E17" s="355">
        <v>10</v>
      </c>
      <c r="F17" s="314">
        <f t="shared" si="0"/>
        <v>4279</v>
      </c>
      <c r="G17" s="314">
        <f t="shared" si="1"/>
        <v>5134.8</v>
      </c>
    </row>
    <row r="18" spans="1:8" ht="30" x14ac:dyDescent="0.25">
      <c r="A18" s="124">
        <f t="shared" si="2"/>
        <v>11</v>
      </c>
      <c r="B18" s="138" t="s">
        <v>1299</v>
      </c>
      <c r="C18" s="129" t="s">
        <v>220</v>
      </c>
      <c r="D18" s="124">
        <v>72</v>
      </c>
      <c r="E18" s="355">
        <v>6561</v>
      </c>
      <c r="F18" s="314">
        <f t="shared" si="0"/>
        <v>472392</v>
      </c>
      <c r="G18" s="314">
        <f t="shared" si="1"/>
        <v>566870.4</v>
      </c>
    </row>
    <row r="19" spans="1:8" ht="30" x14ac:dyDescent="0.25">
      <c r="A19" s="124">
        <f t="shared" si="2"/>
        <v>12</v>
      </c>
      <c r="B19" s="138" t="s">
        <v>1300</v>
      </c>
      <c r="C19" s="129" t="s">
        <v>220</v>
      </c>
      <c r="D19" s="124">
        <v>17</v>
      </c>
      <c r="E19" s="355">
        <v>10590</v>
      </c>
      <c r="F19" s="314">
        <f t="shared" si="0"/>
        <v>180030</v>
      </c>
      <c r="G19" s="314">
        <f t="shared" si="1"/>
        <v>216036</v>
      </c>
    </row>
    <row r="20" spans="1:8" ht="30" x14ac:dyDescent="0.25">
      <c r="A20" s="124">
        <f t="shared" si="2"/>
        <v>13</v>
      </c>
      <c r="B20" s="138" t="s">
        <v>1301</v>
      </c>
      <c r="C20" s="129" t="s">
        <v>1291</v>
      </c>
      <c r="D20" s="124">
        <v>3</v>
      </c>
      <c r="E20" s="355">
        <v>4471</v>
      </c>
      <c r="F20" s="314">
        <f t="shared" si="0"/>
        <v>13413</v>
      </c>
      <c r="G20" s="314">
        <f t="shared" si="1"/>
        <v>16095.6</v>
      </c>
      <c r="H20" s="218" t="s">
        <v>1610</v>
      </c>
    </row>
    <row r="21" spans="1:8" x14ac:dyDescent="0.25">
      <c r="A21" s="124">
        <f t="shared" si="2"/>
        <v>14</v>
      </c>
      <c r="B21" s="138" t="s">
        <v>1302</v>
      </c>
      <c r="C21" s="129" t="s">
        <v>194</v>
      </c>
      <c r="D21" s="124">
        <v>560</v>
      </c>
      <c r="E21" s="355">
        <v>130</v>
      </c>
      <c r="F21" s="314">
        <f t="shared" si="0"/>
        <v>72800</v>
      </c>
      <c r="G21" s="314">
        <f t="shared" si="1"/>
        <v>87360</v>
      </c>
      <c r="H21" s="218" t="s">
        <v>1611</v>
      </c>
    </row>
    <row r="22" spans="1:8" x14ac:dyDescent="0.25">
      <c r="A22" s="124">
        <f t="shared" si="2"/>
        <v>15</v>
      </c>
      <c r="B22" s="138" t="s">
        <v>1339</v>
      </c>
      <c r="C22" s="129" t="s">
        <v>220</v>
      </c>
      <c r="D22" s="124">
        <v>3</v>
      </c>
      <c r="E22" s="355">
        <v>10297</v>
      </c>
      <c r="F22" s="314">
        <f t="shared" si="0"/>
        <v>30891</v>
      </c>
      <c r="G22" s="314">
        <f t="shared" si="1"/>
        <v>37069.199999999997</v>
      </c>
    </row>
    <row r="23" spans="1:8" x14ac:dyDescent="0.25">
      <c r="A23" s="468" t="s">
        <v>513</v>
      </c>
      <c r="B23" s="468" t="s">
        <v>1340</v>
      </c>
      <c r="C23" s="468"/>
      <c r="D23" s="468"/>
      <c r="E23" s="148"/>
      <c r="F23" s="149"/>
      <c r="G23" s="133"/>
    </row>
    <row r="24" spans="1:8" ht="30" x14ac:dyDescent="0.25">
      <c r="A24" s="124">
        <f>A22+1</f>
        <v>16</v>
      </c>
      <c r="B24" s="138" t="s">
        <v>1311</v>
      </c>
      <c r="C24" s="129" t="s">
        <v>193</v>
      </c>
      <c r="D24" s="139">
        <v>428.7</v>
      </c>
      <c r="E24" s="286">
        <v>325</v>
      </c>
      <c r="F24" s="105">
        <f t="shared" ref="F24:F37" si="3">ROUND(E24*D24,2)</f>
        <v>139327.5</v>
      </c>
      <c r="G24" s="105">
        <f t="shared" si="1"/>
        <v>167193</v>
      </c>
    </row>
    <row r="25" spans="1:8" x14ac:dyDescent="0.25">
      <c r="A25" s="124">
        <f>A24+1</f>
        <v>17</v>
      </c>
      <c r="B25" s="138" t="s">
        <v>1312</v>
      </c>
      <c r="C25" s="129" t="s">
        <v>193</v>
      </c>
      <c r="D25" s="139">
        <v>32.200000000000003</v>
      </c>
      <c r="E25" s="286">
        <v>1777</v>
      </c>
      <c r="F25" s="105">
        <f t="shared" si="3"/>
        <v>57219.4</v>
      </c>
      <c r="G25" s="105">
        <f t="shared" si="1"/>
        <v>68663.28</v>
      </c>
    </row>
    <row r="26" spans="1:8" x14ac:dyDescent="0.25">
      <c r="A26" s="124">
        <f t="shared" si="2"/>
        <v>18</v>
      </c>
      <c r="B26" s="138" t="s">
        <v>1602</v>
      </c>
      <c r="C26" s="129" t="s">
        <v>220</v>
      </c>
      <c r="D26" s="124">
        <v>6</v>
      </c>
      <c r="E26" s="355">
        <v>220</v>
      </c>
      <c r="F26" s="314">
        <f t="shared" si="3"/>
        <v>1320</v>
      </c>
      <c r="G26" s="314">
        <f t="shared" si="1"/>
        <v>1584</v>
      </c>
    </row>
    <row r="27" spans="1:8" ht="30" x14ac:dyDescent="0.25">
      <c r="A27" s="124">
        <f t="shared" si="2"/>
        <v>19</v>
      </c>
      <c r="B27" s="138" t="s">
        <v>1313</v>
      </c>
      <c r="C27" s="129" t="s">
        <v>193</v>
      </c>
      <c r="D27" s="282">
        <v>21.43</v>
      </c>
      <c r="E27" s="286">
        <v>1379</v>
      </c>
      <c r="F27" s="105">
        <f t="shared" si="3"/>
        <v>29551.97</v>
      </c>
      <c r="G27" s="105">
        <f t="shared" si="1"/>
        <v>35462.36</v>
      </c>
    </row>
    <row r="28" spans="1:8" ht="30" x14ac:dyDescent="0.25">
      <c r="A28" s="124">
        <f t="shared" si="2"/>
        <v>20</v>
      </c>
      <c r="B28" s="138" t="s">
        <v>1314</v>
      </c>
      <c r="C28" s="129" t="s">
        <v>193</v>
      </c>
      <c r="D28" s="139">
        <v>42.9</v>
      </c>
      <c r="E28" s="286">
        <v>1379</v>
      </c>
      <c r="F28" s="105">
        <f t="shared" si="3"/>
        <v>59159.1</v>
      </c>
      <c r="G28" s="105">
        <f t="shared" si="1"/>
        <v>70990.92</v>
      </c>
    </row>
    <row r="29" spans="1:8" x14ac:dyDescent="0.25">
      <c r="A29" s="357">
        <f t="shared" si="2"/>
        <v>21</v>
      </c>
      <c r="B29" s="358" t="s">
        <v>1341</v>
      </c>
      <c r="C29" s="359" t="s">
        <v>239</v>
      </c>
      <c r="D29" s="360">
        <v>141.63999999999999</v>
      </c>
      <c r="E29" s="361">
        <v>0</v>
      </c>
      <c r="F29" s="330">
        <f t="shared" si="3"/>
        <v>0</v>
      </c>
      <c r="G29" s="330">
        <f t="shared" si="1"/>
        <v>0</v>
      </c>
      <c r="H29" s="218" t="s">
        <v>1603</v>
      </c>
    </row>
    <row r="30" spans="1:8" x14ac:dyDescent="0.25">
      <c r="A30" s="124">
        <f t="shared" si="2"/>
        <v>22</v>
      </c>
      <c r="B30" s="138" t="s">
        <v>1343</v>
      </c>
      <c r="C30" s="129" t="s">
        <v>1342</v>
      </c>
      <c r="D30" s="362" t="s">
        <v>586</v>
      </c>
      <c r="E30" s="355">
        <v>1239</v>
      </c>
      <c r="F30" s="314">
        <f t="shared" si="3"/>
        <v>4956</v>
      </c>
      <c r="G30" s="314">
        <f t="shared" si="1"/>
        <v>5947.2</v>
      </c>
    </row>
    <row r="31" spans="1:8" ht="18" customHeight="1" x14ac:dyDescent="0.25">
      <c r="A31" s="124">
        <f t="shared" si="2"/>
        <v>23</v>
      </c>
      <c r="B31" s="138" t="s">
        <v>1315</v>
      </c>
      <c r="C31" s="129" t="s">
        <v>1291</v>
      </c>
      <c r="D31" s="124">
        <v>85</v>
      </c>
      <c r="E31" s="355">
        <v>1288</v>
      </c>
      <c r="F31" s="314">
        <f t="shared" si="3"/>
        <v>109480</v>
      </c>
      <c r="G31" s="314">
        <f t="shared" si="1"/>
        <v>131376</v>
      </c>
    </row>
    <row r="32" spans="1:8" ht="18" customHeight="1" x14ac:dyDescent="0.25">
      <c r="A32" s="357"/>
      <c r="B32" s="358" t="s">
        <v>1604</v>
      </c>
      <c r="C32" s="359" t="s">
        <v>217</v>
      </c>
      <c r="D32" s="357">
        <v>4</v>
      </c>
      <c r="E32" s="361">
        <v>2593</v>
      </c>
      <c r="F32" s="330">
        <f t="shared" si="3"/>
        <v>10372</v>
      </c>
      <c r="G32" s="330">
        <f t="shared" si="1"/>
        <v>12446.4</v>
      </c>
      <c r="H32" s="218" t="s">
        <v>1605</v>
      </c>
    </row>
    <row r="33" spans="1:8" x14ac:dyDescent="0.25">
      <c r="A33" s="124">
        <f>A31+1</f>
        <v>24</v>
      </c>
      <c r="B33" s="138" t="s">
        <v>1316</v>
      </c>
      <c r="C33" s="129" t="s">
        <v>194</v>
      </c>
      <c r="D33" s="363">
        <f>433+3</f>
        <v>436</v>
      </c>
      <c r="E33" s="355">
        <v>300</v>
      </c>
      <c r="F33" s="314">
        <f t="shared" si="3"/>
        <v>130800</v>
      </c>
      <c r="G33" s="314">
        <f t="shared" si="1"/>
        <v>156960</v>
      </c>
    </row>
    <row r="34" spans="1:8" x14ac:dyDescent="0.25">
      <c r="A34" s="124">
        <f t="shared" si="2"/>
        <v>25</v>
      </c>
      <c r="B34" s="138" t="s">
        <v>1317</v>
      </c>
      <c r="C34" s="129" t="s">
        <v>193</v>
      </c>
      <c r="D34" s="139">
        <v>420.1</v>
      </c>
      <c r="E34" s="286">
        <v>125</v>
      </c>
      <c r="F34" s="105">
        <f t="shared" si="3"/>
        <v>52512.5</v>
      </c>
      <c r="G34" s="105">
        <f t="shared" si="1"/>
        <v>63015</v>
      </c>
    </row>
    <row r="35" spans="1:8" ht="30" x14ac:dyDescent="0.25">
      <c r="A35" s="124">
        <f t="shared" si="2"/>
        <v>26</v>
      </c>
      <c r="B35" s="138" t="s">
        <v>1318</v>
      </c>
      <c r="C35" s="129" t="s">
        <v>1319</v>
      </c>
      <c r="D35" s="124">
        <v>7</v>
      </c>
      <c r="E35" s="355">
        <v>20778</v>
      </c>
      <c r="F35" s="314">
        <f t="shared" si="3"/>
        <v>145446</v>
      </c>
      <c r="G35" s="314">
        <f t="shared" si="1"/>
        <v>174535.2</v>
      </c>
    </row>
    <row r="36" spans="1:8" x14ac:dyDescent="0.25">
      <c r="A36" s="124">
        <f t="shared" si="2"/>
        <v>27</v>
      </c>
      <c r="B36" s="364" t="s">
        <v>1320</v>
      </c>
      <c r="C36" s="129" t="s">
        <v>194</v>
      </c>
      <c r="D36" s="124">
        <v>432</v>
      </c>
      <c r="E36" s="355">
        <f>29417/D36</f>
        <v>68.094907407407405</v>
      </c>
      <c r="F36" s="314">
        <f t="shared" si="3"/>
        <v>29417</v>
      </c>
      <c r="G36" s="314">
        <f t="shared" si="1"/>
        <v>35300.400000000001</v>
      </c>
    </row>
    <row r="37" spans="1:8" x14ac:dyDescent="0.25">
      <c r="A37" s="357">
        <f t="shared" si="2"/>
        <v>28</v>
      </c>
      <c r="B37" s="365" t="s">
        <v>1321</v>
      </c>
      <c r="C37" s="359" t="s">
        <v>194</v>
      </c>
      <c r="D37" s="357">
        <v>432</v>
      </c>
      <c r="E37" s="361">
        <v>100</v>
      </c>
      <c r="F37" s="330">
        <f t="shared" si="3"/>
        <v>43200</v>
      </c>
      <c r="G37" s="330">
        <f t="shared" si="1"/>
        <v>51840</v>
      </c>
      <c r="H37" s="218"/>
    </row>
    <row r="38" spans="1:8" x14ac:dyDescent="0.25">
      <c r="A38" s="124"/>
      <c r="B38" s="295" t="s">
        <v>713</v>
      </c>
      <c r="C38" s="129"/>
      <c r="D38" s="124"/>
      <c r="E38" s="148"/>
      <c r="F38" s="149"/>
      <c r="G38" s="133"/>
    </row>
    <row r="39" spans="1:8" x14ac:dyDescent="0.25">
      <c r="A39" s="124">
        <f>A37+1</f>
        <v>29</v>
      </c>
      <c r="B39" s="138" t="s">
        <v>1322</v>
      </c>
      <c r="C39" s="129" t="s">
        <v>239</v>
      </c>
      <c r="D39" s="282">
        <v>0.16</v>
      </c>
      <c r="E39" s="355">
        <f>12441/D39</f>
        <v>77756.25</v>
      </c>
      <c r="F39" s="314">
        <f t="shared" ref="F39:F42" si="4">ROUND(E39*D39,2)</f>
        <v>12441</v>
      </c>
      <c r="G39" s="314">
        <f t="shared" si="1"/>
        <v>14929.2</v>
      </c>
    </row>
    <row r="40" spans="1:8" x14ac:dyDescent="0.25">
      <c r="A40" s="124">
        <f t="shared" si="2"/>
        <v>30</v>
      </c>
      <c r="B40" s="138" t="s">
        <v>1344</v>
      </c>
      <c r="C40" s="129" t="s">
        <v>194</v>
      </c>
      <c r="D40" s="366">
        <v>312</v>
      </c>
      <c r="E40" s="355">
        <v>810</v>
      </c>
      <c r="F40" s="314">
        <f t="shared" si="4"/>
        <v>252720</v>
      </c>
      <c r="G40" s="314">
        <f t="shared" si="1"/>
        <v>303264</v>
      </c>
    </row>
    <row r="41" spans="1:8" x14ac:dyDescent="0.25">
      <c r="A41" s="124">
        <f t="shared" si="2"/>
        <v>31</v>
      </c>
      <c r="B41" s="138" t="s">
        <v>1323</v>
      </c>
      <c r="C41" s="129" t="s">
        <v>239</v>
      </c>
      <c r="D41" s="282">
        <v>0.35</v>
      </c>
      <c r="E41" s="355">
        <f>27215/D41</f>
        <v>77757.142857142855</v>
      </c>
      <c r="F41" s="314">
        <f t="shared" si="4"/>
        <v>27215</v>
      </c>
      <c r="G41" s="314">
        <f t="shared" si="1"/>
        <v>32658</v>
      </c>
    </row>
    <row r="42" spans="1:8" ht="30" x14ac:dyDescent="0.25">
      <c r="A42" s="357">
        <f t="shared" si="2"/>
        <v>32</v>
      </c>
      <c r="B42" s="358" t="s">
        <v>1606</v>
      </c>
      <c r="C42" s="359" t="s">
        <v>239</v>
      </c>
      <c r="D42" s="367">
        <v>0.18</v>
      </c>
      <c r="E42" s="361">
        <v>0</v>
      </c>
      <c r="F42" s="330">
        <f t="shared" si="4"/>
        <v>0</v>
      </c>
      <c r="G42" s="330">
        <f t="shared" si="1"/>
        <v>0</v>
      </c>
      <c r="H42" s="218" t="s">
        <v>1607</v>
      </c>
    </row>
    <row r="43" spans="1:8" s="1" customFormat="1" x14ac:dyDescent="0.25">
      <c r="A43" s="124"/>
      <c r="B43" s="445" t="s">
        <v>439</v>
      </c>
      <c r="C43" s="445"/>
      <c r="D43" s="445"/>
      <c r="E43" s="445"/>
      <c r="F43" s="151">
        <f>SUM(F5:F42)</f>
        <v>2642385.4699999997</v>
      </c>
      <c r="G43" s="478">
        <f>SUM(G5:G42)</f>
        <v>3170862.5600000005</v>
      </c>
    </row>
    <row r="44" spans="1:8" x14ac:dyDescent="0.25">
      <c r="A44" s="411" t="s">
        <v>722</v>
      </c>
      <c r="B44" s="412"/>
      <c r="C44" s="412"/>
      <c r="D44" s="412"/>
      <c r="E44" s="413"/>
      <c r="F44" s="220">
        <f>ROUND(F43*0.03,2)</f>
        <v>79271.56</v>
      </c>
      <c r="G44" s="220">
        <f>ROUND(G43*0.03,2)</f>
        <v>95125.88</v>
      </c>
      <c r="H44" s="52"/>
    </row>
    <row r="45" spans="1:8" x14ac:dyDescent="0.25">
      <c r="A45" s="411" t="s">
        <v>723</v>
      </c>
      <c r="B45" s="412"/>
      <c r="C45" s="412"/>
      <c r="D45" s="412"/>
      <c r="E45" s="413"/>
      <c r="F45" s="220">
        <f>F43+F44</f>
        <v>2721657.03</v>
      </c>
      <c r="G45" s="220">
        <f>G43+G44</f>
        <v>3265988.4400000004</v>
      </c>
      <c r="H45" s="52"/>
    </row>
  </sheetData>
  <mergeCells count="14">
    <mergeCell ref="B43:E43"/>
    <mergeCell ref="A44:E44"/>
    <mergeCell ref="A45:E45"/>
    <mergeCell ref="A5:D5"/>
    <mergeCell ref="A6:D6"/>
    <mergeCell ref="A23:D23"/>
    <mergeCell ref="A1:A3"/>
    <mergeCell ref="B1:B3"/>
    <mergeCell ref="C1:C3"/>
    <mergeCell ref="D1:D3"/>
    <mergeCell ref="E1:G1"/>
    <mergeCell ref="E2:E3"/>
    <mergeCell ref="F2:F3"/>
    <mergeCell ref="G2:G3"/>
  </mergeCells>
  <pageMargins left="0.7" right="0.7" top="0.75" bottom="0.75" header="0.3" footer="0.3"/>
  <pageSetup paperSize="9" scale="6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view="pageBreakPreview" zoomScale="90" zoomScaleNormal="100" zoomScaleSheetLayoutView="90" workbookViewId="0">
      <pane ySplit="3" topLeftCell="A4" activePane="bottomLeft" state="frozen"/>
      <selection activeCell="G69" sqref="G69"/>
      <selection pane="bottomLeft" activeCell="E28" sqref="E28"/>
    </sheetView>
  </sheetViews>
  <sheetFormatPr defaultRowHeight="15" x14ac:dyDescent="0.25"/>
  <cols>
    <col min="1" max="1" width="5.5703125" customWidth="1"/>
    <col min="2" max="2" width="61.7109375" customWidth="1"/>
    <col min="3" max="3" width="14" customWidth="1"/>
    <col min="4" max="4" width="13" customWidth="1"/>
    <col min="5" max="5" width="13.7109375" customWidth="1"/>
    <col min="6" max="6" width="14.85546875" customWidth="1"/>
    <col min="7" max="7" width="15.5703125" customWidth="1"/>
  </cols>
  <sheetData>
    <row r="1" spans="1:7" x14ac:dyDescent="0.25">
      <c r="A1" s="449" t="s">
        <v>226</v>
      </c>
      <c r="B1" s="416" t="s">
        <v>227</v>
      </c>
      <c r="C1" s="416" t="s">
        <v>228</v>
      </c>
      <c r="D1" s="416" t="s">
        <v>229</v>
      </c>
      <c r="E1" s="450" t="s">
        <v>703</v>
      </c>
      <c r="F1" s="451"/>
      <c r="G1" s="452"/>
    </row>
    <row r="2" spans="1:7" x14ac:dyDescent="0.25">
      <c r="A2" s="449"/>
      <c r="B2" s="416"/>
      <c r="C2" s="416"/>
      <c r="D2" s="416"/>
      <c r="E2" s="453"/>
      <c r="F2" s="454"/>
      <c r="G2" s="455"/>
    </row>
    <row r="3" spans="1:7" ht="28.5" x14ac:dyDescent="0.25">
      <c r="A3" s="449"/>
      <c r="B3" s="416"/>
      <c r="C3" s="416"/>
      <c r="D3" s="416"/>
      <c r="E3" s="344" t="s">
        <v>196</v>
      </c>
      <c r="F3" s="346" t="s">
        <v>197</v>
      </c>
      <c r="G3" s="346" t="s">
        <v>199</v>
      </c>
    </row>
    <row r="4" spans="1:7" x14ac:dyDescent="0.25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</row>
    <row r="5" spans="1:7" ht="15" customHeight="1" x14ac:dyDescent="0.25">
      <c r="A5" s="448" t="s">
        <v>1337</v>
      </c>
      <c r="B5" s="448"/>
      <c r="C5" s="448"/>
      <c r="D5" s="448"/>
      <c r="E5" s="140"/>
      <c r="F5" s="140"/>
      <c r="G5" s="140"/>
    </row>
    <row r="6" spans="1:7" x14ac:dyDescent="0.25">
      <c r="A6" s="294"/>
      <c r="B6" s="294" t="s">
        <v>1274</v>
      </c>
      <c r="C6" s="294"/>
      <c r="D6" s="294"/>
      <c r="E6" s="101"/>
      <c r="F6" s="101"/>
      <c r="G6" s="101"/>
    </row>
    <row r="7" spans="1:7" x14ac:dyDescent="0.25">
      <c r="A7" s="124">
        <v>1</v>
      </c>
      <c r="B7" s="67" t="s">
        <v>1273</v>
      </c>
      <c r="C7" s="129" t="s">
        <v>220</v>
      </c>
      <c r="D7" s="124">
        <v>1</v>
      </c>
      <c r="E7" s="368">
        <v>37200</v>
      </c>
      <c r="F7" s="314">
        <f>ROUND(E7*D7,2)</f>
        <v>37200</v>
      </c>
      <c r="G7" s="314">
        <f>ROUND(F7*1.2,2)</f>
        <v>44640</v>
      </c>
    </row>
    <row r="8" spans="1:7" x14ac:dyDescent="0.25">
      <c r="A8" s="369"/>
      <c r="B8" s="369" t="s">
        <v>1275</v>
      </c>
      <c r="C8" s="369"/>
      <c r="D8" s="369"/>
      <c r="E8" s="97"/>
      <c r="F8" s="97"/>
      <c r="G8" s="97"/>
    </row>
    <row r="9" spans="1:7" x14ac:dyDescent="0.25">
      <c r="A9" s="124">
        <f>A7+1</f>
        <v>2</v>
      </c>
      <c r="B9" s="67" t="s">
        <v>1303</v>
      </c>
      <c r="C9" s="129" t="s">
        <v>194</v>
      </c>
      <c r="D9" s="124">
        <v>85</v>
      </c>
      <c r="E9" s="368">
        <v>6790</v>
      </c>
      <c r="F9" s="314">
        <f t="shared" ref="F9:F22" si="0">ROUND(E9*D9,2)</f>
        <v>577150</v>
      </c>
      <c r="G9" s="314">
        <f t="shared" ref="G9:G31" si="1">ROUND(F9*1.2,2)</f>
        <v>692580</v>
      </c>
    </row>
    <row r="10" spans="1:7" x14ac:dyDescent="0.25">
      <c r="A10" s="124">
        <f>A9+1</f>
        <v>3</v>
      </c>
      <c r="B10" s="67" t="s">
        <v>1304</v>
      </c>
      <c r="C10" s="129" t="s">
        <v>194</v>
      </c>
      <c r="D10" s="139">
        <v>432.9</v>
      </c>
      <c r="E10" s="368">
        <v>1476</v>
      </c>
      <c r="F10" s="314">
        <f t="shared" si="0"/>
        <v>638960.4</v>
      </c>
      <c r="G10" s="314">
        <f t="shared" si="1"/>
        <v>766752.48</v>
      </c>
    </row>
    <row r="11" spans="1:7" x14ac:dyDescent="0.25">
      <c r="A11" s="124">
        <f>A10+1</f>
        <v>4</v>
      </c>
      <c r="B11" s="136" t="s">
        <v>1276</v>
      </c>
      <c r="C11" s="129" t="s">
        <v>194</v>
      </c>
      <c r="D11" s="124">
        <v>3</v>
      </c>
      <c r="E11" s="368">
        <v>6953</v>
      </c>
      <c r="F11" s="314">
        <f t="shared" si="0"/>
        <v>20859</v>
      </c>
      <c r="G11" s="314">
        <f t="shared" si="1"/>
        <v>25030.799999999999</v>
      </c>
    </row>
    <row r="12" spans="1:7" x14ac:dyDescent="0.25">
      <c r="A12" s="124">
        <f>A11+1</f>
        <v>5</v>
      </c>
      <c r="B12" s="144" t="s">
        <v>1305</v>
      </c>
      <c r="C12" s="129" t="s">
        <v>220</v>
      </c>
      <c r="D12" s="370">
        <v>1</v>
      </c>
      <c r="E12" s="368">
        <v>3200</v>
      </c>
      <c r="F12" s="314">
        <f t="shared" si="0"/>
        <v>3200</v>
      </c>
      <c r="G12" s="314">
        <f t="shared" si="1"/>
        <v>3840</v>
      </c>
    </row>
    <row r="13" spans="1:7" x14ac:dyDescent="0.25">
      <c r="A13" s="124">
        <f t="shared" ref="A13:A15" si="2">A12+1</f>
        <v>6</v>
      </c>
      <c r="B13" s="144" t="s">
        <v>1277</v>
      </c>
      <c r="C13" s="129" t="s">
        <v>220</v>
      </c>
      <c r="D13" s="370">
        <v>1</v>
      </c>
      <c r="E13" s="368">
        <v>2600</v>
      </c>
      <c r="F13" s="314">
        <f t="shared" si="0"/>
        <v>2600</v>
      </c>
      <c r="G13" s="314">
        <f t="shared" si="1"/>
        <v>3120</v>
      </c>
    </row>
    <row r="14" spans="1:7" x14ac:dyDescent="0.25">
      <c r="A14" s="124">
        <f t="shared" si="2"/>
        <v>7</v>
      </c>
      <c r="B14" s="136" t="s">
        <v>1306</v>
      </c>
      <c r="C14" s="129" t="s">
        <v>220</v>
      </c>
      <c r="D14" s="124">
        <v>2</v>
      </c>
      <c r="E14" s="368">
        <v>5765</v>
      </c>
      <c r="F14" s="314">
        <f t="shared" si="0"/>
        <v>11530</v>
      </c>
      <c r="G14" s="314">
        <f t="shared" si="1"/>
        <v>13836</v>
      </c>
    </row>
    <row r="15" spans="1:7" x14ac:dyDescent="0.25">
      <c r="A15" s="124">
        <f t="shared" si="2"/>
        <v>8</v>
      </c>
      <c r="B15" s="136" t="s">
        <v>1307</v>
      </c>
      <c r="C15" s="129" t="s">
        <v>220</v>
      </c>
      <c r="D15" s="124">
        <v>2</v>
      </c>
      <c r="E15" s="368">
        <v>5600</v>
      </c>
      <c r="F15" s="314">
        <f t="shared" si="0"/>
        <v>11200</v>
      </c>
      <c r="G15" s="314">
        <f t="shared" si="1"/>
        <v>13440</v>
      </c>
    </row>
    <row r="16" spans="1:7" x14ac:dyDescent="0.25">
      <c r="A16" s="124">
        <f t="shared" ref="A16" si="3">A14+1</f>
        <v>8</v>
      </c>
      <c r="B16" s="371" t="s">
        <v>1308</v>
      </c>
      <c r="C16" s="129" t="s">
        <v>220</v>
      </c>
      <c r="D16" s="124">
        <v>72</v>
      </c>
      <c r="E16" s="368">
        <v>3120</v>
      </c>
      <c r="F16" s="314">
        <f t="shared" si="0"/>
        <v>224640</v>
      </c>
      <c r="G16" s="314">
        <f t="shared" si="1"/>
        <v>269568</v>
      </c>
    </row>
    <row r="17" spans="1:7" x14ac:dyDescent="0.25">
      <c r="A17" s="124">
        <f t="shared" ref="A17:A31" si="4">A16+1</f>
        <v>9</v>
      </c>
      <c r="B17" s="371" t="s">
        <v>1309</v>
      </c>
      <c r="C17" s="129" t="s">
        <v>220</v>
      </c>
      <c r="D17" s="124">
        <v>15</v>
      </c>
      <c r="E17" s="368">
        <v>9200</v>
      </c>
      <c r="F17" s="314">
        <f t="shared" si="0"/>
        <v>138000</v>
      </c>
      <c r="G17" s="314">
        <f t="shared" si="1"/>
        <v>165600</v>
      </c>
    </row>
    <row r="18" spans="1:7" x14ac:dyDescent="0.25">
      <c r="A18" s="124">
        <f t="shared" si="4"/>
        <v>10</v>
      </c>
      <c r="B18" s="371" t="s">
        <v>1278</v>
      </c>
      <c r="C18" s="129" t="s">
        <v>220</v>
      </c>
      <c r="D18" s="124">
        <v>32</v>
      </c>
      <c r="E18" s="368">
        <v>1500</v>
      </c>
      <c r="F18" s="314">
        <f t="shared" si="0"/>
        <v>48000</v>
      </c>
      <c r="G18" s="314">
        <f t="shared" si="1"/>
        <v>57600</v>
      </c>
    </row>
    <row r="19" spans="1:7" x14ac:dyDescent="0.25">
      <c r="A19" s="124">
        <f t="shared" si="4"/>
        <v>11</v>
      </c>
      <c r="B19" s="371" t="s">
        <v>1279</v>
      </c>
      <c r="C19" s="129" t="s">
        <v>194</v>
      </c>
      <c r="D19" s="124">
        <v>427.9</v>
      </c>
      <c r="E19" s="368">
        <v>19.3</v>
      </c>
      <c r="F19" s="314">
        <f t="shared" si="0"/>
        <v>8258.4699999999993</v>
      </c>
      <c r="G19" s="314">
        <f t="shared" si="1"/>
        <v>9910.16</v>
      </c>
    </row>
    <row r="20" spans="1:7" x14ac:dyDescent="0.25">
      <c r="A20" s="124">
        <f t="shared" si="4"/>
        <v>12</v>
      </c>
      <c r="B20" s="371" t="s">
        <v>1280</v>
      </c>
      <c r="C20" s="129" t="s">
        <v>194</v>
      </c>
      <c r="D20" s="124">
        <v>560</v>
      </c>
      <c r="E20" s="368">
        <v>109</v>
      </c>
      <c r="F20" s="314">
        <f t="shared" si="0"/>
        <v>61040</v>
      </c>
      <c r="G20" s="314">
        <f t="shared" si="1"/>
        <v>73248</v>
      </c>
    </row>
    <row r="21" spans="1:7" x14ac:dyDescent="0.25">
      <c r="A21" s="124">
        <f t="shared" si="4"/>
        <v>13</v>
      </c>
      <c r="B21" s="371" t="s">
        <v>1284</v>
      </c>
      <c r="C21" s="129" t="s">
        <v>220</v>
      </c>
      <c r="D21" s="124">
        <v>6</v>
      </c>
      <c r="E21" s="368">
        <v>2300</v>
      </c>
      <c r="F21" s="314">
        <f t="shared" si="0"/>
        <v>13800</v>
      </c>
      <c r="G21" s="314">
        <f t="shared" si="1"/>
        <v>16560</v>
      </c>
    </row>
    <row r="22" spans="1:7" x14ac:dyDescent="0.25">
      <c r="A22" s="124">
        <f t="shared" si="4"/>
        <v>14</v>
      </c>
      <c r="B22" s="371" t="s">
        <v>1285</v>
      </c>
      <c r="C22" s="129" t="s">
        <v>1289</v>
      </c>
      <c r="D22" s="124">
        <v>327</v>
      </c>
      <c r="E22" s="368">
        <v>190</v>
      </c>
      <c r="F22" s="314">
        <f t="shared" si="0"/>
        <v>62130</v>
      </c>
      <c r="G22" s="314">
        <f t="shared" si="1"/>
        <v>74556</v>
      </c>
    </row>
    <row r="23" spans="1:7" x14ac:dyDescent="0.25">
      <c r="A23" s="369"/>
      <c r="B23" s="369" t="s">
        <v>1346</v>
      </c>
      <c r="C23" s="369"/>
      <c r="D23" s="369"/>
      <c r="E23" s="97"/>
      <c r="F23" s="97"/>
      <c r="G23" s="97"/>
    </row>
    <row r="24" spans="1:7" x14ac:dyDescent="0.25">
      <c r="A24" s="124">
        <f>A22+1</f>
        <v>15</v>
      </c>
      <c r="B24" s="371" t="s">
        <v>1310</v>
      </c>
      <c r="C24" s="129" t="s">
        <v>194</v>
      </c>
      <c r="D24" s="124">
        <v>8</v>
      </c>
      <c r="E24" s="368">
        <v>132</v>
      </c>
      <c r="F24" s="314">
        <f t="shared" ref="F24:F31" si="5">ROUND(E24*D24,2)</f>
        <v>1056</v>
      </c>
      <c r="G24" s="314">
        <f t="shared" si="1"/>
        <v>1267.2</v>
      </c>
    </row>
    <row r="25" spans="1:7" x14ac:dyDescent="0.25">
      <c r="A25" s="124">
        <f t="shared" si="4"/>
        <v>16</v>
      </c>
      <c r="B25" s="371" t="s">
        <v>1345</v>
      </c>
      <c r="C25" s="129" t="s">
        <v>220</v>
      </c>
      <c r="D25" s="124">
        <v>3</v>
      </c>
      <c r="E25" s="368">
        <v>9200</v>
      </c>
      <c r="F25" s="314">
        <f t="shared" si="5"/>
        <v>27600</v>
      </c>
      <c r="G25" s="314">
        <f t="shared" si="1"/>
        <v>33120</v>
      </c>
    </row>
    <row r="26" spans="1:7" x14ac:dyDescent="0.25">
      <c r="A26" s="124">
        <f t="shared" si="4"/>
        <v>17</v>
      </c>
      <c r="B26" s="371" t="s">
        <v>1281</v>
      </c>
      <c r="C26" s="129" t="s">
        <v>220</v>
      </c>
      <c r="D26" s="124">
        <v>3</v>
      </c>
      <c r="E26" s="368">
        <v>652</v>
      </c>
      <c r="F26" s="314">
        <f t="shared" si="5"/>
        <v>1956</v>
      </c>
      <c r="G26" s="314">
        <f t="shared" si="1"/>
        <v>2347.1999999999998</v>
      </c>
    </row>
    <row r="27" spans="1:7" x14ac:dyDescent="0.25">
      <c r="A27" s="124">
        <f t="shared" si="4"/>
        <v>18</v>
      </c>
      <c r="B27" s="371" t="s">
        <v>1288</v>
      </c>
      <c r="C27" s="129" t="s">
        <v>220</v>
      </c>
      <c r="D27" s="124">
        <v>6</v>
      </c>
      <c r="E27" s="368">
        <v>430</v>
      </c>
      <c r="F27" s="314">
        <f t="shared" si="5"/>
        <v>2580</v>
      </c>
      <c r="G27" s="314">
        <f t="shared" si="1"/>
        <v>3096</v>
      </c>
    </row>
    <row r="28" spans="1:7" x14ac:dyDescent="0.25">
      <c r="A28" s="124">
        <f t="shared" si="4"/>
        <v>19</v>
      </c>
      <c r="B28" s="371" t="s">
        <v>1287</v>
      </c>
      <c r="C28" s="129" t="s">
        <v>220</v>
      </c>
      <c r="D28" s="124">
        <v>3</v>
      </c>
      <c r="E28" s="368">
        <v>64</v>
      </c>
      <c r="F28" s="314">
        <f t="shared" si="5"/>
        <v>192</v>
      </c>
      <c r="G28" s="314">
        <f t="shared" si="1"/>
        <v>230.4</v>
      </c>
    </row>
    <row r="29" spans="1:7" x14ac:dyDescent="0.25">
      <c r="A29" s="124">
        <f t="shared" si="4"/>
        <v>20</v>
      </c>
      <c r="B29" s="371" t="s">
        <v>1286</v>
      </c>
      <c r="C29" s="129" t="s">
        <v>220</v>
      </c>
      <c r="D29" s="124">
        <v>3</v>
      </c>
      <c r="E29" s="368">
        <v>178</v>
      </c>
      <c r="F29" s="314">
        <f t="shared" si="5"/>
        <v>534</v>
      </c>
      <c r="G29" s="314">
        <f t="shared" si="1"/>
        <v>640.79999999999995</v>
      </c>
    </row>
    <row r="30" spans="1:7" x14ac:dyDescent="0.25">
      <c r="A30" s="124">
        <f t="shared" si="4"/>
        <v>21</v>
      </c>
      <c r="B30" s="371" t="s">
        <v>1282</v>
      </c>
      <c r="C30" s="129" t="s">
        <v>220</v>
      </c>
      <c r="D30" s="124">
        <v>3</v>
      </c>
      <c r="E30" s="368">
        <v>132</v>
      </c>
      <c r="F30" s="314">
        <f t="shared" si="5"/>
        <v>396</v>
      </c>
      <c r="G30" s="314">
        <f t="shared" si="1"/>
        <v>475.2</v>
      </c>
    </row>
    <row r="31" spans="1:7" x14ac:dyDescent="0.25">
      <c r="A31" s="124">
        <f t="shared" si="4"/>
        <v>22</v>
      </c>
      <c r="B31" s="371" t="s">
        <v>1283</v>
      </c>
      <c r="C31" s="129" t="s">
        <v>220</v>
      </c>
      <c r="D31" s="124">
        <v>3</v>
      </c>
      <c r="E31" s="368">
        <v>100</v>
      </c>
      <c r="F31" s="314">
        <f t="shared" si="5"/>
        <v>300</v>
      </c>
      <c r="G31" s="314">
        <f t="shared" si="1"/>
        <v>360</v>
      </c>
    </row>
    <row r="32" spans="1:7" s="1" customFormat="1" ht="18.75" customHeight="1" x14ac:dyDescent="0.25">
      <c r="A32" s="103"/>
      <c r="B32" s="456" t="s">
        <v>721</v>
      </c>
      <c r="C32" s="457"/>
      <c r="D32" s="457"/>
      <c r="E32" s="458"/>
      <c r="F32" s="116">
        <f>SUM(F7:F31)</f>
        <v>1893181.8699999999</v>
      </c>
      <c r="G32" s="116">
        <f>SUM(G7:G31)</f>
        <v>2271818.2400000002</v>
      </c>
    </row>
    <row r="35" spans="7:7" x14ac:dyDescent="0.25">
      <c r="G35" s="26"/>
    </row>
  </sheetData>
  <mergeCells count="7">
    <mergeCell ref="B32:E32"/>
    <mergeCell ref="A1:A3"/>
    <mergeCell ref="B1:B3"/>
    <mergeCell ref="C1:C3"/>
    <mergeCell ref="D1:D3"/>
    <mergeCell ref="E1:G2"/>
    <mergeCell ref="A5:D5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topLeftCell="A55" workbookViewId="0">
      <selection activeCell="G61" sqref="G61:G62"/>
    </sheetView>
  </sheetViews>
  <sheetFormatPr defaultRowHeight="15" x14ac:dyDescent="0.25"/>
  <cols>
    <col min="1" max="1" width="5.42578125" bestFit="1" customWidth="1"/>
    <col min="2" max="2" width="50.28515625" bestFit="1" customWidth="1"/>
    <col min="3" max="3" width="26.140625" bestFit="1" customWidth="1"/>
    <col min="4" max="4" width="11" bestFit="1" customWidth="1"/>
    <col min="5" max="5" width="14.42578125" bestFit="1" customWidth="1"/>
    <col min="6" max="6" width="26.140625" bestFit="1" customWidth="1"/>
    <col min="7" max="7" width="19.5703125" style="18" customWidth="1"/>
    <col min="8" max="8" width="26.5703125" style="29" customWidth="1"/>
    <col min="9" max="9" width="15.28515625" bestFit="1" customWidth="1"/>
  </cols>
  <sheetData>
    <row r="1" spans="1:8" ht="30" x14ac:dyDescent="0.25">
      <c r="A1" s="12" t="s">
        <v>0</v>
      </c>
      <c r="B1" s="12" t="s">
        <v>3</v>
      </c>
      <c r="C1" s="12" t="s">
        <v>2</v>
      </c>
      <c r="D1" s="12" t="s">
        <v>20</v>
      </c>
      <c r="E1" s="12" t="s">
        <v>1</v>
      </c>
      <c r="F1" s="12" t="s">
        <v>4</v>
      </c>
      <c r="G1" s="14" t="s">
        <v>143</v>
      </c>
      <c r="H1" s="12" t="s">
        <v>167</v>
      </c>
    </row>
    <row r="2" spans="1:8" s="1" customFormat="1" ht="18.75" x14ac:dyDescent="0.3">
      <c r="A2" s="399" t="s">
        <v>5</v>
      </c>
      <c r="B2" s="400"/>
      <c r="C2" s="9"/>
      <c r="D2" s="9"/>
      <c r="E2" s="9"/>
      <c r="F2" s="9"/>
      <c r="G2" s="16"/>
      <c r="H2" s="16"/>
    </row>
    <row r="3" spans="1:8" x14ac:dyDescent="0.25">
      <c r="A3" s="4" t="s">
        <v>6</v>
      </c>
      <c r="B3" s="4" t="s">
        <v>7</v>
      </c>
      <c r="C3" s="3"/>
      <c r="D3" s="3"/>
      <c r="E3" s="3"/>
      <c r="F3" s="3"/>
      <c r="G3" s="13"/>
      <c r="H3" s="19"/>
    </row>
    <row r="4" spans="1:8" x14ac:dyDescent="0.25">
      <c r="A4" s="3" t="s">
        <v>8</v>
      </c>
      <c r="B4" s="3" t="s">
        <v>136</v>
      </c>
      <c r="C4" s="3"/>
      <c r="D4" s="3"/>
      <c r="E4" s="3"/>
      <c r="F4" s="3"/>
      <c r="G4" s="13"/>
      <c r="H4" s="19"/>
    </row>
    <row r="5" spans="1:8" s="34" customFormat="1" x14ac:dyDescent="0.25">
      <c r="A5" s="31" t="s">
        <v>10</v>
      </c>
      <c r="B5" s="31" t="s">
        <v>134</v>
      </c>
      <c r="C5" s="31"/>
      <c r="D5" s="31"/>
      <c r="E5" s="31" t="s">
        <v>171</v>
      </c>
      <c r="F5" s="31" t="s">
        <v>172</v>
      </c>
      <c r="G5" s="32"/>
      <c r="H5" s="33"/>
    </row>
    <row r="6" spans="1:8" s="34" customFormat="1" x14ac:dyDescent="0.25">
      <c r="A6" s="31" t="s">
        <v>22</v>
      </c>
      <c r="B6" s="31" t="s">
        <v>135</v>
      </c>
      <c r="C6" s="31"/>
      <c r="D6" s="31"/>
      <c r="E6" s="31" t="s">
        <v>171</v>
      </c>
      <c r="F6" s="31" t="s">
        <v>172</v>
      </c>
      <c r="G6" s="32"/>
      <c r="H6" s="33"/>
    </row>
    <row r="7" spans="1:8" x14ac:dyDescent="0.25">
      <c r="A7" s="3" t="s">
        <v>23</v>
      </c>
      <c r="B7" s="3" t="s">
        <v>131</v>
      </c>
      <c r="C7" s="3"/>
      <c r="D7" s="3"/>
      <c r="E7" s="3"/>
      <c r="F7" s="3"/>
      <c r="G7" s="13"/>
      <c r="H7" s="19"/>
    </row>
    <row r="8" spans="1:8" x14ac:dyDescent="0.25">
      <c r="A8" s="3" t="s">
        <v>132</v>
      </c>
      <c r="B8" s="3" t="s">
        <v>133</v>
      </c>
      <c r="C8" s="3"/>
      <c r="D8" s="3"/>
      <c r="E8" s="3"/>
      <c r="F8" s="3"/>
      <c r="G8" s="13"/>
      <c r="H8" s="19"/>
    </row>
    <row r="9" spans="1:8" x14ac:dyDescent="0.25">
      <c r="A9" s="3" t="s">
        <v>24</v>
      </c>
      <c r="B9" s="3" t="s">
        <v>11</v>
      </c>
      <c r="C9" s="3"/>
      <c r="D9" s="3"/>
      <c r="E9" s="3"/>
      <c r="F9" s="3"/>
      <c r="G9" s="13"/>
      <c r="H9" s="19"/>
    </row>
    <row r="10" spans="1:8" x14ac:dyDescent="0.25">
      <c r="A10" s="3" t="s">
        <v>25</v>
      </c>
      <c r="B10" s="3" t="s">
        <v>12</v>
      </c>
      <c r="C10" s="3"/>
      <c r="D10" s="3"/>
      <c r="E10" s="3"/>
      <c r="F10" s="3"/>
      <c r="G10" s="13"/>
      <c r="H10" s="19"/>
    </row>
    <row r="11" spans="1:8" x14ac:dyDescent="0.25">
      <c r="A11" s="3" t="s">
        <v>26</v>
      </c>
      <c r="B11" s="3" t="s">
        <v>13</v>
      </c>
      <c r="C11" s="3"/>
      <c r="D11" s="3"/>
      <c r="E11" s="3"/>
      <c r="F11" s="3"/>
      <c r="G11" s="13"/>
      <c r="H11" s="19"/>
    </row>
    <row r="12" spans="1:8" s="34" customFormat="1" x14ac:dyDescent="0.25">
      <c r="A12" s="31" t="s">
        <v>27</v>
      </c>
      <c r="B12" s="31" t="s">
        <v>137</v>
      </c>
      <c r="C12" s="31"/>
      <c r="D12" s="31"/>
      <c r="E12" s="31"/>
      <c r="F12" s="31"/>
      <c r="G12" s="32"/>
      <c r="H12" s="33"/>
    </row>
    <row r="13" spans="1:8" s="34" customFormat="1" x14ac:dyDescent="0.25">
      <c r="A13" s="31" t="s">
        <v>28</v>
      </c>
      <c r="B13" s="31" t="s">
        <v>14</v>
      </c>
      <c r="C13" s="31" t="s">
        <v>15</v>
      </c>
      <c r="D13" s="31"/>
      <c r="E13" s="31"/>
      <c r="F13" s="31"/>
      <c r="G13" s="32"/>
      <c r="H13" s="33"/>
    </row>
    <row r="14" spans="1:8" x14ac:dyDescent="0.25">
      <c r="A14" s="3" t="s">
        <v>29</v>
      </c>
      <c r="B14" s="3" t="s">
        <v>16</v>
      </c>
      <c r="C14" s="3" t="s">
        <v>17</v>
      </c>
      <c r="D14" s="3"/>
      <c r="E14" s="3"/>
      <c r="F14" s="3"/>
      <c r="G14" s="13"/>
      <c r="H14" s="19"/>
    </row>
    <row r="15" spans="1:8" x14ac:dyDescent="0.25">
      <c r="A15" s="3" t="s">
        <v>30</v>
      </c>
      <c r="B15" s="3" t="s">
        <v>18</v>
      </c>
      <c r="C15" s="3" t="s">
        <v>130</v>
      </c>
      <c r="D15" s="3"/>
      <c r="E15" s="3"/>
      <c r="F15" s="3"/>
      <c r="G15" s="13"/>
      <c r="H15" s="19"/>
    </row>
    <row r="16" spans="1:8" s="34" customFormat="1" x14ac:dyDescent="0.25">
      <c r="A16" s="31" t="s">
        <v>138</v>
      </c>
      <c r="B16" s="31" t="s">
        <v>19</v>
      </c>
      <c r="C16" s="31"/>
      <c r="D16" s="31" t="s">
        <v>21</v>
      </c>
      <c r="E16" s="31"/>
      <c r="F16" s="31" t="s">
        <v>172</v>
      </c>
      <c r="G16" s="32"/>
      <c r="H16" s="33"/>
    </row>
    <row r="17" spans="1:8" ht="75" x14ac:dyDescent="0.25">
      <c r="A17" s="35" t="s">
        <v>139</v>
      </c>
      <c r="B17" s="36" t="s">
        <v>140</v>
      </c>
      <c r="C17" s="37" t="s">
        <v>141</v>
      </c>
      <c r="D17" s="38" t="s">
        <v>142</v>
      </c>
      <c r="E17" s="38"/>
      <c r="F17" s="37" t="s">
        <v>168</v>
      </c>
      <c r="G17" s="39">
        <f>H17/1.35</f>
        <v>3343784</v>
      </c>
      <c r="H17" s="40">
        <f>1677527.55+2836580.85</f>
        <v>4514108.4000000004</v>
      </c>
    </row>
    <row r="18" spans="1:8" s="1" customFormat="1" x14ac:dyDescent="0.25">
      <c r="A18" s="4" t="s">
        <v>31</v>
      </c>
      <c r="B18" s="4" t="s">
        <v>32</v>
      </c>
      <c r="C18" s="4"/>
      <c r="D18" s="4"/>
      <c r="E18" s="4"/>
      <c r="F18" s="4"/>
      <c r="G18" s="17"/>
      <c r="H18" s="11"/>
    </row>
    <row r="19" spans="1:8" ht="30" x14ac:dyDescent="0.25">
      <c r="A19" s="3" t="s">
        <v>35</v>
      </c>
      <c r="B19" s="5" t="s">
        <v>33</v>
      </c>
      <c r="C19" s="3" t="s">
        <v>34</v>
      </c>
      <c r="D19" s="3"/>
      <c r="E19" s="3"/>
      <c r="F19" s="3"/>
      <c r="G19" s="13"/>
      <c r="H19" s="19"/>
    </row>
    <row r="20" spans="1:8" x14ac:dyDescent="0.25">
      <c r="A20" s="3" t="s">
        <v>36</v>
      </c>
      <c r="B20" s="3" t="s">
        <v>37</v>
      </c>
      <c r="C20" s="3"/>
      <c r="D20" s="3"/>
      <c r="E20" s="3"/>
      <c r="F20" s="3"/>
      <c r="G20" s="13"/>
      <c r="H20" s="19"/>
    </row>
    <row r="21" spans="1:8" x14ac:dyDescent="0.25">
      <c r="A21" s="3" t="s">
        <v>43</v>
      </c>
      <c r="B21" s="3" t="s">
        <v>38</v>
      </c>
      <c r="C21" s="3"/>
      <c r="D21" s="3"/>
      <c r="E21" s="3"/>
      <c r="F21" s="3"/>
      <c r="G21" s="13"/>
      <c r="H21" s="19"/>
    </row>
    <row r="22" spans="1:8" x14ac:dyDescent="0.25">
      <c r="A22" s="3" t="s">
        <v>44</v>
      </c>
      <c r="B22" s="6" t="s">
        <v>39</v>
      </c>
      <c r="C22" s="3"/>
      <c r="D22" s="3"/>
      <c r="E22" s="3"/>
      <c r="F22" s="3"/>
      <c r="G22" s="13"/>
      <c r="H22" s="19"/>
    </row>
    <row r="23" spans="1:8" ht="30" x14ac:dyDescent="0.25">
      <c r="A23" s="31" t="s">
        <v>45</v>
      </c>
      <c r="B23" s="41" t="s">
        <v>40</v>
      </c>
      <c r="C23" s="31"/>
      <c r="D23" s="31"/>
      <c r="E23" s="31"/>
      <c r="F23" s="31" t="s">
        <v>173</v>
      </c>
      <c r="G23" s="32"/>
      <c r="H23" s="33"/>
    </row>
    <row r="24" spans="1:8" s="34" customFormat="1" x14ac:dyDescent="0.25">
      <c r="A24" s="31" t="s">
        <v>46</v>
      </c>
      <c r="B24" s="31" t="s">
        <v>41</v>
      </c>
      <c r="C24" s="31"/>
      <c r="D24" s="31"/>
      <c r="E24" s="31"/>
      <c r="F24" s="31" t="s">
        <v>173</v>
      </c>
      <c r="G24" s="32"/>
      <c r="H24" s="33"/>
    </row>
    <row r="25" spans="1:8" s="34" customFormat="1" x14ac:dyDescent="0.25">
      <c r="A25" s="31" t="s">
        <v>47</v>
      </c>
      <c r="B25" s="31" t="s">
        <v>42</v>
      </c>
      <c r="C25" s="31"/>
      <c r="D25" s="31"/>
      <c r="E25" s="31"/>
      <c r="F25" s="31" t="s">
        <v>173</v>
      </c>
      <c r="G25" s="32"/>
      <c r="H25" s="33"/>
    </row>
    <row r="26" spans="1:8" x14ac:dyDescent="0.25">
      <c r="A26" s="42" t="s">
        <v>48</v>
      </c>
      <c r="B26" s="42" t="s">
        <v>49</v>
      </c>
      <c r="C26" s="42"/>
      <c r="D26" s="42"/>
      <c r="E26" s="42"/>
      <c r="F26" s="42" t="s">
        <v>50</v>
      </c>
      <c r="G26" s="43"/>
      <c r="H26" s="44"/>
    </row>
    <row r="27" spans="1:8" x14ac:dyDescent="0.25">
      <c r="A27" s="4" t="s">
        <v>52</v>
      </c>
      <c r="B27" s="4" t="s">
        <v>51</v>
      </c>
      <c r="C27" s="3"/>
      <c r="D27" s="3"/>
      <c r="E27" s="3"/>
      <c r="F27" s="3"/>
      <c r="G27" s="13"/>
      <c r="H27" s="19"/>
    </row>
    <row r="28" spans="1:8" ht="30" x14ac:dyDescent="0.25">
      <c r="A28" s="31" t="s">
        <v>57</v>
      </c>
      <c r="B28" s="46" t="s">
        <v>56</v>
      </c>
      <c r="C28" s="31"/>
      <c r="D28" s="31"/>
      <c r="E28" s="31"/>
      <c r="F28" s="31" t="s">
        <v>174</v>
      </c>
      <c r="G28" s="32"/>
      <c r="H28" s="33"/>
    </row>
    <row r="29" spans="1:8" x14ac:dyDescent="0.25">
      <c r="A29" s="47" t="s">
        <v>58</v>
      </c>
      <c r="B29" s="48" t="s">
        <v>53</v>
      </c>
      <c r="C29" s="47"/>
      <c r="D29" s="47"/>
      <c r="E29" s="47"/>
      <c r="F29" s="47"/>
      <c r="G29" s="49"/>
      <c r="H29" s="50"/>
    </row>
    <row r="30" spans="1:8" x14ac:dyDescent="0.25">
      <c r="A30" s="31" t="s">
        <v>59</v>
      </c>
      <c r="B30" s="46" t="s">
        <v>54</v>
      </c>
      <c r="C30" s="31"/>
      <c r="D30" s="31"/>
      <c r="E30" s="31"/>
      <c r="F30" s="31" t="s">
        <v>174</v>
      </c>
      <c r="G30" s="32"/>
      <c r="H30" s="33"/>
    </row>
    <row r="31" spans="1:8" ht="30" x14ac:dyDescent="0.25">
      <c r="A31" s="47" t="s">
        <v>60</v>
      </c>
      <c r="B31" s="48" t="s">
        <v>55</v>
      </c>
      <c r="C31" s="47"/>
      <c r="D31" s="47"/>
      <c r="E31" s="47"/>
      <c r="F31" s="47"/>
      <c r="G31" s="49"/>
      <c r="H31" s="50"/>
    </row>
    <row r="32" spans="1:8" x14ac:dyDescent="0.25">
      <c r="A32" s="4" t="s">
        <v>65</v>
      </c>
      <c r="B32" s="8" t="s">
        <v>64</v>
      </c>
      <c r="C32" s="3"/>
      <c r="D32" s="3"/>
      <c r="E32" s="3"/>
      <c r="F32" s="3"/>
      <c r="G32" s="13"/>
      <c r="H32" s="19"/>
    </row>
    <row r="33" spans="1:10" ht="60" x14ac:dyDescent="0.25">
      <c r="A33" s="38" t="s">
        <v>66</v>
      </c>
      <c r="B33" s="45" t="s">
        <v>71</v>
      </c>
      <c r="C33" s="38" t="s">
        <v>70</v>
      </c>
      <c r="D33" s="38" t="s">
        <v>72</v>
      </c>
      <c r="E33" s="38" t="s">
        <v>73</v>
      </c>
      <c r="F33" s="37" t="s">
        <v>165</v>
      </c>
      <c r="G33" s="402">
        <f>H33/2</f>
        <v>7942400</v>
      </c>
      <c r="H33" s="402">
        <f>7942400*2</f>
        <v>15884800</v>
      </c>
      <c r="I33" s="30"/>
      <c r="J33" s="26"/>
    </row>
    <row r="34" spans="1:10" ht="45" x14ac:dyDescent="0.25">
      <c r="A34" s="38" t="s">
        <v>67</v>
      </c>
      <c r="B34" s="45" t="s">
        <v>61</v>
      </c>
      <c r="C34" s="38"/>
      <c r="D34" s="38" t="s">
        <v>72</v>
      </c>
      <c r="E34" s="38" t="s">
        <v>73</v>
      </c>
      <c r="F34" s="37" t="s">
        <v>166</v>
      </c>
      <c r="G34" s="403"/>
      <c r="H34" s="403"/>
    </row>
    <row r="35" spans="1:10" x14ac:dyDescent="0.25">
      <c r="A35" s="3" t="s">
        <v>68</v>
      </c>
      <c r="B35" s="7" t="s">
        <v>62</v>
      </c>
      <c r="C35" s="3"/>
      <c r="D35" s="3"/>
      <c r="E35" s="3"/>
      <c r="F35" s="3"/>
      <c r="G35" s="13"/>
      <c r="H35" s="19"/>
    </row>
    <row r="36" spans="1:10" ht="30" x14ac:dyDescent="0.25">
      <c r="A36" s="3" t="s">
        <v>69</v>
      </c>
      <c r="B36" s="5" t="s">
        <v>63</v>
      </c>
      <c r="C36" s="3"/>
      <c r="D36" s="3"/>
      <c r="E36" s="3"/>
      <c r="F36" s="3"/>
      <c r="G36" s="13"/>
      <c r="H36" s="19"/>
    </row>
    <row r="37" spans="1:10" x14ac:dyDescent="0.25">
      <c r="A37" s="4" t="s">
        <v>78</v>
      </c>
      <c r="B37" s="8" t="s">
        <v>77</v>
      </c>
      <c r="C37" s="3"/>
      <c r="D37" s="3"/>
      <c r="E37" s="3"/>
      <c r="F37" s="3"/>
      <c r="G37" s="13"/>
      <c r="H37" s="19"/>
    </row>
    <row r="38" spans="1:10" x14ac:dyDescent="0.25">
      <c r="A38" s="3" t="s">
        <v>79</v>
      </c>
      <c r="B38" s="6" t="s">
        <v>74</v>
      </c>
      <c r="C38" s="3"/>
      <c r="D38" s="3"/>
      <c r="E38" s="3"/>
      <c r="F38" s="3"/>
      <c r="G38" s="13"/>
      <c r="H38" s="19"/>
    </row>
    <row r="39" spans="1:10" x14ac:dyDescent="0.25">
      <c r="A39" s="3" t="s">
        <v>80</v>
      </c>
      <c r="B39" s="6" t="s">
        <v>75</v>
      </c>
      <c r="C39" s="3"/>
      <c r="D39" s="3"/>
      <c r="E39" s="3"/>
      <c r="F39" s="3"/>
      <c r="G39" s="13"/>
      <c r="H39" s="19"/>
    </row>
    <row r="40" spans="1:10" x14ac:dyDescent="0.25">
      <c r="A40" s="3" t="s">
        <v>81</v>
      </c>
      <c r="B40" s="6" t="s">
        <v>76</v>
      </c>
      <c r="C40" s="3"/>
      <c r="D40" s="3"/>
      <c r="E40" s="3"/>
      <c r="F40" s="3"/>
      <c r="G40" s="13"/>
      <c r="H40" s="19"/>
    </row>
    <row r="41" spans="1:10" x14ac:dyDescent="0.25">
      <c r="A41" s="3" t="s">
        <v>99</v>
      </c>
      <c r="B41" s="8" t="s">
        <v>96</v>
      </c>
      <c r="C41" s="3"/>
      <c r="D41" s="3"/>
      <c r="E41" s="3"/>
      <c r="F41" s="3"/>
      <c r="G41" s="13"/>
      <c r="H41" s="19"/>
    </row>
    <row r="42" spans="1:10" x14ac:dyDescent="0.25">
      <c r="A42" s="3" t="s">
        <v>102</v>
      </c>
      <c r="B42" s="6" t="s">
        <v>82</v>
      </c>
      <c r="C42" s="3"/>
      <c r="D42" s="3"/>
      <c r="E42" s="3"/>
      <c r="F42" s="3"/>
      <c r="G42" s="13"/>
      <c r="H42" s="19"/>
    </row>
    <row r="43" spans="1:10" x14ac:dyDescent="0.25">
      <c r="A43" s="3" t="s">
        <v>103</v>
      </c>
      <c r="B43" s="6" t="s">
        <v>83</v>
      </c>
      <c r="C43" s="3"/>
      <c r="D43" s="3"/>
      <c r="E43" s="3"/>
      <c r="F43" s="3"/>
      <c r="G43" s="13"/>
      <c r="H43" s="19"/>
    </row>
    <row r="44" spans="1:10" x14ac:dyDescent="0.25">
      <c r="A44" s="3" t="s">
        <v>100</v>
      </c>
      <c r="B44" s="8" t="s">
        <v>97</v>
      </c>
      <c r="C44" s="3"/>
      <c r="D44" s="3"/>
      <c r="E44" s="3"/>
      <c r="F44" s="3"/>
      <c r="G44" s="13"/>
      <c r="H44" s="19"/>
    </row>
    <row r="45" spans="1:10" x14ac:dyDescent="0.25">
      <c r="A45" s="3" t="s">
        <v>104</v>
      </c>
      <c r="B45" s="6" t="s">
        <v>84</v>
      </c>
      <c r="C45" s="3"/>
      <c r="D45" s="3"/>
      <c r="E45" s="3"/>
      <c r="F45" s="3"/>
      <c r="G45" s="13"/>
      <c r="H45" s="19"/>
    </row>
    <row r="46" spans="1:10" x14ac:dyDescent="0.25">
      <c r="A46" s="3" t="s">
        <v>105</v>
      </c>
      <c r="B46" s="6" t="s">
        <v>85</v>
      </c>
      <c r="C46" s="3"/>
      <c r="D46" s="3"/>
      <c r="E46" s="3"/>
      <c r="F46" s="3"/>
      <c r="G46" s="13"/>
      <c r="H46" s="19"/>
    </row>
    <row r="47" spans="1:10" x14ac:dyDescent="0.25">
      <c r="A47" s="3" t="s">
        <v>106</v>
      </c>
      <c r="B47" s="6" t="s">
        <v>86</v>
      </c>
      <c r="C47" s="3"/>
      <c r="D47" s="3"/>
      <c r="E47" s="3"/>
      <c r="F47" s="3"/>
      <c r="G47" s="13"/>
      <c r="H47" s="19"/>
    </row>
    <row r="48" spans="1:10" x14ac:dyDescent="0.25">
      <c r="A48" s="3" t="s">
        <v>107</v>
      </c>
      <c r="B48" s="6" t="s">
        <v>87</v>
      </c>
      <c r="C48" s="3"/>
      <c r="D48" s="3"/>
      <c r="E48" s="3"/>
      <c r="F48" s="3"/>
      <c r="G48" s="13"/>
      <c r="H48" s="19"/>
    </row>
    <row r="49" spans="1:9" x14ac:dyDescent="0.25">
      <c r="A49" s="3" t="s">
        <v>108</v>
      </c>
      <c r="B49" s="6" t="s">
        <v>88</v>
      </c>
      <c r="C49" s="3"/>
      <c r="D49" s="3"/>
      <c r="E49" s="3"/>
      <c r="F49" s="3"/>
      <c r="G49" s="13"/>
      <c r="H49" s="19"/>
    </row>
    <row r="50" spans="1:9" x14ac:dyDescent="0.25">
      <c r="A50" s="3" t="s">
        <v>109</v>
      </c>
      <c r="B50" s="6" t="s">
        <v>89</v>
      </c>
      <c r="C50" s="3"/>
      <c r="D50" s="3"/>
      <c r="E50" s="3"/>
      <c r="F50" s="3"/>
      <c r="G50" s="13"/>
      <c r="H50" s="19"/>
    </row>
    <row r="51" spans="1:9" x14ac:dyDescent="0.25">
      <c r="A51" s="3" t="s">
        <v>110</v>
      </c>
      <c r="B51" s="6" t="s">
        <v>76</v>
      </c>
      <c r="C51" s="3"/>
      <c r="D51" s="3"/>
      <c r="E51" s="3"/>
      <c r="F51" s="3"/>
      <c r="G51" s="13"/>
      <c r="H51" s="19"/>
    </row>
    <row r="52" spans="1:9" x14ac:dyDescent="0.25">
      <c r="A52" s="3" t="s">
        <v>111</v>
      </c>
      <c r="B52" s="6" t="s">
        <v>90</v>
      </c>
      <c r="C52" s="3"/>
      <c r="D52" s="3"/>
      <c r="E52" s="3"/>
      <c r="F52" s="3"/>
      <c r="G52" s="13"/>
      <c r="H52" s="19"/>
    </row>
    <row r="53" spans="1:9" x14ac:dyDescent="0.25">
      <c r="A53" s="3" t="s">
        <v>112</v>
      </c>
      <c r="B53" s="6" t="s">
        <v>91</v>
      </c>
      <c r="C53" s="3"/>
      <c r="D53" s="3"/>
      <c r="E53" s="3"/>
      <c r="F53" s="3"/>
      <c r="G53" s="13"/>
      <c r="H53" s="19"/>
    </row>
    <row r="54" spans="1:9" x14ac:dyDescent="0.25">
      <c r="A54" s="3" t="s">
        <v>113</v>
      </c>
      <c r="B54" s="6" t="s">
        <v>92</v>
      </c>
      <c r="C54" s="3"/>
      <c r="D54" s="3"/>
      <c r="E54" s="3"/>
      <c r="F54" s="3"/>
      <c r="G54" s="13"/>
      <c r="H54" s="19"/>
    </row>
    <row r="55" spans="1:9" x14ac:dyDescent="0.25">
      <c r="A55" s="3" t="s">
        <v>101</v>
      </c>
      <c r="B55" s="8" t="s">
        <v>98</v>
      </c>
      <c r="C55" s="3"/>
      <c r="D55" s="3"/>
      <c r="E55" s="3"/>
      <c r="F55" s="3"/>
      <c r="G55" s="13"/>
      <c r="H55" s="19"/>
    </row>
    <row r="56" spans="1:9" x14ac:dyDescent="0.25">
      <c r="A56" s="3" t="s">
        <v>114</v>
      </c>
      <c r="B56" s="6" t="s">
        <v>93</v>
      </c>
      <c r="C56" s="3"/>
      <c r="D56" s="3"/>
      <c r="E56" s="3"/>
      <c r="F56" s="3"/>
      <c r="G56" s="13"/>
      <c r="H56" s="19"/>
    </row>
    <row r="57" spans="1:9" x14ac:dyDescent="0.25">
      <c r="A57" s="3" t="s">
        <v>115</v>
      </c>
      <c r="B57" s="6" t="s">
        <v>94</v>
      </c>
      <c r="C57" s="3"/>
      <c r="D57" s="3"/>
      <c r="E57" s="3"/>
      <c r="F57" s="3"/>
      <c r="G57" s="13"/>
      <c r="H57" s="19"/>
    </row>
    <row r="58" spans="1:9" x14ac:dyDescent="0.25">
      <c r="A58" s="3" t="s">
        <v>116</v>
      </c>
      <c r="B58" s="3" t="s">
        <v>95</v>
      </c>
      <c r="C58" s="3"/>
      <c r="D58" s="3"/>
      <c r="E58" s="3"/>
      <c r="F58" s="3"/>
      <c r="G58" s="13"/>
      <c r="H58" s="19"/>
    </row>
    <row r="59" spans="1:9" ht="18.75" x14ac:dyDescent="0.25">
      <c r="A59" s="401" t="s">
        <v>117</v>
      </c>
      <c r="B59" s="401"/>
      <c r="C59" s="10"/>
      <c r="D59" s="10" t="s">
        <v>178</v>
      </c>
      <c r="E59" s="10"/>
      <c r="F59" s="10"/>
      <c r="G59" s="10"/>
      <c r="H59" s="19"/>
    </row>
    <row r="60" spans="1:9" s="1" customFormat="1" ht="60" x14ac:dyDescent="0.25">
      <c r="A60" s="11">
        <v>1</v>
      </c>
      <c r="B60" s="51" t="s">
        <v>118</v>
      </c>
      <c r="C60" s="8" t="s">
        <v>176</v>
      </c>
      <c r="D60" s="8">
        <v>1929</v>
      </c>
      <c r="E60" s="4"/>
      <c r="F60" s="4"/>
      <c r="G60" s="17"/>
      <c r="H60" s="11"/>
    </row>
    <row r="61" spans="1:9" ht="60" x14ac:dyDescent="0.25">
      <c r="A61" s="20" t="s">
        <v>8</v>
      </c>
      <c r="B61" s="21" t="s">
        <v>155</v>
      </c>
      <c r="C61" s="21" t="s">
        <v>129</v>
      </c>
      <c r="D61" s="22">
        <f>1929/12.5*2</f>
        <v>308.64</v>
      </c>
      <c r="E61" s="3" t="s">
        <v>147</v>
      </c>
      <c r="F61" s="5" t="s">
        <v>175</v>
      </c>
      <c r="G61" s="13">
        <f>250.25*137900</f>
        <v>34509475</v>
      </c>
      <c r="H61" s="27"/>
      <c r="I61" s="30"/>
    </row>
    <row r="62" spans="1:9" x14ac:dyDescent="0.25">
      <c r="A62" s="20" t="s">
        <v>10</v>
      </c>
      <c r="B62" s="21" t="s">
        <v>154</v>
      </c>
      <c r="C62" s="22" t="s">
        <v>144</v>
      </c>
      <c r="D62" s="22"/>
      <c r="E62" s="3" t="s">
        <v>147</v>
      </c>
      <c r="F62" s="3" t="s">
        <v>146</v>
      </c>
      <c r="G62" s="13">
        <f>2890*2228</f>
        <v>6438920</v>
      </c>
      <c r="H62" s="27"/>
    </row>
    <row r="63" spans="1:9" ht="30" x14ac:dyDescent="0.25">
      <c r="A63" s="20" t="s">
        <v>22</v>
      </c>
      <c r="B63" s="21" t="s">
        <v>153</v>
      </c>
      <c r="C63" s="22" t="s">
        <v>128</v>
      </c>
      <c r="D63" s="22"/>
      <c r="E63" s="3" t="s">
        <v>147</v>
      </c>
      <c r="F63" s="5" t="s">
        <v>149</v>
      </c>
      <c r="G63" s="13"/>
      <c r="H63" s="27"/>
    </row>
    <row r="64" spans="1:9" ht="30" x14ac:dyDescent="0.25">
      <c r="A64" s="20" t="s">
        <v>23</v>
      </c>
      <c r="B64" s="21" t="s">
        <v>152</v>
      </c>
      <c r="C64" s="22"/>
      <c r="D64" s="22"/>
      <c r="E64" s="3" t="s">
        <v>147</v>
      </c>
      <c r="F64" s="5" t="s">
        <v>148</v>
      </c>
      <c r="G64" s="13"/>
      <c r="H64" s="27"/>
    </row>
    <row r="65" spans="1:9" ht="30" x14ac:dyDescent="0.25">
      <c r="A65" s="20" t="s">
        <v>24</v>
      </c>
      <c r="B65" s="21" t="s">
        <v>151</v>
      </c>
      <c r="C65" s="22"/>
      <c r="D65" s="22"/>
      <c r="E65" s="3" t="s">
        <v>147</v>
      </c>
      <c r="F65" s="5" t="s">
        <v>150</v>
      </c>
      <c r="G65" s="13"/>
      <c r="H65" s="27"/>
    </row>
    <row r="66" spans="1:9" ht="30" x14ac:dyDescent="0.25">
      <c r="A66" s="20" t="s">
        <v>25</v>
      </c>
      <c r="B66" s="21" t="s">
        <v>157</v>
      </c>
      <c r="C66" s="22"/>
      <c r="D66" s="22"/>
      <c r="E66" s="3" t="s">
        <v>147</v>
      </c>
      <c r="F66" s="5" t="s">
        <v>156</v>
      </c>
      <c r="G66" s="13"/>
      <c r="H66" s="27"/>
    </row>
    <row r="67" spans="1:9" x14ac:dyDescent="0.25">
      <c r="A67" s="19" t="s">
        <v>26</v>
      </c>
      <c r="B67" s="7" t="s">
        <v>158</v>
      </c>
      <c r="C67" s="6"/>
      <c r="D67" s="6"/>
      <c r="E67" s="3" t="s">
        <v>147</v>
      </c>
      <c r="F67" s="3"/>
      <c r="G67" s="13"/>
      <c r="H67" s="27"/>
    </row>
    <row r="68" spans="1:9" s="1" customFormat="1" ht="60" x14ac:dyDescent="0.25">
      <c r="A68" s="11">
        <v>1</v>
      </c>
      <c r="B68" s="51" t="s">
        <v>118</v>
      </c>
      <c r="C68" s="8" t="s">
        <v>177</v>
      </c>
      <c r="D68" s="8">
        <v>284</v>
      </c>
      <c r="E68" s="4"/>
      <c r="F68" s="4"/>
      <c r="G68" s="17"/>
      <c r="H68" s="11"/>
    </row>
    <row r="69" spans="1:9" ht="60" x14ac:dyDescent="0.25">
      <c r="A69" s="20" t="s">
        <v>8</v>
      </c>
      <c r="B69" s="21" t="s">
        <v>155</v>
      </c>
      <c r="C69" s="21" t="s">
        <v>129</v>
      </c>
      <c r="D69" s="22"/>
      <c r="E69" s="3" t="s">
        <v>147</v>
      </c>
      <c r="F69" s="5" t="s">
        <v>175</v>
      </c>
      <c r="G69" s="13"/>
      <c r="H69" s="27"/>
      <c r="I69" s="30"/>
    </row>
    <row r="70" spans="1:9" x14ac:dyDescent="0.25">
      <c r="A70" s="20" t="s">
        <v>10</v>
      </c>
      <c r="B70" s="21" t="s">
        <v>154</v>
      </c>
      <c r="C70" s="22" t="s">
        <v>144</v>
      </c>
      <c r="D70" s="22"/>
      <c r="E70" s="3" t="s">
        <v>147</v>
      </c>
      <c r="F70" s="3" t="s">
        <v>146</v>
      </c>
      <c r="G70" s="13"/>
      <c r="H70" s="27"/>
    </row>
    <row r="71" spans="1:9" ht="30" x14ac:dyDescent="0.25">
      <c r="A71" s="20" t="s">
        <v>22</v>
      </c>
      <c r="B71" s="21" t="s">
        <v>153</v>
      </c>
      <c r="C71" s="22" t="s">
        <v>128</v>
      </c>
      <c r="D71" s="22"/>
      <c r="E71" s="3" t="s">
        <v>147</v>
      </c>
      <c r="F71" s="5" t="s">
        <v>149</v>
      </c>
      <c r="G71" s="13"/>
      <c r="H71" s="27"/>
    </row>
    <row r="72" spans="1:9" ht="30" x14ac:dyDescent="0.25">
      <c r="A72" s="20" t="s">
        <v>23</v>
      </c>
      <c r="B72" s="21" t="s">
        <v>152</v>
      </c>
      <c r="C72" s="22"/>
      <c r="D72" s="22"/>
      <c r="E72" s="3" t="s">
        <v>147</v>
      </c>
      <c r="F72" s="5" t="s">
        <v>148</v>
      </c>
      <c r="G72" s="13"/>
      <c r="H72" s="27"/>
    </row>
    <row r="73" spans="1:9" ht="30" x14ac:dyDescent="0.25">
      <c r="A73" s="20" t="s">
        <v>24</v>
      </c>
      <c r="B73" s="21" t="s">
        <v>151</v>
      </c>
      <c r="C73" s="22"/>
      <c r="D73" s="22"/>
      <c r="E73" s="3" t="s">
        <v>147</v>
      </c>
      <c r="F73" s="5" t="s">
        <v>150</v>
      </c>
      <c r="G73" s="13"/>
      <c r="H73" s="27"/>
    </row>
    <row r="74" spans="1:9" ht="30" x14ac:dyDescent="0.25">
      <c r="A74" s="20" t="s">
        <v>25</v>
      </c>
      <c r="B74" s="21" t="s">
        <v>157</v>
      </c>
      <c r="C74" s="22"/>
      <c r="D74" s="22"/>
      <c r="E74" s="3" t="s">
        <v>147</v>
      </c>
      <c r="F74" s="5" t="s">
        <v>156</v>
      </c>
      <c r="G74" s="13"/>
      <c r="H74" s="27"/>
    </row>
    <row r="75" spans="1:9" x14ac:dyDescent="0.25">
      <c r="A75" s="19" t="s">
        <v>26</v>
      </c>
      <c r="B75" s="7" t="s">
        <v>158</v>
      </c>
      <c r="C75" s="6"/>
      <c r="D75" s="6"/>
      <c r="E75" s="3" t="s">
        <v>147</v>
      </c>
      <c r="F75" s="3"/>
      <c r="G75" s="13"/>
      <c r="H75" s="27"/>
    </row>
    <row r="76" spans="1:9" x14ac:dyDescent="0.25">
      <c r="A76" s="19">
        <v>2</v>
      </c>
      <c r="B76" s="7" t="s">
        <v>127</v>
      </c>
      <c r="C76" s="6" t="s">
        <v>126</v>
      </c>
      <c r="D76" s="6">
        <v>1</v>
      </c>
      <c r="E76" s="3"/>
      <c r="F76" s="3"/>
      <c r="G76" s="13"/>
      <c r="H76" s="27">
        <f t="shared" ref="H76:H82" si="0">G76*1.35</f>
        <v>0</v>
      </c>
    </row>
    <row r="77" spans="1:9" ht="45" x14ac:dyDescent="0.25">
      <c r="A77" s="19">
        <v>3</v>
      </c>
      <c r="B77" s="7" t="s">
        <v>119</v>
      </c>
      <c r="C77" s="7" t="s">
        <v>120</v>
      </c>
      <c r="D77" s="6">
        <v>1</v>
      </c>
      <c r="E77" s="3" t="s">
        <v>147</v>
      </c>
      <c r="F77" s="3"/>
      <c r="G77" s="13">
        <f>3096000*D77</f>
        <v>3096000</v>
      </c>
      <c r="H77" s="27">
        <f t="shared" si="0"/>
        <v>4179600.0000000005</v>
      </c>
    </row>
    <row r="78" spans="1:9" ht="30" x14ac:dyDescent="0.25">
      <c r="A78" s="19">
        <v>4</v>
      </c>
      <c r="B78" s="7" t="s">
        <v>121</v>
      </c>
      <c r="C78" s="7" t="s">
        <v>120</v>
      </c>
      <c r="D78" s="6">
        <v>3</v>
      </c>
      <c r="E78" s="3" t="s">
        <v>147</v>
      </c>
      <c r="F78" s="3"/>
      <c r="G78" s="13">
        <f t="shared" ref="G78:G79" si="1">3096000*D78</f>
        <v>9288000</v>
      </c>
      <c r="H78" s="27">
        <f t="shared" si="0"/>
        <v>12538800</v>
      </c>
    </row>
    <row r="79" spans="1:9" ht="30" x14ac:dyDescent="0.25">
      <c r="A79" s="19">
        <v>5</v>
      </c>
      <c r="B79" s="7" t="s">
        <v>122</v>
      </c>
      <c r="C79" s="7" t="s">
        <v>120</v>
      </c>
      <c r="D79" s="6">
        <v>2</v>
      </c>
      <c r="E79" s="3" t="s">
        <v>147</v>
      </c>
      <c r="F79" s="3"/>
      <c r="G79" s="13">
        <f t="shared" si="1"/>
        <v>6192000</v>
      </c>
      <c r="H79" s="27">
        <f t="shared" si="0"/>
        <v>8359200.0000000009</v>
      </c>
    </row>
    <row r="80" spans="1:9" ht="30" x14ac:dyDescent="0.25">
      <c r="A80" s="19">
        <v>6</v>
      </c>
      <c r="B80" s="7" t="s">
        <v>121</v>
      </c>
      <c r="C80" s="7" t="s">
        <v>123</v>
      </c>
      <c r="D80" s="6">
        <v>1</v>
      </c>
      <c r="E80" s="3" t="s">
        <v>147</v>
      </c>
      <c r="F80" s="3"/>
      <c r="G80" s="13">
        <v>2470000</v>
      </c>
      <c r="H80" s="27">
        <f t="shared" si="0"/>
        <v>3334500</v>
      </c>
    </row>
    <row r="81" spans="1:8" ht="30" x14ac:dyDescent="0.25">
      <c r="A81" s="19">
        <v>7</v>
      </c>
      <c r="B81" s="7" t="s">
        <v>122</v>
      </c>
      <c r="C81" s="7" t="s">
        <v>123</v>
      </c>
      <c r="D81" s="6">
        <v>1</v>
      </c>
      <c r="E81" s="3" t="s">
        <v>147</v>
      </c>
      <c r="F81" s="3"/>
      <c r="G81" s="13">
        <v>2470000</v>
      </c>
      <c r="H81" s="27">
        <f t="shared" si="0"/>
        <v>3334500</v>
      </c>
    </row>
    <row r="82" spans="1:8" x14ac:dyDescent="0.25">
      <c r="A82" s="19">
        <v>8</v>
      </c>
      <c r="B82" s="7" t="s">
        <v>124</v>
      </c>
      <c r="C82" s="6" t="s">
        <v>125</v>
      </c>
      <c r="D82" s="6">
        <v>4</v>
      </c>
      <c r="E82" s="3" t="s">
        <v>147</v>
      </c>
      <c r="F82" s="3"/>
      <c r="G82" s="13">
        <f>168000*D82</f>
        <v>672000</v>
      </c>
      <c r="H82" s="27">
        <f t="shared" si="0"/>
        <v>907200.00000000012</v>
      </c>
    </row>
    <row r="83" spans="1:8" x14ac:dyDescent="0.25">
      <c r="A83" s="19">
        <v>9</v>
      </c>
      <c r="B83" s="7" t="s">
        <v>159</v>
      </c>
      <c r="C83" s="3"/>
      <c r="D83" s="3"/>
      <c r="E83" s="3"/>
      <c r="F83" s="3"/>
      <c r="G83" s="13"/>
      <c r="H83" s="19"/>
    </row>
    <row r="84" spans="1:8" x14ac:dyDescent="0.25">
      <c r="A84" s="20" t="s">
        <v>162</v>
      </c>
      <c r="B84" s="21" t="s">
        <v>160</v>
      </c>
      <c r="C84" s="23" t="s">
        <v>164</v>
      </c>
      <c r="D84" s="23"/>
      <c r="E84" s="23"/>
      <c r="F84" s="3"/>
      <c r="G84" s="13"/>
      <c r="H84" s="19"/>
    </row>
    <row r="85" spans="1:8" x14ac:dyDescent="0.25">
      <c r="A85" s="20" t="s">
        <v>163</v>
      </c>
      <c r="B85" s="21" t="s">
        <v>161</v>
      </c>
      <c r="C85" s="23"/>
      <c r="D85" s="23"/>
      <c r="E85" s="23"/>
      <c r="F85" s="3"/>
      <c r="G85" s="13"/>
      <c r="H85" s="19"/>
    </row>
    <row r="86" spans="1:8" s="1" customFormat="1" x14ac:dyDescent="0.25">
      <c r="B86" s="24" t="s">
        <v>169</v>
      </c>
      <c r="G86" s="25">
        <f>SUM(G2:G85)</f>
        <v>76422579</v>
      </c>
      <c r="H86" s="25">
        <f>SUM(H2:H85)</f>
        <v>53052708.399999999</v>
      </c>
    </row>
    <row r="87" spans="1:8" s="1" customFormat="1" x14ac:dyDescent="0.25">
      <c r="B87" s="1" t="s">
        <v>170</v>
      </c>
      <c r="G87" s="25"/>
      <c r="H87" s="28">
        <f>1-G86/H86</f>
        <v>-0.4405028754384952</v>
      </c>
    </row>
  </sheetData>
  <mergeCells count="4">
    <mergeCell ref="A2:B2"/>
    <mergeCell ref="G33:G34"/>
    <mergeCell ref="H33:H34"/>
    <mergeCell ref="A59:B59"/>
  </mergeCells>
  <conditionalFormatting sqref="A19:A27">
    <cfRule type="duplicateValues" dxfId="0" priority="1"/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view="pageBreakPreview" topLeftCell="A70" zoomScale="80" zoomScaleNormal="100" zoomScaleSheetLayoutView="80" workbookViewId="0">
      <selection activeCell="G89" sqref="G89"/>
    </sheetView>
  </sheetViews>
  <sheetFormatPr defaultRowHeight="15" x14ac:dyDescent="0.25"/>
  <cols>
    <col min="2" max="2" width="61.7109375" customWidth="1"/>
    <col min="5" max="5" width="15.140625" customWidth="1"/>
    <col min="6" max="6" width="16" customWidth="1"/>
    <col min="7" max="7" width="17" style="52" customWidth="1"/>
    <col min="8" max="8" width="76.42578125" style="52" customWidth="1"/>
  </cols>
  <sheetData>
    <row r="1" spans="1:8" ht="14.45" customHeight="1" x14ac:dyDescent="0.25">
      <c r="A1" s="420" t="s">
        <v>226</v>
      </c>
      <c r="B1" s="464" t="s">
        <v>201</v>
      </c>
      <c r="C1" s="432" t="s">
        <v>230</v>
      </c>
      <c r="D1" s="432" t="s">
        <v>202</v>
      </c>
      <c r="E1" s="459" t="s">
        <v>703</v>
      </c>
      <c r="F1" s="460"/>
      <c r="G1" s="460"/>
    </row>
    <row r="2" spans="1:8" ht="14.45" customHeight="1" x14ac:dyDescent="0.25">
      <c r="A2" s="463"/>
      <c r="B2" s="465"/>
      <c r="C2" s="432"/>
      <c r="D2" s="432"/>
      <c r="E2" s="461"/>
      <c r="F2" s="462"/>
      <c r="G2" s="462"/>
    </row>
    <row r="3" spans="1:8" ht="55.9" customHeight="1" x14ac:dyDescent="0.25">
      <c r="A3" s="421"/>
      <c r="B3" s="466"/>
      <c r="C3" s="432"/>
      <c r="D3" s="432"/>
      <c r="E3" s="347" t="s">
        <v>441</v>
      </c>
      <c r="F3" s="347" t="s">
        <v>433</v>
      </c>
      <c r="G3" s="104" t="s">
        <v>409</v>
      </c>
    </row>
    <row r="4" spans="1:8" x14ac:dyDescent="0.25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  <c r="H4"/>
    </row>
    <row r="5" spans="1:8" ht="20.25" customHeight="1" x14ac:dyDescent="0.25">
      <c r="A5" s="181"/>
      <c r="B5" s="414" t="s">
        <v>1350</v>
      </c>
      <c r="C5" s="436"/>
      <c r="D5" s="436"/>
      <c r="E5" s="182"/>
      <c r="F5" s="183"/>
      <c r="G5" s="191"/>
    </row>
    <row r="6" spans="1:8" ht="19.5" customHeight="1" x14ac:dyDescent="0.25">
      <c r="A6" s="345"/>
      <c r="B6" s="62" t="s">
        <v>1351</v>
      </c>
      <c r="C6" s="63"/>
      <c r="D6" s="63"/>
      <c r="E6" s="64"/>
      <c r="F6" s="65"/>
      <c r="G6" s="133"/>
    </row>
    <row r="7" spans="1:8" ht="30" x14ac:dyDescent="0.25">
      <c r="A7" s="66">
        <v>1</v>
      </c>
      <c r="B7" s="67" t="s">
        <v>443</v>
      </c>
      <c r="C7" s="66" t="s">
        <v>193</v>
      </c>
      <c r="D7" s="72">
        <v>206</v>
      </c>
      <c r="E7" s="179">
        <v>325</v>
      </c>
      <c r="F7" s="314">
        <f t="shared" ref="F7:F12" si="0">ROUND(E7*D7,2)</f>
        <v>66950</v>
      </c>
      <c r="G7" s="314">
        <f t="shared" ref="G7:G12" si="1">ROUND(F7*1.2,2)</f>
        <v>80340</v>
      </c>
    </row>
    <row r="8" spans="1:8" ht="18.75" customHeight="1" x14ac:dyDescent="0.25">
      <c r="A8" s="66">
        <f>A7+1</f>
        <v>2</v>
      </c>
      <c r="B8" s="67" t="s">
        <v>444</v>
      </c>
      <c r="C8" s="66" t="s">
        <v>193</v>
      </c>
      <c r="D8" s="72">
        <v>6.2</v>
      </c>
      <c r="E8" s="179">
        <v>1777</v>
      </c>
      <c r="F8" s="314">
        <f t="shared" si="0"/>
        <v>11017.4</v>
      </c>
      <c r="G8" s="314">
        <f t="shared" si="1"/>
        <v>13220.88</v>
      </c>
    </row>
    <row r="9" spans="1:8" ht="18" customHeight="1" x14ac:dyDescent="0.25">
      <c r="A9" s="66">
        <f>A8+1</f>
        <v>3</v>
      </c>
      <c r="B9" s="67" t="s">
        <v>449</v>
      </c>
      <c r="C9" s="66" t="s">
        <v>193</v>
      </c>
      <c r="D9" s="72">
        <v>125.4</v>
      </c>
      <c r="E9" s="179">
        <v>325</v>
      </c>
      <c r="F9" s="314">
        <f t="shared" si="0"/>
        <v>40755</v>
      </c>
      <c r="G9" s="314">
        <f t="shared" si="1"/>
        <v>48906</v>
      </c>
    </row>
    <row r="10" spans="1:8" ht="15.75" x14ac:dyDescent="0.25">
      <c r="A10" s="66">
        <f t="shared" ref="A10:A12" si="2">A9+1</f>
        <v>4</v>
      </c>
      <c r="B10" s="67" t="s">
        <v>450</v>
      </c>
      <c r="C10" s="66" t="s">
        <v>193</v>
      </c>
      <c r="D10" s="72">
        <v>31.3</v>
      </c>
      <c r="E10" s="179">
        <v>899</v>
      </c>
      <c r="F10" s="314">
        <f t="shared" si="0"/>
        <v>28138.7</v>
      </c>
      <c r="G10" s="314">
        <f t="shared" si="1"/>
        <v>33766.44</v>
      </c>
    </row>
    <row r="11" spans="1:8" s="52" customFormat="1" ht="15.75" x14ac:dyDescent="0.25">
      <c r="A11" s="66">
        <f t="shared" si="2"/>
        <v>5</v>
      </c>
      <c r="B11" s="67" t="s">
        <v>518</v>
      </c>
      <c r="C11" s="66" t="s">
        <v>239</v>
      </c>
      <c r="D11" s="72">
        <v>82</v>
      </c>
      <c r="E11" s="179">
        <v>325</v>
      </c>
      <c r="F11" s="314">
        <f t="shared" si="0"/>
        <v>26650</v>
      </c>
      <c r="G11" s="314">
        <f t="shared" si="1"/>
        <v>31980</v>
      </c>
    </row>
    <row r="12" spans="1:8" s="52" customFormat="1" ht="15.75" x14ac:dyDescent="0.25">
      <c r="A12" s="66">
        <f t="shared" si="2"/>
        <v>6</v>
      </c>
      <c r="B12" s="67" t="s">
        <v>503</v>
      </c>
      <c r="C12" s="66" t="s">
        <v>239</v>
      </c>
      <c r="D12" s="72">
        <v>82</v>
      </c>
      <c r="E12" s="179">
        <v>3460</v>
      </c>
      <c r="F12" s="314">
        <f t="shared" si="0"/>
        <v>283720</v>
      </c>
      <c r="G12" s="314">
        <f t="shared" si="1"/>
        <v>340464</v>
      </c>
    </row>
    <row r="13" spans="1:8" ht="24" customHeight="1" x14ac:dyDescent="0.25">
      <c r="A13" s="66"/>
      <c r="B13" s="62" t="s">
        <v>1352</v>
      </c>
      <c r="C13" s="66"/>
      <c r="D13" s="71"/>
      <c r="E13" s="179"/>
      <c r="F13" s="314"/>
      <c r="G13" s="314"/>
    </row>
    <row r="14" spans="1:8" ht="30" x14ac:dyDescent="0.25">
      <c r="A14" s="66">
        <f>A12+1</f>
        <v>7</v>
      </c>
      <c r="B14" s="67" t="s">
        <v>1353</v>
      </c>
      <c r="C14" s="66" t="s">
        <v>193</v>
      </c>
      <c r="D14" s="72">
        <v>9.9</v>
      </c>
      <c r="E14" s="179">
        <v>14060</v>
      </c>
      <c r="F14" s="314">
        <f t="shared" ref="F14" si="3">ROUND(E14*D14,2)</f>
        <v>139194</v>
      </c>
      <c r="G14" s="314">
        <f t="shared" ref="G14" si="4">ROUND(F14*1.2,2)</f>
        <v>167032.79999999999</v>
      </c>
    </row>
    <row r="15" spans="1:8" ht="23.25" customHeight="1" x14ac:dyDescent="0.25">
      <c r="A15" s="66"/>
      <c r="B15" s="62" t="s">
        <v>1354</v>
      </c>
      <c r="C15" s="66"/>
      <c r="D15" s="71"/>
      <c r="E15" s="179"/>
      <c r="F15" s="314"/>
      <c r="G15" s="314"/>
    </row>
    <row r="16" spans="1:8" ht="19.5" customHeight="1" x14ac:dyDescent="0.25">
      <c r="A16" s="66"/>
      <c r="B16" s="62" t="s">
        <v>1016</v>
      </c>
      <c r="C16" s="66"/>
      <c r="D16" s="71"/>
      <c r="E16" s="179"/>
      <c r="F16" s="314"/>
      <c r="G16" s="314"/>
    </row>
    <row r="17" spans="1:8" ht="30" x14ac:dyDescent="0.25">
      <c r="A17" s="66">
        <f>A14+1</f>
        <v>8</v>
      </c>
      <c r="B17" s="67" t="s">
        <v>1071</v>
      </c>
      <c r="C17" s="66" t="s">
        <v>193</v>
      </c>
      <c r="D17" s="68">
        <v>0.39</v>
      </c>
      <c r="E17" s="179">
        <v>30352.94</v>
      </c>
      <c r="F17" s="314">
        <f t="shared" ref="F17:F23" si="5">ROUND(E17*D17,2)</f>
        <v>11837.65</v>
      </c>
      <c r="G17" s="314">
        <f t="shared" ref="G17:G23" si="6">ROUND(F17*1.2,2)</f>
        <v>14205.18</v>
      </c>
      <c r="H17" s="219"/>
    </row>
    <row r="18" spans="1:8" ht="30" x14ac:dyDescent="0.25">
      <c r="A18" s="66">
        <f>A17+1</f>
        <v>9</v>
      </c>
      <c r="B18" s="67" t="s">
        <v>934</v>
      </c>
      <c r="C18" s="74" t="s">
        <v>431</v>
      </c>
      <c r="D18" s="68">
        <v>3.85</v>
      </c>
      <c r="E18" s="179">
        <v>152</v>
      </c>
      <c r="F18" s="314">
        <f t="shared" si="5"/>
        <v>585.20000000000005</v>
      </c>
      <c r="G18" s="314">
        <f t="shared" si="6"/>
        <v>702.24</v>
      </c>
    </row>
    <row r="19" spans="1:8" ht="30" x14ac:dyDescent="0.25">
      <c r="A19" s="66">
        <f t="shared" ref="A19:A23" si="7">A18+1</f>
        <v>10</v>
      </c>
      <c r="B19" s="67" t="s">
        <v>935</v>
      </c>
      <c r="C19" s="66" t="s">
        <v>431</v>
      </c>
      <c r="D19" s="68">
        <v>3.85</v>
      </c>
      <c r="E19" s="179">
        <v>315.54000000000002</v>
      </c>
      <c r="F19" s="314">
        <f t="shared" si="5"/>
        <v>1214.83</v>
      </c>
      <c r="G19" s="314">
        <f t="shared" si="6"/>
        <v>1457.8</v>
      </c>
    </row>
    <row r="20" spans="1:8" ht="21.75" customHeight="1" x14ac:dyDescent="0.25">
      <c r="A20" s="66"/>
      <c r="B20" s="73" t="s">
        <v>1017</v>
      </c>
      <c r="C20" s="66"/>
      <c r="D20" s="68"/>
      <c r="E20" s="179"/>
      <c r="F20" s="314"/>
      <c r="G20" s="314"/>
    </row>
    <row r="21" spans="1:8" ht="30" x14ac:dyDescent="0.25">
      <c r="A21" s="66">
        <f>A17+1</f>
        <v>9</v>
      </c>
      <c r="B21" s="67" t="s">
        <v>936</v>
      </c>
      <c r="C21" s="66" t="s">
        <v>193</v>
      </c>
      <c r="D21" s="68">
        <v>0.35</v>
      </c>
      <c r="E21" s="179">
        <v>30352.94</v>
      </c>
      <c r="F21" s="314">
        <f t="shared" si="5"/>
        <v>10623.53</v>
      </c>
      <c r="G21" s="314">
        <f t="shared" si="6"/>
        <v>12748.24</v>
      </c>
    </row>
    <row r="22" spans="1:8" ht="30" x14ac:dyDescent="0.25">
      <c r="A22" s="66">
        <f>A21+1</f>
        <v>10</v>
      </c>
      <c r="B22" s="67" t="s">
        <v>934</v>
      </c>
      <c r="C22" s="74" t="s">
        <v>431</v>
      </c>
      <c r="D22" s="68">
        <v>3.5</v>
      </c>
      <c r="E22" s="179">
        <v>152</v>
      </c>
      <c r="F22" s="314">
        <f t="shared" si="5"/>
        <v>532</v>
      </c>
      <c r="G22" s="314">
        <f t="shared" si="6"/>
        <v>638.4</v>
      </c>
    </row>
    <row r="23" spans="1:8" ht="30" x14ac:dyDescent="0.25">
      <c r="A23" s="66">
        <f t="shared" si="7"/>
        <v>11</v>
      </c>
      <c r="B23" s="67" t="s">
        <v>935</v>
      </c>
      <c r="C23" s="66" t="s">
        <v>431</v>
      </c>
      <c r="D23" s="68">
        <v>3.5</v>
      </c>
      <c r="E23" s="179">
        <v>315.54000000000002</v>
      </c>
      <c r="F23" s="314">
        <f t="shared" si="5"/>
        <v>1104.3900000000001</v>
      </c>
      <c r="G23" s="314">
        <f t="shared" si="6"/>
        <v>1325.27</v>
      </c>
    </row>
    <row r="24" spans="1:8" ht="19.5" customHeight="1" x14ac:dyDescent="0.25">
      <c r="A24" s="66"/>
      <c r="B24" s="62" t="s">
        <v>1355</v>
      </c>
      <c r="C24" s="66"/>
      <c r="D24" s="71"/>
      <c r="E24" s="179"/>
      <c r="F24" s="314"/>
      <c r="G24" s="314"/>
    </row>
    <row r="25" spans="1:8" ht="22.5" customHeight="1" x14ac:dyDescent="0.25">
      <c r="A25" s="66">
        <f>A23+1</f>
        <v>12</v>
      </c>
      <c r="B25" s="67" t="s">
        <v>1356</v>
      </c>
      <c r="C25" s="66" t="s">
        <v>193</v>
      </c>
      <c r="D25" s="68">
        <v>3.23</v>
      </c>
      <c r="E25" s="179">
        <v>13642.52</v>
      </c>
      <c r="F25" s="314">
        <f t="shared" ref="F25:F30" si="8">ROUND(E25*D25,2)</f>
        <v>44065.34</v>
      </c>
      <c r="G25" s="314">
        <f t="shared" ref="G25:G30" si="9">ROUND(F25*1.2,2)</f>
        <v>52878.41</v>
      </c>
    </row>
    <row r="26" spans="1:8" ht="22.5" customHeight="1" x14ac:dyDescent="0.25">
      <c r="A26" s="66">
        <f>A25+1</f>
        <v>13</v>
      </c>
      <c r="B26" s="67" t="s">
        <v>1357</v>
      </c>
      <c r="C26" s="66" t="s">
        <v>193</v>
      </c>
      <c r="D26" s="68">
        <v>3.53</v>
      </c>
      <c r="E26" s="179">
        <v>13642.52</v>
      </c>
      <c r="F26" s="314">
        <f t="shared" si="8"/>
        <v>48158.1</v>
      </c>
      <c r="G26" s="314">
        <f t="shared" si="9"/>
        <v>57789.72</v>
      </c>
    </row>
    <row r="27" spans="1:8" ht="30" x14ac:dyDescent="0.25">
      <c r="A27" s="66">
        <f>A26+1</f>
        <v>14</v>
      </c>
      <c r="B27" s="67" t="s">
        <v>1358</v>
      </c>
      <c r="C27" s="66" t="s">
        <v>193</v>
      </c>
      <c r="D27" s="68">
        <v>2.68</v>
      </c>
      <c r="E27" s="179">
        <v>6943.75</v>
      </c>
      <c r="F27" s="314">
        <f t="shared" si="8"/>
        <v>18609.25</v>
      </c>
      <c r="G27" s="314">
        <f t="shared" si="9"/>
        <v>22331.1</v>
      </c>
    </row>
    <row r="28" spans="1:8" ht="30" x14ac:dyDescent="0.25">
      <c r="A28" s="66">
        <f t="shared" ref="A28:A30" si="10">A27+1</f>
        <v>15</v>
      </c>
      <c r="B28" s="67" t="s">
        <v>1359</v>
      </c>
      <c r="C28" s="66" t="s">
        <v>431</v>
      </c>
      <c r="D28" s="68">
        <v>53.3</v>
      </c>
      <c r="E28" s="179">
        <v>152</v>
      </c>
      <c r="F28" s="314">
        <f t="shared" si="8"/>
        <v>8101.6</v>
      </c>
      <c r="G28" s="314">
        <f t="shared" si="9"/>
        <v>9721.92</v>
      </c>
    </row>
    <row r="29" spans="1:8" ht="30" x14ac:dyDescent="0.25">
      <c r="A29" s="66">
        <f t="shared" si="10"/>
        <v>16</v>
      </c>
      <c r="B29" s="67" t="s">
        <v>1360</v>
      </c>
      <c r="C29" s="66" t="s">
        <v>431</v>
      </c>
      <c r="D29" s="68">
        <v>53.3</v>
      </c>
      <c r="E29" s="179">
        <v>315.54000000000002</v>
      </c>
      <c r="F29" s="314">
        <f t="shared" si="8"/>
        <v>16818.28</v>
      </c>
      <c r="G29" s="314">
        <f t="shared" si="9"/>
        <v>20181.939999999999</v>
      </c>
    </row>
    <row r="30" spans="1:8" ht="20.25" customHeight="1" x14ac:dyDescent="0.25">
      <c r="A30" s="66">
        <f t="shared" si="10"/>
        <v>17</v>
      </c>
      <c r="B30" s="67" t="s">
        <v>1361</v>
      </c>
      <c r="C30" s="66" t="s">
        <v>194</v>
      </c>
      <c r="D30" s="71">
        <v>34</v>
      </c>
      <c r="E30" s="179">
        <v>6943</v>
      </c>
      <c r="F30" s="314">
        <f t="shared" si="8"/>
        <v>236062</v>
      </c>
      <c r="G30" s="314">
        <f t="shared" si="9"/>
        <v>283274.40000000002</v>
      </c>
      <c r="H30" s="281"/>
    </row>
    <row r="31" spans="1:8" ht="20.25" customHeight="1" x14ac:dyDescent="0.25">
      <c r="A31" s="66"/>
      <c r="B31" s="62" t="s">
        <v>1362</v>
      </c>
      <c r="C31" s="66"/>
      <c r="D31" s="71"/>
      <c r="E31" s="179"/>
      <c r="F31" s="314"/>
      <c r="G31" s="314"/>
    </row>
    <row r="32" spans="1:8" ht="20.25" customHeight="1" x14ac:dyDescent="0.25">
      <c r="A32" s="66">
        <f>A30+1</f>
        <v>18</v>
      </c>
      <c r="B32" s="67" t="s">
        <v>1363</v>
      </c>
      <c r="C32" s="66" t="s">
        <v>193</v>
      </c>
      <c r="D32" s="72">
        <v>0.3</v>
      </c>
      <c r="E32" s="179">
        <v>13642.52</v>
      </c>
      <c r="F32" s="314">
        <f t="shared" ref="F32:F33" si="11">ROUND(E32*D32,2)</f>
        <v>4092.76</v>
      </c>
      <c r="G32" s="314">
        <f t="shared" ref="G32:G33" si="12">ROUND(F32*1.2,2)</f>
        <v>4911.3100000000004</v>
      </c>
    </row>
    <row r="33" spans="1:7" ht="20.25" customHeight="1" x14ac:dyDescent="0.25">
      <c r="A33" s="66">
        <f>A32+1</f>
        <v>19</v>
      </c>
      <c r="B33" s="67" t="s">
        <v>1364</v>
      </c>
      <c r="C33" s="66" t="s">
        <v>178</v>
      </c>
      <c r="D33" s="71">
        <v>4</v>
      </c>
      <c r="E33" s="179">
        <v>6655</v>
      </c>
      <c r="F33" s="314">
        <f t="shared" si="11"/>
        <v>26620</v>
      </c>
      <c r="G33" s="314">
        <f t="shared" si="12"/>
        <v>31944</v>
      </c>
    </row>
    <row r="34" spans="1:7" ht="20.25" customHeight="1" x14ac:dyDescent="0.25">
      <c r="A34" s="66"/>
      <c r="B34" s="62" t="s">
        <v>1365</v>
      </c>
      <c r="C34" s="66"/>
      <c r="D34" s="71"/>
      <c r="E34" s="179"/>
      <c r="F34" s="314"/>
      <c r="G34" s="314"/>
    </row>
    <row r="35" spans="1:7" ht="20.25" customHeight="1" x14ac:dyDescent="0.25">
      <c r="A35" s="66"/>
      <c r="B35" s="73" t="s">
        <v>513</v>
      </c>
      <c r="C35" s="66"/>
      <c r="D35" s="71"/>
      <c r="E35" s="179"/>
      <c r="F35" s="314"/>
      <c r="G35" s="314"/>
    </row>
    <row r="36" spans="1:7" ht="20.25" customHeight="1" x14ac:dyDescent="0.25">
      <c r="A36" s="66">
        <f>A33+1</f>
        <v>20</v>
      </c>
      <c r="B36" s="67" t="s">
        <v>1366</v>
      </c>
      <c r="C36" s="66" t="s">
        <v>193</v>
      </c>
      <c r="D36" s="72">
        <v>2.5</v>
      </c>
      <c r="E36" s="179">
        <v>1777</v>
      </c>
      <c r="F36" s="314">
        <f t="shared" ref="F36:F47" si="13">ROUND(E36*D36,2)</f>
        <v>4442.5</v>
      </c>
      <c r="G36" s="314">
        <f t="shared" ref="G36:G47" si="14">ROUND(F36*1.2,2)</f>
        <v>5331</v>
      </c>
    </row>
    <row r="37" spans="1:7" ht="20.25" customHeight="1" x14ac:dyDescent="0.25">
      <c r="A37" s="66">
        <f>A36+1</f>
        <v>21</v>
      </c>
      <c r="B37" s="67" t="s">
        <v>1367</v>
      </c>
      <c r="C37" s="66" t="s">
        <v>193</v>
      </c>
      <c r="D37" s="68">
        <v>2.1800000000000002</v>
      </c>
      <c r="E37" s="179">
        <v>899</v>
      </c>
      <c r="F37" s="314">
        <f t="shared" si="13"/>
        <v>1959.82</v>
      </c>
      <c r="G37" s="314">
        <f t="shared" si="14"/>
        <v>2351.7800000000002</v>
      </c>
    </row>
    <row r="38" spans="1:7" s="52" customFormat="1" ht="15.75" x14ac:dyDescent="0.25">
      <c r="A38" s="66">
        <f t="shared" ref="A38:A47" si="15">A37+1</f>
        <v>22</v>
      </c>
      <c r="B38" s="67" t="s">
        <v>518</v>
      </c>
      <c r="C38" s="66" t="s">
        <v>239</v>
      </c>
      <c r="D38" s="72">
        <v>0.5</v>
      </c>
      <c r="E38" s="179">
        <v>325</v>
      </c>
      <c r="F38" s="314">
        <f t="shared" si="13"/>
        <v>162.5</v>
      </c>
      <c r="G38" s="314">
        <f t="shared" si="14"/>
        <v>195</v>
      </c>
    </row>
    <row r="39" spans="1:7" s="52" customFormat="1" ht="15.75" x14ac:dyDescent="0.25">
      <c r="A39" s="66">
        <f t="shared" si="15"/>
        <v>23</v>
      </c>
      <c r="B39" s="67" t="s">
        <v>503</v>
      </c>
      <c r="C39" s="66" t="s">
        <v>239</v>
      </c>
      <c r="D39" s="72">
        <v>0.5</v>
      </c>
      <c r="E39" s="179">
        <v>3460</v>
      </c>
      <c r="F39" s="314">
        <f t="shared" si="13"/>
        <v>1730</v>
      </c>
      <c r="G39" s="314">
        <f t="shared" si="14"/>
        <v>2076</v>
      </c>
    </row>
    <row r="40" spans="1:7" ht="20.25" customHeight="1" x14ac:dyDescent="0.25">
      <c r="A40" s="66">
        <f t="shared" si="15"/>
        <v>24</v>
      </c>
      <c r="B40" s="67" t="s">
        <v>1368</v>
      </c>
      <c r="C40" s="66" t="s">
        <v>254</v>
      </c>
      <c r="D40" s="68">
        <v>232.2</v>
      </c>
      <c r="E40" s="179">
        <f>14950/232.2</f>
        <v>64.384151593453922</v>
      </c>
      <c r="F40" s="314">
        <f t="shared" si="13"/>
        <v>14950</v>
      </c>
      <c r="G40" s="314">
        <f t="shared" si="14"/>
        <v>17940</v>
      </c>
    </row>
    <row r="41" spans="1:7" ht="20.25" customHeight="1" x14ac:dyDescent="0.25">
      <c r="A41" s="66">
        <f t="shared" si="15"/>
        <v>25</v>
      </c>
      <c r="B41" s="67" t="s">
        <v>1369</v>
      </c>
      <c r="C41" s="66" t="s">
        <v>254</v>
      </c>
      <c r="D41" s="68">
        <v>5.3</v>
      </c>
      <c r="E41" s="179">
        <f>E40*2</f>
        <v>128.76830318690784</v>
      </c>
      <c r="F41" s="314">
        <f t="shared" si="13"/>
        <v>682.47</v>
      </c>
      <c r="G41" s="314">
        <f t="shared" si="14"/>
        <v>818.96</v>
      </c>
    </row>
    <row r="42" spans="1:7" ht="20.25" customHeight="1" x14ac:dyDescent="0.25">
      <c r="A42" s="66">
        <f t="shared" si="15"/>
        <v>26</v>
      </c>
      <c r="B42" s="67" t="s">
        <v>1370</v>
      </c>
      <c r="C42" s="66" t="s">
        <v>193</v>
      </c>
      <c r="D42" s="68">
        <v>0.35</v>
      </c>
      <c r="E42" s="179">
        <f>2430/D42</f>
        <v>6942.8571428571431</v>
      </c>
      <c r="F42" s="314">
        <f t="shared" si="13"/>
        <v>2430</v>
      </c>
      <c r="G42" s="314">
        <f t="shared" si="14"/>
        <v>2916</v>
      </c>
    </row>
    <row r="43" spans="1:7" ht="20.25" customHeight="1" x14ac:dyDescent="0.25">
      <c r="A43" s="66">
        <f t="shared" si="15"/>
        <v>27</v>
      </c>
      <c r="B43" s="67" t="s">
        <v>1622</v>
      </c>
      <c r="C43" s="66" t="s">
        <v>220</v>
      </c>
      <c r="D43" s="71">
        <v>2</v>
      </c>
      <c r="E43" s="179">
        <v>910</v>
      </c>
      <c r="F43" s="314">
        <f t="shared" si="13"/>
        <v>1820</v>
      </c>
      <c r="G43" s="314">
        <f t="shared" si="14"/>
        <v>2184</v>
      </c>
    </row>
    <row r="44" spans="1:7" ht="30" x14ac:dyDescent="0.25">
      <c r="A44" s="66">
        <f t="shared" si="15"/>
        <v>28</v>
      </c>
      <c r="B44" s="67" t="s">
        <v>547</v>
      </c>
      <c r="C44" s="66" t="s">
        <v>431</v>
      </c>
      <c r="D44" s="71">
        <v>6</v>
      </c>
      <c r="E44" s="179">
        <v>182</v>
      </c>
      <c r="F44" s="314">
        <f t="shared" si="13"/>
        <v>1092</v>
      </c>
      <c r="G44" s="314">
        <f t="shared" si="14"/>
        <v>1310.4000000000001</v>
      </c>
    </row>
    <row r="45" spans="1:7" ht="15.75" x14ac:dyDescent="0.25">
      <c r="A45" s="66">
        <f t="shared" si="15"/>
        <v>29</v>
      </c>
      <c r="B45" s="67" t="s">
        <v>548</v>
      </c>
      <c r="C45" s="66" t="s">
        <v>431</v>
      </c>
      <c r="D45" s="71">
        <v>6</v>
      </c>
      <c r="E45" s="179">
        <v>182</v>
      </c>
      <c r="F45" s="314">
        <f t="shared" si="13"/>
        <v>1092</v>
      </c>
      <c r="G45" s="314">
        <f t="shared" si="14"/>
        <v>1310.4000000000001</v>
      </c>
    </row>
    <row r="46" spans="1:7" ht="30" x14ac:dyDescent="0.25">
      <c r="A46" s="66">
        <f t="shared" si="15"/>
        <v>30</v>
      </c>
      <c r="B46" s="67" t="s">
        <v>934</v>
      </c>
      <c r="C46" s="66" t="s">
        <v>431</v>
      </c>
      <c r="D46" s="68">
        <v>1.5</v>
      </c>
      <c r="E46" s="179">
        <v>152</v>
      </c>
      <c r="F46" s="314">
        <f t="shared" si="13"/>
        <v>228</v>
      </c>
      <c r="G46" s="314">
        <f t="shared" si="14"/>
        <v>273.60000000000002</v>
      </c>
    </row>
    <row r="47" spans="1:7" ht="30" x14ac:dyDescent="0.25">
      <c r="A47" s="66">
        <f t="shared" si="15"/>
        <v>31</v>
      </c>
      <c r="B47" s="67" t="s">
        <v>935</v>
      </c>
      <c r="C47" s="66" t="s">
        <v>431</v>
      </c>
      <c r="D47" s="68">
        <v>1.5</v>
      </c>
      <c r="E47" s="179">
        <v>315.54000000000002</v>
      </c>
      <c r="F47" s="314">
        <f t="shared" si="13"/>
        <v>473.31</v>
      </c>
      <c r="G47" s="314">
        <f t="shared" si="14"/>
        <v>567.97</v>
      </c>
    </row>
    <row r="48" spans="1:7" ht="20.25" customHeight="1" x14ac:dyDescent="0.25">
      <c r="A48" s="66"/>
      <c r="B48" s="73" t="s">
        <v>1371</v>
      </c>
      <c r="C48" s="66"/>
      <c r="D48" s="71"/>
      <c r="E48" s="179"/>
      <c r="F48" s="314"/>
      <c r="G48" s="314"/>
    </row>
    <row r="49" spans="1:8" ht="20.25" customHeight="1" x14ac:dyDescent="0.25">
      <c r="A49" s="66">
        <f>A47+1</f>
        <v>32</v>
      </c>
      <c r="B49" s="67" t="s">
        <v>1372</v>
      </c>
      <c r="C49" s="66" t="s">
        <v>194</v>
      </c>
      <c r="D49" s="72">
        <v>15</v>
      </c>
      <c r="E49" s="179">
        <v>1063</v>
      </c>
      <c r="F49" s="314">
        <f t="shared" ref="F49:F58" si="16">ROUND(E49*D49,2)</f>
        <v>15945</v>
      </c>
      <c r="G49" s="314">
        <f t="shared" ref="G49:G58" si="17">ROUND(F49*1.2,2)</f>
        <v>19134</v>
      </c>
    </row>
    <row r="50" spans="1:8" ht="20.25" customHeight="1" x14ac:dyDescent="0.25">
      <c r="A50" s="66">
        <f>A49+1</f>
        <v>33</v>
      </c>
      <c r="B50" s="67" t="s">
        <v>1373</v>
      </c>
      <c r="C50" s="66" t="s">
        <v>194</v>
      </c>
      <c r="D50" s="71">
        <f>57.2-15</f>
        <v>42.2</v>
      </c>
      <c r="E50" s="179">
        <v>1103</v>
      </c>
      <c r="F50" s="314">
        <f t="shared" si="16"/>
        <v>46546.6</v>
      </c>
      <c r="G50" s="314">
        <f t="shared" si="17"/>
        <v>55855.92</v>
      </c>
    </row>
    <row r="51" spans="1:8" ht="20.25" customHeight="1" x14ac:dyDescent="0.25">
      <c r="A51" s="66">
        <f t="shared" ref="A51:A58" si="18">A50+1</f>
        <v>34</v>
      </c>
      <c r="B51" s="67" t="s">
        <v>1374</v>
      </c>
      <c r="C51" s="66" t="s">
        <v>220</v>
      </c>
      <c r="D51" s="71">
        <v>9</v>
      </c>
      <c r="E51" s="179">
        <v>4347</v>
      </c>
      <c r="F51" s="314">
        <f t="shared" si="16"/>
        <v>39123</v>
      </c>
      <c r="G51" s="314">
        <f t="shared" si="17"/>
        <v>46947.6</v>
      </c>
    </row>
    <row r="52" spans="1:8" ht="15.75" x14ac:dyDescent="0.25">
      <c r="A52" s="66">
        <f t="shared" si="18"/>
        <v>35</v>
      </c>
      <c r="B52" s="240" t="s">
        <v>1375</v>
      </c>
      <c r="C52" s="66" t="s">
        <v>220</v>
      </c>
      <c r="D52" s="71">
        <v>28</v>
      </c>
      <c r="E52" s="179">
        <v>1308</v>
      </c>
      <c r="F52" s="314">
        <f t="shared" si="16"/>
        <v>36624</v>
      </c>
      <c r="G52" s="314">
        <f t="shared" si="17"/>
        <v>43948.800000000003</v>
      </c>
      <c r="H52" s="239"/>
    </row>
    <row r="53" spans="1:8" ht="15.75" x14ac:dyDescent="0.25">
      <c r="A53" s="66">
        <f t="shared" si="18"/>
        <v>36</v>
      </c>
      <c r="B53" s="67" t="s">
        <v>1376</v>
      </c>
      <c r="C53" s="66" t="s">
        <v>220</v>
      </c>
      <c r="D53" s="71">
        <v>28</v>
      </c>
      <c r="E53" s="179">
        <v>10778</v>
      </c>
      <c r="F53" s="314">
        <f t="shared" si="16"/>
        <v>301784</v>
      </c>
      <c r="G53" s="314">
        <f t="shared" si="17"/>
        <v>362140.8</v>
      </c>
      <c r="H53"/>
    </row>
    <row r="54" spans="1:8" ht="15.75" x14ac:dyDescent="0.25">
      <c r="A54" s="66">
        <f t="shared" si="18"/>
        <v>37</v>
      </c>
      <c r="B54" s="67" t="s">
        <v>1377</v>
      </c>
      <c r="C54" s="66" t="s">
        <v>431</v>
      </c>
      <c r="D54" s="68">
        <v>3.9</v>
      </c>
      <c r="E54" s="179">
        <v>182</v>
      </c>
      <c r="F54" s="314">
        <f t="shared" si="16"/>
        <v>709.8</v>
      </c>
      <c r="G54" s="314">
        <f t="shared" si="17"/>
        <v>851.76</v>
      </c>
      <c r="H54"/>
    </row>
    <row r="55" spans="1:8" ht="15.75" x14ac:dyDescent="0.25">
      <c r="A55" s="66">
        <f t="shared" si="18"/>
        <v>38</v>
      </c>
      <c r="B55" s="67" t="s">
        <v>1378</v>
      </c>
      <c r="C55" s="66" t="s">
        <v>220</v>
      </c>
      <c r="D55" s="71">
        <v>2</v>
      </c>
      <c r="E55" s="179">
        <v>26567</v>
      </c>
      <c r="F55" s="314">
        <f t="shared" si="16"/>
        <v>53134</v>
      </c>
      <c r="G55" s="314">
        <f t="shared" si="17"/>
        <v>63760.800000000003</v>
      </c>
      <c r="H55"/>
    </row>
    <row r="56" spans="1:8" ht="15.75" x14ac:dyDescent="0.25">
      <c r="A56" s="66">
        <f t="shared" si="18"/>
        <v>39</v>
      </c>
      <c r="B56" s="67" t="s">
        <v>1379</v>
      </c>
      <c r="C56" s="66" t="s">
        <v>220</v>
      </c>
      <c r="D56" s="71">
        <v>4</v>
      </c>
      <c r="E56" s="179">
        <v>8142</v>
      </c>
      <c r="F56" s="314">
        <f t="shared" si="16"/>
        <v>32568</v>
      </c>
      <c r="G56" s="314">
        <f t="shared" si="17"/>
        <v>39081.599999999999</v>
      </c>
      <c r="H56"/>
    </row>
    <row r="57" spans="1:8" ht="15.75" x14ac:dyDescent="0.25">
      <c r="A57" s="66">
        <f t="shared" si="18"/>
        <v>40</v>
      </c>
      <c r="B57" s="67" t="s">
        <v>1380</v>
      </c>
      <c r="C57" s="66" t="s">
        <v>220</v>
      </c>
      <c r="D57" s="71">
        <v>4</v>
      </c>
      <c r="E57" s="179">
        <v>4797</v>
      </c>
      <c r="F57" s="314">
        <f t="shared" si="16"/>
        <v>19188</v>
      </c>
      <c r="G57" s="314">
        <f t="shared" si="17"/>
        <v>23025.599999999999</v>
      </c>
      <c r="H57"/>
    </row>
    <row r="58" spans="1:8" ht="15.75" x14ac:dyDescent="0.25">
      <c r="A58" s="66">
        <f t="shared" si="18"/>
        <v>41</v>
      </c>
      <c r="B58" s="67" t="s">
        <v>1381</v>
      </c>
      <c r="C58" s="66" t="s">
        <v>220</v>
      </c>
      <c r="D58" s="71">
        <v>4</v>
      </c>
      <c r="E58" s="179">
        <v>1296</v>
      </c>
      <c r="F58" s="314">
        <f t="shared" si="16"/>
        <v>5184</v>
      </c>
      <c r="G58" s="314">
        <f t="shared" si="17"/>
        <v>6220.8</v>
      </c>
      <c r="H58"/>
    </row>
    <row r="59" spans="1:8" ht="23.25" customHeight="1" x14ac:dyDescent="0.25">
      <c r="A59" s="66"/>
      <c r="B59" s="73" t="s">
        <v>1382</v>
      </c>
      <c r="C59" s="66"/>
      <c r="D59" s="68"/>
      <c r="E59" s="336"/>
      <c r="F59" s="314"/>
      <c r="G59" s="314"/>
      <c r="H59"/>
    </row>
    <row r="60" spans="1:8" ht="30" x14ac:dyDescent="0.25">
      <c r="A60" s="66">
        <f>A58+1</f>
        <v>42</v>
      </c>
      <c r="B60" s="67" t="s">
        <v>1383</v>
      </c>
      <c r="C60" s="66" t="s">
        <v>220</v>
      </c>
      <c r="D60" s="71">
        <v>1</v>
      </c>
      <c r="E60" s="179">
        <v>22709</v>
      </c>
      <c r="F60" s="314">
        <f t="shared" ref="F60:F73" si="19">ROUND(E60*D60,2)</f>
        <v>22709</v>
      </c>
      <c r="G60" s="314">
        <f t="shared" ref="G60:G73" si="20">ROUND(F60*1.2,2)</f>
        <v>27250.799999999999</v>
      </c>
      <c r="H60"/>
    </row>
    <row r="61" spans="1:8" ht="15.75" x14ac:dyDescent="0.25">
      <c r="A61" s="66">
        <f>A60+1</f>
        <v>43</v>
      </c>
      <c r="B61" s="67" t="s">
        <v>1384</v>
      </c>
      <c r="C61" s="66" t="s">
        <v>194</v>
      </c>
      <c r="D61" s="68">
        <v>1.29</v>
      </c>
      <c r="E61" s="179">
        <v>1063</v>
      </c>
      <c r="F61" s="314">
        <f t="shared" si="19"/>
        <v>1371.27</v>
      </c>
      <c r="G61" s="314">
        <f t="shared" si="20"/>
        <v>1645.52</v>
      </c>
      <c r="H61"/>
    </row>
    <row r="62" spans="1:8" ht="15.75" x14ac:dyDescent="0.25">
      <c r="A62" s="66">
        <f t="shared" ref="A62:A73" si="21">A61+1</f>
        <v>44</v>
      </c>
      <c r="B62" s="67" t="s">
        <v>1385</v>
      </c>
      <c r="C62" s="66" t="s">
        <v>194</v>
      </c>
      <c r="D62" s="68">
        <v>1.39</v>
      </c>
      <c r="E62" s="179">
        <v>918.1</v>
      </c>
      <c r="F62" s="314">
        <f t="shared" si="19"/>
        <v>1276.1600000000001</v>
      </c>
      <c r="G62" s="314">
        <f t="shared" si="20"/>
        <v>1531.39</v>
      </c>
      <c r="H62"/>
    </row>
    <row r="63" spans="1:8" ht="15.75" x14ac:dyDescent="0.25">
      <c r="A63" s="66">
        <f t="shared" si="21"/>
        <v>45</v>
      </c>
      <c r="B63" s="67" t="s">
        <v>1386</v>
      </c>
      <c r="C63" s="66" t="s">
        <v>220</v>
      </c>
      <c r="D63" s="71">
        <v>1</v>
      </c>
      <c r="E63" s="179">
        <v>3406</v>
      </c>
      <c r="F63" s="314">
        <f t="shared" si="19"/>
        <v>3406</v>
      </c>
      <c r="G63" s="314">
        <f t="shared" si="20"/>
        <v>4087.2</v>
      </c>
      <c r="H63"/>
    </row>
    <row r="64" spans="1:8" ht="15.75" x14ac:dyDescent="0.25">
      <c r="A64" s="66">
        <f t="shared" si="21"/>
        <v>46</v>
      </c>
      <c r="B64" s="67" t="s">
        <v>1387</v>
      </c>
      <c r="C64" s="66" t="s">
        <v>220</v>
      </c>
      <c r="D64" s="71">
        <v>1</v>
      </c>
      <c r="E64" s="179">
        <v>275.38</v>
      </c>
      <c r="F64" s="314">
        <f t="shared" si="19"/>
        <v>275.38</v>
      </c>
      <c r="G64" s="314">
        <f t="shared" si="20"/>
        <v>330.46</v>
      </c>
      <c r="H64"/>
    </row>
    <row r="65" spans="1:8" ht="30" x14ac:dyDescent="0.25">
      <c r="A65" s="66">
        <f t="shared" si="21"/>
        <v>47</v>
      </c>
      <c r="B65" s="67" t="s">
        <v>1388</v>
      </c>
      <c r="C65" s="66" t="s">
        <v>220</v>
      </c>
      <c r="D65" s="71">
        <v>1</v>
      </c>
      <c r="E65" s="179">
        <v>22709</v>
      </c>
      <c r="F65" s="314">
        <f t="shared" si="19"/>
        <v>22709</v>
      </c>
      <c r="G65" s="314">
        <f t="shared" si="20"/>
        <v>27250.799999999999</v>
      </c>
      <c r="H65"/>
    </row>
    <row r="66" spans="1:8" ht="15.75" x14ac:dyDescent="0.25">
      <c r="A66" s="66">
        <f t="shared" si="21"/>
        <v>48</v>
      </c>
      <c r="B66" s="67" t="s">
        <v>1389</v>
      </c>
      <c r="C66" s="66" t="s">
        <v>194</v>
      </c>
      <c r="D66" s="68">
        <v>1.29</v>
      </c>
      <c r="E66" s="179">
        <v>1063</v>
      </c>
      <c r="F66" s="314">
        <f t="shared" si="19"/>
        <v>1371.27</v>
      </c>
      <c r="G66" s="314">
        <f t="shared" si="20"/>
        <v>1645.52</v>
      </c>
      <c r="H66"/>
    </row>
    <row r="67" spans="1:8" ht="15.75" x14ac:dyDescent="0.25">
      <c r="A67" s="66">
        <f t="shared" si="21"/>
        <v>49</v>
      </c>
      <c r="B67" s="67" t="s">
        <v>1390</v>
      </c>
      <c r="C67" s="66" t="s">
        <v>194</v>
      </c>
      <c r="D67" s="68">
        <v>1.07</v>
      </c>
      <c r="E67" s="179">
        <v>918.1</v>
      </c>
      <c r="F67" s="314">
        <f t="shared" si="19"/>
        <v>982.37</v>
      </c>
      <c r="G67" s="314">
        <f t="shared" si="20"/>
        <v>1178.8399999999999</v>
      </c>
      <c r="H67"/>
    </row>
    <row r="68" spans="1:8" ht="15.75" x14ac:dyDescent="0.25">
      <c r="A68" s="66">
        <f t="shared" si="21"/>
        <v>50</v>
      </c>
      <c r="B68" s="67" t="s">
        <v>1386</v>
      </c>
      <c r="C68" s="66" t="s">
        <v>220</v>
      </c>
      <c r="D68" s="71">
        <v>1</v>
      </c>
      <c r="E68" s="179">
        <v>3406</v>
      </c>
      <c r="F68" s="314">
        <f t="shared" si="19"/>
        <v>3406</v>
      </c>
      <c r="G68" s="314">
        <f t="shared" si="20"/>
        <v>4087.2</v>
      </c>
      <c r="H68"/>
    </row>
    <row r="69" spans="1:8" ht="15.75" x14ac:dyDescent="0.25">
      <c r="A69" s="66">
        <f t="shared" si="21"/>
        <v>51</v>
      </c>
      <c r="B69" s="67" t="s">
        <v>1387</v>
      </c>
      <c r="C69" s="66" t="s">
        <v>220</v>
      </c>
      <c r="D69" s="71">
        <v>1</v>
      </c>
      <c r="E69" s="179">
        <v>275.38</v>
      </c>
      <c r="F69" s="314">
        <f t="shared" si="19"/>
        <v>275.38</v>
      </c>
      <c r="G69" s="314">
        <f t="shared" si="20"/>
        <v>330.46</v>
      </c>
      <c r="H69"/>
    </row>
    <row r="70" spans="1:8" ht="30" x14ac:dyDescent="0.25">
      <c r="A70" s="66">
        <f t="shared" si="21"/>
        <v>52</v>
      </c>
      <c r="B70" s="67" t="s">
        <v>1391</v>
      </c>
      <c r="C70" s="66" t="s">
        <v>220</v>
      </c>
      <c r="D70" s="71">
        <v>2</v>
      </c>
      <c r="E70" s="179">
        <v>4797</v>
      </c>
      <c r="F70" s="314">
        <f t="shared" si="19"/>
        <v>9594</v>
      </c>
      <c r="G70" s="314">
        <f t="shared" si="20"/>
        <v>11512.8</v>
      </c>
      <c r="H70"/>
    </row>
    <row r="71" spans="1:8" ht="30" x14ac:dyDescent="0.25">
      <c r="A71" s="66">
        <f t="shared" si="21"/>
        <v>53</v>
      </c>
      <c r="B71" s="67" t="s">
        <v>1392</v>
      </c>
      <c r="C71" s="66" t="s">
        <v>220</v>
      </c>
      <c r="D71" s="71">
        <v>2</v>
      </c>
      <c r="E71" s="179">
        <v>1060</v>
      </c>
      <c r="F71" s="314">
        <f t="shared" si="19"/>
        <v>2120</v>
      </c>
      <c r="G71" s="314">
        <f t="shared" si="20"/>
        <v>2544</v>
      </c>
      <c r="H71"/>
    </row>
    <row r="72" spans="1:8" ht="15.75" x14ac:dyDescent="0.25">
      <c r="A72" s="66">
        <f t="shared" si="21"/>
        <v>54</v>
      </c>
      <c r="B72" s="67" t="s">
        <v>1387</v>
      </c>
      <c r="C72" s="66" t="s">
        <v>220</v>
      </c>
      <c r="D72" s="71">
        <v>2</v>
      </c>
      <c r="E72" s="179">
        <v>275.38</v>
      </c>
      <c r="F72" s="314">
        <f t="shared" si="19"/>
        <v>550.76</v>
      </c>
      <c r="G72" s="314">
        <f t="shared" si="20"/>
        <v>660.91</v>
      </c>
      <c r="H72"/>
    </row>
    <row r="73" spans="1:8" ht="15.75" x14ac:dyDescent="0.25">
      <c r="A73" s="66">
        <f t="shared" si="21"/>
        <v>55</v>
      </c>
      <c r="B73" s="67" t="s">
        <v>1393</v>
      </c>
      <c r="C73" s="66" t="s">
        <v>220</v>
      </c>
      <c r="D73" s="71">
        <v>1</v>
      </c>
      <c r="E73" s="179">
        <v>620</v>
      </c>
      <c r="F73" s="314">
        <f t="shared" si="19"/>
        <v>620</v>
      </c>
      <c r="G73" s="314">
        <f t="shared" si="20"/>
        <v>744</v>
      </c>
      <c r="H73" s="218"/>
    </row>
    <row r="74" spans="1:8" ht="15.75" x14ac:dyDescent="0.25">
      <c r="A74" s="66"/>
      <c r="B74" s="73" t="s">
        <v>1394</v>
      </c>
      <c r="C74" s="66"/>
      <c r="D74" s="68"/>
      <c r="E74" s="336"/>
      <c r="F74" s="314"/>
      <c r="G74" s="314"/>
      <c r="H74"/>
    </row>
    <row r="75" spans="1:8" ht="15.75" x14ac:dyDescent="0.25">
      <c r="A75" s="66">
        <f>A73+1</f>
        <v>56</v>
      </c>
      <c r="B75" s="67" t="s">
        <v>1395</v>
      </c>
      <c r="C75" s="66" t="s">
        <v>220</v>
      </c>
      <c r="D75" s="71">
        <v>2</v>
      </c>
      <c r="E75" s="179">
        <v>1529</v>
      </c>
      <c r="F75" s="314">
        <f t="shared" ref="F75:F88" si="22">ROUND(E75*D75,2)</f>
        <v>3058</v>
      </c>
      <c r="G75" s="314">
        <f t="shared" ref="G75:G88" si="23">ROUND(F75*1.2,2)</f>
        <v>3669.6</v>
      </c>
    </row>
    <row r="76" spans="1:8" ht="15.75" x14ac:dyDescent="0.25">
      <c r="A76" s="66">
        <f>A75+1</f>
        <v>57</v>
      </c>
      <c r="B76" s="67" t="s">
        <v>1623</v>
      </c>
      <c r="C76" s="66" t="s">
        <v>220</v>
      </c>
      <c r="D76" s="71">
        <v>1</v>
      </c>
      <c r="E76" s="179">
        <v>4640</v>
      </c>
      <c r="F76" s="314">
        <f t="shared" si="22"/>
        <v>4640</v>
      </c>
      <c r="G76" s="314">
        <f t="shared" si="23"/>
        <v>5568</v>
      </c>
      <c r="H76"/>
    </row>
    <row r="77" spans="1:8" ht="15.75" x14ac:dyDescent="0.25">
      <c r="A77" s="66">
        <f>A76+1</f>
        <v>58</v>
      </c>
      <c r="B77" s="67" t="s">
        <v>1396</v>
      </c>
      <c r="C77" s="66" t="s">
        <v>220</v>
      </c>
      <c r="D77" s="71">
        <v>1</v>
      </c>
      <c r="E77" s="179">
        <v>4289</v>
      </c>
      <c r="F77" s="314">
        <f t="shared" si="22"/>
        <v>4289</v>
      </c>
      <c r="G77" s="314">
        <f t="shared" si="23"/>
        <v>5146.8</v>
      </c>
      <c r="H77"/>
    </row>
    <row r="78" spans="1:8" ht="15.75" x14ac:dyDescent="0.25">
      <c r="A78" s="66">
        <f t="shared" ref="A78:A88" si="24">A77+1</f>
        <v>59</v>
      </c>
      <c r="B78" s="67" t="s">
        <v>1397</v>
      </c>
      <c r="C78" s="66" t="s">
        <v>220</v>
      </c>
      <c r="D78" s="71">
        <v>1</v>
      </c>
      <c r="E78" s="179">
        <v>2078</v>
      </c>
      <c r="F78" s="314">
        <f t="shared" si="22"/>
        <v>2078</v>
      </c>
      <c r="G78" s="314">
        <f t="shared" si="23"/>
        <v>2493.6</v>
      </c>
      <c r="H78"/>
    </row>
    <row r="79" spans="1:8" ht="15.75" x14ac:dyDescent="0.25">
      <c r="A79" s="66">
        <f t="shared" si="24"/>
        <v>60</v>
      </c>
      <c r="B79" s="67" t="s">
        <v>1398</v>
      </c>
      <c r="C79" s="66" t="s">
        <v>220</v>
      </c>
      <c r="D79" s="71">
        <v>1</v>
      </c>
      <c r="E79" s="179">
        <v>5667</v>
      </c>
      <c r="F79" s="314">
        <f t="shared" si="22"/>
        <v>5667</v>
      </c>
      <c r="G79" s="314">
        <f t="shared" si="23"/>
        <v>6800.4</v>
      </c>
      <c r="H79"/>
    </row>
    <row r="80" spans="1:8" ht="15.75" x14ac:dyDescent="0.25">
      <c r="A80" s="66">
        <f t="shared" si="24"/>
        <v>61</v>
      </c>
      <c r="B80" s="67" t="s">
        <v>1399</v>
      </c>
      <c r="C80" s="66" t="s">
        <v>220</v>
      </c>
      <c r="D80" s="71">
        <v>1</v>
      </c>
      <c r="E80" s="179">
        <v>2078</v>
      </c>
      <c r="F80" s="314">
        <f t="shared" si="22"/>
        <v>2078</v>
      </c>
      <c r="G80" s="314">
        <f t="shared" si="23"/>
        <v>2493.6</v>
      </c>
      <c r="H80"/>
    </row>
    <row r="81" spans="1:8" ht="15.75" x14ac:dyDescent="0.25">
      <c r="A81" s="66">
        <f t="shared" si="24"/>
        <v>62</v>
      </c>
      <c r="B81" s="67" t="s">
        <v>1400</v>
      </c>
      <c r="C81" s="66" t="s">
        <v>220</v>
      </c>
      <c r="D81" s="71">
        <v>3</v>
      </c>
      <c r="E81" s="179">
        <v>300</v>
      </c>
      <c r="F81" s="314">
        <f t="shared" si="22"/>
        <v>900</v>
      </c>
      <c r="G81" s="314">
        <f t="shared" si="23"/>
        <v>1080</v>
      </c>
      <c r="H81" s="218"/>
    </row>
    <row r="82" spans="1:8" ht="15.75" x14ac:dyDescent="0.25">
      <c r="A82" s="66">
        <f t="shared" si="24"/>
        <v>63</v>
      </c>
      <c r="B82" s="67" t="s">
        <v>1401</v>
      </c>
      <c r="C82" s="66" t="s">
        <v>220</v>
      </c>
      <c r="D82" s="71">
        <v>1</v>
      </c>
      <c r="E82" s="179">
        <v>3211</v>
      </c>
      <c r="F82" s="314">
        <f t="shared" si="22"/>
        <v>3211</v>
      </c>
      <c r="G82" s="314">
        <f t="shared" si="23"/>
        <v>3853.2</v>
      </c>
      <c r="H82" s="281"/>
    </row>
    <row r="83" spans="1:8" ht="15.75" x14ac:dyDescent="0.25">
      <c r="A83" s="66">
        <f t="shared" si="24"/>
        <v>64</v>
      </c>
      <c r="B83" s="67" t="s">
        <v>983</v>
      </c>
      <c r="C83" s="66" t="s">
        <v>193</v>
      </c>
      <c r="D83" s="68">
        <v>0.18</v>
      </c>
      <c r="E83" s="179">
        <v>1380</v>
      </c>
      <c r="F83" s="314">
        <f t="shared" si="22"/>
        <v>248.4</v>
      </c>
      <c r="G83" s="314">
        <f t="shared" si="23"/>
        <v>298.08</v>
      </c>
      <c r="H83"/>
    </row>
    <row r="84" spans="1:8" ht="15.75" x14ac:dyDescent="0.25">
      <c r="A84" s="66">
        <f t="shared" si="24"/>
        <v>65</v>
      </c>
      <c r="B84" s="67" t="s">
        <v>1402</v>
      </c>
      <c r="C84" s="66" t="s">
        <v>193</v>
      </c>
      <c r="D84" s="68">
        <v>0.17</v>
      </c>
      <c r="E84" s="179">
        <f>1180/D84</f>
        <v>6941.1764705882351</v>
      </c>
      <c r="F84" s="314">
        <f t="shared" si="22"/>
        <v>1180</v>
      </c>
      <c r="G84" s="314">
        <f t="shared" si="23"/>
        <v>1416</v>
      </c>
      <c r="H84"/>
    </row>
    <row r="85" spans="1:8" ht="15.75" x14ac:dyDescent="0.25">
      <c r="A85" s="66">
        <f t="shared" si="24"/>
        <v>66</v>
      </c>
      <c r="B85" s="67" t="s">
        <v>1403</v>
      </c>
      <c r="C85" s="66" t="s">
        <v>193</v>
      </c>
      <c r="D85" s="68">
        <v>0.05</v>
      </c>
      <c r="E85" s="179">
        <v>6941.18</v>
      </c>
      <c r="F85" s="314">
        <f t="shared" si="22"/>
        <v>347.06</v>
      </c>
      <c r="G85" s="314">
        <f t="shared" si="23"/>
        <v>416.47</v>
      </c>
      <c r="H85"/>
    </row>
    <row r="86" spans="1:8" ht="15.75" x14ac:dyDescent="0.25">
      <c r="A86" s="66">
        <f t="shared" si="24"/>
        <v>67</v>
      </c>
      <c r="B86" s="67" t="s">
        <v>1404</v>
      </c>
      <c r="C86" s="328" t="s">
        <v>431</v>
      </c>
      <c r="D86" s="68">
        <v>20.09</v>
      </c>
      <c r="E86" s="179">
        <v>135</v>
      </c>
      <c r="F86" s="314">
        <f t="shared" si="22"/>
        <v>2712.15</v>
      </c>
      <c r="G86" s="314">
        <f t="shared" si="23"/>
        <v>3254.58</v>
      </c>
      <c r="H86" s="218"/>
    </row>
    <row r="87" spans="1:8" ht="15.75" x14ac:dyDescent="0.25">
      <c r="A87" s="66">
        <f t="shared" si="24"/>
        <v>68</v>
      </c>
      <c r="B87" s="67" t="s">
        <v>1405</v>
      </c>
      <c r="C87" s="66" t="s">
        <v>220</v>
      </c>
      <c r="D87" s="68">
        <v>2</v>
      </c>
      <c r="E87" s="179">
        <v>6655</v>
      </c>
      <c r="F87" s="314">
        <f t="shared" si="22"/>
        <v>13310</v>
      </c>
      <c r="G87" s="314">
        <f t="shared" si="23"/>
        <v>15972</v>
      </c>
      <c r="H87"/>
    </row>
    <row r="88" spans="1:8" ht="30" x14ac:dyDescent="0.25">
      <c r="A88" s="66">
        <f t="shared" si="24"/>
        <v>69</v>
      </c>
      <c r="B88" s="67" t="s">
        <v>958</v>
      </c>
      <c r="C88" s="66" t="s">
        <v>194</v>
      </c>
      <c r="D88" s="68">
        <v>12.6</v>
      </c>
      <c r="E88" s="179">
        <v>626.07000000000005</v>
      </c>
      <c r="F88" s="314">
        <f t="shared" si="22"/>
        <v>7888.48</v>
      </c>
      <c r="G88" s="314">
        <f t="shared" si="23"/>
        <v>9466.18</v>
      </c>
      <c r="H88"/>
    </row>
    <row r="89" spans="1:8" x14ac:dyDescent="0.25">
      <c r="A89" s="411" t="s">
        <v>721</v>
      </c>
      <c r="B89" s="412"/>
      <c r="C89" s="412"/>
      <c r="D89" s="412"/>
      <c r="E89" s="413"/>
      <c r="F89" s="165">
        <f>SUM(F7:F88)</f>
        <v>1728992.7099999997</v>
      </c>
      <c r="G89" s="479">
        <f>SUM(G7:G88)</f>
        <v>2074791.2500000007</v>
      </c>
    </row>
    <row r="90" spans="1:8" x14ac:dyDescent="0.25">
      <c r="A90" s="411" t="s">
        <v>722</v>
      </c>
      <c r="B90" s="412"/>
      <c r="C90" s="412"/>
      <c r="D90" s="412"/>
      <c r="E90" s="413"/>
      <c r="F90" s="220">
        <f>ROUND(F89*0.03,2)</f>
        <v>51869.78</v>
      </c>
      <c r="G90" s="220">
        <f>ROUND(G89*0.03,2)</f>
        <v>62243.74</v>
      </c>
    </row>
    <row r="91" spans="1:8" x14ac:dyDescent="0.25">
      <c r="A91" s="411" t="s">
        <v>723</v>
      </c>
      <c r="B91" s="412"/>
      <c r="C91" s="412"/>
      <c r="D91" s="412"/>
      <c r="E91" s="413"/>
      <c r="F91" s="220">
        <f>F89+F90</f>
        <v>1780862.4899999998</v>
      </c>
      <c r="G91" s="220">
        <f>G89+G90</f>
        <v>2137034.9900000007</v>
      </c>
    </row>
  </sheetData>
  <mergeCells count="9">
    <mergeCell ref="A89:E89"/>
    <mergeCell ref="A90:E90"/>
    <mergeCell ref="A91:E91"/>
    <mergeCell ref="A1:A3"/>
    <mergeCell ref="B1:B3"/>
    <mergeCell ref="C1:C3"/>
    <mergeCell ref="D1:D3"/>
    <mergeCell ref="E1:G2"/>
    <mergeCell ref="B5:D5"/>
  </mergeCells>
  <pageMargins left="0.7" right="0.7" top="0.75" bottom="0.75" header="0.3" footer="0.3"/>
  <pageSetup paperSize="9" scale="63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view="pageBreakPreview" zoomScale="80" zoomScaleNormal="100" zoomScaleSheetLayoutView="80" workbookViewId="0">
      <selection activeCell="D21" sqref="D21"/>
    </sheetView>
  </sheetViews>
  <sheetFormatPr defaultRowHeight="15" x14ac:dyDescent="0.25"/>
  <cols>
    <col min="1" max="1" width="6.140625" customWidth="1"/>
    <col min="2" max="2" width="61.42578125" style="2" customWidth="1"/>
    <col min="3" max="3" width="7" bestFit="1" customWidth="1"/>
    <col min="4" max="4" width="10.28515625" customWidth="1"/>
    <col min="5" max="5" width="15.85546875" bestFit="1" customWidth="1"/>
    <col min="6" max="6" width="16.42578125" customWidth="1"/>
    <col min="7" max="7" width="16.7109375" style="52" customWidth="1"/>
    <col min="8" max="8" width="119.7109375" customWidth="1"/>
  </cols>
  <sheetData>
    <row r="1" spans="1:7" ht="14.45" customHeight="1" x14ac:dyDescent="0.25">
      <c r="A1" s="420" t="s">
        <v>226</v>
      </c>
      <c r="B1" s="464" t="s">
        <v>201</v>
      </c>
      <c r="C1" s="432" t="s">
        <v>230</v>
      </c>
      <c r="D1" s="432" t="s">
        <v>202</v>
      </c>
      <c r="E1" s="459" t="s">
        <v>703</v>
      </c>
      <c r="F1" s="460"/>
      <c r="G1" s="460"/>
    </row>
    <row r="2" spans="1:7" ht="14.45" customHeight="1" x14ac:dyDescent="0.25">
      <c r="A2" s="463"/>
      <c r="B2" s="465"/>
      <c r="C2" s="432"/>
      <c r="D2" s="432"/>
      <c r="E2" s="459"/>
      <c r="F2" s="460"/>
      <c r="G2" s="460"/>
    </row>
    <row r="3" spans="1:7" ht="28.5" x14ac:dyDescent="0.25">
      <c r="A3" s="421"/>
      <c r="B3" s="466"/>
      <c r="C3" s="432"/>
      <c r="D3" s="432"/>
      <c r="E3" s="347" t="s">
        <v>231</v>
      </c>
      <c r="F3" s="347" t="s">
        <v>410</v>
      </c>
      <c r="G3" s="348" t="s">
        <v>409</v>
      </c>
    </row>
    <row r="4" spans="1:7" x14ac:dyDescent="0.25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</row>
    <row r="5" spans="1:7" ht="20.25" customHeight="1" x14ac:dyDescent="0.25">
      <c r="A5" s="181"/>
      <c r="B5" s="414" t="s">
        <v>1350</v>
      </c>
      <c r="C5" s="436"/>
      <c r="D5" s="436"/>
      <c r="E5" s="182"/>
      <c r="F5" s="183"/>
      <c r="G5" s="184"/>
    </row>
    <row r="6" spans="1:7" ht="20.25" customHeight="1" x14ac:dyDescent="0.25">
      <c r="A6" s="66"/>
      <c r="B6" s="73" t="s">
        <v>1352</v>
      </c>
      <c r="C6" s="66"/>
      <c r="D6" s="71"/>
      <c r="E6" s="179"/>
      <c r="F6" s="105"/>
      <c r="G6" s="105"/>
    </row>
    <row r="7" spans="1:7" ht="15.75" x14ac:dyDescent="0.25">
      <c r="A7" s="66">
        <f>A6+1</f>
        <v>1</v>
      </c>
      <c r="B7" s="67" t="s">
        <v>1406</v>
      </c>
      <c r="C7" s="66" t="s">
        <v>220</v>
      </c>
      <c r="D7" s="71">
        <v>22</v>
      </c>
      <c r="E7" s="179">
        <v>2230</v>
      </c>
      <c r="F7" s="314">
        <f t="shared" ref="F7" si="0">ROUND(E7*D7,2)</f>
        <v>49060</v>
      </c>
      <c r="G7" s="314">
        <f t="shared" ref="G7" si="1">ROUND(F7*1.2,2)</f>
        <v>58872</v>
      </c>
    </row>
    <row r="8" spans="1:7" ht="15.75" x14ac:dyDescent="0.25">
      <c r="A8" s="66"/>
      <c r="B8" s="73" t="s">
        <v>1354</v>
      </c>
      <c r="C8" s="74"/>
      <c r="D8" s="71"/>
      <c r="E8" s="179"/>
      <c r="F8" s="314"/>
      <c r="G8" s="314"/>
    </row>
    <row r="9" spans="1:7" ht="15.75" x14ac:dyDescent="0.25">
      <c r="A9" s="66"/>
      <c r="B9" s="73" t="s">
        <v>1355</v>
      </c>
      <c r="C9" s="66"/>
      <c r="D9" s="68"/>
      <c r="E9" s="179"/>
      <c r="F9" s="314"/>
      <c r="G9" s="314"/>
    </row>
    <row r="10" spans="1:7" ht="15.75" x14ac:dyDescent="0.25">
      <c r="A10" s="66">
        <f>A7+1</f>
        <v>2</v>
      </c>
      <c r="B10" s="67" t="s">
        <v>1407</v>
      </c>
      <c r="C10" s="66" t="s">
        <v>193</v>
      </c>
      <c r="D10" s="68">
        <v>6.76</v>
      </c>
      <c r="E10" s="179">
        <v>5470</v>
      </c>
      <c r="F10" s="314">
        <f t="shared" ref="F10:F19" si="2">ROUND(E10*D10,2)</f>
        <v>36977.199999999997</v>
      </c>
      <c r="G10" s="314">
        <f t="shared" ref="G10:G19" si="3">ROUND(F10*1.2,2)</f>
        <v>44372.639999999999</v>
      </c>
    </row>
    <row r="11" spans="1:7" ht="15.75" x14ac:dyDescent="0.25">
      <c r="A11" s="66">
        <f>A10+1</f>
        <v>3</v>
      </c>
      <c r="B11" s="67" t="s">
        <v>1006</v>
      </c>
      <c r="C11" s="66" t="s">
        <v>193</v>
      </c>
      <c r="D11" s="68">
        <v>2.68</v>
      </c>
      <c r="E11" s="179">
        <v>4600</v>
      </c>
      <c r="F11" s="314">
        <f t="shared" si="2"/>
        <v>12328</v>
      </c>
      <c r="G11" s="314">
        <f t="shared" si="3"/>
        <v>14793.6</v>
      </c>
    </row>
    <row r="12" spans="1:7" ht="15.75" x14ac:dyDescent="0.25">
      <c r="A12" s="66">
        <f t="shared" ref="A12:A19" si="4">A11+1</f>
        <v>4</v>
      </c>
      <c r="B12" s="67" t="s">
        <v>1408</v>
      </c>
      <c r="C12" s="74" t="s">
        <v>239</v>
      </c>
      <c r="D12" s="68">
        <v>0.47</v>
      </c>
      <c r="E12" s="179">
        <v>85000</v>
      </c>
      <c r="F12" s="314">
        <f t="shared" si="2"/>
        <v>39950</v>
      </c>
      <c r="G12" s="314">
        <f t="shared" si="3"/>
        <v>47940</v>
      </c>
    </row>
    <row r="13" spans="1:7" ht="15.75" x14ac:dyDescent="0.25">
      <c r="A13" s="66">
        <f t="shared" si="4"/>
        <v>5</v>
      </c>
      <c r="B13" s="67" t="s">
        <v>1409</v>
      </c>
      <c r="C13" s="74" t="s">
        <v>239</v>
      </c>
      <c r="D13" s="68">
        <v>0.1</v>
      </c>
      <c r="E13" s="179">
        <v>85000</v>
      </c>
      <c r="F13" s="314">
        <f t="shared" si="2"/>
        <v>8500</v>
      </c>
      <c r="G13" s="314">
        <f t="shared" si="3"/>
        <v>10200</v>
      </c>
    </row>
    <row r="14" spans="1:7" ht="15.75" x14ac:dyDescent="0.25">
      <c r="A14" s="66">
        <f t="shared" si="4"/>
        <v>6</v>
      </c>
      <c r="B14" s="67" t="s">
        <v>1410</v>
      </c>
      <c r="C14" s="66" t="s">
        <v>239</v>
      </c>
      <c r="D14" s="68">
        <v>0.16</v>
      </c>
      <c r="E14" s="179">
        <v>85000</v>
      </c>
      <c r="F14" s="314">
        <f t="shared" si="2"/>
        <v>13600</v>
      </c>
      <c r="G14" s="314">
        <f t="shared" si="3"/>
        <v>16320</v>
      </c>
    </row>
    <row r="15" spans="1:7" ht="15.75" x14ac:dyDescent="0.25">
      <c r="A15" s="66">
        <f t="shared" si="4"/>
        <v>7</v>
      </c>
      <c r="B15" s="67" t="s">
        <v>1411</v>
      </c>
      <c r="C15" s="66" t="s">
        <v>254</v>
      </c>
      <c r="D15" s="68">
        <f>34.4*2</f>
        <v>68.8</v>
      </c>
      <c r="E15" s="179">
        <v>75</v>
      </c>
      <c r="F15" s="314">
        <f t="shared" si="2"/>
        <v>5160</v>
      </c>
      <c r="G15" s="314">
        <f t="shared" si="3"/>
        <v>6192</v>
      </c>
    </row>
    <row r="16" spans="1:7" ht="15.75" x14ac:dyDescent="0.25">
      <c r="A16" s="66">
        <f t="shared" si="4"/>
        <v>8</v>
      </c>
      <c r="B16" s="67" t="s">
        <v>1412</v>
      </c>
      <c r="C16" s="66" t="s">
        <v>254</v>
      </c>
      <c r="D16" s="68">
        <f>6*3.3</f>
        <v>19.799999999999997</v>
      </c>
      <c r="E16" s="179">
        <v>1500</v>
      </c>
      <c r="F16" s="314">
        <f t="shared" si="2"/>
        <v>29700</v>
      </c>
      <c r="G16" s="314">
        <f t="shared" si="3"/>
        <v>35640</v>
      </c>
    </row>
    <row r="17" spans="1:7" ht="15.75" x14ac:dyDescent="0.25">
      <c r="A17" s="66">
        <f t="shared" si="4"/>
        <v>9</v>
      </c>
      <c r="B17" s="67" t="s">
        <v>388</v>
      </c>
      <c r="C17" s="66" t="s">
        <v>254</v>
      </c>
      <c r="D17" s="68">
        <v>26.2</v>
      </c>
      <c r="E17" s="179">
        <v>312</v>
      </c>
      <c r="F17" s="314">
        <f t="shared" si="2"/>
        <v>8174.4</v>
      </c>
      <c r="G17" s="314">
        <f t="shared" si="3"/>
        <v>9809.2800000000007</v>
      </c>
    </row>
    <row r="18" spans="1:7" ht="15.75" x14ac:dyDescent="0.25">
      <c r="A18" s="66">
        <f t="shared" si="4"/>
        <v>10</v>
      </c>
      <c r="B18" s="67" t="s">
        <v>1413</v>
      </c>
      <c r="C18" s="66" t="s">
        <v>387</v>
      </c>
      <c r="D18" s="68">
        <f>13.3*20/16</f>
        <v>16.625</v>
      </c>
      <c r="E18" s="179">
        <v>250</v>
      </c>
      <c r="F18" s="314">
        <f t="shared" si="2"/>
        <v>4156.25</v>
      </c>
      <c r="G18" s="314">
        <f t="shared" si="3"/>
        <v>4987.5</v>
      </c>
    </row>
    <row r="19" spans="1:7" ht="15.75" x14ac:dyDescent="0.25">
      <c r="A19" s="66">
        <f t="shared" si="4"/>
        <v>11</v>
      </c>
      <c r="B19" s="67" t="s">
        <v>1414</v>
      </c>
      <c r="C19" s="66" t="s">
        <v>193</v>
      </c>
      <c r="D19" s="68">
        <v>0.7</v>
      </c>
      <c r="E19" s="179">
        <v>0</v>
      </c>
      <c r="F19" s="314">
        <f t="shared" si="2"/>
        <v>0</v>
      </c>
      <c r="G19" s="314">
        <f t="shared" si="3"/>
        <v>0</v>
      </c>
    </row>
    <row r="20" spans="1:7" ht="15.75" x14ac:dyDescent="0.25">
      <c r="A20" s="66"/>
      <c r="B20" s="73" t="s">
        <v>1016</v>
      </c>
      <c r="C20" s="66"/>
      <c r="D20" s="68"/>
      <c r="E20" s="336"/>
      <c r="F20" s="314"/>
      <c r="G20" s="314"/>
    </row>
    <row r="21" spans="1:7" ht="15.75" x14ac:dyDescent="0.25">
      <c r="A21" s="66">
        <f>A19+1</f>
        <v>12</v>
      </c>
      <c r="B21" s="67" t="s">
        <v>1415</v>
      </c>
      <c r="C21" s="66" t="s">
        <v>193</v>
      </c>
      <c r="D21" s="68">
        <v>0.39</v>
      </c>
      <c r="E21" s="179">
        <v>5470</v>
      </c>
      <c r="F21" s="314">
        <f t="shared" ref="F21:F24" si="5">ROUND(E21*D21,2)</f>
        <v>2133.3000000000002</v>
      </c>
      <c r="G21" s="314">
        <f t="shared" ref="G21:G24" si="6">ROUND(F21*1.2,2)</f>
        <v>2559.96</v>
      </c>
    </row>
    <row r="22" spans="1:7" ht="15.75" x14ac:dyDescent="0.25">
      <c r="A22" s="66">
        <f>A21+1</f>
        <v>13</v>
      </c>
      <c r="B22" s="67" t="s">
        <v>1410</v>
      </c>
      <c r="C22" s="66" t="s">
        <v>239</v>
      </c>
      <c r="D22" s="76">
        <v>3.2000000000000001E-2</v>
      </c>
      <c r="E22" s="179">
        <v>85000</v>
      </c>
      <c r="F22" s="314">
        <f t="shared" si="5"/>
        <v>2720</v>
      </c>
      <c r="G22" s="314">
        <f t="shared" si="6"/>
        <v>3264</v>
      </c>
    </row>
    <row r="23" spans="1:7" ht="15.75" x14ac:dyDescent="0.25">
      <c r="A23" s="66">
        <f>A22+1</f>
        <v>14</v>
      </c>
      <c r="B23" s="67" t="s">
        <v>388</v>
      </c>
      <c r="C23" s="66" t="s">
        <v>254</v>
      </c>
      <c r="D23" s="68">
        <v>1.9</v>
      </c>
      <c r="E23" s="179">
        <v>312</v>
      </c>
      <c r="F23" s="314">
        <f t="shared" si="5"/>
        <v>592.79999999999995</v>
      </c>
      <c r="G23" s="314">
        <f t="shared" si="6"/>
        <v>711.36</v>
      </c>
    </row>
    <row r="24" spans="1:7" ht="15.75" x14ac:dyDescent="0.25">
      <c r="A24" s="66">
        <f>A23+1</f>
        <v>15</v>
      </c>
      <c r="B24" s="67" t="s">
        <v>1413</v>
      </c>
      <c r="C24" s="66" t="s">
        <v>387</v>
      </c>
      <c r="D24" s="68">
        <f>1*20/16</f>
        <v>1.25</v>
      </c>
      <c r="E24" s="179">
        <v>250</v>
      </c>
      <c r="F24" s="314">
        <f t="shared" si="5"/>
        <v>312.5</v>
      </c>
      <c r="G24" s="314">
        <f t="shared" si="6"/>
        <v>375</v>
      </c>
    </row>
    <row r="25" spans="1:7" ht="19.5" customHeight="1" x14ac:dyDescent="0.25">
      <c r="A25" s="66"/>
      <c r="B25" s="73" t="s">
        <v>1017</v>
      </c>
      <c r="C25" s="66"/>
      <c r="D25" s="68"/>
      <c r="E25" s="336"/>
      <c r="F25" s="314"/>
      <c r="G25" s="314"/>
    </row>
    <row r="26" spans="1:7" ht="15.75" x14ac:dyDescent="0.25">
      <c r="A26" s="66">
        <f>A24+1</f>
        <v>16</v>
      </c>
      <c r="B26" s="67" t="s">
        <v>1415</v>
      </c>
      <c r="C26" s="66" t="s">
        <v>193</v>
      </c>
      <c r="D26" s="68">
        <v>0.35</v>
      </c>
      <c r="E26" s="179">
        <v>5470</v>
      </c>
      <c r="F26" s="314">
        <f t="shared" ref="F26:F29" si="7">ROUND(E26*D26,2)</f>
        <v>1914.5</v>
      </c>
      <c r="G26" s="314">
        <f t="shared" ref="G26:G29" si="8">ROUND(F26*1.2,2)</f>
        <v>2297.4</v>
      </c>
    </row>
    <row r="27" spans="1:7" ht="15.75" x14ac:dyDescent="0.25">
      <c r="A27" s="66">
        <f>A26+1</f>
        <v>17</v>
      </c>
      <c r="B27" s="67" t="s">
        <v>1410</v>
      </c>
      <c r="C27" s="66" t="s">
        <v>239</v>
      </c>
      <c r="D27" s="76">
        <v>2.8000000000000001E-2</v>
      </c>
      <c r="E27" s="179">
        <v>85000</v>
      </c>
      <c r="F27" s="314">
        <f t="shared" si="7"/>
        <v>2380</v>
      </c>
      <c r="G27" s="314">
        <f t="shared" si="8"/>
        <v>2856</v>
      </c>
    </row>
    <row r="28" spans="1:7" ht="15.75" x14ac:dyDescent="0.25">
      <c r="A28" s="66">
        <f>A27+1</f>
        <v>18</v>
      </c>
      <c r="B28" s="67" t="s">
        <v>388</v>
      </c>
      <c r="C28" s="66" t="s">
        <v>254</v>
      </c>
      <c r="D28" s="68">
        <v>1.7</v>
      </c>
      <c r="E28" s="179">
        <v>312</v>
      </c>
      <c r="F28" s="314">
        <f t="shared" si="7"/>
        <v>530.4</v>
      </c>
      <c r="G28" s="314">
        <f t="shared" si="8"/>
        <v>636.48</v>
      </c>
    </row>
    <row r="29" spans="1:7" ht="15.75" x14ac:dyDescent="0.25">
      <c r="A29" s="66">
        <f>A28+1</f>
        <v>19</v>
      </c>
      <c r="B29" s="67" t="s">
        <v>1413</v>
      </c>
      <c r="C29" s="66" t="s">
        <v>387</v>
      </c>
      <c r="D29" s="68">
        <f>0.9*20/16</f>
        <v>1.125</v>
      </c>
      <c r="E29" s="179">
        <v>250</v>
      </c>
      <c r="F29" s="314">
        <f t="shared" si="7"/>
        <v>281.25</v>
      </c>
      <c r="G29" s="314">
        <f t="shared" si="8"/>
        <v>337.5</v>
      </c>
    </row>
    <row r="30" spans="1:7" ht="19.5" customHeight="1" x14ac:dyDescent="0.25">
      <c r="A30" s="66"/>
      <c r="B30" s="73" t="s">
        <v>1362</v>
      </c>
      <c r="C30" s="66"/>
      <c r="D30" s="68"/>
      <c r="E30" s="336"/>
      <c r="F30" s="314"/>
      <c r="G30" s="314"/>
    </row>
    <row r="31" spans="1:7" ht="15.75" x14ac:dyDescent="0.25">
      <c r="A31" s="66">
        <f>A29+1</f>
        <v>20</v>
      </c>
      <c r="B31" s="67" t="s">
        <v>1407</v>
      </c>
      <c r="C31" s="66" t="s">
        <v>193</v>
      </c>
      <c r="D31" s="68">
        <v>0.3</v>
      </c>
      <c r="E31" s="179">
        <v>5470</v>
      </c>
      <c r="F31" s="314">
        <f t="shared" ref="F31:F35" si="9">ROUND(E31*D31,2)</f>
        <v>1641</v>
      </c>
      <c r="G31" s="314">
        <f t="shared" ref="G31:G35" si="10">ROUND(F31*1.2,2)</f>
        <v>1969.2</v>
      </c>
    </row>
    <row r="32" spans="1:7" ht="15.75" x14ac:dyDescent="0.25">
      <c r="A32" s="66">
        <f>A31+1</f>
        <v>21</v>
      </c>
      <c r="B32" s="67" t="s">
        <v>1408</v>
      </c>
      <c r="C32" s="66" t="s">
        <v>239</v>
      </c>
      <c r="D32" s="68">
        <v>0.02</v>
      </c>
      <c r="E32" s="179">
        <v>85000</v>
      </c>
      <c r="F32" s="314">
        <f t="shared" si="9"/>
        <v>1700</v>
      </c>
      <c r="G32" s="314">
        <f t="shared" si="10"/>
        <v>2040</v>
      </c>
    </row>
    <row r="33" spans="1:7" ht="15.75" x14ac:dyDescent="0.25">
      <c r="A33" s="66">
        <f t="shared" ref="A33:A35" si="11">A32+1</f>
        <v>22</v>
      </c>
      <c r="B33" s="67" t="s">
        <v>1410</v>
      </c>
      <c r="C33" s="66" t="s">
        <v>239</v>
      </c>
      <c r="D33" s="68">
        <v>0.01</v>
      </c>
      <c r="E33" s="179">
        <v>85000</v>
      </c>
      <c r="F33" s="314">
        <f t="shared" si="9"/>
        <v>850</v>
      </c>
      <c r="G33" s="314">
        <f t="shared" si="10"/>
        <v>1020</v>
      </c>
    </row>
    <row r="34" spans="1:7" ht="15.75" x14ac:dyDescent="0.25">
      <c r="A34" s="66">
        <f t="shared" si="11"/>
        <v>23</v>
      </c>
      <c r="B34" s="67" t="s">
        <v>1416</v>
      </c>
      <c r="C34" s="66" t="s">
        <v>239</v>
      </c>
      <c r="D34" s="68">
        <v>0.01</v>
      </c>
      <c r="E34" s="336">
        <v>75000</v>
      </c>
      <c r="F34" s="314">
        <f t="shared" si="9"/>
        <v>750</v>
      </c>
      <c r="G34" s="314">
        <f t="shared" si="10"/>
        <v>900</v>
      </c>
    </row>
    <row r="35" spans="1:7" ht="15.75" x14ac:dyDescent="0.25">
      <c r="A35" s="66">
        <f t="shared" si="11"/>
        <v>24</v>
      </c>
      <c r="B35" s="67" t="s">
        <v>1417</v>
      </c>
      <c r="C35" s="66" t="s">
        <v>220</v>
      </c>
      <c r="D35" s="71">
        <v>4</v>
      </c>
      <c r="E35" s="179">
        <v>0</v>
      </c>
      <c r="F35" s="314">
        <f t="shared" si="9"/>
        <v>0</v>
      </c>
      <c r="G35" s="314">
        <f t="shared" si="10"/>
        <v>0</v>
      </c>
    </row>
    <row r="36" spans="1:7" ht="15.75" x14ac:dyDescent="0.25">
      <c r="A36" s="66"/>
      <c r="B36" s="73" t="s">
        <v>1365</v>
      </c>
      <c r="C36" s="66"/>
      <c r="D36" s="68"/>
      <c r="E36" s="336"/>
      <c r="F36" s="314"/>
      <c r="G36" s="314"/>
    </row>
    <row r="37" spans="1:7" ht="15.75" x14ac:dyDescent="0.25">
      <c r="A37" s="66">
        <f>A35+1</f>
        <v>25</v>
      </c>
      <c r="B37" s="67" t="s">
        <v>1418</v>
      </c>
      <c r="C37" s="66" t="s">
        <v>254</v>
      </c>
      <c r="D37" s="72">
        <v>232.2</v>
      </c>
      <c r="E37" s="179">
        <v>0</v>
      </c>
      <c r="F37" s="314">
        <f t="shared" ref="F37:F45" si="12">ROUND(E37*D37,2)</f>
        <v>0</v>
      </c>
      <c r="G37" s="314">
        <f t="shared" ref="G37:G45" si="13">ROUND(F37*1.2,2)</f>
        <v>0</v>
      </c>
    </row>
    <row r="38" spans="1:7" ht="15.75" x14ac:dyDescent="0.25">
      <c r="A38" s="66">
        <f>A37+1</f>
        <v>26</v>
      </c>
      <c r="B38" s="67" t="s">
        <v>1416</v>
      </c>
      <c r="C38" s="66" t="s">
        <v>254</v>
      </c>
      <c r="D38" s="68">
        <f>5.3*2</f>
        <v>10.6</v>
      </c>
      <c r="E38" s="336">
        <v>75</v>
      </c>
      <c r="F38" s="314">
        <f t="shared" si="12"/>
        <v>795</v>
      </c>
      <c r="G38" s="314">
        <f t="shared" si="13"/>
        <v>954</v>
      </c>
    </row>
    <row r="39" spans="1:7" ht="15.75" x14ac:dyDescent="0.25">
      <c r="A39" s="66">
        <f>A38+1</f>
        <v>27</v>
      </c>
      <c r="B39" s="67" t="s">
        <v>402</v>
      </c>
      <c r="C39" s="66" t="s">
        <v>254</v>
      </c>
      <c r="D39" s="72">
        <v>1.1000000000000001</v>
      </c>
      <c r="E39" s="179">
        <v>1376</v>
      </c>
      <c r="F39" s="314">
        <f t="shared" si="12"/>
        <v>1513.6</v>
      </c>
      <c r="G39" s="314">
        <f t="shared" si="13"/>
        <v>1816.32</v>
      </c>
    </row>
    <row r="40" spans="1:7" ht="15.75" x14ac:dyDescent="0.25">
      <c r="A40" s="66">
        <f t="shared" ref="A40" si="14">A39+1</f>
        <v>28</v>
      </c>
      <c r="B40" s="67" t="s">
        <v>403</v>
      </c>
      <c r="C40" s="66" t="s">
        <v>254</v>
      </c>
      <c r="D40" s="72">
        <v>0.2</v>
      </c>
      <c r="E40" s="179">
        <v>1518.0000000000002</v>
      </c>
      <c r="F40" s="314">
        <f t="shared" si="12"/>
        <v>303.60000000000002</v>
      </c>
      <c r="G40" s="314">
        <f t="shared" si="13"/>
        <v>364.32</v>
      </c>
    </row>
    <row r="41" spans="1:7" ht="15.75" x14ac:dyDescent="0.25">
      <c r="A41" s="66">
        <f>A40+1</f>
        <v>29</v>
      </c>
      <c r="B41" s="67" t="s">
        <v>1415</v>
      </c>
      <c r="C41" s="66" t="s">
        <v>193</v>
      </c>
      <c r="D41" s="68">
        <v>0.35</v>
      </c>
      <c r="E41" s="179">
        <v>5470</v>
      </c>
      <c r="F41" s="314">
        <f t="shared" si="12"/>
        <v>1914.5</v>
      </c>
      <c r="G41" s="314">
        <f t="shared" si="13"/>
        <v>2297.4</v>
      </c>
    </row>
    <row r="42" spans="1:7" ht="15.75" x14ac:dyDescent="0.25">
      <c r="A42" s="66">
        <f>A41+1</f>
        <v>30</v>
      </c>
      <c r="B42" s="67" t="s">
        <v>1419</v>
      </c>
      <c r="C42" s="66" t="s">
        <v>254</v>
      </c>
      <c r="D42" s="68">
        <f>0.82*2</f>
        <v>1.64</v>
      </c>
      <c r="E42" s="336">
        <v>127</v>
      </c>
      <c r="F42" s="314">
        <f t="shared" si="12"/>
        <v>208.28</v>
      </c>
      <c r="G42" s="314">
        <f t="shared" si="13"/>
        <v>249.94</v>
      </c>
    </row>
    <row r="43" spans="1:7" ht="15.75" x14ac:dyDescent="0.25">
      <c r="A43" s="66">
        <f t="shared" ref="A43:A45" si="15">A42+1</f>
        <v>31</v>
      </c>
      <c r="B43" s="67" t="s">
        <v>1006</v>
      </c>
      <c r="C43" s="66" t="s">
        <v>193</v>
      </c>
      <c r="D43" s="68">
        <v>7.0000000000000007E-2</v>
      </c>
      <c r="E43" s="179">
        <v>4600</v>
      </c>
      <c r="F43" s="314">
        <f t="shared" si="12"/>
        <v>322</v>
      </c>
      <c r="G43" s="314">
        <f t="shared" si="13"/>
        <v>386.4</v>
      </c>
    </row>
    <row r="44" spans="1:7" ht="15.75" x14ac:dyDescent="0.25">
      <c r="A44" s="66">
        <f t="shared" si="15"/>
        <v>32</v>
      </c>
      <c r="B44" s="67" t="s">
        <v>388</v>
      </c>
      <c r="C44" s="66" t="s">
        <v>254</v>
      </c>
      <c r="D44" s="68">
        <v>0.7</v>
      </c>
      <c r="E44" s="179">
        <v>312</v>
      </c>
      <c r="F44" s="314">
        <f t="shared" si="12"/>
        <v>218.4</v>
      </c>
      <c r="G44" s="314">
        <f t="shared" si="13"/>
        <v>262.08</v>
      </c>
    </row>
    <row r="45" spans="1:7" ht="15.75" x14ac:dyDescent="0.25">
      <c r="A45" s="66">
        <f t="shared" si="15"/>
        <v>33</v>
      </c>
      <c r="B45" s="67" t="s">
        <v>1413</v>
      </c>
      <c r="C45" s="66" t="s">
        <v>387</v>
      </c>
      <c r="D45" s="68">
        <f>0.4*20/16</f>
        <v>0.5</v>
      </c>
      <c r="E45" s="179">
        <v>250</v>
      </c>
      <c r="F45" s="314">
        <f t="shared" si="12"/>
        <v>125</v>
      </c>
      <c r="G45" s="314">
        <f t="shared" si="13"/>
        <v>150</v>
      </c>
    </row>
    <row r="46" spans="1:7" ht="15.75" x14ac:dyDescent="0.25">
      <c r="A46" s="66"/>
      <c r="B46" s="73" t="s">
        <v>1371</v>
      </c>
      <c r="C46" s="66"/>
      <c r="D46" s="68"/>
      <c r="E46" s="336"/>
      <c r="F46" s="314"/>
      <c r="G46" s="314"/>
    </row>
    <row r="47" spans="1:7" ht="15.75" x14ac:dyDescent="0.25">
      <c r="A47" s="66">
        <f>A45+1</f>
        <v>34</v>
      </c>
      <c r="B47" s="67" t="s">
        <v>1420</v>
      </c>
      <c r="C47" s="66" t="s">
        <v>194</v>
      </c>
      <c r="D47" s="68">
        <v>57.2</v>
      </c>
      <c r="E47" s="179">
        <v>3078</v>
      </c>
      <c r="F47" s="314">
        <f t="shared" ref="F47:F57" si="16">ROUND(E47*D47,2)</f>
        <v>176061.6</v>
      </c>
      <c r="G47" s="314">
        <f t="shared" ref="G47:G57" si="17">ROUND(F47*1.2,2)</f>
        <v>211273.92</v>
      </c>
    </row>
    <row r="48" spans="1:7" ht="30" x14ac:dyDescent="0.25">
      <c r="A48" s="66">
        <f>A47+1</f>
        <v>35</v>
      </c>
      <c r="B48" s="67" t="s">
        <v>1421</v>
      </c>
      <c r="C48" s="66" t="s">
        <v>220</v>
      </c>
      <c r="D48" s="71">
        <v>28</v>
      </c>
      <c r="E48" s="179">
        <v>1820</v>
      </c>
      <c r="F48" s="314">
        <f t="shared" si="16"/>
        <v>50960</v>
      </c>
      <c r="G48" s="314">
        <f t="shared" si="17"/>
        <v>61152</v>
      </c>
    </row>
    <row r="49" spans="1:7" ht="15.75" x14ac:dyDescent="0.25">
      <c r="A49" s="66">
        <f>A48+1</f>
        <v>36</v>
      </c>
      <c r="B49" s="67" t="s">
        <v>1422</v>
      </c>
      <c r="C49" s="66" t="s">
        <v>220</v>
      </c>
      <c r="D49" s="71">
        <v>9</v>
      </c>
      <c r="E49" s="179">
        <v>7590</v>
      </c>
      <c r="F49" s="314">
        <f t="shared" si="16"/>
        <v>68310</v>
      </c>
      <c r="G49" s="314">
        <f t="shared" si="17"/>
        <v>81972</v>
      </c>
    </row>
    <row r="50" spans="1:7" ht="15.75" x14ac:dyDescent="0.25">
      <c r="A50" s="66">
        <f t="shared" ref="A50:A57" si="18">A49+1</f>
        <v>37</v>
      </c>
      <c r="B50" s="67" t="s">
        <v>1423</v>
      </c>
      <c r="C50" s="66" t="s">
        <v>194</v>
      </c>
      <c r="D50" s="71">
        <v>4</v>
      </c>
      <c r="E50" s="179">
        <v>818</v>
      </c>
      <c r="F50" s="314">
        <f t="shared" si="16"/>
        <v>3272</v>
      </c>
      <c r="G50" s="314">
        <f t="shared" si="17"/>
        <v>3926.4</v>
      </c>
    </row>
    <row r="51" spans="1:7" ht="15.75" x14ac:dyDescent="0.25">
      <c r="A51" s="66">
        <f t="shared" si="18"/>
        <v>38</v>
      </c>
      <c r="B51" s="67" t="s">
        <v>1424</v>
      </c>
      <c r="C51" s="66" t="s">
        <v>254</v>
      </c>
      <c r="D51" s="68">
        <v>0.5</v>
      </c>
      <c r="E51" s="179">
        <v>1900</v>
      </c>
      <c r="F51" s="314">
        <f t="shared" si="16"/>
        <v>950</v>
      </c>
      <c r="G51" s="314">
        <f t="shared" si="17"/>
        <v>1140</v>
      </c>
    </row>
    <row r="52" spans="1:7" ht="15.75" x14ac:dyDescent="0.25">
      <c r="A52" s="66">
        <f t="shared" si="18"/>
        <v>39</v>
      </c>
      <c r="B52" s="67" t="s">
        <v>1425</v>
      </c>
      <c r="C52" s="66" t="s">
        <v>217</v>
      </c>
      <c r="D52" s="71">
        <v>8</v>
      </c>
      <c r="E52" s="179">
        <v>6720</v>
      </c>
      <c r="F52" s="314">
        <f t="shared" si="16"/>
        <v>53760</v>
      </c>
      <c r="G52" s="314">
        <f t="shared" si="17"/>
        <v>64512</v>
      </c>
    </row>
    <row r="53" spans="1:7" ht="15.75" x14ac:dyDescent="0.25">
      <c r="A53" s="66">
        <f t="shared" si="18"/>
        <v>40</v>
      </c>
      <c r="B53" s="67" t="s">
        <v>1426</v>
      </c>
      <c r="C53" s="66" t="s">
        <v>220</v>
      </c>
      <c r="D53" s="71">
        <v>2</v>
      </c>
      <c r="E53" s="179">
        <v>32000</v>
      </c>
      <c r="F53" s="314">
        <f t="shared" si="16"/>
        <v>64000</v>
      </c>
      <c r="G53" s="314">
        <f t="shared" si="17"/>
        <v>76800</v>
      </c>
    </row>
    <row r="54" spans="1:7" ht="15.75" x14ac:dyDescent="0.25">
      <c r="A54" s="66">
        <f t="shared" si="18"/>
        <v>41</v>
      </c>
      <c r="B54" s="67" t="s">
        <v>1379</v>
      </c>
      <c r="C54" s="66" t="s">
        <v>220</v>
      </c>
      <c r="D54" s="71">
        <v>4</v>
      </c>
      <c r="E54" s="179">
        <v>3200</v>
      </c>
      <c r="F54" s="314">
        <f t="shared" si="16"/>
        <v>12800</v>
      </c>
      <c r="G54" s="314">
        <f t="shared" si="17"/>
        <v>15360</v>
      </c>
    </row>
    <row r="55" spans="1:7" ht="15.75" x14ac:dyDescent="0.25">
      <c r="A55" s="66">
        <f t="shared" si="18"/>
        <v>42</v>
      </c>
      <c r="B55" s="67" t="s">
        <v>1380</v>
      </c>
      <c r="C55" s="66" t="s">
        <v>220</v>
      </c>
      <c r="D55" s="71">
        <v>4</v>
      </c>
      <c r="E55" s="179">
        <v>4100</v>
      </c>
      <c r="F55" s="314">
        <f t="shared" si="16"/>
        <v>16400</v>
      </c>
      <c r="G55" s="314">
        <f t="shared" si="17"/>
        <v>19680</v>
      </c>
    </row>
    <row r="56" spans="1:7" ht="15.75" x14ac:dyDescent="0.25">
      <c r="A56" s="66">
        <f t="shared" si="18"/>
        <v>43</v>
      </c>
      <c r="B56" s="67" t="s">
        <v>1427</v>
      </c>
      <c r="C56" s="66" t="s">
        <v>194</v>
      </c>
      <c r="D56" s="72">
        <v>1.6</v>
      </c>
      <c r="E56" s="179">
        <v>480</v>
      </c>
      <c r="F56" s="314">
        <f t="shared" si="16"/>
        <v>768</v>
      </c>
      <c r="G56" s="314">
        <f t="shared" si="17"/>
        <v>921.6</v>
      </c>
    </row>
    <row r="57" spans="1:7" ht="15.75" x14ac:dyDescent="0.25">
      <c r="A57" s="66">
        <f t="shared" si="18"/>
        <v>44</v>
      </c>
      <c r="B57" s="67" t="s">
        <v>1428</v>
      </c>
      <c r="C57" s="66" t="s">
        <v>220</v>
      </c>
      <c r="D57" s="71">
        <v>2</v>
      </c>
      <c r="E57" s="179">
        <v>21000</v>
      </c>
      <c r="F57" s="314">
        <f t="shared" si="16"/>
        <v>42000</v>
      </c>
      <c r="G57" s="314">
        <f t="shared" si="17"/>
        <v>50400</v>
      </c>
    </row>
    <row r="58" spans="1:7" ht="20.25" customHeight="1" x14ac:dyDescent="0.25">
      <c r="A58" s="66"/>
      <c r="B58" s="73" t="s">
        <v>1429</v>
      </c>
      <c r="C58" s="66"/>
      <c r="D58" s="68"/>
      <c r="E58" s="336"/>
      <c r="F58" s="314"/>
      <c r="G58" s="314"/>
    </row>
    <row r="59" spans="1:7" ht="15.75" x14ac:dyDescent="0.25">
      <c r="A59" s="66">
        <f>A55+1</f>
        <v>43</v>
      </c>
      <c r="B59" s="67" t="s">
        <v>1430</v>
      </c>
      <c r="C59" s="66" t="s">
        <v>220</v>
      </c>
      <c r="D59" s="68">
        <v>4</v>
      </c>
      <c r="E59" s="179">
        <v>1626</v>
      </c>
      <c r="F59" s="314">
        <f t="shared" ref="F59:F67" si="19">ROUND(E59*D59,2)</f>
        <v>6504</v>
      </c>
      <c r="G59" s="314">
        <f t="shared" ref="G59:G67" si="20">ROUND(F59*1.2,2)</f>
        <v>7804.8</v>
      </c>
    </row>
    <row r="60" spans="1:7" ht="15.75" x14ac:dyDescent="0.25">
      <c r="A60" s="66">
        <f>A59+1</f>
        <v>44</v>
      </c>
      <c r="B60" s="67" t="s">
        <v>1431</v>
      </c>
      <c r="C60" s="66" t="s">
        <v>220</v>
      </c>
      <c r="D60" s="68">
        <f>2*4</f>
        <v>8</v>
      </c>
      <c r="E60" s="179">
        <v>126</v>
      </c>
      <c r="F60" s="314">
        <f t="shared" si="19"/>
        <v>1008</v>
      </c>
      <c r="G60" s="314">
        <f t="shared" si="20"/>
        <v>1209.5999999999999</v>
      </c>
    </row>
    <row r="61" spans="1:7" ht="15.75" x14ac:dyDescent="0.25">
      <c r="A61" s="66">
        <f>A60+1</f>
        <v>45</v>
      </c>
      <c r="B61" s="67" t="s">
        <v>1432</v>
      </c>
      <c r="C61" s="66" t="s">
        <v>220</v>
      </c>
      <c r="D61" s="68">
        <v>4</v>
      </c>
      <c r="E61" s="179">
        <v>1614</v>
      </c>
      <c r="F61" s="314">
        <f t="shared" si="19"/>
        <v>6456</v>
      </c>
      <c r="G61" s="314">
        <f t="shared" si="20"/>
        <v>7747.2</v>
      </c>
    </row>
    <row r="62" spans="1:7" ht="15.75" x14ac:dyDescent="0.25">
      <c r="A62" s="66">
        <f t="shared" ref="A62:A67" si="21">A61+1</f>
        <v>46</v>
      </c>
      <c r="B62" s="67" t="s">
        <v>1433</v>
      </c>
      <c r="C62" s="66" t="s">
        <v>220</v>
      </c>
      <c r="D62" s="68">
        <v>4</v>
      </c>
      <c r="E62" s="179">
        <v>312</v>
      </c>
      <c r="F62" s="314">
        <f t="shared" si="19"/>
        <v>1248</v>
      </c>
      <c r="G62" s="314">
        <f t="shared" si="20"/>
        <v>1497.6</v>
      </c>
    </row>
    <row r="63" spans="1:7" ht="15.75" x14ac:dyDescent="0.25">
      <c r="A63" s="66">
        <f t="shared" si="21"/>
        <v>47</v>
      </c>
      <c r="B63" s="67" t="s">
        <v>1434</v>
      </c>
      <c r="C63" s="66" t="s">
        <v>194</v>
      </c>
      <c r="D63" s="68">
        <v>0.2</v>
      </c>
      <c r="E63" s="179">
        <v>480</v>
      </c>
      <c r="F63" s="314">
        <f t="shared" si="19"/>
        <v>96</v>
      </c>
      <c r="G63" s="314">
        <f t="shared" si="20"/>
        <v>115.2</v>
      </c>
    </row>
    <row r="64" spans="1:7" ht="15.75" x14ac:dyDescent="0.25">
      <c r="A64" s="66">
        <f t="shared" si="21"/>
        <v>48</v>
      </c>
      <c r="B64" s="67" t="s">
        <v>1435</v>
      </c>
      <c r="C64" s="66" t="s">
        <v>254</v>
      </c>
      <c r="D64" s="68">
        <f>2*0.137</f>
        <v>0.27400000000000002</v>
      </c>
      <c r="E64" s="179">
        <v>127</v>
      </c>
      <c r="F64" s="314">
        <f t="shared" si="19"/>
        <v>34.799999999999997</v>
      </c>
      <c r="G64" s="314">
        <f t="shared" si="20"/>
        <v>41.76</v>
      </c>
    </row>
    <row r="65" spans="1:7" ht="15.75" x14ac:dyDescent="0.25">
      <c r="A65" s="66">
        <f t="shared" si="21"/>
        <v>49</v>
      </c>
      <c r="B65" s="67" t="s">
        <v>1436</v>
      </c>
      <c r="C65" s="66" t="s">
        <v>254</v>
      </c>
      <c r="D65" s="68">
        <f>2*0.032</f>
        <v>6.4000000000000001E-2</v>
      </c>
      <c r="E65" s="179">
        <v>147</v>
      </c>
      <c r="F65" s="314">
        <f t="shared" si="19"/>
        <v>9.41</v>
      </c>
      <c r="G65" s="314">
        <f t="shared" si="20"/>
        <v>11.29</v>
      </c>
    </row>
    <row r="66" spans="1:7" ht="15.75" x14ac:dyDescent="0.25">
      <c r="A66" s="66">
        <f t="shared" si="21"/>
        <v>50</v>
      </c>
      <c r="B66" s="67" t="s">
        <v>1437</v>
      </c>
      <c r="C66" s="66" t="s">
        <v>254</v>
      </c>
      <c r="D66" s="68">
        <f>2*0.013</f>
        <v>2.5999999999999999E-2</v>
      </c>
      <c r="E66" s="179">
        <v>197</v>
      </c>
      <c r="F66" s="314">
        <f t="shared" si="19"/>
        <v>5.12</v>
      </c>
      <c r="G66" s="314">
        <f t="shared" si="20"/>
        <v>6.14</v>
      </c>
    </row>
    <row r="67" spans="1:7" ht="15.75" x14ac:dyDescent="0.25">
      <c r="A67" s="66">
        <f t="shared" si="21"/>
        <v>51</v>
      </c>
      <c r="B67" s="67" t="s">
        <v>1438</v>
      </c>
      <c r="C67" s="66" t="s">
        <v>254</v>
      </c>
      <c r="D67" s="68">
        <f>2*0.013</f>
        <v>2.5999999999999999E-2</v>
      </c>
      <c r="E67" s="179">
        <v>197</v>
      </c>
      <c r="F67" s="314">
        <f t="shared" si="19"/>
        <v>5.12</v>
      </c>
      <c r="G67" s="314">
        <f t="shared" si="20"/>
        <v>6.14</v>
      </c>
    </row>
    <row r="68" spans="1:7" ht="23.25" customHeight="1" x14ac:dyDescent="0.25">
      <c r="A68" s="66"/>
      <c r="B68" s="73" t="s">
        <v>1382</v>
      </c>
      <c r="C68" s="66"/>
      <c r="D68" s="68"/>
      <c r="E68" s="336"/>
      <c r="F68" s="314"/>
      <c r="G68" s="314"/>
    </row>
    <row r="69" spans="1:7" ht="30" x14ac:dyDescent="0.25">
      <c r="A69" s="66">
        <f>A67+1</f>
        <v>52</v>
      </c>
      <c r="B69" s="67" t="s">
        <v>1439</v>
      </c>
      <c r="C69" s="66" t="s">
        <v>220</v>
      </c>
      <c r="D69" s="71">
        <v>1</v>
      </c>
      <c r="E69" s="179">
        <v>24090</v>
      </c>
      <c r="F69" s="314">
        <f t="shared" ref="F69:F82" si="22">ROUND(E69*D69,2)</f>
        <v>24090</v>
      </c>
      <c r="G69" s="314">
        <f t="shared" ref="G69:G82" si="23">ROUND(F69*1.2,2)</f>
        <v>28908</v>
      </c>
    </row>
    <row r="70" spans="1:7" ht="15.75" x14ac:dyDescent="0.25">
      <c r="A70" s="66">
        <f>A69+1</f>
        <v>53</v>
      </c>
      <c r="B70" s="67" t="s">
        <v>1440</v>
      </c>
      <c r="C70" s="66" t="s">
        <v>194</v>
      </c>
      <c r="D70" s="68">
        <v>1.29</v>
      </c>
      <c r="E70" s="179">
        <v>3078</v>
      </c>
      <c r="F70" s="314">
        <f t="shared" si="22"/>
        <v>3970.62</v>
      </c>
      <c r="G70" s="314">
        <f t="shared" si="23"/>
        <v>4764.74</v>
      </c>
    </row>
    <row r="71" spans="1:7" ht="15.75" x14ac:dyDescent="0.25">
      <c r="A71" s="66">
        <f t="shared" ref="A71:A82" si="24">A70+1</f>
        <v>54</v>
      </c>
      <c r="B71" s="67" t="s">
        <v>1441</v>
      </c>
      <c r="C71" s="66" t="s">
        <v>194</v>
      </c>
      <c r="D71" s="68">
        <v>1.39</v>
      </c>
      <c r="E71" s="179">
        <v>1680</v>
      </c>
      <c r="F71" s="314">
        <f t="shared" si="22"/>
        <v>2335.1999999999998</v>
      </c>
      <c r="G71" s="314">
        <f t="shared" si="23"/>
        <v>2802.24</v>
      </c>
    </row>
    <row r="72" spans="1:7" ht="15.75" x14ac:dyDescent="0.25">
      <c r="A72" s="66">
        <f t="shared" si="24"/>
        <v>55</v>
      </c>
      <c r="B72" s="67" t="s">
        <v>1442</v>
      </c>
      <c r="C72" s="66" t="s">
        <v>220</v>
      </c>
      <c r="D72" s="71">
        <v>1</v>
      </c>
      <c r="E72" s="179">
        <v>1540</v>
      </c>
      <c r="F72" s="314">
        <f t="shared" si="22"/>
        <v>1540</v>
      </c>
      <c r="G72" s="314">
        <f t="shared" si="23"/>
        <v>1848</v>
      </c>
    </row>
    <row r="73" spans="1:7" ht="15.75" x14ac:dyDescent="0.25">
      <c r="A73" s="66">
        <f t="shared" si="24"/>
        <v>56</v>
      </c>
      <c r="B73" s="67" t="s">
        <v>1443</v>
      </c>
      <c r="C73" s="66" t="s">
        <v>220</v>
      </c>
      <c r="D73" s="71">
        <v>1</v>
      </c>
      <c r="E73" s="179">
        <v>5430</v>
      </c>
      <c r="F73" s="314">
        <f t="shared" si="22"/>
        <v>5430</v>
      </c>
      <c r="G73" s="314">
        <f t="shared" si="23"/>
        <v>6516</v>
      </c>
    </row>
    <row r="74" spans="1:7" ht="30" x14ac:dyDescent="0.25">
      <c r="A74" s="66">
        <f t="shared" si="24"/>
        <v>57</v>
      </c>
      <c r="B74" s="67" t="s">
        <v>1444</v>
      </c>
      <c r="C74" s="66" t="s">
        <v>220</v>
      </c>
      <c r="D74" s="71">
        <v>1</v>
      </c>
      <c r="E74" s="179">
        <v>26020</v>
      </c>
      <c r="F74" s="314">
        <f t="shared" si="22"/>
        <v>26020</v>
      </c>
      <c r="G74" s="314">
        <f t="shared" si="23"/>
        <v>31224</v>
      </c>
    </row>
    <row r="75" spans="1:7" ht="15.75" x14ac:dyDescent="0.25">
      <c r="A75" s="66">
        <f t="shared" si="24"/>
        <v>58</v>
      </c>
      <c r="B75" s="67" t="s">
        <v>1445</v>
      </c>
      <c r="C75" s="66" t="s">
        <v>194</v>
      </c>
      <c r="D75" s="68">
        <v>1.29</v>
      </c>
      <c r="E75" s="179">
        <v>3078</v>
      </c>
      <c r="F75" s="314">
        <f t="shared" si="22"/>
        <v>3970.62</v>
      </c>
      <c r="G75" s="314">
        <f t="shared" si="23"/>
        <v>4764.74</v>
      </c>
    </row>
    <row r="76" spans="1:7" ht="15.75" x14ac:dyDescent="0.25">
      <c r="A76" s="66">
        <f t="shared" si="24"/>
        <v>59</v>
      </c>
      <c r="B76" s="67" t="s">
        <v>1446</v>
      </c>
      <c r="C76" s="66" t="s">
        <v>194</v>
      </c>
      <c r="D76" s="68">
        <v>1.07</v>
      </c>
      <c r="E76" s="179">
        <v>1680</v>
      </c>
      <c r="F76" s="314">
        <f t="shared" si="22"/>
        <v>1797.6</v>
      </c>
      <c r="G76" s="314">
        <f t="shared" si="23"/>
        <v>2157.12</v>
      </c>
    </row>
    <row r="77" spans="1:7" ht="15.75" x14ac:dyDescent="0.25">
      <c r="A77" s="66">
        <f t="shared" si="24"/>
        <v>60</v>
      </c>
      <c r="B77" s="67" t="s">
        <v>1442</v>
      </c>
      <c r="C77" s="66" t="s">
        <v>220</v>
      </c>
      <c r="D77" s="71">
        <v>1</v>
      </c>
      <c r="E77" s="179">
        <v>1540</v>
      </c>
      <c r="F77" s="314">
        <f t="shared" si="22"/>
        <v>1540</v>
      </c>
      <c r="G77" s="314">
        <f t="shared" si="23"/>
        <v>1848</v>
      </c>
    </row>
    <row r="78" spans="1:7" ht="15.75" x14ac:dyDescent="0.25">
      <c r="A78" s="66">
        <f t="shared" si="24"/>
        <v>61</v>
      </c>
      <c r="B78" s="67" t="s">
        <v>1443</v>
      </c>
      <c r="C78" s="66" t="s">
        <v>220</v>
      </c>
      <c r="D78" s="71">
        <v>1</v>
      </c>
      <c r="E78" s="179">
        <v>5430</v>
      </c>
      <c r="F78" s="314">
        <f t="shared" si="22"/>
        <v>5430</v>
      </c>
      <c r="G78" s="314">
        <f t="shared" si="23"/>
        <v>6516</v>
      </c>
    </row>
    <row r="79" spans="1:7" ht="15.75" x14ac:dyDescent="0.25">
      <c r="A79" s="66">
        <f t="shared" si="24"/>
        <v>62</v>
      </c>
      <c r="B79" s="67" t="s">
        <v>1447</v>
      </c>
      <c r="C79" s="66" t="s">
        <v>220</v>
      </c>
      <c r="D79" s="71">
        <v>2</v>
      </c>
      <c r="E79" s="179">
        <v>19500</v>
      </c>
      <c r="F79" s="314">
        <f t="shared" si="22"/>
        <v>39000</v>
      </c>
      <c r="G79" s="314">
        <f t="shared" si="23"/>
        <v>46800</v>
      </c>
    </row>
    <row r="80" spans="1:7" ht="30" x14ac:dyDescent="0.25">
      <c r="A80" s="66">
        <f t="shared" si="24"/>
        <v>63</v>
      </c>
      <c r="B80" s="67" t="s">
        <v>1448</v>
      </c>
      <c r="C80" s="66" t="s">
        <v>220</v>
      </c>
      <c r="D80" s="71">
        <v>2</v>
      </c>
      <c r="E80" s="179">
        <v>1472</v>
      </c>
      <c r="F80" s="314">
        <f t="shared" si="22"/>
        <v>2944</v>
      </c>
      <c r="G80" s="314">
        <f t="shared" si="23"/>
        <v>3532.8</v>
      </c>
    </row>
    <row r="81" spans="1:7" ht="15.75" x14ac:dyDescent="0.25">
      <c r="A81" s="66">
        <f t="shared" si="24"/>
        <v>64</v>
      </c>
      <c r="B81" s="67" t="s">
        <v>1443</v>
      </c>
      <c r="C81" s="66" t="s">
        <v>220</v>
      </c>
      <c r="D81" s="71">
        <v>2</v>
      </c>
      <c r="E81" s="179">
        <v>5430</v>
      </c>
      <c r="F81" s="314">
        <f t="shared" si="22"/>
        <v>10860</v>
      </c>
      <c r="G81" s="314">
        <f t="shared" si="23"/>
        <v>13032</v>
      </c>
    </row>
    <row r="82" spans="1:7" ht="15.75" x14ac:dyDescent="0.25">
      <c r="A82" s="66">
        <f t="shared" si="24"/>
        <v>65</v>
      </c>
      <c r="B82" s="67" t="s">
        <v>1449</v>
      </c>
      <c r="C82" s="66" t="s">
        <v>220</v>
      </c>
      <c r="D82" s="71">
        <v>1</v>
      </c>
      <c r="E82" s="179">
        <v>10065</v>
      </c>
      <c r="F82" s="314">
        <f t="shared" si="22"/>
        <v>10065</v>
      </c>
      <c r="G82" s="314">
        <f t="shared" si="23"/>
        <v>12078</v>
      </c>
    </row>
    <row r="83" spans="1:7" ht="15.75" x14ac:dyDescent="0.25">
      <c r="A83" s="66"/>
      <c r="B83" s="73" t="s">
        <v>1394</v>
      </c>
      <c r="C83" s="66"/>
      <c r="D83" s="68"/>
      <c r="E83" s="336"/>
      <c r="F83" s="314"/>
      <c r="G83" s="314"/>
    </row>
    <row r="84" spans="1:7" ht="15.75" x14ac:dyDescent="0.25">
      <c r="A84" s="66">
        <f>A82+1</f>
        <v>66</v>
      </c>
      <c r="B84" s="67" t="s">
        <v>1450</v>
      </c>
      <c r="C84" s="66" t="s">
        <v>220</v>
      </c>
      <c r="D84" s="71">
        <v>2</v>
      </c>
      <c r="E84" s="179">
        <v>1920</v>
      </c>
      <c r="F84" s="314">
        <f t="shared" ref="F84:F98" si="25">ROUND(E84*D84,2)</f>
        <v>3840</v>
      </c>
      <c r="G84" s="314">
        <f t="shared" ref="G84:G98" si="26">ROUND(F84*1.2,2)</f>
        <v>4608</v>
      </c>
    </row>
    <row r="85" spans="1:7" ht="15.75" x14ac:dyDescent="0.25">
      <c r="A85" s="66">
        <f>A84+1</f>
        <v>67</v>
      </c>
      <c r="B85" s="67" t="s">
        <v>1451</v>
      </c>
      <c r="C85" s="66" t="s">
        <v>220</v>
      </c>
      <c r="D85" s="71">
        <v>1</v>
      </c>
      <c r="E85" s="179">
        <v>4200</v>
      </c>
      <c r="F85" s="314">
        <f t="shared" si="25"/>
        <v>4200</v>
      </c>
      <c r="G85" s="314">
        <f t="shared" si="26"/>
        <v>5040</v>
      </c>
    </row>
    <row r="86" spans="1:7" ht="15.75" x14ac:dyDescent="0.25">
      <c r="A86" s="66">
        <f>A85+1</f>
        <v>68</v>
      </c>
      <c r="B86" s="67" t="s">
        <v>1452</v>
      </c>
      <c r="C86" s="66" t="s">
        <v>220</v>
      </c>
      <c r="D86" s="71">
        <v>1</v>
      </c>
      <c r="E86" s="179">
        <v>2850</v>
      </c>
      <c r="F86" s="314">
        <f t="shared" si="25"/>
        <v>2850</v>
      </c>
      <c r="G86" s="314">
        <f t="shared" si="26"/>
        <v>3420</v>
      </c>
    </row>
    <row r="87" spans="1:7" ht="15.75" x14ac:dyDescent="0.25">
      <c r="A87" s="66">
        <f t="shared" ref="A87:A98" si="27">A86+1</f>
        <v>69</v>
      </c>
      <c r="B87" s="67" t="s">
        <v>1453</v>
      </c>
      <c r="C87" s="66" t="s">
        <v>220</v>
      </c>
      <c r="D87" s="71">
        <v>1</v>
      </c>
      <c r="E87" s="179">
        <v>2630</v>
      </c>
      <c r="F87" s="314">
        <f t="shared" si="25"/>
        <v>2630</v>
      </c>
      <c r="G87" s="314">
        <f t="shared" si="26"/>
        <v>3156</v>
      </c>
    </row>
    <row r="88" spans="1:7" ht="15.75" x14ac:dyDescent="0.25">
      <c r="A88" s="66">
        <f t="shared" si="27"/>
        <v>70</v>
      </c>
      <c r="B88" s="67" t="s">
        <v>1454</v>
      </c>
      <c r="C88" s="66" t="s">
        <v>220</v>
      </c>
      <c r="D88" s="71">
        <v>1</v>
      </c>
      <c r="E88" s="179">
        <v>5830</v>
      </c>
      <c r="F88" s="314">
        <f t="shared" si="25"/>
        <v>5830</v>
      </c>
      <c r="G88" s="314">
        <f t="shared" si="26"/>
        <v>6996</v>
      </c>
    </row>
    <row r="89" spans="1:7" ht="15.75" x14ac:dyDescent="0.25">
      <c r="A89" s="66">
        <f t="shared" si="27"/>
        <v>71</v>
      </c>
      <c r="B89" s="67" t="s">
        <v>1455</v>
      </c>
      <c r="C89" s="66" t="s">
        <v>220</v>
      </c>
      <c r="D89" s="71">
        <v>1</v>
      </c>
      <c r="E89" s="179">
        <v>9100</v>
      </c>
      <c r="F89" s="314">
        <f t="shared" si="25"/>
        <v>9100</v>
      </c>
      <c r="G89" s="314">
        <f t="shared" si="26"/>
        <v>10920</v>
      </c>
    </row>
    <row r="90" spans="1:7" ht="15.75" x14ac:dyDescent="0.25">
      <c r="A90" s="66">
        <f t="shared" si="27"/>
        <v>72</v>
      </c>
      <c r="B90" s="67" t="s">
        <v>1456</v>
      </c>
      <c r="C90" s="66" t="s">
        <v>220</v>
      </c>
      <c r="D90" s="71">
        <v>3</v>
      </c>
      <c r="E90" s="179">
        <v>420</v>
      </c>
      <c r="F90" s="314">
        <f t="shared" si="25"/>
        <v>1260</v>
      </c>
      <c r="G90" s="314">
        <f t="shared" si="26"/>
        <v>1512</v>
      </c>
    </row>
    <row r="91" spans="1:7" ht="15.75" x14ac:dyDescent="0.25">
      <c r="A91" s="66">
        <f t="shared" si="27"/>
        <v>73</v>
      </c>
      <c r="B91" s="67" t="s">
        <v>1457</v>
      </c>
      <c r="C91" s="66" t="s">
        <v>220</v>
      </c>
      <c r="D91" s="71">
        <v>1</v>
      </c>
      <c r="E91" s="179">
        <v>5700</v>
      </c>
      <c r="F91" s="314">
        <f t="shared" si="25"/>
        <v>5700</v>
      </c>
      <c r="G91" s="314">
        <f t="shared" si="26"/>
        <v>6840</v>
      </c>
    </row>
    <row r="92" spans="1:7" ht="15.75" x14ac:dyDescent="0.25">
      <c r="A92" s="66">
        <f t="shared" si="27"/>
        <v>74</v>
      </c>
      <c r="B92" s="67" t="s">
        <v>1458</v>
      </c>
      <c r="C92" s="66" t="s">
        <v>193</v>
      </c>
      <c r="D92" s="68">
        <v>0.18</v>
      </c>
      <c r="E92" s="179">
        <v>2100</v>
      </c>
      <c r="F92" s="314">
        <f t="shared" si="25"/>
        <v>378</v>
      </c>
      <c r="G92" s="314">
        <f t="shared" si="26"/>
        <v>453.6</v>
      </c>
    </row>
    <row r="93" spans="1:7" ht="15.75" x14ac:dyDescent="0.25">
      <c r="A93" s="66">
        <f t="shared" si="27"/>
        <v>75</v>
      </c>
      <c r="B93" s="67" t="s">
        <v>1402</v>
      </c>
      <c r="C93" s="66" t="s">
        <v>193</v>
      </c>
      <c r="D93" s="68">
        <v>0.17</v>
      </c>
      <c r="E93" s="179">
        <v>6000</v>
      </c>
      <c r="F93" s="314">
        <f t="shared" si="25"/>
        <v>1020</v>
      </c>
      <c r="G93" s="314">
        <f t="shared" si="26"/>
        <v>1224</v>
      </c>
    </row>
    <row r="94" spans="1:7" ht="15.75" x14ac:dyDescent="0.25">
      <c r="A94" s="66">
        <f t="shared" si="27"/>
        <v>76</v>
      </c>
      <c r="B94" s="67" t="s">
        <v>1403</v>
      </c>
      <c r="C94" s="66" t="s">
        <v>193</v>
      </c>
      <c r="D94" s="68">
        <v>0.05</v>
      </c>
      <c r="E94" s="179">
        <v>5000</v>
      </c>
      <c r="F94" s="314">
        <f t="shared" si="25"/>
        <v>250</v>
      </c>
      <c r="G94" s="314">
        <f t="shared" si="26"/>
        <v>300</v>
      </c>
    </row>
    <row r="95" spans="1:7" ht="15.75" x14ac:dyDescent="0.25">
      <c r="A95" s="66">
        <f t="shared" si="27"/>
        <v>77</v>
      </c>
      <c r="B95" s="67" t="s">
        <v>1626</v>
      </c>
      <c r="C95" s="328" t="s">
        <v>254</v>
      </c>
      <c r="D95" s="68">
        <v>20.09</v>
      </c>
      <c r="E95" s="179">
        <v>32</v>
      </c>
      <c r="F95" s="314">
        <f t="shared" si="25"/>
        <v>642.88</v>
      </c>
      <c r="G95" s="314">
        <f t="shared" si="26"/>
        <v>771.46</v>
      </c>
    </row>
    <row r="96" spans="1:7" ht="15.75" x14ac:dyDescent="0.25">
      <c r="A96" s="66">
        <f t="shared" si="27"/>
        <v>78</v>
      </c>
      <c r="B96" s="67" t="s">
        <v>1459</v>
      </c>
      <c r="C96" s="66" t="s">
        <v>220</v>
      </c>
      <c r="D96" s="68">
        <v>2</v>
      </c>
      <c r="E96" s="179">
        <v>1000</v>
      </c>
      <c r="F96" s="314">
        <f t="shared" si="25"/>
        <v>2000</v>
      </c>
      <c r="G96" s="314">
        <f t="shared" si="26"/>
        <v>2400</v>
      </c>
    </row>
    <row r="97" spans="1:7" ht="15.75" x14ac:dyDescent="0.25">
      <c r="A97" s="66">
        <f t="shared" si="27"/>
        <v>79</v>
      </c>
      <c r="B97" s="67" t="s">
        <v>1460</v>
      </c>
      <c r="C97" s="66" t="s">
        <v>194</v>
      </c>
      <c r="D97" s="68">
        <v>12.6</v>
      </c>
      <c r="E97" s="179">
        <v>26</v>
      </c>
      <c r="F97" s="314">
        <f t="shared" si="25"/>
        <v>327.60000000000002</v>
      </c>
      <c r="G97" s="314">
        <f t="shared" si="26"/>
        <v>393.12</v>
      </c>
    </row>
    <row r="98" spans="1:7" ht="30" x14ac:dyDescent="0.25">
      <c r="A98" s="66">
        <f t="shared" si="27"/>
        <v>80</v>
      </c>
      <c r="B98" s="67" t="s">
        <v>407</v>
      </c>
      <c r="C98" s="66" t="s">
        <v>243</v>
      </c>
      <c r="D98" s="71">
        <v>1</v>
      </c>
      <c r="E98" s="336">
        <v>120000</v>
      </c>
      <c r="F98" s="314">
        <f t="shared" si="25"/>
        <v>120000</v>
      </c>
      <c r="G98" s="314">
        <f t="shared" si="26"/>
        <v>144000</v>
      </c>
    </row>
    <row r="99" spans="1:7" ht="22.5" customHeight="1" x14ac:dyDescent="0.25">
      <c r="A99" s="467" t="s">
        <v>408</v>
      </c>
      <c r="B99" s="467"/>
      <c r="C99" s="467"/>
      <c r="D99" s="467"/>
      <c r="E99" s="467"/>
      <c r="F99" s="83">
        <f>SUM(F6:F98)</f>
        <v>1032481.5499999999</v>
      </c>
      <c r="G99" s="83">
        <f>SUM(G6:G98)</f>
        <v>1238977.8500000001</v>
      </c>
    </row>
  </sheetData>
  <mergeCells count="7">
    <mergeCell ref="A99:E99"/>
    <mergeCell ref="A1:A3"/>
    <mergeCell ref="B1:B3"/>
    <mergeCell ref="C1:C3"/>
    <mergeCell ref="D1:D3"/>
    <mergeCell ref="E1:G2"/>
    <mergeCell ref="B5:D5"/>
  </mergeCells>
  <pageMargins left="0.7" right="0.7" top="0.75" bottom="0.75" header="0.3" footer="0.3"/>
  <pageSetup paperSize="9" scale="63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view="pageBreakPreview" topLeftCell="A82" zoomScale="80" zoomScaleNormal="100" zoomScaleSheetLayoutView="80" workbookViewId="0">
      <selection activeCell="G103" sqref="G103"/>
    </sheetView>
  </sheetViews>
  <sheetFormatPr defaultRowHeight="15" x14ac:dyDescent="0.25"/>
  <cols>
    <col min="2" max="2" width="61.7109375" customWidth="1"/>
    <col min="5" max="5" width="15.140625" customWidth="1"/>
    <col min="6" max="6" width="16" customWidth="1"/>
    <col min="7" max="7" width="17" style="52" customWidth="1"/>
    <col min="8" max="8" width="76.42578125" style="52" customWidth="1"/>
  </cols>
  <sheetData>
    <row r="1" spans="1:8" ht="14.45" customHeight="1" x14ac:dyDescent="0.25">
      <c r="A1" s="420" t="s">
        <v>226</v>
      </c>
      <c r="B1" s="464" t="s">
        <v>201</v>
      </c>
      <c r="C1" s="432" t="s">
        <v>230</v>
      </c>
      <c r="D1" s="432" t="s">
        <v>202</v>
      </c>
      <c r="E1" s="459" t="s">
        <v>703</v>
      </c>
      <c r="F1" s="460"/>
      <c r="G1" s="460"/>
    </row>
    <row r="2" spans="1:8" ht="14.45" customHeight="1" x14ac:dyDescent="0.25">
      <c r="A2" s="463"/>
      <c r="B2" s="465"/>
      <c r="C2" s="432"/>
      <c r="D2" s="432"/>
      <c r="E2" s="461"/>
      <c r="F2" s="462"/>
      <c r="G2" s="462"/>
    </row>
    <row r="3" spans="1:8" ht="55.9" customHeight="1" x14ac:dyDescent="0.25">
      <c r="A3" s="421"/>
      <c r="B3" s="466"/>
      <c r="C3" s="432"/>
      <c r="D3" s="432"/>
      <c r="E3" s="290" t="s">
        <v>441</v>
      </c>
      <c r="F3" s="290" t="s">
        <v>433</v>
      </c>
      <c r="G3" s="104" t="s">
        <v>409</v>
      </c>
    </row>
    <row r="4" spans="1:8" x14ac:dyDescent="0.25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  <c r="H4"/>
    </row>
    <row r="5" spans="1:8" ht="20.25" customHeight="1" x14ac:dyDescent="0.25">
      <c r="A5" s="181"/>
      <c r="B5" s="414" t="s">
        <v>1461</v>
      </c>
      <c r="C5" s="436"/>
      <c r="D5" s="436"/>
      <c r="E5" s="182"/>
      <c r="F5" s="183"/>
      <c r="G5" s="191"/>
    </row>
    <row r="6" spans="1:8" ht="19.5" customHeight="1" x14ac:dyDescent="0.25">
      <c r="A6" s="289"/>
      <c r="B6" s="62" t="s">
        <v>1462</v>
      </c>
      <c r="C6" s="63"/>
      <c r="D6" s="63"/>
      <c r="E6" s="64"/>
      <c r="F6" s="65"/>
      <c r="G6" s="133"/>
    </row>
    <row r="7" spans="1:8" ht="30" x14ac:dyDescent="0.25">
      <c r="A7" s="66">
        <v>1</v>
      </c>
      <c r="B7" s="67" t="s">
        <v>443</v>
      </c>
      <c r="C7" s="66" t="s">
        <v>193</v>
      </c>
      <c r="D7" s="72">
        <v>156.5</v>
      </c>
      <c r="E7" s="179">
        <v>325</v>
      </c>
      <c r="F7" s="105">
        <f t="shared" ref="F7:F14" si="0">ROUND(E7*D7,2)</f>
        <v>50862.5</v>
      </c>
      <c r="G7" s="105">
        <f t="shared" ref="G7:G14" si="1">ROUND(F7*1.2,2)</f>
        <v>61035</v>
      </c>
    </row>
    <row r="8" spans="1:8" ht="18.75" customHeight="1" x14ac:dyDescent="0.25">
      <c r="A8" s="66">
        <f>A7+1</f>
        <v>2</v>
      </c>
      <c r="B8" s="67" t="s">
        <v>444</v>
      </c>
      <c r="C8" s="74" t="s">
        <v>193</v>
      </c>
      <c r="D8" s="72">
        <v>4.7</v>
      </c>
      <c r="E8" s="179">
        <v>1777</v>
      </c>
      <c r="F8" s="105">
        <f t="shared" si="0"/>
        <v>8351.9</v>
      </c>
      <c r="G8" s="105">
        <f t="shared" si="1"/>
        <v>10022.280000000001</v>
      </c>
    </row>
    <row r="9" spans="1:8" ht="18.75" customHeight="1" x14ac:dyDescent="0.25">
      <c r="A9" s="328">
        <f>A8+1</f>
        <v>3</v>
      </c>
      <c r="B9" s="331" t="s">
        <v>1463</v>
      </c>
      <c r="C9" s="328" t="s">
        <v>239</v>
      </c>
      <c r="D9" s="340">
        <v>107.74</v>
      </c>
      <c r="E9" s="329">
        <v>0</v>
      </c>
      <c r="F9" s="330">
        <f t="shared" si="0"/>
        <v>0</v>
      </c>
      <c r="G9" s="330">
        <f t="shared" si="1"/>
        <v>0</v>
      </c>
      <c r="H9" s="281" t="s">
        <v>1621</v>
      </c>
    </row>
    <row r="10" spans="1:8" ht="18" customHeight="1" x14ac:dyDescent="0.25">
      <c r="A10" s="66">
        <f>A9+1</f>
        <v>4</v>
      </c>
      <c r="B10" s="67" t="s">
        <v>449</v>
      </c>
      <c r="C10" s="66" t="s">
        <v>193</v>
      </c>
      <c r="D10" s="72">
        <v>93.6</v>
      </c>
      <c r="E10" s="179">
        <v>325</v>
      </c>
      <c r="F10" s="105">
        <f t="shared" si="0"/>
        <v>30420</v>
      </c>
      <c r="G10" s="105">
        <f t="shared" si="1"/>
        <v>36504</v>
      </c>
    </row>
    <row r="11" spans="1:8" ht="18" customHeight="1" x14ac:dyDescent="0.25">
      <c r="A11" s="66">
        <f t="shared" ref="A11:A14" si="2">A10+1</f>
        <v>5</v>
      </c>
      <c r="B11" s="67" t="s">
        <v>451</v>
      </c>
      <c r="C11" s="66" t="s">
        <v>193</v>
      </c>
      <c r="D11" s="71">
        <v>93.6</v>
      </c>
      <c r="E11" s="178">
        <v>198</v>
      </c>
      <c r="F11" s="105">
        <f t="shared" si="0"/>
        <v>18532.8</v>
      </c>
      <c r="G11" s="105">
        <f t="shared" si="1"/>
        <v>22239.360000000001</v>
      </c>
    </row>
    <row r="12" spans="1:8" ht="15.75" x14ac:dyDescent="0.25">
      <c r="A12" s="66">
        <f t="shared" si="2"/>
        <v>6</v>
      </c>
      <c r="B12" s="67" t="s">
        <v>450</v>
      </c>
      <c r="C12" s="66" t="s">
        <v>193</v>
      </c>
      <c r="D12" s="72">
        <v>23.4</v>
      </c>
      <c r="E12" s="179">
        <v>899</v>
      </c>
      <c r="F12" s="105">
        <f t="shared" si="0"/>
        <v>21036.6</v>
      </c>
      <c r="G12" s="105">
        <f t="shared" si="1"/>
        <v>25243.919999999998</v>
      </c>
    </row>
    <row r="13" spans="1:8" s="52" customFormat="1" ht="15.75" x14ac:dyDescent="0.25">
      <c r="A13" s="66">
        <f t="shared" si="2"/>
        <v>7</v>
      </c>
      <c r="B13" s="67" t="s">
        <v>518</v>
      </c>
      <c r="C13" s="66" t="s">
        <v>239</v>
      </c>
      <c r="D13" s="72">
        <v>65.400000000000006</v>
      </c>
      <c r="E13" s="179">
        <v>325</v>
      </c>
      <c r="F13" s="105">
        <f t="shared" si="0"/>
        <v>21255</v>
      </c>
      <c r="G13" s="105">
        <f t="shared" si="1"/>
        <v>25506</v>
      </c>
    </row>
    <row r="14" spans="1:8" s="52" customFormat="1" ht="15.75" x14ac:dyDescent="0.25">
      <c r="A14" s="66">
        <f t="shared" si="2"/>
        <v>8</v>
      </c>
      <c r="B14" s="67" t="s">
        <v>503</v>
      </c>
      <c r="C14" s="66" t="s">
        <v>239</v>
      </c>
      <c r="D14" s="72">
        <v>65.400000000000006</v>
      </c>
      <c r="E14" s="179">
        <v>3460</v>
      </c>
      <c r="F14" s="105">
        <f t="shared" si="0"/>
        <v>226284</v>
      </c>
      <c r="G14" s="105">
        <f t="shared" si="1"/>
        <v>271540.8</v>
      </c>
    </row>
    <row r="15" spans="1:8" ht="24" customHeight="1" x14ac:dyDescent="0.25">
      <c r="A15" s="66"/>
      <c r="B15" s="62" t="s">
        <v>1352</v>
      </c>
      <c r="C15" s="66"/>
      <c r="D15" s="71"/>
      <c r="E15" s="179"/>
      <c r="F15" s="105"/>
      <c r="G15" s="105"/>
    </row>
    <row r="16" spans="1:8" ht="30" x14ac:dyDescent="0.25">
      <c r="A16" s="311">
        <f>A14+1</f>
        <v>9</v>
      </c>
      <c r="B16" s="316" t="s">
        <v>1464</v>
      </c>
      <c r="C16" s="311" t="s">
        <v>193</v>
      </c>
      <c r="D16" s="317">
        <v>7.2</v>
      </c>
      <c r="E16" s="179">
        <v>14060</v>
      </c>
      <c r="F16" s="314">
        <f t="shared" ref="F16" si="3">ROUND(E16*D16,2)</f>
        <v>101232</v>
      </c>
      <c r="G16" s="314">
        <f t="shared" ref="G16" si="4">ROUND(F16*1.2,2)</f>
        <v>121478.39999999999</v>
      </c>
    </row>
    <row r="17" spans="1:8" ht="19.5" customHeight="1" x14ac:dyDescent="0.25">
      <c r="A17" s="311"/>
      <c r="B17" s="341" t="s">
        <v>1355</v>
      </c>
      <c r="C17" s="311"/>
      <c r="D17" s="335"/>
      <c r="E17" s="179"/>
      <c r="F17" s="314"/>
      <c r="G17" s="314"/>
    </row>
    <row r="18" spans="1:8" ht="22.5" customHeight="1" x14ac:dyDescent="0.25">
      <c r="A18" s="311">
        <f>A16+1</f>
        <v>10</v>
      </c>
      <c r="B18" s="316" t="s">
        <v>1356</v>
      </c>
      <c r="C18" s="311" t="s">
        <v>193</v>
      </c>
      <c r="D18" s="313">
        <v>3.68</v>
      </c>
      <c r="E18" s="179">
        <v>13642.52</v>
      </c>
      <c r="F18" s="314">
        <f t="shared" ref="F18:F26" si="5">ROUND(E18*D18,2)</f>
        <v>50204.47</v>
      </c>
      <c r="G18" s="314">
        <f t="shared" ref="G18:G26" si="6">ROUND(F18*1.2,2)</f>
        <v>60245.36</v>
      </c>
    </row>
    <row r="19" spans="1:8" ht="22.5" customHeight="1" x14ac:dyDescent="0.25">
      <c r="A19" s="311">
        <f>A18+1</f>
        <v>11</v>
      </c>
      <c r="B19" s="316" t="s">
        <v>1357</v>
      </c>
      <c r="C19" s="311" t="s">
        <v>193</v>
      </c>
      <c r="D19" s="313">
        <v>2.3199999999999998</v>
      </c>
      <c r="E19" s="179">
        <v>13642.52</v>
      </c>
      <c r="F19" s="314">
        <f t="shared" si="5"/>
        <v>31650.65</v>
      </c>
      <c r="G19" s="314">
        <f t="shared" si="6"/>
        <v>37980.78</v>
      </c>
    </row>
    <row r="20" spans="1:8" ht="30" x14ac:dyDescent="0.25">
      <c r="A20" s="311">
        <f>A19+1</f>
        <v>12</v>
      </c>
      <c r="B20" s="316" t="s">
        <v>1358</v>
      </c>
      <c r="C20" s="311" t="s">
        <v>193</v>
      </c>
      <c r="D20" s="313">
        <v>1.77</v>
      </c>
      <c r="E20" s="179">
        <v>6943.75</v>
      </c>
      <c r="F20" s="314">
        <f t="shared" si="5"/>
        <v>12290.44</v>
      </c>
      <c r="G20" s="314">
        <f t="shared" si="6"/>
        <v>14748.53</v>
      </c>
    </row>
    <row r="21" spans="1:8" ht="30" x14ac:dyDescent="0.25">
      <c r="A21" s="311">
        <f t="shared" ref="A21:A23" si="7">A20+1</f>
        <v>13</v>
      </c>
      <c r="B21" s="316" t="s">
        <v>1465</v>
      </c>
      <c r="C21" s="311" t="s">
        <v>193</v>
      </c>
      <c r="D21" s="313">
        <v>2.0099999999999998</v>
      </c>
      <c r="E21" s="179">
        <v>1380</v>
      </c>
      <c r="F21" s="314">
        <f t="shared" si="5"/>
        <v>2773.8</v>
      </c>
      <c r="G21" s="314">
        <f t="shared" si="6"/>
        <v>3328.56</v>
      </c>
    </row>
    <row r="22" spans="1:8" ht="30" x14ac:dyDescent="0.25">
      <c r="A22" s="311">
        <f t="shared" si="7"/>
        <v>14</v>
      </c>
      <c r="B22" s="316" t="s">
        <v>1466</v>
      </c>
      <c r="C22" s="311" t="s">
        <v>193</v>
      </c>
      <c r="D22" s="313">
        <v>7.5</v>
      </c>
      <c r="E22" s="179">
        <v>1380</v>
      </c>
      <c r="F22" s="314">
        <f t="shared" si="5"/>
        <v>10350</v>
      </c>
      <c r="G22" s="314">
        <f t="shared" si="6"/>
        <v>12420</v>
      </c>
    </row>
    <row r="23" spans="1:8" ht="15.75" x14ac:dyDescent="0.25">
      <c r="A23" s="311">
        <f t="shared" si="7"/>
        <v>15</v>
      </c>
      <c r="B23" s="316" t="s">
        <v>1620</v>
      </c>
      <c r="C23" s="311" t="s">
        <v>220</v>
      </c>
      <c r="D23" s="335">
        <v>4</v>
      </c>
      <c r="E23" s="179">
        <f>44359/D23</f>
        <v>11089.75</v>
      </c>
      <c r="F23" s="314">
        <f t="shared" si="5"/>
        <v>44359</v>
      </c>
      <c r="G23" s="314">
        <f t="shared" si="6"/>
        <v>53230.8</v>
      </c>
    </row>
    <row r="24" spans="1:8" ht="30" x14ac:dyDescent="0.25">
      <c r="A24" s="88">
        <f>A23+1</f>
        <v>16</v>
      </c>
      <c r="B24" s="253" t="s">
        <v>1359</v>
      </c>
      <c r="C24" s="88" t="s">
        <v>431</v>
      </c>
      <c r="D24" s="236">
        <v>34.200000000000003</v>
      </c>
      <c r="E24" s="178">
        <v>152</v>
      </c>
      <c r="F24" s="107">
        <f t="shared" si="5"/>
        <v>5198.3999999999996</v>
      </c>
      <c r="G24" s="107">
        <f t="shared" si="6"/>
        <v>6238.08</v>
      </c>
    </row>
    <row r="25" spans="1:8" ht="30" x14ac:dyDescent="0.25">
      <c r="A25" s="88">
        <f t="shared" ref="A25:A26" si="8">A24+1</f>
        <v>17</v>
      </c>
      <c r="B25" s="253" t="s">
        <v>1360</v>
      </c>
      <c r="C25" s="88" t="s">
        <v>431</v>
      </c>
      <c r="D25" s="236">
        <v>34.200000000000003</v>
      </c>
      <c r="E25" s="178">
        <v>315.54000000000002</v>
      </c>
      <c r="F25" s="107">
        <f t="shared" si="5"/>
        <v>10791.47</v>
      </c>
      <c r="G25" s="107">
        <f t="shared" si="6"/>
        <v>12949.76</v>
      </c>
    </row>
    <row r="26" spans="1:8" ht="20.25" customHeight="1" x14ac:dyDescent="0.25">
      <c r="A26" s="311">
        <f t="shared" si="8"/>
        <v>18</v>
      </c>
      <c r="B26" s="316" t="s">
        <v>1361</v>
      </c>
      <c r="C26" s="311" t="s">
        <v>193</v>
      </c>
      <c r="D26" s="313">
        <v>0.48</v>
      </c>
      <c r="E26" s="179">
        <v>6943</v>
      </c>
      <c r="F26" s="314">
        <f t="shared" si="5"/>
        <v>3332.64</v>
      </c>
      <c r="G26" s="314">
        <f t="shared" si="6"/>
        <v>3999.17</v>
      </c>
      <c r="H26" s="281"/>
    </row>
    <row r="27" spans="1:8" ht="19.5" customHeight="1" x14ac:dyDescent="0.25">
      <c r="A27" s="289"/>
      <c r="B27" s="62" t="s">
        <v>1467</v>
      </c>
      <c r="C27" s="63"/>
      <c r="D27" s="63"/>
      <c r="E27" s="64"/>
      <c r="F27" s="65"/>
      <c r="G27" s="133"/>
    </row>
    <row r="28" spans="1:8" ht="30" x14ac:dyDescent="0.25">
      <c r="A28" s="66">
        <f>A26+1</f>
        <v>19</v>
      </c>
      <c r="B28" s="67" t="s">
        <v>443</v>
      </c>
      <c r="C28" s="66" t="s">
        <v>193</v>
      </c>
      <c r="D28" s="68">
        <v>115.28</v>
      </c>
      <c r="E28" s="179">
        <v>325</v>
      </c>
      <c r="F28" s="105">
        <f t="shared" ref="F28:F35" si="9">ROUND(E28*D28,2)</f>
        <v>37466</v>
      </c>
      <c r="G28" s="105">
        <f t="shared" ref="G28:G35" si="10">ROUND(F28*1.2,2)</f>
        <v>44959.199999999997</v>
      </c>
    </row>
    <row r="29" spans="1:8" ht="18.75" customHeight="1" x14ac:dyDescent="0.25">
      <c r="A29" s="66">
        <f>A28+1</f>
        <v>20</v>
      </c>
      <c r="B29" s="67" t="s">
        <v>444</v>
      </c>
      <c r="C29" s="74" t="s">
        <v>193</v>
      </c>
      <c r="D29" s="68">
        <v>3.46</v>
      </c>
      <c r="E29" s="179">
        <v>1777</v>
      </c>
      <c r="F29" s="105">
        <f t="shared" si="9"/>
        <v>6148.42</v>
      </c>
      <c r="G29" s="105">
        <f t="shared" si="10"/>
        <v>7378.1</v>
      </c>
    </row>
    <row r="30" spans="1:8" ht="18.75" customHeight="1" x14ac:dyDescent="0.25">
      <c r="A30" s="328">
        <f>A29+1</f>
        <v>21</v>
      </c>
      <c r="B30" s="331" t="s">
        <v>1468</v>
      </c>
      <c r="C30" s="342" t="s">
        <v>239</v>
      </c>
      <c r="D30" s="340">
        <v>127.9</v>
      </c>
      <c r="E30" s="329">
        <v>0</v>
      </c>
      <c r="F30" s="330">
        <f t="shared" si="9"/>
        <v>0</v>
      </c>
      <c r="G30" s="330">
        <f t="shared" si="10"/>
        <v>0</v>
      </c>
      <c r="H30" s="281" t="s">
        <v>1621</v>
      </c>
    </row>
    <row r="31" spans="1:8" ht="18" customHeight="1" x14ac:dyDescent="0.25">
      <c r="A31" s="66">
        <f>A29+1</f>
        <v>21</v>
      </c>
      <c r="B31" s="67" t="s">
        <v>449</v>
      </c>
      <c r="C31" s="66" t="s">
        <v>193</v>
      </c>
      <c r="D31" s="72">
        <v>82.5</v>
      </c>
      <c r="E31" s="179">
        <v>325</v>
      </c>
      <c r="F31" s="105">
        <f t="shared" si="9"/>
        <v>26812.5</v>
      </c>
      <c r="G31" s="105">
        <f t="shared" si="10"/>
        <v>32175</v>
      </c>
    </row>
    <row r="32" spans="1:8" ht="18" customHeight="1" x14ac:dyDescent="0.25">
      <c r="A32" s="66">
        <f t="shared" ref="A32:A35" si="11">A31+1</f>
        <v>22</v>
      </c>
      <c r="B32" s="67" t="s">
        <v>451</v>
      </c>
      <c r="C32" s="66" t="s">
        <v>193</v>
      </c>
      <c r="D32" s="72">
        <v>82.5</v>
      </c>
      <c r="E32" s="178">
        <v>198</v>
      </c>
      <c r="F32" s="105">
        <f t="shared" si="9"/>
        <v>16335</v>
      </c>
      <c r="G32" s="105">
        <f t="shared" si="10"/>
        <v>19602</v>
      </c>
    </row>
    <row r="33" spans="1:8" ht="15.75" x14ac:dyDescent="0.25">
      <c r="A33" s="66">
        <f t="shared" si="11"/>
        <v>23</v>
      </c>
      <c r="B33" s="67" t="s">
        <v>450</v>
      </c>
      <c r="C33" s="66" t="s">
        <v>193</v>
      </c>
      <c r="D33" s="72">
        <v>20.51</v>
      </c>
      <c r="E33" s="179">
        <v>899</v>
      </c>
      <c r="F33" s="105">
        <f t="shared" si="9"/>
        <v>18438.490000000002</v>
      </c>
      <c r="G33" s="105">
        <f t="shared" si="10"/>
        <v>22126.19</v>
      </c>
    </row>
    <row r="34" spans="1:8" s="52" customFormat="1" ht="15.75" x14ac:dyDescent="0.25">
      <c r="A34" s="66">
        <f t="shared" si="11"/>
        <v>24</v>
      </c>
      <c r="B34" s="67" t="s">
        <v>518</v>
      </c>
      <c r="C34" s="66" t="s">
        <v>239</v>
      </c>
      <c r="D34" s="68">
        <v>23.95</v>
      </c>
      <c r="E34" s="179">
        <v>325</v>
      </c>
      <c r="F34" s="105">
        <f t="shared" si="9"/>
        <v>7783.75</v>
      </c>
      <c r="G34" s="105">
        <f t="shared" si="10"/>
        <v>9340.5</v>
      </c>
    </row>
    <row r="35" spans="1:8" s="52" customFormat="1" ht="15.75" x14ac:dyDescent="0.25">
      <c r="A35" s="66">
        <f t="shared" si="11"/>
        <v>25</v>
      </c>
      <c r="B35" s="67" t="s">
        <v>503</v>
      </c>
      <c r="C35" s="66" t="s">
        <v>239</v>
      </c>
      <c r="D35" s="68">
        <v>23.95</v>
      </c>
      <c r="E35" s="179">
        <v>3460</v>
      </c>
      <c r="F35" s="105">
        <f t="shared" si="9"/>
        <v>82867</v>
      </c>
      <c r="G35" s="105">
        <f t="shared" si="10"/>
        <v>99440.4</v>
      </c>
    </row>
    <row r="36" spans="1:8" ht="24" customHeight="1" x14ac:dyDescent="0.25">
      <c r="A36" s="66"/>
      <c r="B36" s="62" t="s">
        <v>1352</v>
      </c>
      <c r="C36" s="66"/>
      <c r="D36" s="71"/>
      <c r="E36" s="179"/>
      <c r="F36" s="105"/>
      <c r="G36" s="105"/>
    </row>
    <row r="37" spans="1:8" ht="30" x14ac:dyDescent="0.25">
      <c r="A37" s="311">
        <f>A35+1</f>
        <v>26</v>
      </c>
      <c r="B37" s="316" t="s">
        <v>1469</v>
      </c>
      <c r="C37" s="311" t="s">
        <v>193</v>
      </c>
      <c r="D37" s="313">
        <v>5.85</v>
      </c>
      <c r="E37" s="179">
        <v>14060</v>
      </c>
      <c r="F37" s="314">
        <f t="shared" ref="F37" si="12">ROUND(E37*D37,2)</f>
        <v>82251</v>
      </c>
      <c r="G37" s="314">
        <f t="shared" ref="G37" si="13">ROUND(F37*1.2,2)</f>
        <v>98701.2</v>
      </c>
    </row>
    <row r="38" spans="1:8" ht="19.5" customHeight="1" x14ac:dyDescent="0.25">
      <c r="A38" s="311"/>
      <c r="B38" s="341" t="s">
        <v>1355</v>
      </c>
      <c r="C38" s="311"/>
      <c r="D38" s="335"/>
      <c r="E38" s="179"/>
      <c r="F38" s="314"/>
      <c r="G38" s="314"/>
    </row>
    <row r="39" spans="1:8" ht="22.5" customHeight="1" x14ac:dyDescent="0.25">
      <c r="A39" s="311">
        <f>A37+1</f>
        <v>27</v>
      </c>
      <c r="B39" s="316" t="s">
        <v>1356</v>
      </c>
      <c r="C39" s="311" t="s">
        <v>193</v>
      </c>
      <c r="D39" s="313">
        <v>2.58</v>
      </c>
      <c r="E39" s="179">
        <v>13642.52</v>
      </c>
      <c r="F39" s="314">
        <f t="shared" ref="F39:F47" si="14">ROUND(E39*D39,2)</f>
        <v>35197.699999999997</v>
      </c>
      <c r="G39" s="314">
        <f t="shared" ref="G39:G47" si="15">ROUND(F39*1.2,2)</f>
        <v>42237.24</v>
      </c>
    </row>
    <row r="40" spans="1:8" ht="22.5" customHeight="1" x14ac:dyDescent="0.25">
      <c r="A40" s="311">
        <f>A39+1</f>
        <v>28</v>
      </c>
      <c r="B40" s="316" t="s">
        <v>1357</v>
      </c>
      <c r="C40" s="311" t="s">
        <v>193</v>
      </c>
      <c r="D40" s="313">
        <v>1.93</v>
      </c>
      <c r="E40" s="179">
        <v>13642.52</v>
      </c>
      <c r="F40" s="314">
        <f t="shared" si="14"/>
        <v>26330.06</v>
      </c>
      <c r="G40" s="314">
        <f t="shared" si="15"/>
        <v>31596.07</v>
      </c>
    </row>
    <row r="41" spans="1:8" ht="30" x14ac:dyDescent="0.25">
      <c r="A41" s="311">
        <f>A40+1</f>
        <v>29</v>
      </c>
      <c r="B41" s="316" t="s">
        <v>1358</v>
      </c>
      <c r="C41" s="311" t="s">
        <v>193</v>
      </c>
      <c r="D41" s="313">
        <v>1.5</v>
      </c>
      <c r="E41" s="179">
        <v>6943.75</v>
      </c>
      <c r="F41" s="314">
        <f t="shared" si="14"/>
        <v>10415.629999999999</v>
      </c>
      <c r="G41" s="314">
        <f t="shared" si="15"/>
        <v>12498.76</v>
      </c>
    </row>
    <row r="42" spans="1:8" ht="30" x14ac:dyDescent="0.25">
      <c r="A42" s="311">
        <f t="shared" ref="A42:A44" si="16">A41+1</f>
        <v>30</v>
      </c>
      <c r="B42" s="316" t="s">
        <v>1465</v>
      </c>
      <c r="C42" s="311" t="s">
        <v>193</v>
      </c>
      <c r="D42" s="313">
        <v>1.7</v>
      </c>
      <c r="E42" s="179">
        <v>1380</v>
      </c>
      <c r="F42" s="314">
        <f t="shared" si="14"/>
        <v>2346</v>
      </c>
      <c r="G42" s="314">
        <f t="shared" si="15"/>
        <v>2815.2</v>
      </c>
    </row>
    <row r="43" spans="1:8" ht="30" x14ac:dyDescent="0.25">
      <c r="A43" s="311">
        <f t="shared" si="16"/>
        <v>31</v>
      </c>
      <c r="B43" s="316" t="s">
        <v>1466</v>
      </c>
      <c r="C43" s="311" t="s">
        <v>193</v>
      </c>
      <c r="D43" s="313">
        <v>5.7</v>
      </c>
      <c r="E43" s="179">
        <v>1380</v>
      </c>
      <c r="F43" s="314">
        <f t="shared" si="14"/>
        <v>7866</v>
      </c>
      <c r="G43" s="314">
        <f t="shared" si="15"/>
        <v>9439.2000000000007</v>
      </c>
    </row>
    <row r="44" spans="1:8" ht="15.75" x14ac:dyDescent="0.25">
      <c r="A44" s="311">
        <f t="shared" si="16"/>
        <v>32</v>
      </c>
      <c r="B44" s="316" t="s">
        <v>1620</v>
      </c>
      <c r="C44" s="311" t="s">
        <v>220</v>
      </c>
      <c r="D44" s="335">
        <v>4</v>
      </c>
      <c r="E44" s="179">
        <f>44359/D44</f>
        <v>11089.75</v>
      </c>
      <c r="F44" s="314">
        <f t="shared" si="14"/>
        <v>44359</v>
      </c>
      <c r="G44" s="314">
        <f t="shared" si="15"/>
        <v>53230.8</v>
      </c>
    </row>
    <row r="45" spans="1:8" ht="30" x14ac:dyDescent="0.25">
      <c r="A45" s="311">
        <f>A44+1</f>
        <v>33</v>
      </c>
      <c r="B45" s="316" t="s">
        <v>1359</v>
      </c>
      <c r="C45" s="311" t="s">
        <v>431</v>
      </c>
      <c r="D45" s="313">
        <v>29.2</v>
      </c>
      <c r="E45" s="179">
        <v>152</v>
      </c>
      <c r="F45" s="314">
        <f t="shared" si="14"/>
        <v>4438.3999999999996</v>
      </c>
      <c r="G45" s="314">
        <f t="shared" si="15"/>
        <v>5326.08</v>
      </c>
    </row>
    <row r="46" spans="1:8" ht="30" x14ac:dyDescent="0.25">
      <c r="A46" s="88">
        <f t="shared" ref="A46:A47" si="17">A45+1</f>
        <v>34</v>
      </c>
      <c r="B46" s="253" t="s">
        <v>1360</v>
      </c>
      <c r="C46" s="88" t="s">
        <v>431</v>
      </c>
      <c r="D46" s="236">
        <v>29.2</v>
      </c>
      <c r="E46" s="178">
        <v>315.54000000000002</v>
      </c>
      <c r="F46" s="107">
        <f t="shared" si="14"/>
        <v>9213.77</v>
      </c>
      <c r="G46" s="107">
        <f t="shared" si="15"/>
        <v>11056.52</v>
      </c>
    </row>
    <row r="47" spans="1:8" ht="20.25" customHeight="1" x14ac:dyDescent="0.25">
      <c r="A47" s="311">
        <f t="shared" si="17"/>
        <v>35</v>
      </c>
      <c r="B47" s="316" t="s">
        <v>1361</v>
      </c>
      <c r="C47" s="311" t="s">
        <v>193</v>
      </c>
      <c r="D47" s="313">
        <v>0.41</v>
      </c>
      <c r="E47" s="179">
        <v>6943</v>
      </c>
      <c r="F47" s="314">
        <f t="shared" si="14"/>
        <v>2846.63</v>
      </c>
      <c r="G47" s="314">
        <f t="shared" si="15"/>
        <v>3415.96</v>
      </c>
      <c r="H47" s="281"/>
    </row>
    <row r="48" spans="1:8" ht="30.75" customHeight="1" x14ac:dyDescent="0.25">
      <c r="A48" s="88"/>
      <c r="B48" s="296" t="s">
        <v>1470</v>
      </c>
      <c r="C48" s="88"/>
      <c r="D48" s="236"/>
      <c r="E48" s="178"/>
      <c r="F48" s="107"/>
      <c r="G48" s="107"/>
    </row>
    <row r="49" spans="1:8" ht="30" x14ac:dyDescent="0.25">
      <c r="A49" s="66">
        <f>A47+1</f>
        <v>36</v>
      </c>
      <c r="B49" s="67" t="s">
        <v>443</v>
      </c>
      <c r="C49" s="66" t="s">
        <v>193</v>
      </c>
      <c r="D49" s="68">
        <v>626.9</v>
      </c>
      <c r="E49" s="179">
        <v>325</v>
      </c>
      <c r="F49" s="105">
        <f t="shared" ref="F49:F56" si="18">ROUND(E49*D49,2)</f>
        <v>203742.5</v>
      </c>
      <c r="G49" s="105">
        <f t="shared" ref="G49:G56" si="19">ROUND(F49*1.2,2)</f>
        <v>244491</v>
      </c>
    </row>
    <row r="50" spans="1:8" ht="18.75" customHeight="1" x14ac:dyDescent="0.25">
      <c r="A50" s="66">
        <f>A49+1</f>
        <v>37</v>
      </c>
      <c r="B50" s="67" t="s">
        <v>444</v>
      </c>
      <c r="C50" s="74" t="s">
        <v>193</v>
      </c>
      <c r="D50" s="68">
        <v>18.8</v>
      </c>
      <c r="E50" s="179">
        <v>1777</v>
      </c>
      <c r="F50" s="105">
        <f t="shared" si="18"/>
        <v>33407.599999999999</v>
      </c>
      <c r="G50" s="105">
        <f t="shared" si="19"/>
        <v>40089.120000000003</v>
      </c>
    </row>
    <row r="51" spans="1:8" ht="18.75" customHeight="1" x14ac:dyDescent="0.25">
      <c r="A51" s="328">
        <f>A50+1</f>
        <v>38</v>
      </c>
      <c r="B51" s="331" t="s">
        <v>1471</v>
      </c>
      <c r="C51" s="342" t="s">
        <v>239</v>
      </c>
      <c r="D51" s="340">
        <v>693.2</v>
      </c>
      <c r="E51" s="329">
        <v>0</v>
      </c>
      <c r="F51" s="330">
        <f t="shared" si="18"/>
        <v>0</v>
      </c>
      <c r="G51" s="330">
        <f t="shared" si="19"/>
        <v>0</v>
      </c>
      <c r="H51" s="281" t="s">
        <v>1621</v>
      </c>
    </row>
    <row r="52" spans="1:8" ht="18" customHeight="1" x14ac:dyDescent="0.25">
      <c r="A52" s="66">
        <f>A50+1</f>
        <v>38</v>
      </c>
      <c r="B52" s="67" t="s">
        <v>1472</v>
      </c>
      <c r="C52" s="66" t="s">
        <v>193</v>
      </c>
      <c r="D52" s="72">
        <v>374.7</v>
      </c>
      <c r="E52" s="179">
        <v>325</v>
      </c>
      <c r="F52" s="105">
        <f t="shared" si="18"/>
        <v>121777.5</v>
      </c>
      <c r="G52" s="105">
        <f t="shared" si="19"/>
        <v>146133</v>
      </c>
    </row>
    <row r="53" spans="1:8" ht="18" customHeight="1" x14ac:dyDescent="0.25">
      <c r="A53" s="66">
        <f t="shared" ref="A53:A56" si="20">A52+1</f>
        <v>39</v>
      </c>
      <c r="B53" s="67" t="s">
        <v>451</v>
      </c>
      <c r="C53" s="66" t="s">
        <v>193</v>
      </c>
      <c r="D53" s="72">
        <v>374.7</v>
      </c>
      <c r="E53" s="178">
        <v>198</v>
      </c>
      <c r="F53" s="105">
        <f t="shared" si="18"/>
        <v>74190.600000000006</v>
      </c>
      <c r="G53" s="105">
        <f t="shared" si="19"/>
        <v>89028.72</v>
      </c>
    </row>
    <row r="54" spans="1:8" ht="15.75" x14ac:dyDescent="0.25">
      <c r="A54" s="66">
        <f t="shared" si="20"/>
        <v>40</v>
      </c>
      <c r="B54" s="67" t="s">
        <v>450</v>
      </c>
      <c r="C54" s="66" t="s">
        <v>193</v>
      </c>
      <c r="D54" s="72">
        <v>93.7</v>
      </c>
      <c r="E54" s="179">
        <v>899</v>
      </c>
      <c r="F54" s="105">
        <f t="shared" si="18"/>
        <v>84236.3</v>
      </c>
      <c r="G54" s="105">
        <f t="shared" si="19"/>
        <v>101083.56</v>
      </c>
    </row>
    <row r="55" spans="1:8" s="52" customFormat="1" ht="15.75" x14ac:dyDescent="0.25">
      <c r="A55" s="66">
        <f t="shared" si="20"/>
        <v>41</v>
      </c>
      <c r="B55" s="67" t="s">
        <v>518</v>
      </c>
      <c r="C55" s="66" t="s">
        <v>239</v>
      </c>
      <c r="D55" s="68">
        <v>262.60000000000002</v>
      </c>
      <c r="E55" s="179">
        <v>325</v>
      </c>
      <c r="F55" s="105">
        <f t="shared" si="18"/>
        <v>85345</v>
      </c>
      <c r="G55" s="105">
        <f t="shared" si="19"/>
        <v>102414</v>
      </c>
    </row>
    <row r="56" spans="1:8" s="52" customFormat="1" ht="15.75" x14ac:dyDescent="0.25">
      <c r="A56" s="66">
        <f t="shared" si="20"/>
        <v>42</v>
      </c>
      <c r="B56" s="67" t="s">
        <v>503</v>
      </c>
      <c r="C56" s="66" t="s">
        <v>239</v>
      </c>
      <c r="D56" s="68">
        <v>262.60000000000002</v>
      </c>
      <c r="E56" s="179">
        <v>3460</v>
      </c>
      <c r="F56" s="105">
        <f t="shared" si="18"/>
        <v>908596</v>
      </c>
      <c r="G56" s="105">
        <f t="shared" si="19"/>
        <v>1090315.2</v>
      </c>
    </row>
    <row r="57" spans="1:8" ht="19.5" customHeight="1" x14ac:dyDescent="0.25">
      <c r="A57" s="66"/>
      <c r="B57" s="62" t="s">
        <v>1473</v>
      </c>
      <c r="C57" s="66"/>
      <c r="D57" s="71"/>
      <c r="E57" s="179"/>
      <c r="F57" s="105"/>
      <c r="G57" s="105"/>
    </row>
    <row r="58" spans="1:8" ht="22.5" customHeight="1" x14ac:dyDescent="0.25">
      <c r="A58" s="311">
        <f>A56+1</f>
        <v>43</v>
      </c>
      <c r="B58" s="316" t="s">
        <v>1474</v>
      </c>
      <c r="C58" s="311" t="s">
        <v>193</v>
      </c>
      <c r="D58" s="313">
        <v>2.5499999999999998</v>
      </c>
      <c r="E58" s="179">
        <v>13642.52</v>
      </c>
      <c r="F58" s="314">
        <f t="shared" ref="F58:F62" si="21">ROUND(E58*D58,2)</f>
        <v>34788.43</v>
      </c>
      <c r="G58" s="314">
        <f t="shared" ref="G58:G62" si="22">ROUND(F58*1.2,2)</f>
        <v>41746.120000000003</v>
      </c>
    </row>
    <row r="59" spans="1:8" ht="30" x14ac:dyDescent="0.25">
      <c r="A59" s="311">
        <f>A58+1</f>
        <v>44</v>
      </c>
      <c r="B59" s="316" t="s">
        <v>1358</v>
      </c>
      <c r="C59" s="311" t="s">
        <v>193</v>
      </c>
      <c r="D59" s="313">
        <v>1.46</v>
      </c>
      <c r="E59" s="179">
        <v>6943.75</v>
      </c>
      <c r="F59" s="314">
        <f t="shared" si="21"/>
        <v>10137.879999999999</v>
      </c>
      <c r="G59" s="314">
        <f t="shared" si="22"/>
        <v>12165.46</v>
      </c>
    </row>
    <row r="60" spans="1:8" ht="30" x14ac:dyDescent="0.25">
      <c r="A60" s="311">
        <f t="shared" ref="A60" si="23">A59+1</f>
        <v>45</v>
      </c>
      <c r="B60" s="316" t="s">
        <v>1465</v>
      </c>
      <c r="C60" s="311" t="s">
        <v>193</v>
      </c>
      <c r="D60" s="313">
        <v>1.64</v>
      </c>
      <c r="E60" s="179">
        <v>1380</v>
      </c>
      <c r="F60" s="314">
        <f t="shared" si="21"/>
        <v>2263.1999999999998</v>
      </c>
      <c r="G60" s="314">
        <f t="shared" si="22"/>
        <v>2715.84</v>
      </c>
    </row>
    <row r="61" spans="1:8" ht="30" x14ac:dyDescent="0.25">
      <c r="A61" s="88">
        <f>A60+1</f>
        <v>46</v>
      </c>
      <c r="B61" s="253" t="s">
        <v>1475</v>
      </c>
      <c r="C61" s="88" t="s">
        <v>431</v>
      </c>
      <c r="D61" s="236">
        <v>16.899999999999999</v>
      </c>
      <c r="E61" s="178">
        <v>152</v>
      </c>
      <c r="F61" s="107">
        <f t="shared" si="21"/>
        <v>2568.8000000000002</v>
      </c>
      <c r="G61" s="107">
        <f t="shared" si="22"/>
        <v>3082.56</v>
      </c>
    </row>
    <row r="62" spans="1:8" ht="30" x14ac:dyDescent="0.25">
      <c r="A62" s="88">
        <f t="shared" ref="A62" si="24">A61+1</f>
        <v>47</v>
      </c>
      <c r="B62" s="253" t="s">
        <v>1476</v>
      </c>
      <c r="C62" s="88" t="s">
        <v>431</v>
      </c>
      <c r="D62" s="236">
        <v>16.899999999999999</v>
      </c>
      <c r="E62" s="178">
        <v>315.54000000000002</v>
      </c>
      <c r="F62" s="107">
        <f t="shared" si="21"/>
        <v>5332.63</v>
      </c>
      <c r="G62" s="107">
        <f t="shared" si="22"/>
        <v>6399.16</v>
      </c>
    </row>
    <row r="63" spans="1:8" ht="19.5" customHeight="1" x14ac:dyDescent="0.25">
      <c r="A63" s="66"/>
      <c r="B63" s="62" t="s">
        <v>1477</v>
      </c>
      <c r="C63" s="66"/>
      <c r="D63" s="71"/>
      <c r="E63" s="179"/>
      <c r="F63" s="105"/>
      <c r="G63" s="105"/>
    </row>
    <row r="64" spans="1:8" ht="22.5" customHeight="1" x14ac:dyDescent="0.25">
      <c r="A64" s="311">
        <f>A62+1</f>
        <v>48</v>
      </c>
      <c r="B64" s="316" t="s">
        <v>1474</v>
      </c>
      <c r="C64" s="311" t="s">
        <v>193</v>
      </c>
      <c r="D64" s="313">
        <v>2.93</v>
      </c>
      <c r="E64" s="179">
        <v>13642.52</v>
      </c>
      <c r="F64" s="314">
        <f t="shared" ref="F64:F68" si="25">ROUND(E64*D64,2)</f>
        <v>39972.58</v>
      </c>
      <c r="G64" s="314">
        <f t="shared" ref="G64:G68" si="26">ROUND(F64*1.2,2)</f>
        <v>47967.1</v>
      </c>
    </row>
    <row r="65" spans="1:7" ht="30" x14ac:dyDescent="0.25">
      <c r="A65" s="311">
        <f>A64+1</f>
        <v>49</v>
      </c>
      <c r="B65" s="316" t="s">
        <v>1358</v>
      </c>
      <c r="C65" s="311" t="s">
        <v>193</v>
      </c>
      <c r="D65" s="313">
        <v>1.67</v>
      </c>
      <c r="E65" s="179">
        <v>6943.75</v>
      </c>
      <c r="F65" s="314">
        <f t="shared" si="25"/>
        <v>11596.06</v>
      </c>
      <c r="G65" s="314">
        <f t="shared" si="26"/>
        <v>13915.27</v>
      </c>
    </row>
    <row r="66" spans="1:7" ht="30" x14ac:dyDescent="0.25">
      <c r="A66" s="311">
        <f t="shared" ref="A66" si="27">A65+1</f>
        <v>50</v>
      </c>
      <c r="B66" s="316" t="s">
        <v>1465</v>
      </c>
      <c r="C66" s="311" t="s">
        <v>193</v>
      </c>
      <c r="D66" s="313">
        <v>1.88</v>
      </c>
      <c r="E66" s="179">
        <v>1380</v>
      </c>
      <c r="F66" s="314">
        <f t="shared" si="25"/>
        <v>2594.4</v>
      </c>
      <c r="G66" s="314">
        <f t="shared" si="26"/>
        <v>3113.28</v>
      </c>
    </row>
    <row r="67" spans="1:7" ht="30" x14ac:dyDescent="0.25">
      <c r="A67" s="311">
        <f>A66+1</f>
        <v>51</v>
      </c>
      <c r="B67" s="316" t="s">
        <v>1475</v>
      </c>
      <c r="C67" s="311" t="s">
        <v>431</v>
      </c>
      <c r="D67" s="313">
        <v>19.399999999999999</v>
      </c>
      <c r="E67" s="179">
        <v>152</v>
      </c>
      <c r="F67" s="314">
        <f t="shared" si="25"/>
        <v>2948.8</v>
      </c>
      <c r="G67" s="314">
        <f t="shared" si="26"/>
        <v>3538.56</v>
      </c>
    </row>
    <row r="68" spans="1:7" ht="30" x14ac:dyDescent="0.25">
      <c r="A68" s="311">
        <f t="shared" ref="A68" si="28">A67+1</f>
        <v>52</v>
      </c>
      <c r="B68" s="316" t="s">
        <v>1476</v>
      </c>
      <c r="C68" s="311" t="s">
        <v>431</v>
      </c>
      <c r="D68" s="313">
        <v>19.399999999999999</v>
      </c>
      <c r="E68" s="179">
        <v>315.54000000000002</v>
      </c>
      <c r="F68" s="314">
        <f t="shared" si="25"/>
        <v>6121.48</v>
      </c>
      <c r="G68" s="314">
        <f t="shared" si="26"/>
        <v>7345.78</v>
      </c>
    </row>
    <row r="69" spans="1:7" ht="19.5" customHeight="1" x14ac:dyDescent="0.25">
      <c r="A69" s="311"/>
      <c r="B69" s="341" t="s">
        <v>1478</v>
      </c>
      <c r="C69" s="311"/>
      <c r="D69" s="335"/>
      <c r="E69" s="179"/>
      <c r="F69" s="314"/>
      <c r="G69" s="314"/>
    </row>
    <row r="70" spans="1:7" ht="22.5" customHeight="1" x14ac:dyDescent="0.25">
      <c r="A70" s="311">
        <f>A68+1</f>
        <v>53</v>
      </c>
      <c r="B70" s="316" t="s">
        <v>1474</v>
      </c>
      <c r="C70" s="311" t="s">
        <v>193</v>
      </c>
      <c r="D70" s="313">
        <v>1.68</v>
      </c>
      <c r="E70" s="179">
        <v>13642.52</v>
      </c>
      <c r="F70" s="314">
        <f t="shared" ref="F70:F74" si="29">ROUND(E70*D70,2)</f>
        <v>22919.43</v>
      </c>
      <c r="G70" s="314">
        <f t="shared" ref="G70:G74" si="30">ROUND(F70*1.2,2)</f>
        <v>27503.32</v>
      </c>
    </row>
    <row r="71" spans="1:7" ht="30" x14ac:dyDescent="0.25">
      <c r="A71" s="311">
        <f>A70+1</f>
        <v>54</v>
      </c>
      <c r="B71" s="316" t="s">
        <v>1358</v>
      </c>
      <c r="C71" s="311" t="s">
        <v>193</v>
      </c>
      <c r="D71" s="313">
        <v>0.96</v>
      </c>
      <c r="E71" s="179">
        <v>6943.75</v>
      </c>
      <c r="F71" s="314">
        <f t="shared" si="29"/>
        <v>6666</v>
      </c>
      <c r="G71" s="314">
        <f t="shared" si="30"/>
        <v>7999.2</v>
      </c>
    </row>
    <row r="72" spans="1:7" ht="30" x14ac:dyDescent="0.25">
      <c r="A72" s="311">
        <f t="shared" ref="A72" si="31">A71+1</f>
        <v>55</v>
      </c>
      <c r="B72" s="316" t="s">
        <v>1465</v>
      </c>
      <c r="C72" s="311" t="s">
        <v>193</v>
      </c>
      <c r="D72" s="313">
        <v>1.08</v>
      </c>
      <c r="E72" s="179">
        <v>1380</v>
      </c>
      <c r="F72" s="314">
        <f t="shared" si="29"/>
        <v>1490.4</v>
      </c>
      <c r="G72" s="314">
        <f t="shared" si="30"/>
        <v>1788.48</v>
      </c>
    </row>
    <row r="73" spans="1:7" ht="30" x14ac:dyDescent="0.25">
      <c r="A73" s="311">
        <f>A72+1</f>
        <v>56</v>
      </c>
      <c r="B73" s="316" t="s">
        <v>1475</v>
      </c>
      <c r="C73" s="311" t="s">
        <v>431</v>
      </c>
      <c r="D73" s="313">
        <v>11.4</v>
      </c>
      <c r="E73" s="179">
        <v>152</v>
      </c>
      <c r="F73" s="314">
        <f t="shared" si="29"/>
        <v>1732.8</v>
      </c>
      <c r="G73" s="314">
        <f t="shared" si="30"/>
        <v>2079.36</v>
      </c>
    </row>
    <row r="74" spans="1:7" ht="30" x14ac:dyDescent="0.25">
      <c r="A74" s="88">
        <f t="shared" ref="A74" si="32">A73+1</f>
        <v>57</v>
      </c>
      <c r="B74" s="253" t="s">
        <v>1476</v>
      </c>
      <c r="C74" s="88" t="s">
        <v>431</v>
      </c>
      <c r="D74" s="236">
        <v>11.4</v>
      </c>
      <c r="E74" s="178">
        <v>315.54000000000002</v>
      </c>
      <c r="F74" s="107">
        <f t="shared" si="29"/>
        <v>3597.16</v>
      </c>
      <c r="G74" s="107">
        <f t="shared" si="30"/>
        <v>4316.59</v>
      </c>
    </row>
    <row r="75" spans="1:7" ht="19.5" customHeight="1" x14ac:dyDescent="0.25">
      <c r="A75" s="66"/>
      <c r="B75" s="62" t="s">
        <v>1479</v>
      </c>
      <c r="C75" s="66"/>
      <c r="D75" s="71"/>
      <c r="E75" s="179"/>
      <c r="F75" s="105"/>
      <c r="G75" s="105"/>
    </row>
    <row r="76" spans="1:7" ht="22.5" customHeight="1" x14ac:dyDescent="0.25">
      <c r="A76" s="311">
        <f>A74+1</f>
        <v>58</v>
      </c>
      <c r="B76" s="316" t="s">
        <v>1474</v>
      </c>
      <c r="C76" s="311" t="s">
        <v>193</v>
      </c>
      <c r="D76" s="313">
        <v>2.8</v>
      </c>
      <c r="E76" s="179">
        <v>13642.52</v>
      </c>
      <c r="F76" s="314">
        <f t="shared" ref="F76:F80" si="33">ROUND(E76*D76,2)</f>
        <v>38199.06</v>
      </c>
      <c r="G76" s="314">
        <f t="shared" ref="G76:G80" si="34">ROUND(F76*1.2,2)</f>
        <v>45838.87</v>
      </c>
    </row>
    <row r="77" spans="1:7" ht="30" x14ac:dyDescent="0.25">
      <c r="A77" s="311">
        <f>A76+1</f>
        <v>59</v>
      </c>
      <c r="B77" s="316" t="s">
        <v>1358</v>
      </c>
      <c r="C77" s="311" t="s">
        <v>193</v>
      </c>
      <c r="D77" s="313">
        <v>1.6</v>
      </c>
      <c r="E77" s="179">
        <v>6943.75</v>
      </c>
      <c r="F77" s="314">
        <f t="shared" si="33"/>
        <v>11110</v>
      </c>
      <c r="G77" s="314">
        <f t="shared" si="34"/>
        <v>13332</v>
      </c>
    </row>
    <row r="78" spans="1:7" ht="30" x14ac:dyDescent="0.25">
      <c r="A78" s="311">
        <f t="shared" ref="A78" si="35">A77+1</f>
        <v>60</v>
      </c>
      <c r="B78" s="316" t="s">
        <v>1465</v>
      </c>
      <c r="C78" s="311" t="s">
        <v>193</v>
      </c>
      <c r="D78" s="313">
        <v>1.8</v>
      </c>
      <c r="E78" s="179">
        <v>1380</v>
      </c>
      <c r="F78" s="314">
        <f t="shared" si="33"/>
        <v>2484</v>
      </c>
      <c r="G78" s="314">
        <f t="shared" si="34"/>
        <v>2980.8</v>
      </c>
    </row>
    <row r="79" spans="1:7" ht="30" x14ac:dyDescent="0.25">
      <c r="A79" s="311">
        <f>A78+1</f>
        <v>61</v>
      </c>
      <c r="B79" s="316" t="s">
        <v>1475</v>
      </c>
      <c r="C79" s="311" t="s">
        <v>431</v>
      </c>
      <c r="D79" s="313">
        <v>18.600000000000001</v>
      </c>
      <c r="E79" s="179">
        <v>152</v>
      </c>
      <c r="F79" s="314">
        <f t="shared" si="33"/>
        <v>2827.2</v>
      </c>
      <c r="G79" s="314">
        <f t="shared" si="34"/>
        <v>3392.64</v>
      </c>
    </row>
    <row r="80" spans="1:7" ht="30" x14ac:dyDescent="0.25">
      <c r="A80" s="311">
        <f t="shared" ref="A80" si="36">A79+1</f>
        <v>62</v>
      </c>
      <c r="B80" s="316" t="s">
        <v>1476</v>
      </c>
      <c r="C80" s="311" t="s">
        <v>431</v>
      </c>
      <c r="D80" s="313">
        <v>18.600000000000001</v>
      </c>
      <c r="E80" s="179">
        <v>315.54000000000002</v>
      </c>
      <c r="F80" s="314">
        <f t="shared" si="33"/>
        <v>5869.04</v>
      </c>
      <c r="G80" s="314">
        <f t="shared" si="34"/>
        <v>7042.85</v>
      </c>
    </row>
    <row r="81" spans="1:8" ht="19.5" customHeight="1" x14ac:dyDescent="0.25">
      <c r="A81" s="311"/>
      <c r="B81" s="341" t="s">
        <v>1480</v>
      </c>
      <c r="C81" s="311"/>
      <c r="D81" s="335"/>
      <c r="E81" s="179"/>
      <c r="F81" s="314"/>
      <c r="G81" s="314"/>
    </row>
    <row r="82" spans="1:8" ht="22.5" customHeight="1" x14ac:dyDescent="0.25">
      <c r="A82" s="311">
        <f>A80+1</f>
        <v>63</v>
      </c>
      <c r="B82" s="316" t="s">
        <v>1474</v>
      </c>
      <c r="C82" s="311" t="s">
        <v>193</v>
      </c>
      <c r="D82" s="313">
        <v>1.68</v>
      </c>
      <c r="E82" s="179">
        <v>13642.52</v>
      </c>
      <c r="F82" s="314">
        <f t="shared" ref="F82:F86" si="37">ROUND(E82*D82,2)</f>
        <v>22919.43</v>
      </c>
      <c r="G82" s="314">
        <f t="shared" ref="G82:G86" si="38">ROUND(F82*1.2,2)</f>
        <v>27503.32</v>
      </c>
    </row>
    <row r="83" spans="1:8" ht="30" x14ac:dyDescent="0.25">
      <c r="A83" s="311">
        <f>A82+1</f>
        <v>64</v>
      </c>
      <c r="B83" s="316" t="s">
        <v>1358</v>
      </c>
      <c r="C83" s="311" t="s">
        <v>193</v>
      </c>
      <c r="D83" s="313">
        <v>0.96</v>
      </c>
      <c r="E83" s="179">
        <v>6943.75</v>
      </c>
      <c r="F83" s="314">
        <f t="shared" si="37"/>
        <v>6666</v>
      </c>
      <c r="G83" s="314">
        <f t="shared" si="38"/>
        <v>7999.2</v>
      </c>
    </row>
    <row r="84" spans="1:8" ht="30" x14ac:dyDescent="0.25">
      <c r="A84" s="311">
        <f t="shared" ref="A84" si="39">A83+1</f>
        <v>65</v>
      </c>
      <c r="B84" s="316" t="s">
        <v>1465</v>
      </c>
      <c r="C84" s="311" t="s">
        <v>193</v>
      </c>
      <c r="D84" s="313">
        <v>1.08</v>
      </c>
      <c r="E84" s="179">
        <v>1380</v>
      </c>
      <c r="F84" s="314">
        <f t="shared" si="37"/>
        <v>1490.4</v>
      </c>
      <c r="G84" s="314">
        <f t="shared" si="38"/>
        <v>1788.48</v>
      </c>
    </row>
    <row r="85" spans="1:8" ht="30" x14ac:dyDescent="0.25">
      <c r="A85" s="311">
        <f>A84+1</f>
        <v>66</v>
      </c>
      <c r="B85" s="316" t="s">
        <v>1475</v>
      </c>
      <c r="C85" s="311" t="s">
        <v>431</v>
      </c>
      <c r="D85" s="313">
        <v>11.4</v>
      </c>
      <c r="E85" s="179">
        <v>152</v>
      </c>
      <c r="F85" s="314">
        <f t="shared" si="37"/>
        <v>1732.8</v>
      </c>
      <c r="G85" s="314">
        <f t="shared" si="38"/>
        <v>2079.36</v>
      </c>
    </row>
    <row r="86" spans="1:8" ht="30" x14ac:dyDescent="0.25">
      <c r="A86" s="88">
        <f t="shared" ref="A86" si="40">A85+1</f>
        <v>67</v>
      </c>
      <c r="B86" s="253" t="s">
        <v>1476</v>
      </c>
      <c r="C86" s="88" t="s">
        <v>431</v>
      </c>
      <c r="D86" s="236">
        <v>11.4</v>
      </c>
      <c r="E86" s="178">
        <v>315.54000000000002</v>
      </c>
      <c r="F86" s="107">
        <f t="shared" si="37"/>
        <v>3597.16</v>
      </c>
      <c r="G86" s="107">
        <f t="shared" si="38"/>
        <v>4316.59</v>
      </c>
    </row>
    <row r="87" spans="1:8" ht="15.75" x14ac:dyDescent="0.25">
      <c r="A87" s="88"/>
      <c r="B87" s="235" t="s">
        <v>1371</v>
      </c>
      <c r="C87" s="88"/>
      <c r="D87" s="236"/>
      <c r="E87" s="178"/>
      <c r="F87" s="107"/>
      <c r="G87" s="107"/>
    </row>
    <row r="88" spans="1:8" s="57" customFormat="1" ht="15.75" x14ac:dyDescent="0.25">
      <c r="A88" s="88">
        <f>A86+1</f>
        <v>68</v>
      </c>
      <c r="B88" s="67" t="s">
        <v>1481</v>
      </c>
      <c r="C88" s="88" t="s">
        <v>194</v>
      </c>
      <c r="D88" s="160">
        <v>122</v>
      </c>
      <c r="E88" s="179">
        <v>2290.1579999999999</v>
      </c>
      <c r="F88" s="107">
        <f t="shared" ref="F88:F102" si="41">ROUND(E88*D88,2)</f>
        <v>279399.28000000003</v>
      </c>
      <c r="G88" s="107">
        <f t="shared" ref="G88:G102" si="42">ROUND(F88*1.2,2)</f>
        <v>335279.14</v>
      </c>
    </row>
    <row r="89" spans="1:8" s="57" customFormat="1" ht="15.75" x14ac:dyDescent="0.25">
      <c r="A89" s="88">
        <f>A88+1</f>
        <v>69</v>
      </c>
      <c r="B89" s="67" t="s">
        <v>1482</v>
      </c>
      <c r="C89" s="88" t="s">
        <v>194</v>
      </c>
      <c r="D89" s="160">
        <v>18</v>
      </c>
      <c r="E89" s="179">
        <v>2290.1579999999999</v>
      </c>
      <c r="F89" s="107">
        <f t="shared" si="41"/>
        <v>41222.839999999997</v>
      </c>
      <c r="G89" s="107">
        <f t="shared" si="42"/>
        <v>49467.41</v>
      </c>
    </row>
    <row r="90" spans="1:8" s="57" customFormat="1" ht="15.75" x14ac:dyDescent="0.25">
      <c r="A90" s="88">
        <f>A89+1</f>
        <v>70</v>
      </c>
      <c r="B90" s="253" t="s">
        <v>1483</v>
      </c>
      <c r="C90" s="88" t="s">
        <v>220</v>
      </c>
      <c r="D90" s="160">
        <v>32</v>
      </c>
      <c r="E90" s="178">
        <v>1866</v>
      </c>
      <c r="F90" s="107">
        <f t="shared" si="41"/>
        <v>59712</v>
      </c>
      <c r="G90" s="107">
        <f t="shared" si="42"/>
        <v>71654.399999999994</v>
      </c>
    </row>
    <row r="91" spans="1:8" s="57" customFormat="1" ht="15.75" x14ac:dyDescent="0.25">
      <c r="A91" s="88">
        <f>A90+1</f>
        <v>71</v>
      </c>
      <c r="B91" s="253" t="s">
        <v>1484</v>
      </c>
      <c r="C91" s="88" t="s">
        <v>220</v>
      </c>
      <c r="D91" s="160">
        <v>10</v>
      </c>
      <c r="E91" s="178">
        <v>4680</v>
      </c>
      <c r="F91" s="105">
        <f t="shared" si="41"/>
        <v>46800</v>
      </c>
      <c r="G91" s="105">
        <f t="shared" si="42"/>
        <v>56160</v>
      </c>
    </row>
    <row r="92" spans="1:8" s="57" customFormat="1" ht="15.75" x14ac:dyDescent="0.25">
      <c r="A92" s="88">
        <f t="shared" ref="A92:A102" si="43">A91+1</f>
        <v>72</v>
      </c>
      <c r="B92" s="253" t="s">
        <v>1485</v>
      </c>
      <c r="C92" s="88" t="s">
        <v>220</v>
      </c>
      <c r="D92" s="160">
        <v>4</v>
      </c>
      <c r="E92" s="178">
        <v>4680</v>
      </c>
      <c r="F92" s="105">
        <f t="shared" si="41"/>
        <v>18720</v>
      </c>
      <c r="G92" s="105">
        <f t="shared" si="42"/>
        <v>22464</v>
      </c>
    </row>
    <row r="93" spans="1:8" s="57" customFormat="1" ht="30" x14ac:dyDescent="0.25">
      <c r="A93" s="311">
        <f t="shared" si="43"/>
        <v>73</v>
      </c>
      <c r="B93" s="316" t="s">
        <v>1486</v>
      </c>
      <c r="C93" s="311" t="s">
        <v>194</v>
      </c>
      <c r="D93" s="335">
        <v>4</v>
      </c>
      <c r="E93" s="179">
        <v>918.1</v>
      </c>
      <c r="F93" s="314">
        <f t="shared" si="41"/>
        <v>3672.4</v>
      </c>
      <c r="G93" s="314">
        <f t="shared" si="42"/>
        <v>4406.88</v>
      </c>
    </row>
    <row r="94" spans="1:8" s="57" customFormat="1" ht="15.75" x14ac:dyDescent="0.25">
      <c r="A94" s="328">
        <f t="shared" si="43"/>
        <v>74</v>
      </c>
      <c r="B94" s="331" t="s">
        <v>1487</v>
      </c>
      <c r="C94" s="328" t="s">
        <v>220</v>
      </c>
      <c r="D94" s="343">
        <v>32</v>
      </c>
      <c r="E94" s="329">
        <v>10778</v>
      </c>
      <c r="F94" s="330">
        <f t="shared" si="41"/>
        <v>344896</v>
      </c>
      <c r="G94" s="330">
        <f t="shared" si="42"/>
        <v>413875.20000000001</v>
      </c>
      <c r="H94" s="281" t="s">
        <v>1272</v>
      </c>
    </row>
    <row r="95" spans="1:8" s="57" customFormat="1" ht="15.75" x14ac:dyDescent="0.25">
      <c r="A95" s="311">
        <f t="shared" si="43"/>
        <v>75</v>
      </c>
      <c r="B95" s="316" t="s">
        <v>1488</v>
      </c>
      <c r="C95" s="311" t="s">
        <v>220</v>
      </c>
      <c r="D95" s="335">
        <v>2</v>
      </c>
      <c r="E95" s="179">
        <v>3326.25</v>
      </c>
      <c r="F95" s="314">
        <f t="shared" si="41"/>
        <v>6652.5</v>
      </c>
      <c r="G95" s="314">
        <f t="shared" si="42"/>
        <v>7983</v>
      </c>
    </row>
    <row r="96" spans="1:8" s="57" customFormat="1" ht="15.75" x14ac:dyDescent="0.25">
      <c r="A96" s="311">
        <f t="shared" si="43"/>
        <v>76</v>
      </c>
      <c r="B96" s="316" t="s">
        <v>1489</v>
      </c>
      <c r="C96" s="311" t="s">
        <v>220</v>
      </c>
      <c r="D96" s="335">
        <v>2</v>
      </c>
      <c r="E96" s="179">
        <v>1174.25</v>
      </c>
      <c r="F96" s="314">
        <f t="shared" si="41"/>
        <v>2348.5</v>
      </c>
      <c r="G96" s="314">
        <f t="shared" si="42"/>
        <v>2818.2</v>
      </c>
    </row>
    <row r="97" spans="1:8" s="57" customFormat="1" ht="15.75" x14ac:dyDescent="0.25">
      <c r="A97" s="311">
        <f t="shared" si="43"/>
        <v>77</v>
      </c>
      <c r="B97" s="316" t="s">
        <v>1490</v>
      </c>
      <c r="C97" s="311" t="s">
        <v>220</v>
      </c>
      <c r="D97" s="335">
        <v>2</v>
      </c>
      <c r="E97" s="179">
        <v>1529</v>
      </c>
      <c r="F97" s="314">
        <f t="shared" si="41"/>
        <v>3058</v>
      </c>
      <c r="G97" s="314">
        <f t="shared" si="42"/>
        <v>3669.6</v>
      </c>
    </row>
    <row r="98" spans="1:8" s="57" customFormat="1" ht="15.75" x14ac:dyDescent="0.25">
      <c r="A98" s="311">
        <f t="shared" si="43"/>
        <v>78</v>
      </c>
      <c r="B98" s="316" t="s">
        <v>1491</v>
      </c>
      <c r="C98" s="311" t="s">
        <v>220</v>
      </c>
      <c r="D98" s="335">
        <v>2</v>
      </c>
      <c r="E98" s="179">
        <v>1866.7559615384619</v>
      </c>
      <c r="F98" s="314">
        <f t="shared" si="41"/>
        <v>3733.51</v>
      </c>
      <c r="G98" s="314">
        <f t="shared" si="42"/>
        <v>4480.21</v>
      </c>
    </row>
    <row r="99" spans="1:8" s="57" customFormat="1" ht="30" x14ac:dyDescent="0.25">
      <c r="A99" s="311">
        <f t="shared" si="43"/>
        <v>79</v>
      </c>
      <c r="B99" s="316" t="s">
        <v>1492</v>
      </c>
      <c r="C99" s="311" t="s">
        <v>431</v>
      </c>
      <c r="D99" s="317">
        <v>4</v>
      </c>
      <c r="E99" s="179">
        <v>152</v>
      </c>
      <c r="F99" s="314">
        <f t="shared" si="41"/>
        <v>608</v>
      </c>
      <c r="G99" s="314">
        <f t="shared" si="42"/>
        <v>729.6</v>
      </c>
    </row>
    <row r="100" spans="1:8" s="57" customFormat="1" ht="15.75" x14ac:dyDescent="0.25">
      <c r="A100" s="311">
        <f t="shared" si="43"/>
        <v>80</v>
      </c>
      <c r="B100" s="316" t="s">
        <v>1493</v>
      </c>
      <c r="C100" s="311" t="s">
        <v>220</v>
      </c>
      <c r="D100" s="335">
        <v>2</v>
      </c>
      <c r="E100" s="179">
        <v>3211</v>
      </c>
      <c r="F100" s="314">
        <f t="shared" si="41"/>
        <v>6422</v>
      </c>
      <c r="G100" s="314">
        <f t="shared" si="42"/>
        <v>7706.4</v>
      </c>
      <c r="H100" s="281"/>
    </row>
    <row r="101" spans="1:8" s="57" customFormat="1" ht="15.75" x14ac:dyDescent="0.25">
      <c r="A101" s="311">
        <f t="shared" si="43"/>
        <v>81</v>
      </c>
      <c r="B101" s="316" t="s">
        <v>1494</v>
      </c>
      <c r="C101" s="311" t="s">
        <v>194</v>
      </c>
      <c r="D101" s="317">
        <v>2.8</v>
      </c>
      <c r="E101" s="179">
        <f>44359/D101</f>
        <v>15842.500000000002</v>
      </c>
      <c r="F101" s="314">
        <f t="shared" si="41"/>
        <v>44359</v>
      </c>
      <c r="G101" s="314">
        <f t="shared" si="42"/>
        <v>53230.8</v>
      </c>
    </row>
    <row r="102" spans="1:8" s="57" customFormat="1" ht="15.75" x14ac:dyDescent="0.25">
      <c r="A102" s="311">
        <f t="shared" si="43"/>
        <v>82</v>
      </c>
      <c r="B102" s="316" t="s">
        <v>1495</v>
      </c>
      <c r="C102" s="311" t="s">
        <v>194</v>
      </c>
      <c r="D102" s="335">
        <v>82</v>
      </c>
      <c r="E102" s="179">
        <v>18.45</v>
      </c>
      <c r="F102" s="314">
        <f t="shared" si="41"/>
        <v>1512.9</v>
      </c>
      <c r="G102" s="314">
        <f t="shared" si="42"/>
        <v>1815.48</v>
      </c>
    </row>
    <row r="103" spans="1:8" x14ac:dyDescent="0.25">
      <c r="A103" s="411" t="s">
        <v>721</v>
      </c>
      <c r="B103" s="412"/>
      <c r="C103" s="412"/>
      <c r="D103" s="412"/>
      <c r="E103" s="413"/>
      <c r="F103" s="165">
        <f>SUM(F7:F102)</f>
        <v>3696078.59</v>
      </c>
      <c r="G103" s="480">
        <f>SUM(G7:G102)</f>
        <v>4435294.33</v>
      </c>
    </row>
    <row r="104" spans="1:8" x14ac:dyDescent="0.25">
      <c r="A104" s="411" t="s">
        <v>722</v>
      </c>
      <c r="B104" s="412"/>
      <c r="C104" s="412"/>
      <c r="D104" s="412"/>
      <c r="E104" s="413"/>
      <c r="F104" s="220">
        <f>ROUND(F103*0.03,2)</f>
        <v>110882.36</v>
      </c>
      <c r="G104" s="220">
        <f>ROUND(G103*0.03,2)</f>
        <v>133058.82999999999</v>
      </c>
    </row>
    <row r="105" spans="1:8" x14ac:dyDescent="0.25">
      <c r="A105" s="411" t="s">
        <v>723</v>
      </c>
      <c r="B105" s="412"/>
      <c r="C105" s="412"/>
      <c r="D105" s="412"/>
      <c r="E105" s="413"/>
      <c r="F105" s="220">
        <f>F103+F104</f>
        <v>3806960.9499999997</v>
      </c>
      <c r="G105" s="220">
        <f>G103+G104</f>
        <v>4568353.16</v>
      </c>
    </row>
  </sheetData>
  <mergeCells count="9">
    <mergeCell ref="A103:E103"/>
    <mergeCell ref="A104:E104"/>
    <mergeCell ref="A105:E105"/>
    <mergeCell ref="A1:A3"/>
    <mergeCell ref="B1:B3"/>
    <mergeCell ref="C1:C3"/>
    <mergeCell ref="D1:D3"/>
    <mergeCell ref="E1:G2"/>
    <mergeCell ref="B5:D5"/>
  </mergeCells>
  <pageMargins left="0.7" right="0.7" top="0.75" bottom="0.75" header="0.3" footer="0.3"/>
  <pageSetup paperSize="9" scale="63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view="pageBreakPreview" topLeftCell="A61" zoomScale="80" zoomScaleNormal="100" zoomScaleSheetLayoutView="80" workbookViewId="0">
      <selection activeCell="B86" sqref="B86"/>
    </sheetView>
  </sheetViews>
  <sheetFormatPr defaultRowHeight="15" x14ac:dyDescent="0.25"/>
  <cols>
    <col min="1" max="1" width="6.140625" customWidth="1"/>
    <col min="2" max="2" width="61.42578125" style="2" customWidth="1"/>
    <col min="3" max="3" width="7" bestFit="1" customWidth="1"/>
    <col min="4" max="4" width="10.28515625" customWidth="1"/>
    <col min="5" max="5" width="15.85546875" bestFit="1" customWidth="1"/>
    <col min="6" max="6" width="16.42578125" customWidth="1"/>
    <col min="7" max="7" width="16.7109375" style="52" customWidth="1"/>
    <col min="8" max="8" width="119.7109375" customWidth="1"/>
  </cols>
  <sheetData>
    <row r="1" spans="1:7" ht="14.45" customHeight="1" x14ac:dyDescent="0.25">
      <c r="A1" s="420" t="s">
        <v>226</v>
      </c>
      <c r="B1" s="464" t="s">
        <v>201</v>
      </c>
      <c r="C1" s="432" t="s">
        <v>230</v>
      </c>
      <c r="D1" s="432" t="s">
        <v>202</v>
      </c>
      <c r="E1" s="459" t="s">
        <v>703</v>
      </c>
      <c r="F1" s="460"/>
      <c r="G1" s="460"/>
    </row>
    <row r="2" spans="1:7" ht="14.45" customHeight="1" x14ac:dyDescent="0.25">
      <c r="A2" s="463"/>
      <c r="B2" s="465"/>
      <c r="C2" s="432"/>
      <c r="D2" s="432"/>
      <c r="E2" s="459"/>
      <c r="F2" s="460"/>
      <c r="G2" s="460"/>
    </row>
    <row r="3" spans="1:7" ht="28.5" x14ac:dyDescent="0.25">
      <c r="A3" s="421"/>
      <c r="B3" s="466"/>
      <c r="C3" s="432"/>
      <c r="D3" s="432"/>
      <c r="E3" s="290" t="s">
        <v>231</v>
      </c>
      <c r="F3" s="290" t="s">
        <v>410</v>
      </c>
      <c r="G3" s="291" t="s">
        <v>409</v>
      </c>
    </row>
    <row r="4" spans="1:7" x14ac:dyDescent="0.25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</row>
    <row r="5" spans="1:7" ht="20.25" customHeight="1" x14ac:dyDescent="0.25">
      <c r="A5" s="181"/>
      <c r="B5" s="414" t="s">
        <v>1461</v>
      </c>
      <c r="C5" s="436"/>
      <c r="D5" s="436"/>
      <c r="E5" s="182"/>
      <c r="F5" s="183"/>
      <c r="G5" s="184"/>
    </row>
    <row r="6" spans="1:7" ht="20.25" customHeight="1" x14ac:dyDescent="0.25">
      <c r="A6" s="66"/>
      <c r="B6" s="73" t="s">
        <v>1496</v>
      </c>
      <c r="C6" s="66"/>
      <c r="D6" s="71"/>
      <c r="E6" s="179"/>
      <c r="F6" s="105"/>
      <c r="G6" s="105"/>
    </row>
    <row r="7" spans="1:7" ht="20.25" customHeight="1" x14ac:dyDescent="0.25">
      <c r="A7" s="66"/>
      <c r="B7" s="73" t="s">
        <v>1352</v>
      </c>
      <c r="C7" s="66"/>
      <c r="D7" s="71"/>
      <c r="E7" s="179"/>
      <c r="F7" s="105"/>
      <c r="G7" s="105"/>
    </row>
    <row r="8" spans="1:7" ht="15.75" x14ac:dyDescent="0.25">
      <c r="A8" s="311">
        <f>A7+1</f>
        <v>1</v>
      </c>
      <c r="B8" s="316" t="s">
        <v>1406</v>
      </c>
      <c r="C8" s="311" t="s">
        <v>220</v>
      </c>
      <c r="D8" s="335">
        <v>16</v>
      </c>
      <c r="E8" s="179">
        <v>2230</v>
      </c>
      <c r="F8" s="314">
        <f t="shared" ref="F8" si="0">ROUND(E8*D8,2)</f>
        <v>35680</v>
      </c>
      <c r="G8" s="314">
        <f t="shared" ref="G8" si="1">ROUND(F8*1.2,2)</f>
        <v>42816</v>
      </c>
    </row>
    <row r="9" spans="1:7" ht="15.75" x14ac:dyDescent="0.25">
      <c r="A9" s="311"/>
      <c r="B9" s="319" t="s">
        <v>1354</v>
      </c>
      <c r="C9" s="318"/>
      <c r="D9" s="335"/>
      <c r="E9" s="179"/>
      <c r="F9" s="314"/>
      <c r="G9" s="314"/>
    </row>
    <row r="10" spans="1:7" ht="15.75" x14ac:dyDescent="0.25">
      <c r="A10" s="311"/>
      <c r="B10" s="319" t="s">
        <v>1355</v>
      </c>
      <c r="C10" s="311"/>
      <c r="D10" s="313"/>
      <c r="E10" s="179"/>
      <c r="F10" s="314"/>
      <c r="G10" s="314"/>
    </row>
    <row r="11" spans="1:7" ht="15.75" x14ac:dyDescent="0.25">
      <c r="A11" s="311">
        <f>A8+1</f>
        <v>2</v>
      </c>
      <c r="B11" s="316" t="s">
        <v>1407</v>
      </c>
      <c r="C11" s="311" t="s">
        <v>193</v>
      </c>
      <c r="D11" s="313">
        <v>6</v>
      </c>
      <c r="E11" s="179">
        <v>5470</v>
      </c>
      <c r="F11" s="314">
        <f t="shared" ref="F11:F20" si="2">ROUND(E11*D11,2)</f>
        <v>32820</v>
      </c>
      <c r="G11" s="314">
        <f t="shared" ref="G11:G20" si="3">ROUND(F11*1.2,2)</f>
        <v>39384</v>
      </c>
    </row>
    <row r="12" spans="1:7" ht="15.75" x14ac:dyDescent="0.25">
      <c r="A12" s="311">
        <f>A11+1</f>
        <v>3</v>
      </c>
      <c r="B12" s="316" t="s">
        <v>1497</v>
      </c>
      <c r="C12" s="311" t="s">
        <v>193</v>
      </c>
      <c r="D12" s="313">
        <v>1.77</v>
      </c>
      <c r="E12" s="179">
        <v>5271</v>
      </c>
      <c r="F12" s="314">
        <f t="shared" si="2"/>
        <v>9329.67</v>
      </c>
      <c r="G12" s="314">
        <f t="shared" si="3"/>
        <v>11195.6</v>
      </c>
    </row>
    <row r="13" spans="1:7" ht="15.75" x14ac:dyDescent="0.25">
      <c r="A13" s="311">
        <f>A12+1</f>
        <v>4</v>
      </c>
      <c r="B13" s="316" t="s">
        <v>1498</v>
      </c>
      <c r="C13" s="311" t="s">
        <v>193</v>
      </c>
      <c r="D13" s="313">
        <v>9.51</v>
      </c>
      <c r="E13" s="336">
        <v>1320</v>
      </c>
      <c r="F13" s="314">
        <f t="shared" si="2"/>
        <v>12553.2</v>
      </c>
      <c r="G13" s="314">
        <f t="shared" si="3"/>
        <v>15063.84</v>
      </c>
    </row>
    <row r="14" spans="1:7" ht="15.75" x14ac:dyDescent="0.25">
      <c r="A14" s="311">
        <f>A13+1</f>
        <v>5</v>
      </c>
      <c r="B14" s="316" t="s">
        <v>1499</v>
      </c>
      <c r="C14" s="311" t="s">
        <v>239</v>
      </c>
      <c r="D14" s="313">
        <v>0.6</v>
      </c>
      <c r="E14" s="179">
        <v>85000</v>
      </c>
      <c r="F14" s="314">
        <f t="shared" si="2"/>
        <v>51000</v>
      </c>
      <c r="G14" s="314">
        <f t="shared" si="3"/>
        <v>61200</v>
      </c>
    </row>
    <row r="15" spans="1:7" ht="15.75" x14ac:dyDescent="0.25">
      <c r="A15" s="311">
        <f t="shared" ref="A15:A18" si="4">A14+1</f>
        <v>6</v>
      </c>
      <c r="B15" s="316" t="s">
        <v>1500</v>
      </c>
      <c r="C15" s="311" t="s">
        <v>239</v>
      </c>
      <c r="D15" s="313">
        <v>0.12</v>
      </c>
      <c r="E15" s="179">
        <v>85000</v>
      </c>
      <c r="F15" s="314">
        <f t="shared" si="2"/>
        <v>10200</v>
      </c>
      <c r="G15" s="314">
        <f t="shared" si="3"/>
        <v>12240</v>
      </c>
    </row>
    <row r="16" spans="1:7" ht="15.75" x14ac:dyDescent="0.25">
      <c r="A16" s="311">
        <f t="shared" si="4"/>
        <v>7</v>
      </c>
      <c r="B16" s="316" t="s">
        <v>1410</v>
      </c>
      <c r="C16" s="311" t="s">
        <v>239</v>
      </c>
      <c r="D16" s="313">
        <v>0.17</v>
      </c>
      <c r="E16" s="179">
        <v>85000</v>
      </c>
      <c r="F16" s="314">
        <f t="shared" si="2"/>
        <v>14450</v>
      </c>
      <c r="G16" s="314">
        <f t="shared" si="3"/>
        <v>17340</v>
      </c>
    </row>
    <row r="17" spans="1:7" ht="15.75" x14ac:dyDescent="0.25">
      <c r="A17" s="311">
        <f t="shared" si="4"/>
        <v>8</v>
      </c>
      <c r="B17" s="316" t="s">
        <v>1501</v>
      </c>
      <c r="C17" s="311" t="s">
        <v>239</v>
      </c>
      <c r="D17" s="339">
        <v>5.3999999999999999E-2</v>
      </c>
      <c r="E17" s="179">
        <v>89000</v>
      </c>
      <c r="F17" s="314">
        <f t="shared" si="2"/>
        <v>4806</v>
      </c>
      <c r="G17" s="314">
        <f t="shared" si="3"/>
        <v>5767.2</v>
      </c>
    </row>
    <row r="18" spans="1:7" ht="15.75" x14ac:dyDescent="0.25">
      <c r="A18" s="311">
        <f t="shared" si="4"/>
        <v>9</v>
      </c>
      <c r="B18" s="316" t="s">
        <v>1414</v>
      </c>
      <c r="C18" s="311" t="s">
        <v>193</v>
      </c>
      <c r="D18" s="313">
        <v>0.48</v>
      </c>
      <c r="E18" s="179">
        <v>4100</v>
      </c>
      <c r="F18" s="314">
        <f t="shared" si="2"/>
        <v>1968</v>
      </c>
      <c r="G18" s="314">
        <f t="shared" si="3"/>
        <v>2361.6</v>
      </c>
    </row>
    <row r="19" spans="1:7" ht="15.75" x14ac:dyDescent="0.25">
      <c r="A19" s="311">
        <f>A17+1</f>
        <v>9</v>
      </c>
      <c r="B19" s="316" t="s">
        <v>388</v>
      </c>
      <c r="C19" s="311" t="s">
        <v>254</v>
      </c>
      <c r="D19" s="313">
        <v>47.88</v>
      </c>
      <c r="E19" s="179">
        <v>312</v>
      </c>
      <c r="F19" s="314">
        <f t="shared" si="2"/>
        <v>14938.56</v>
      </c>
      <c r="G19" s="314">
        <f t="shared" si="3"/>
        <v>17926.27</v>
      </c>
    </row>
    <row r="20" spans="1:7" ht="15.75" x14ac:dyDescent="0.25">
      <c r="A20" s="311">
        <f t="shared" ref="A20" si="5">A19+1</f>
        <v>10</v>
      </c>
      <c r="B20" s="316" t="s">
        <v>1413</v>
      </c>
      <c r="C20" s="311" t="s">
        <v>387</v>
      </c>
      <c r="D20" s="313">
        <f>10.26*20/16</f>
        <v>12.824999999999999</v>
      </c>
      <c r="E20" s="179">
        <v>250</v>
      </c>
      <c r="F20" s="314">
        <f t="shared" si="2"/>
        <v>3206.25</v>
      </c>
      <c r="G20" s="314">
        <f t="shared" si="3"/>
        <v>3847.5</v>
      </c>
    </row>
    <row r="21" spans="1:7" ht="20.25" customHeight="1" x14ac:dyDescent="0.25">
      <c r="A21" s="311"/>
      <c r="B21" s="319" t="s">
        <v>1502</v>
      </c>
      <c r="C21" s="311"/>
      <c r="D21" s="335"/>
      <c r="E21" s="179"/>
      <c r="F21" s="314"/>
      <c r="G21" s="314"/>
    </row>
    <row r="22" spans="1:7" ht="20.25" customHeight="1" x14ac:dyDescent="0.25">
      <c r="A22" s="311"/>
      <c r="B22" s="319" t="s">
        <v>1352</v>
      </c>
      <c r="C22" s="311"/>
      <c r="D22" s="335"/>
      <c r="E22" s="179"/>
      <c r="F22" s="314"/>
      <c r="G22" s="314"/>
    </row>
    <row r="23" spans="1:7" ht="15.75" x14ac:dyDescent="0.25">
      <c r="A23" s="311">
        <f>A20+1</f>
        <v>11</v>
      </c>
      <c r="B23" s="316" t="s">
        <v>1406</v>
      </c>
      <c r="C23" s="311" t="s">
        <v>220</v>
      </c>
      <c r="D23" s="335">
        <v>13</v>
      </c>
      <c r="E23" s="179">
        <v>2230</v>
      </c>
      <c r="F23" s="314">
        <f t="shared" ref="F23" si="6">ROUND(E23*D23,2)</f>
        <v>28990</v>
      </c>
      <c r="G23" s="314">
        <f t="shared" ref="G23" si="7">ROUND(F23*1.2,2)</f>
        <v>34788</v>
      </c>
    </row>
    <row r="24" spans="1:7" ht="15.75" x14ac:dyDescent="0.25">
      <c r="A24" s="311"/>
      <c r="B24" s="319" t="s">
        <v>1354</v>
      </c>
      <c r="C24" s="318"/>
      <c r="D24" s="335"/>
      <c r="E24" s="179"/>
      <c r="F24" s="314"/>
      <c r="G24" s="314"/>
    </row>
    <row r="25" spans="1:7" ht="15.75" x14ac:dyDescent="0.25">
      <c r="A25" s="311"/>
      <c r="B25" s="319" t="s">
        <v>1355</v>
      </c>
      <c r="C25" s="311"/>
      <c r="D25" s="313"/>
      <c r="E25" s="179"/>
      <c r="F25" s="314"/>
      <c r="G25" s="314"/>
    </row>
    <row r="26" spans="1:7" ht="15.75" x14ac:dyDescent="0.25">
      <c r="A26" s="311">
        <f>A23+1</f>
        <v>12</v>
      </c>
      <c r="B26" s="316" t="s">
        <v>1407</v>
      </c>
      <c r="C26" s="311" t="s">
        <v>193</v>
      </c>
      <c r="D26" s="313">
        <v>4.51</v>
      </c>
      <c r="E26" s="179">
        <v>5470</v>
      </c>
      <c r="F26" s="314">
        <f t="shared" ref="F26:F35" si="8">ROUND(E26*D26,2)</f>
        <v>24669.7</v>
      </c>
      <c r="G26" s="314">
        <f t="shared" ref="G26:G35" si="9">ROUND(F26*1.2,2)</f>
        <v>29603.64</v>
      </c>
    </row>
    <row r="27" spans="1:7" ht="15.75" x14ac:dyDescent="0.25">
      <c r="A27" s="311">
        <f>A26+1</f>
        <v>13</v>
      </c>
      <c r="B27" s="316" t="s">
        <v>1497</v>
      </c>
      <c r="C27" s="311" t="s">
        <v>193</v>
      </c>
      <c r="D27" s="313">
        <v>1.5</v>
      </c>
      <c r="E27" s="179">
        <v>5271</v>
      </c>
      <c r="F27" s="314">
        <f t="shared" si="8"/>
        <v>7906.5</v>
      </c>
      <c r="G27" s="314">
        <f t="shared" si="9"/>
        <v>9487.7999999999993</v>
      </c>
    </row>
    <row r="28" spans="1:7" ht="15.75" x14ac:dyDescent="0.25">
      <c r="A28" s="311">
        <f>A27+1</f>
        <v>14</v>
      </c>
      <c r="B28" s="316" t="s">
        <v>1498</v>
      </c>
      <c r="C28" s="311" t="s">
        <v>193</v>
      </c>
      <c r="D28" s="313">
        <v>7.4</v>
      </c>
      <c r="E28" s="336">
        <v>1320</v>
      </c>
      <c r="F28" s="314">
        <f t="shared" si="8"/>
        <v>9768</v>
      </c>
      <c r="G28" s="314">
        <f t="shared" si="9"/>
        <v>11721.6</v>
      </c>
    </row>
    <row r="29" spans="1:7" ht="15.75" x14ac:dyDescent="0.25">
      <c r="A29" s="311">
        <f>A28+1</f>
        <v>15</v>
      </c>
      <c r="B29" s="316" t="s">
        <v>1499</v>
      </c>
      <c r="C29" s="311" t="s">
        <v>239</v>
      </c>
      <c r="D29" s="339">
        <v>0.53200000000000003</v>
      </c>
      <c r="E29" s="179">
        <v>85000</v>
      </c>
      <c r="F29" s="314">
        <f t="shared" si="8"/>
        <v>45220</v>
      </c>
      <c r="G29" s="314">
        <f t="shared" si="9"/>
        <v>54264</v>
      </c>
    </row>
    <row r="30" spans="1:7" ht="15.75" x14ac:dyDescent="0.25">
      <c r="A30" s="311">
        <f t="shared" ref="A30:A33" si="10">A29+1</f>
        <v>16</v>
      </c>
      <c r="B30" s="316" t="s">
        <v>1500</v>
      </c>
      <c r="C30" s="311" t="s">
        <v>239</v>
      </c>
      <c r="D30" s="339">
        <v>9.9000000000000005E-2</v>
      </c>
      <c r="E30" s="179">
        <v>85000</v>
      </c>
      <c r="F30" s="314">
        <f t="shared" si="8"/>
        <v>8415</v>
      </c>
      <c r="G30" s="314">
        <f t="shared" si="9"/>
        <v>10098</v>
      </c>
    </row>
    <row r="31" spans="1:7" ht="15.75" x14ac:dyDescent="0.25">
      <c r="A31" s="311">
        <f t="shared" si="10"/>
        <v>17</v>
      </c>
      <c r="B31" s="316" t="s">
        <v>1410</v>
      </c>
      <c r="C31" s="311" t="s">
        <v>239</v>
      </c>
      <c r="D31" s="313">
        <v>0.03</v>
      </c>
      <c r="E31" s="179">
        <v>85000</v>
      </c>
      <c r="F31" s="314">
        <f t="shared" si="8"/>
        <v>2550</v>
      </c>
      <c r="G31" s="314">
        <f t="shared" si="9"/>
        <v>3060</v>
      </c>
    </row>
    <row r="32" spans="1:7" ht="15.75" x14ac:dyDescent="0.25">
      <c r="A32" s="311">
        <f t="shared" si="10"/>
        <v>18</v>
      </c>
      <c r="B32" s="316" t="s">
        <v>1501</v>
      </c>
      <c r="C32" s="311" t="s">
        <v>239</v>
      </c>
      <c r="D32" s="339">
        <v>5.3999999999999999E-2</v>
      </c>
      <c r="E32" s="179">
        <v>89000</v>
      </c>
      <c r="F32" s="314">
        <f t="shared" si="8"/>
        <v>4806</v>
      </c>
      <c r="G32" s="314">
        <f t="shared" si="9"/>
        <v>5767.2</v>
      </c>
    </row>
    <row r="33" spans="1:7" ht="15.75" x14ac:dyDescent="0.25">
      <c r="A33" s="311">
        <f t="shared" si="10"/>
        <v>19</v>
      </c>
      <c r="B33" s="316" t="s">
        <v>1414</v>
      </c>
      <c r="C33" s="311" t="s">
        <v>193</v>
      </c>
      <c r="D33" s="313">
        <v>0.41</v>
      </c>
      <c r="E33" s="179">
        <v>4100</v>
      </c>
      <c r="F33" s="314">
        <f t="shared" si="8"/>
        <v>1681</v>
      </c>
      <c r="G33" s="314">
        <f t="shared" si="9"/>
        <v>2017.2</v>
      </c>
    </row>
    <row r="34" spans="1:7" ht="15.75" x14ac:dyDescent="0.25">
      <c r="A34" s="311">
        <f>A32+1</f>
        <v>19</v>
      </c>
      <c r="B34" s="316" t="s">
        <v>388</v>
      </c>
      <c r="C34" s="311" t="s">
        <v>254</v>
      </c>
      <c r="D34" s="313">
        <v>40.880000000000003</v>
      </c>
      <c r="E34" s="179">
        <v>312</v>
      </c>
      <c r="F34" s="314">
        <f t="shared" si="8"/>
        <v>12754.56</v>
      </c>
      <c r="G34" s="314">
        <f t="shared" si="9"/>
        <v>15305.47</v>
      </c>
    </row>
    <row r="35" spans="1:7" ht="15.75" x14ac:dyDescent="0.25">
      <c r="A35" s="311">
        <f t="shared" ref="A35" si="11">A34+1</f>
        <v>20</v>
      </c>
      <c r="B35" s="316" t="s">
        <v>1413</v>
      </c>
      <c r="C35" s="311" t="s">
        <v>387</v>
      </c>
      <c r="D35" s="313">
        <f>8.76*20/16</f>
        <v>10.95</v>
      </c>
      <c r="E35" s="179">
        <v>250</v>
      </c>
      <c r="F35" s="314">
        <f t="shared" si="8"/>
        <v>2737.5</v>
      </c>
      <c r="G35" s="314">
        <f t="shared" si="9"/>
        <v>3285</v>
      </c>
    </row>
    <row r="36" spans="1:7" s="57" customFormat="1" ht="15.75" x14ac:dyDescent="0.25">
      <c r="A36" s="311"/>
      <c r="B36" s="319" t="s">
        <v>1473</v>
      </c>
      <c r="C36" s="311"/>
      <c r="D36" s="313"/>
      <c r="E36" s="179"/>
      <c r="F36" s="314"/>
      <c r="G36" s="314"/>
    </row>
    <row r="37" spans="1:7" ht="15.75" x14ac:dyDescent="0.25">
      <c r="A37" s="311">
        <f>A35+1</f>
        <v>21</v>
      </c>
      <c r="B37" s="316" t="s">
        <v>1407</v>
      </c>
      <c r="C37" s="311" t="s">
        <v>193</v>
      </c>
      <c r="D37" s="313">
        <v>2.5499999999999998</v>
      </c>
      <c r="E37" s="179">
        <v>5470</v>
      </c>
      <c r="F37" s="314">
        <f t="shared" ref="F37:F43" si="12">ROUND(E37*D37,2)</f>
        <v>13948.5</v>
      </c>
      <c r="G37" s="314">
        <f t="shared" ref="G37:G43" si="13">ROUND(F37*1.2,2)</f>
        <v>16738.2</v>
      </c>
    </row>
    <row r="38" spans="1:7" ht="15.75" x14ac:dyDescent="0.25">
      <c r="A38" s="311">
        <f>A37+1</f>
        <v>22</v>
      </c>
      <c r="B38" s="316" t="s">
        <v>1497</v>
      </c>
      <c r="C38" s="311" t="s">
        <v>193</v>
      </c>
      <c r="D38" s="313">
        <v>1.46</v>
      </c>
      <c r="E38" s="179">
        <v>5271</v>
      </c>
      <c r="F38" s="314">
        <f t="shared" si="12"/>
        <v>7695.66</v>
      </c>
      <c r="G38" s="314">
        <f t="shared" si="13"/>
        <v>9234.7900000000009</v>
      </c>
    </row>
    <row r="39" spans="1:7" ht="15.75" x14ac:dyDescent="0.25">
      <c r="A39" s="311">
        <f>A38+1</f>
        <v>23</v>
      </c>
      <c r="B39" s="316" t="s">
        <v>1498</v>
      </c>
      <c r="C39" s="311" t="s">
        <v>193</v>
      </c>
      <c r="D39" s="313">
        <v>1.64</v>
      </c>
      <c r="E39" s="336">
        <v>1320</v>
      </c>
      <c r="F39" s="314">
        <f t="shared" si="12"/>
        <v>2164.8000000000002</v>
      </c>
      <c r="G39" s="314">
        <f t="shared" si="13"/>
        <v>2597.7600000000002</v>
      </c>
    </row>
    <row r="40" spans="1:7" s="57" customFormat="1" ht="15.75" x14ac:dyDescent="0.25">
      <c r="A40" s="311">
        <f t="shared" ref="A40:A43" si="14">A39+1</f>
        <v>24</v>
      </c>
      <c r="B40" s="316" t="s">
        <v>1503</v>
      </c>
      <c r="C40" s="311" t="s">
        <v>239</v>
      </c>
      <c r="D40" s="339">
        <v>0.154</v>
      </c>
      <c r="E40" s="179">
        <v>85000</v>
      </c>
      <c r="F40" s="314">
        <f t="shared" si="12"/>
        <v>13090</v>
      </c>
      <c r="G40" s="314">
        <f t="shared" si="13"/>
        <v>15708</v>
      </c>
    </row>
    <row r="41" spans="1:7" s="57" customFormat="1" ht="15.75" x14ac:dyDescent="0.25">
      <c r="A41" s="311">
        <f t="shared" si="14"/>
        <v>25</v>
      </c>
      <c r="B41" s="316" t="s">
        <v>1504</v>
      </c>
      <c r="C41" s="311" t="s">
        <v>239</v>
      </c>
      <c r="D41" s="339">
        <v>4.0000000000000001E-3</v>
      </c>
      <c r="E41" s="179">
        <v>85000</v>
      </c>
      <c r="F41" s="314">
        <f t="shared" si="12"/>
        <v>340</v>
      </c>
      <c r="G41" s="314">
        <f t="shared" si="13"/>
        <v>408</v>
      </c>
    </row>
    <row r="42" spans="1:7" ht="15.75" x14ac:dyDescent="0.25">
      <c r="A42" s="311">
        <f t="shared" si="14"/>
        <v>26</v>
      </c>
      <c r="B42" s="316" t="s">
        <v>388</v>
      </c>
      <c r="C42" s="311" t="s">
        <v>254</v>
      </c>
      <c r="D42" s="313">
        <v>23.7</v>
      </c>
      <c r="E42" s="179">
        <v>312</v>
      </c>
      <c r="F42" s="314">
        <f t="shared" si="12"/>
        <v>7394.4</v>
      </c>
      <c r="G42" s="314">
        <f t="shared" si="13"/>
        <v>8873.2800000000007</v>
      </c>
    </row>
    <row r="43" spans="1:7" ht="15.75" x14ac:dyDescent="0.25">
      <c r="A43" s="311">
        <f t="shared" si="14"/>
        <v>27</v>
      </c>
      <c r="B43" s="316" t="s">
        <v>1413</v>
      </c>
      <c r="C43" s="311" t="s">
        <v>387</v>
      </c>
      <c r="D43" s="313">
        <f>5.1*20/16</f>
        <v>6.375</v>
      </c>
      <c r="E43" s="179">
        <v>250</v>
      </c>
      <c r="F43" s="314">
        <f t="shared" si="12"/>
        <v>1593.75</v>
      </c>
      <c r="G43" s="314">
        <f t="shared" si="13"/>
        <v>1912.5</v>
      </c>
    </row>
    <row r="44" spans="1:7" s="57" customFormat="1" ht="15.75" x14ac:dyDescent="0.25">
      <c r="A44" s="311"/>
      <c r="B44" s="319" t="s">
        <v>1477</v>
      </c>
      <c r="C44" s="311"/>
      <c r="D44" s="313"/>
      <c r="E44" s="179"/>
      <c r="F44" s="314"/>
      <c r="G44" s="314"/>
    </row>
    <row r="45" spans="1:7" ht="15.75" x14ac:dyDescent="0.25">
      <c r="A45" s="311">
        <f>A43+1</f>
        <v>28</v>
      </c>
      <c r="B45" s="316" t="s">
        <v>1407</v>
      </c>
      <c r="C45" s="311" t="s">
        <v>193</v>
      </c>
      <c r="D45" s="313">
        <v>2.93</v>
      </c>
      <c r="E45" s="179">
        <v>5470</v>
      </c>
      <c r="F45" s="314">
        <f t="shared" ref="F45:F51" si="15">ROUND(E45*D45,2)</f>
        <v>16027.1</v>
      </c>
      <c r="G45" s="314">
        <f t="shared" ref="G45:G51" si="16">ROUND(F45*1.2,2)</f>
        <v>19232.52</v>
      </c>
    </row>
    <row r="46" spans="1:7" ht="15.75" x14ac:dyDescent="0.25">
      <c r="A46" s="311">
        <f>A45+1</f>
        <v>29</v>
      </c>
      <c r="B46" s="316" t="s">
        <v>1497</v>
      </c>
      <c r="C46" s="311" t="s">
        <v>193</v>
      </c>
      <c r="D46" s="313">
        <v>1.67</v>
      </c>
      <c r="E46" s="179">
        <v>5271</v>
      </c>
      <c r="F46" s="314">
        <f t="shared" si="15"/>
        <v>8802.57</v>
      </c>
      <c r="G46" s="314">
        <f t="shared" si="16"/>
        <v>10563.08</v>
      </c>
    </row>
    <row r="47" spans="1:7" ht="15.75" x14ac:dyDescent="0.25">
      <c r="A47" s="311">
        <f>A46+1</f>
        <v>30</v>
      </c>
      <c r="B47" s="316" t="s">
        <v>1498</v>
      </c>
      <c r="C47" s="311" t="s">
        <v>193</v>
      </c>
      <c r="D47" s="313">
        <v>1.88</v>
      </c>
      <c r="E47" s="336">
        <v>1320</v>
      </c>
      <c r="F47" s="314">
        <f t="shared" si="15"/>
        <v>2481.6</v>
      </c>
      <c r="G47" s="314">
        <f t="shared" si="16"/>
        <v>2977.92</v>
      </c>
    </row>
    <row r="48" spans="1:7" s="57" customFormat="1" ht="15.75" x14ac:dyDescent="0.25">
      <c r="A48" s="311">
        <f t="shared" ref="A48:A51" si="17">A47+1</f>
        <v>31</v>
      </c>
      <c r="B48" s="316" t="s">
        <v>1503</v>
      </c>
      <c r="C48" s="311" t="s">
        <v>239</v>
      </c>
      <c r="D48" s="339">
        <v>0.17799999999999999</v>
      </c>
      <c r="E48" s="179">
        <v>85000</v>
      </c>
      <c r="F48" s="314">
        <f t="shared" si="15"/>
        <v>15130</v>
      </c>
      <c r="G48" s="314">
        <f t="shared" si="16"/>
        <v>18156</v>
      </c>
    </row>
    <row r="49" spans="1:7" s="57" customFormat="1" ht="15.75" x14ac:dyDescent="0.25">
      <c r="A49" s="311">
        <f t="shared" si="17"/>
        <v>32</v>
      </c>
      <c r="B49" s="316" t="s">
        <v>1504</v>
      </c>
      <c r="C49" s="311" t="s">
        <v>239</v>
      </c>
      <c r="D49" s="339">
        <v>5.0000000000000001E-3</v>
      </c>
      <c r="E49" s="179">
        <v>85000</v>
      </c>
      <c r="F49" s="314">
        <f t="shared" si="15"/>
        <v>425</v>
      </c>
      <c r="G49" s="314">
        <f t="shared" si="16"/>
        <v>510</v>
      </c>
    </row>
    <row r="50" spans="1:7" ht="15.75" x14ac:dyDescent="0.25">
      <c r="A50" s="311">
        <f t="shared" si="17"/>
        <v>33</v>
      </c>
      <c r="B50" s="316" t="s">
        <v>388</v>
      </c>
      <c r="C50" s="311" t="s">
        <v>254</v>
      </c>
      <c r="D50" s="313">
        <v>27.1</v>
      </c>
      <c r="E50" s="179">
        <v>312</v>
      </c>
      <c r="F50" s="314">
        <f t="shared" si="15"/>
        <v>8455.2000000000007</v>
      </c>
      <c r="G50" s="314">
        <f t="shared" si="16"/>
        <v>10146.24</v>
      </c>
    </row>
    <row r="51" spans="1:7" ht="15.75" x14ac:dyDescent="0.25">
      <c r="A51" s="311">
        <f t="shared" si="17"/>
        <v>34</v>
      </c>
      <c r="B51" s="316" t="s">
        <v>1413</v>
      </c>
      <c r="C51" s="311" t="s">
        <v>387</v>
      </c>
      <c r="D51" s="313">
        <f>5.8*20/16</f>
        <v>7.25</v>
      </c>
      <c r="E51" s="179">
        <v>250</v>
      </c>
      <c r="F51" s="314">
        <f t="shared" si="15"/>
        <v>1812.5</v>
      </c>
      <c r="G51" s="314">
        <f t="shared" si="16"/>
        <v>2175</v>
      </c>
    </row>
    <row r="52" spans="1:7" s="57" customFormat="1" ht="15.75" x14ac:dyDescent="0.25">
      <c r="A52" s="311"/>
      <c r="B52" s="319" t="s">
        <v>1478</v>
      </c>
      <c r="C52" s="311"/>
      <c r="D52" s="313"/>
      <c r="E52" s="179"/>
      <c r="F52" s="314"/>
      <c r="G52" s="314"/>
    </row>
    <row r="53" spans="1:7" ht="15.75" x14ac:dyDescent="0.25">
      <c r="A53" s="311">
        <f>A51+1</f>
        <v>35</v>
      </c>
      <c r="B53" s="316" t="s">
        <v>1407</v>
      </c>
      <c r="C53" s="311" t="s">
        <v>193</v>
      </c>
      <c r="D53" s="313">
        <v>1.68</v>
      </c>
      <c r="E53" s="179">
        <v>5470</v>
      </c>
      <c r="F53" s="314">
        <f t="shared" ref="F53:F59" si="18">ROUND(E53*D53,2)</f>
        <v>9189.6</v>
      </c>
      <c r="G53" s="314">
        <f t="shared" ref="G53:G59" si="19">ROUND(F53*1.2,2)</f>
        <v>11027.52</v>
      </c>
    </row>
    <row r="54" spans="1:7" ht="15.75" x14ac:dyDescent="0.25">
      <c r="A54" s="311">
        <f>A53+1</f>
        <v>36</v>
      </c>
      <c r="B54" s="316" t="s">
        <v>1497</v>
      </c>
      <c r="C54" s="311" t="s">
        <v>193</v>
      </c>
      <c r="D54" s="313">
        <v>0.96</v>
      </c>
      <c r="E54" s="179">
        <v>5271</v>
      </c>
      <c r="F54" s="314">
        <f t="shared" si="18"/>
        <v>5060.16</v>
      </c>
      <c r="G54" s="314">
        <f t="shared" si="19"/>
        <v>6072.19</v>
      </c>
    </row>
    <row r="55" spans="1:7" ht="15.75" x14ac:dyDescent="0.25">
      <c r="A55" s="311">
        <f>A54+1</f>
        <v>37</v>
      </c>
      <c r="B55" s="316" t="s">
        <v>1498</v>
      </c>
      <c r="C55" s="311" t="s">
        <v>193</v>
      </c>
      <c r="D55" s="313">
        <v>1.08</v>
      </c>
      <c r="E55" s="336">
        <v>1320</v>
      </c>
      <c r="F55" s="314">
        <f t="shared" si="18"/>
        <v>1425.6</v>
      </c>
      <c r="G55" s="314">
        <f t="shared" si="19"/>
        <v>1710.72</v>
      </c>
    </row>
    <row r="56" spans="1:7" s="57" customFormat="1" ht="15.75" x14ac:dyDescent="0.25">
      <c r="A56" s="311">
        <f t="shared" ref="A56:A59" si="20">A55+1</f>
        <v>38</v>
      </c>
      <c r="B56" s="316" t="s">
        <v>1503</v>
      </c>
      <c r="C56" s="311" t="s">
        <v>239</v>
      </c>
      <c r="D56" s="339">
        <v>0.11</v>
      </c>
      <c r="E56" s="179">
        <v>85000</v>
      </c>
      <c r="F56" s="314">
        <f t="shared" si="18"/>
        <v>9350</v>
      </c>
      <c r="G56" s="314">
        <f t="shared" si="19"/>
        <v>11220</v>
      </c>
    </row>
    <row r="57" spans="1:7" s="57" customFormat="1" ht="15.75" x14ac:dyDescent="0.25">
      <c r="A57" s="311">
        <f t="shared" si="20"/>
        <v>39</v>
      </c>
      <c r="B57" s="316" t="s">
        <v>1504</v>
      </c>
      <c r="C57" s="311" t="s">
        <v>239</v>
      </c>
      <c r="D57" s="339">
        <v>3.0000000000000001E-3</v>
      </c>
      <c r="E57" s="179">
        <v>85000</v>
      </c>
      <c r="F57" s="314">
        <f t="shared" si="18"/>
        <v>255</v>
      </c>
      <c r="G57" s="314">
        <f t="shared" si="19"/>
        <v>306</v>
      </c>
    </row>
    <row r="58" spans="1:7" ht="15.75" x14ac:dyDescent="0.25">
      <c r="A58" s="311">
        <f t="shared" si="20"/>
        <v>40</v>
      </c>
      <c r="B58" s="316" t="s">
        <v>388</v>
      </c>
      <c r="C58" s="311" t="s">
        <v>254</v>
      </c>
      <c r="D58" s="313">
        <v>15.9</v>
      </c>
      <c r="E58" s="179">
        <v>312</v>
      </c>
      <c r="F58" s="314">
        <f t="shared" si="18"/>
        <v>4960.8</v>
      </c>
      <c r="G58" s="314">
        <f t="shared" si="19"/>
        <v>5952.96</v>
      </c>
    </row>
    <row r="59" spans="1:7" ht="15.75" x14ac:dyDescent="0.25">
      <c r="A59" s="311">
        <f t="shared" si="20"/>
        <v>41</v>
      </c>
      <c r="B59" s="316" t="s">
        <v>1413</v>
      </c>
      <c r="C59" s="311" t="s">
        <v>387</v>
      </c>
      <c r="D59" s="313">
        <f>3.4*20/16</f>
        <v>4.25</v>
      </c>
      <c r="E59" s="179">
        <v>250</v>
      </c>
      <c r="F59" s="314">
        <f t="shared" si="18"/>
        <v>1062.5</v>
      </c>
      <c r="G59" s="314">
        <f t="shared" si="19"/>
        <v>1275</v>
      </c>
    </row>
    <row r="60" spans="1:7" s="57" customFormat="1" ht="15.75" x14ac:dyDescent="0.25">
      <c r="A60" s="311"/>
      <c r="B60" s="319" t="s">
        <v>1479</v>
      </c>
      <c r="C60" s="311"/>
      <c r="D60" s="313"/>
      <c r="E60" s="179"/>
      <c r="F60" s="314"/>
      <c r="G60" s="314"/>
    </row>
    <row r="61" spans="1:7" ht="15.75" x14ac:dyDescent="0.25">
      <c r="A61" s="311">
        <f>A59+1</f>
        <v>42</v>
      </c>
      <c r="B61" s="316" t="s">
        <v>1407</v>
      </c>
      <c r="C61" s="311" t="s">
        <v>193</v>
      </c>
      <c r="D61" s="313">
        <v>2.8</v>
      </c>
      <c r="E61" s="179">
        <v>5470</v>
      </c>
      <c r="F61" s="314">
        <f t="shared" ref="F61:F67" si="21">ROUND(E61*D61,2)</f>
        <v>15316</v>
      </c>
      <c r="G61" s="314">
        <f t="shared" ref="G61:G67" si="22">ROUND(F61*1.2,2)</f>
        <v>18379.2</v>
      </c>
    </row>
    <row r="62" spans="1:7" ht="15.75" x14ac:dyDescent="0.25">
      <c r="A62" s="311">
        <f>A61+1</f>
        <v>43</v>
      </c>
      <c r="B62" s="316" t="s">
        <v>1497</v>
      </c>
      <c r="C62" s="311" t="s">
        <v>193</v>
      </c>
      <c r="D62" s="313">
        <v>1.6</v>
      </c>
      <c r="E62" s="179">
        <v>5271</v>
      </c>
      <c r="F62" s="314">
        <f t="shared" si="21"/>
        <v>8433.6</v>
      </c>
      <c r="G62" s="314">
        <f t="shared" si="22"/>
        <v>10120.32</v>
      </c>
    </row>
    <row r="63" spans="1:7" ht="15.75" x14ac:dyDescent="0.25">
      <c r="A63" s="311">
        <f>A62+1</f>
        <v>44</v>
      </c>
      <c r="B63" s="316" t="s">
        <v>1498</v>
      </c>
      <c r="C63" s="311" t="s">
        <v>193</v>
      </c>
      <c r="D63" s="313">
        <v>1.8</v>
      </c>
      <c r="E63" s="336">
        <v>1320</v>
      </c>
      <c r="F63" s="314">
        <f t="shared" si="21"/>
        <v>2376</v>
      </c>
      <c r="G63" s="314">
        <f t="shared" si="22"/>
        <v>2851.2</v>
      </c>
    </row>
    <row r="64" spans="1:7" s="57" customFormat="1" ht="15.75" x14ac:dyDescent="0.25">
      <c r="A64" s="311">
        <f t="shared" ref="A64:A67" si="23">A63+1</f>
        <v>45</v>
      </c>
      <c r="B64" s="316" t="s">
        <v>1503</v>
      </c>
      <c r="C64" s="311" t="s">
        <v>239</v>
      </c>
      <c r="D64" s="339">
        <v>0.154</v>
      </c>
      <c r="E64" s="179">
        <v>85000</v>
      </c>
      <c r="F64" s="314">
        <f t="shared" si="21"/>
        <v>13090</v>
      </c>
      <c r="G64" s="314">
        <f t="shared" si="22"/>
        <v>15708</v>
      </c>
    </row>
    <row r="65" spans="1:7" s="57" customFormat="1" ht="15.75" x14ac:dyDescent="0.25">
      <c r="A65" s="311">
        <f t="shared" si="23"/>
        <v>46</v>
      </c>
      <c r="B65" s="316" t="s">
        <v>1504</v>
      </c>
      <c r="C65" s="311" t="s">
        <v>239</v>
      </c>
      <c r="D65" s="339">
        <v>4.0000000000000001E-3</v>
      </c>
      <c r="E65" s="179">
        <v>85000</v>
      </c>
      <c r="F65" s="314">
        <f t="shared" si="21"/>
        <v>340</v>
      </c>
      <c r="G65" s="314">
        <f t="shared" si="22"/>
        <v>408</v>
      </c>
    </row>
    <row r="66" spans="1:7" ht="15.75" x14ac:dyDescent="0.25">
      <c r="A66" s="311">
        <f t="shared" si="23"/>
        <v>47</v>
      </c>
      <c r="B66" s="316" t="s">
        <v>388</v>
      </c>
      <c r="C66" s="311" t="s">
        <v>254</v>
      </c>
      <c r="D66" s="313">
        <v>26</v>
      </c>
      <c r="E66" s="179">
        <v>312</v>
      </c>
      <c r="F66" s="314">
        <f t="shared" si="21"/>
        <v>8112</v>
      </c>
      <c r="G66" s="314">
        <f t="shared" si="22"/>
        <v>9734.4</v>
      </c>
    </row>
    <row r="67" spans="1:7" ht="15.75" x14ac:dyDescent="0.25">
      <c r="A67" s="311">
        <f t="shared" si="23"/>
        <v>48</v>
      </c>
      <c r="B67" s="316" t="s">
        <v>1413</v>
      </c>
      <c r="C67" s="311" t="s">
        <v>387</v>
      </c>
      <c r="D67" s="313">
        <f>5.6*20/16</f>
        <v>7</v>
      </c>
      <c r="E67" s="179">
        <v>250</v>
      </c>
      <c r="F67" s="314">
        <f t="shared" si="21"/>
        <v>1750</v>
      </c>
      <c r="G67" s="314">
        <f t="shared" si="22"/>
        <v>2100</v>
      </c>
    </row>
    <row r="68" spans="1:7" s="57" customFormat="1" ht="15.75" x14ac:dyDescent="0.25">
      <c r="A68" s="311"/>
      <c r="B68" s="319" t="s">
        <v>1480</v>
      </c>
      <c r="C68" s="311"/>
      <c r="D68" s="313"/>
      <c r="E68" s="179"/>
      <c r="F68" s="314"/>
      <c r="G68" s="314"/>
    </row>
    <row r="69" spans="1:7" ht="15.75" x14ac:dyDescent="0.25">
      <c r="A69" s="311">
        <f>A67+1</f>
        <v>49</v>
      </c>
      <c r="B69" s="316" t="s">
        <v>1407</v>
      </c>
      <c r="C69" s="311" t="s">
        <v>193</v>
      </c>
      <c r="D69" s="313">
        <v>1.68</v>
      </c>
      <c r="E69" s="179">
        <v>5470</v>
      </c>
      <c r="F69" s="314">
        <f t="shared" ref="F69:F75" si="24">ROUND(E69*D69,2)</f>
        <v>9189.6</v>
      </c>
      <c r="G69" s="314">
        <f t="shared" ref="G69:G75" si="25">ROUND(F69*1.2,2)</f>
        <v>11027.52</v>
      </c>
    </row>
    <row r="70" spans="1:7" ht="15.75" x14ac:dyDescent="0.25">
      <c r="A70" s="311">
        <f>A69+1</f>
        <v>50</v>
      </c>
      <c r="B70" s="316" t="s">
        <v>1497</v>
      </c>
      <c r="C70" s="311" t="s">
        <v>193</v>
      </c>
      <c r="D70" s="313">
        <v>0.96</v>
      </c>
      <c r="E70" s="179">
        <v>5271</v>
      </c>
      <c r="F70" s="314">
        <f t="shared" si="24"/>
        <v>5060.16</v>
      </c>
      <c r="G70" s="314">
        <f t="shared" si="25"/>
        <v>6072.19</v>
      </c>
    </row>
    <row r="71" spans="1:7" ht="15.75" x14ac:dyDescent="0.25">
      <c r="A71" s="311">
        <f>A70+1</f>
        <v>51</v>
      </c>
      <c r="B71" s="316" t="s">
        <v>1498</v>
      </c>
      <c r="C71" s="311" t="s">
        <v>193</v>
      </c>
      <c r="D71" s="313">
        <v>1.08</v>
      </c>
      <c r="E71" s="336">
        <v>1320</v>
      </c>
      <c r="F71" s="314">
        <f t="shared" si="24"/>
        <v>1425.6</v>
      </c>
      <c r="G71" s="314">
        <f t="shared" si="25"/>
        <v>1710.72</v>
      </c>
    </row>
    <row r="72" spans="1:7" s="57" customFormat="1" ht="15.75" x14ac:dyDescent="0.25">
      <c r="A72" s="311">
        <f t="shared" ref="A72:A75" si="26">A71+1</f>
        <v>52</v>
      </c>
      <c r="B72" s="316" t="s">
        <v>1503</v>
      </c>
      <c r="C72" s="311" t="s">
        <v>239</v>
      </c>
      <c r="D72" s="339">
        <v>0.11</v>
      </c>
      <c r="E72" s="179">
        <v>85000</v>
      </c>
      <c r="F72" s="314">
        <f t="shared" si="24"/>
        <v>9350</v>
      </c>
      <c r="G72" s="314">
        <f t="shared" si="25"/>
        <v>11220</v>
      </c>
    </row>
    <row r="73" spans="1:7" s="57" customFormat="1" ht="15.75" x14ac:dyDescent="0.25">
      <c r="A73" s="311">
        <f t="shared" si="26"/>
        <v>53</v>
      </c>
      <c r="B73" s="316" t="s">
        <v>1504</v>
      </c>
      <c r="C73" s="311" t="s">
        <v>239</v>
      </c>
      <c r="D73" s="339">
        <v>3.0000000000000001E-3</v>
      </c>
      <c r="E73" s="179">
        <v>85000</v>
      </c>
      <c r="F73" s="314">
        <f t="shared" si="24"/>
        <v>255</v>
      </c>
      <c r="G73" s="314">
        <f t="shared" si="25"/>
        <v>306</v>
      </c>
    </row>
    <row r="74" spans="1:7" ht="15.75" x14ac:dyDescent="0.25">
      <c r="A74" s="311">
        <f t="shared" si="26"/>
        <v>54</v>
      </c>
      <c r="B74" s="316" t="s">
        <v>388</v>
      </c>
      <c r="C74" s="311" t="s">
        <v>254</v>
      </c>
      <c r="D74" s="313">
        <v>15.9</v>
      </c>
      <c r="E74" s="179">
        <v>312</v>
      </c>
      <c r="F74" s="314">
        <f t="shared" si="24"/>
        <v>4960.8</v>
      </c>
      <c r="G74" s="314">
        <f t="shared" si="25"/>
        <v>5952.96</v>
      </c>
    </row>
    <row r="75" spans="1:7" ht="15.75" x14ac:dyDescent="0.25">
      <c r="A75" s="311">
        <f t="shared" si="26"/>
        <v>55</v>
      </c>
      <c r="B75" s="316" t="s">
        <v>1413</v>
      </c>
      <c r="C75" s="311" t="s">
        <v>387</v>
      </c>
      <c r="D75" s="313">
        <f>3.4*20/16</f>
        <v>4.25</v>
      </c>
      <c r="E75" s="179">
        <v>250</v>
      </c>
      <c r="F75" s="314">
        <f t="shared" si="24"/>
        <v>1062.5</v>
      </c>
      <c r="G75" s="314">
        <f t="shared" si="25"/>
        <v>1275</v>
      </c>
    </row>
    <row r="76" spans="1:7" s="57" customFormat="1" ht="15.75" x14ac:dyDescent="0.25">
      <c r="A76" s="311"/>
      <c r="B76" s="319" t="s">
        <v>1371</v>
      </c>
      <c r="C76" s="311"/>
      <c r="D76" s="313"/>
      <c r="E76" s="179"/>
      <c r="F76" s="314"/>
      <c r="G76" s="314"/>
    </row>
    <row r="77" spans="1:7" s="57" customFormat="1" ht="15.75" x14ac:dyDescent="0.25">
      <c r="A77" s="311">
        <f>A75+1</f>
        <v>56</v>
      </c>
      <c r="B77" s="316" t="s">
        <v>1505</v>
      </c>
      <c r="C77" s="311" t="s">
        <v>194</v>
      </c>
      <c r="D77" s="335">
        <v>122</v>
      </c>
      <c r="E77" s="179">
        <v>3836</v>
      </c>
      <c r="F77" s="314">
        <f t="shared" ref="F77:F92" si="27">ROUND(E77*D77,2)</f>
        <v>467992</v>
      </c>
      <c r="G77" s="314">
        <f t="shared" ref="G77:G92" si="28">ROUND(F77*1.2,2)</f>
        <v>561590.4</v>
      </c>
    </row>
    <row r="78" spans="1:7" s="57" customFormat="1" ht="15.75" x14ac:dyDescent="0.25">
      <c r="A78" s="311">
        <f>A77+1</f>
        <v>57</v>
      </c>
      <c r="B78" s="316" t="s">
        <v>1506</v>
      </c>
      <c r="C78" s="311" t="s">
        <v>194</v>
      </c>
      <c r="D78" s="335">
        <v>18</v>
      </c>
      <c r="E78" s="179">
        <v>0</v>
      </c>
      <c r="F78" s="314">
        <f t="shared" si="27"/>
        <v>0</v>
      </c>
      <c r="G78" s="314">
        <f t="shared" si="28"/>
        <v>0</v>
      </c>
    </row>
    <row r="79" spans="1:7" s="57" customFormat="1" ht="15.75" x14ac:dyDescent="0.25">
      <c r="A79" s="311">
        <f>A78+1</f>
        <v>58</v>
      </c>
      <c r="B79" s="316" t="s">
        <v>1507</v>
      </c>
      <c r="C79" s="311" t="s">
        <v>220</v>
      </c>
      <c r="D79" s="335">
        <v>32</v>
      </c>
      <c r="E79" s="179">
        <v>1812</v>
      </c>
      <c r="F79" s="314">
        <f t="shared" si="27"/>
        <v>57984</v>
      </c>
      <c r="G79" s="314">
        <f t="shared" si="28"/>
        <v>69580.800000000003</v>
      </c>
    </row>
    <row r="80" spans="1:7" s="57" customFormat="1" ht="15.75" x14ac:dyDescent="0.25">
      <c r="A80" s="311">
        <f t="shared" ref="A80:A92" si="29">A79+1</f>
        <v>59</v>
      </c>
      <c r="B80" s="316" t="s">
        <v>1508</v>
      </c>
      <c r="C80" s="311" t="s">
        <v>220</v>
      </c>
      <c r="D80" s="335">
        <v>10</v>
      </c>
      <c r="E80" s="179">
        <v>18329</v>
      </c>
      <c r="F80" s="314">
        <f t="shared" si="27"/>
        <v>183290</v>
      </c>
      <c r="G80" s="314">
        <f t="shared" si="28"/>
        <v>219948</v>
      </c>
    </row>
    <row r="81" spans="1:7" s="57" customFormat="1" ht="15.75" x14ac:dyDescent="0.25">
      <c r="A81" s="311">
        <f t="shared" si="29"/>
        <v>60</v>
      </c>
      <c r="B81" s="316" t="s">
        <v>1509</v>
      </c>
      <c r="C81" s="311" t="s">
        <v>220</v>
      </c>
      <c r="D81" s="335">
        <v>4</v>
      </c>
      <c r="E81" s="179">
        <v>17100</v>
      </c>
      <c r="F81" s="314">
        <f t="shared" si="27"/>
        <v>68400</v>
      </c>
      <c r="G81" s="314">
        <f t="shared" si="28"/>
        <v>82080</v>
      </c>
    </row>
    <row r="82" spans="1:7" s="57" customFormat="1" ht="15.75" x14ac:dyDescent="0.25">
      <c r="A82" s="311">
        <f t="shared" si="29"/>
        <v>61</v>
      </c>
      <c r="B82" s="316" t="s">
        <v>1510</v>
      </c>
      <c r="C82" s="311" t="s">
        <v>194</v>
      </c>
      <c r="D82" s="335">
        <v>4</v>
      </c>
      <c r="E82" s="179">
        <v>818</v>
      </c>
      <c r="F82" s="314">
        <f t="shared" si="27"/>
        <v>3272</v>
      </c>
      <c r="G82" s="314">
        <f t="shared" si="28"/>
        <v>3926.4</v>
      </c>
    </row>
    <row r="83" spans="1:7" s="57" customFormat="1" ht="15.75" x14ac:dyDescent="0.25">
      <c r="A83" s="311">
        <f t="shared" si="29"/>
        <v>62</v>
      </c>
      <c r="B83" s="316" t="s">
        <v>1511</v>
      </c>
      <c r="C83" s="311" t="s">
        <v>220</v>
      </c>
      <c r="D83" s="335">
        <v>2</v>
      </c>
      <c r="E83" s="179">
        <v>48390</v>
      </c>
      <c r="F83" s="314">
        <f t="shared" si="27"/>
        <v>96780</v>
      </c>
      <c r="G83" s="314">
        <f t="shared" si="28"/>
        <v>116136</v>
      </c>
    </row>
    <row r="84" spans="1:7" s="57" customFormat="1" ht="15.75" x14ac:dyDescent="0.25">
      <c r="A84" s="311">
        <f t="shared" si="29"/>
        <v>63</v>
      </c>
      <c r="B84" s="316" t="s">
        <v>1512</v>
      </c>
      <c r="C84" s="311" t="s">
        <v>220</v>
      </c>
      <c r="D84" s="335">
        <v>2</v>
      </c>
      <c r="E84" s="179">
        <v>4100</v>
      </c>
      <c r="F84" s="314">
        <f t="shared" si="27"/>
        <v>8200</v>
      </c>
      <c r="G84" s="314">
        <f t="shared" si="28"/>
        <v>9840</v>
      </c>
    </row>
    <row r="85" spans="1:7" s="57" customFormat="1" ht="15.75" x14ac:dyDescent="0.25">
      <c r="A85" s="311">
        <f t="shared" si="29"/>
        <v>64</v>
      </c>
      <c r="B85" s="316" t="s">
        <v>1047</v>
      </c>
      <c r="C85" s="311" t="s">
        <v>220</v>
      </c>
      <c r="D85" s="335">
        <v>2</v>
      </c>
      <c r="E85" s="179">
        <v>5630</v>
      </c>
      <c r="F85" s="314">
        <f t="shared" si="27"/>
        <v>11260</v>
      </c>
      <c r="G85" s="314">
        <f t="shared" si="28"/>
        <v>13512</v>
      </c>
    </row>
    <row r="86" spans="1:7" s="57" customFormat="1" ht="15.75" x14ac:dyDescent="0.25">
      <c r="A86" s="311">
        <f t="shared" si="29"/>
        <v>65</v>
      </c>
      <c r="B86" s="316" t="s">
        <v>1513</v>
      </c>
      <c r="C86" s="311" t="s">
        <v>220</v>
      </c>
      <c r="D86" s="335">
        <v>2</v>
      </c>
      <c r="E86" s="179">
        <v>1920</v>
      </c>
      <c r="F86" s="314">
        <f t="shared" si="27"/>
        <v>3840</v>
      </c>
      <c r="G86" s="314">
        <f t="shared" si="28"/>
        <v>4608</v>
      </c>
    </row>
    <row r="87" spans="1:7" s="57" customFormat="1" ht="15.75" x14ac:dyDescent="0.25">
      <c r="A87" s="311">
        <f t="shared" si="29"/>
        <v>66</v>
      </c>
      <c r="B87" s="316" t="s">
        <v>1514</v>
      </c>
      <c r="C87" s="311" t="s">
        <v>220</v>
      </c>
      <c r="D87" s="335">
        <v>2</v>
      </c>
      <c r="E87" s="179">
        <v>1670</v>
      </c>
      <c r="F87" s="314">
        <f t="shared" si="27"/>
        <v>3340</v>
      </c>
      <c r="G87" s="314">
        <f t="shared" si="28"/>
        <v>4008</v>
      </c>
    </row>
    <row r="88" spans="1:7" s="57" customFormat="1" ht="30" x14ac:dyDescent="0.25">
      <c r="A88" s="311">
        <f t="shared" si="29"/>
        <v>67</v>
      </c>
      <c r="B88" s="316" t="s">
        <v>1515</v>
      </c>
      <c r="C88" s="311" t="s">
        <v>254</v>
      </c>
      <c r="D88" s="317">
        <v>0.4</v>
      </c>
      <c r="E88" s="179">
        <v>1900</v>
      </c>
      <c r="F88" s="314">
        <f t="shared" si="27"/>
        <v>760</v>
      </c>
      <c r="G88" s="314">
        <f t="shared" si="28"/>
        <v>912</v>
      </c>
    </row>
    <row r="89" spans="1:7" s="57" customFormat="1" ht="15.75" x14ac:dyDescent="0.25">
      <c r="A89" s="311">
        <f t="shared" si="29"/>
        <v>68</v>
      </c>
      <c r="B89" s="316" t="s">
        <v>1049</v>
      </c>
      <c r="C89" s="311" t="s">
        <v>220</v>
      </c>
      <c r="D89" s="335">
        <v>2</v>
      </c>
      <c r="E89" s="179">
        <v>12000</v>
      </c>
      <c r="F89" s="314">
        <f t="shared" si="27"/>
        <v>24000</v>
      </c>
      <c r="G89" s="314">
        <f t="shared" si="28"/>
        <v>28800</v>
      </c>
    </row>
    <row r="90" spans="1:7" s="57" customFormat="1" ht="15.75" x14ac:dyDescent="0.25">
      <c r="A90" s="311">
        <f t="shared" si="29"/>
        <v>69</v>
      </c>
      <c r="B90" s="316" t="s">
        <v>1516</v>
      </c>
      <c r="C90" s="311" t="s">
        <v>194</v>
      </c>
      <c r="D90" s="317">
        <v>2.8</v>
      </c>
      <c r="E90" s="179">
        <v>7858</v>
      </c>
      <c r="F90" s="314">
        <f t="shared" si="27"/>
        <v>22002.400000000001</v>
      </c>
      <c r="G90" s="314">
        <f t="shared" si="28"/>
        <v>26402.880000000001</v>
      </c>
    </row>
    <row r="91" spans="1:7" s="57" customFormat="1" ht="15.75" x14ac:dyDescent="0.25">
      <c r="A91" s="311">
        <f t="shared" si="29"/>
        <v>70</v>
      </c>
      <c r="B91" s="316" t="s">
        <v>1517</v>
      </c>
      <c r="C91" s="311" t="s">
        <v>194</v>
      </c>
      <c r="D91" s="335">
        <v>82</v>
      </c>
      <c r="E91" s="179">
        <v>19</v>
      </c>
      <c r="F91" s="314">
        <f t="shared" si="27"/>
        <v>1558</v>
      </c>
      <c r="G91" s="314">
        <f t="shared" si="28"/>
        <v>1869.6</v>
      </c>
    </row>
    <row r="92" spans="1:7" ht="30" x14ac:dyDescent="0.25">
      <c r="A92" s="311">
        <f t="shared" si="29"/>
        <v>71</v>
      </c>
      <c r="B92" s="316" t="s">
        <v>407</v>
      </c>
      <c r="C92" s="311" t="s">
        <v>243</v>
      </c>
      <c r="D92" s="335">
        <v>1</v>
      </c>
      <c r="E92" s="336">
        <v>130000</v>
      </c>
      <c r="F92" s="314">
        <f t="shared" si="27"/>
        <v>130000</v>
      </c>
      <c r="G92" s="314">
        <f t="shared" si="28"/>
        <v>156000</v>
      </c>
    </row>
    <row r="93" spans="1:7" ht="22.5" customHeight="1" x14ac:dyDescent="0.25">
      <c r="A93" s="467" t="s">
        <v>408</v>
      </c>
      <c r="B93" s="467"/>
      <c r="C93" s="467"/>
      <c r="D93" s="467"/>
      <c r="E93" s="467"/>
      <c r="F93" s="83">
        <f>SUM(F7:F92)</f>
        <v>1634514.3399999999</v>
      </c>
      <c r="G93" s="83">
        <f>SUM(G7:G92)</f>
        <v>1961417.1899999997</v>
      </c>
    </row>
  </sheetData>
  <mergeCells count="7">
    <mergeCell ref="A93:E93"/>
    <mergeCell ref="A1:A3"/>
    <mergeCell ref="B1:B3"/>
    <mergeCell ref="C1:C3"/>
    <mergeCell ref="D1:D3"/>
    <mergeCell ref="E1:G2"/>
    <mergeCell ref="B5:D5"/>
  </mergeCells>
  <pageMargins left="0.7" right="0.7" top="0.75" bottom="0.75" header="0.3" footer="0.3"/>
  <pageSetup paperSize="9" scale="6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topLeftCell="A79" zoomScaleNormal="100" zoomScaleSheetLayoutView="80" workbookViewId="0">
      <selection activeCell="H5" activeCellId="1" sqref="H55 H5"/>
    </sheetView>
  </sheetViews>
  <sheetFormatPr defaultRowHeight="15" x14ac:dyDescent="0.25"/>
  <cols>
    <col min="2" max="2" width="61.7109375" customWidth="1"/>
    <col min="4" max="4" width="11.42578125" bestFit="1" customWidth="1"/>
    <col min="5" max="5" width="15.140625" customWidth="1"/>
    <col min="6" max="6" width="16" customWidth="1"/>
    <col min="7" max="7" width="17" style="52" customWidth="1"/>
    <col min="8" max="8" width="36.5703125" style="52" customWidth="1"/>
  </cols>
  <sheetData>
    <row r="1" spans="1:8" ht="14.45" customHeight="1" x14ac:dyDescent="0.25">
      <c r="A1" s="420" t="s">
        <v>226</v>
      </c>
      <c r="B1" s="464" t="s">
        <v>201</v>
      </c>
      <c r="C1" s="432" t="s">
        <v>230</v>
      </c>
      <c r="D1" s="432" t="s">
        <v>202</v>
      </c>
      <c r="E1" s="459" t="s">
        <v>703</v>
      </c>
      <c r="F1" s="460"/>
      <c r="G1" s="460"/>
    </row>
    <row r="2" spans="1:8" ht="14.45" customHeight="1" x14ac:dyDescent="0.25">
      <c r="A2" s="463"/>
      <c r="B2" s="465"/>
      <c r="C2" s="432"/>
      <c r="D2" s="432"/>
      <c r="E2" s="461"/>
      <c r="F2" s="462"/>
      <c r="G2" s="462"/>
    </row>
    <row r="3" spans="1:8" ht="55.9" customHeight="1" x14ac:dyDescent="0.25">
      <c r="A3" s="421"/>
      <c r="B3" s="466"/>
      <c r="C3" s="432"/>
      <c r="D3" s="432"/>
      <c r="E3" s="290" t="s">
        <v>441</v>
      </c>
      <c r="F3" s="290" t="s">
        <v>433</v>
      </c>
      <c r="G3" s="104" t="s">
        <v>409</v>
      </c>
    </row>
    <row r="4" spans="1:8" x14ac:dyDescent="0.25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  <c r="H4"/>
    </row>
    <row r="5" spans="1:8" ht="20.25" customHeight="1" x14ac:dyDescent="0.25">
      <c r="A5" s="181"/>
      <c r="B5" s="414" t="s">
        <v>1518</v>
      </c>
      <c r="C5" s="436"/>
      <c r="D5" s="436"/>
      <c r="E5" s="182"/>
      <c r="F5" s="183"/>
      <c r="H5" s="481">
        <f>SUM(G7:G54)</f>
        <v>5260059.6899999995</v>
      </c>
    </row>
    <row r="6" spans="1:8" ht="28.5" x14ac:dyDescent="0.25">
      <c r="A6" s="257"/>
      <c r="B6" s="62" t="s">
        <v>1519</v>
      </c>
      <c r="C6" s="63"/>
      <c r="D6" s="63"/>
      <c r="E6" s="64"/>
      <c r="F6" s="65"/>
      <c r="G6" s="133"/>
    </row>
    <row r="7" spans="1:8" ht="15.75" x14ac:dyDescent="0.25">
      <c r="A7" s="66"/>
      <c r="B7" s="73" t="s">
        <v>1520</v>
      </c>
      <c r="C7" s="66"/>
      <c r="D7" s="236"/>
      <c r="E7" s="179"/>
      <c r="F7" s="105"/>
      <c r="G7" s="105"/>
    </row>
    <row r="8" spans="1:8" ht="15.75" x14ac:dyDescent="0.25">
      <c r="A8" s="311">
        <v>1</v>
      </c>
      <c r="B8" s="312" t="s">
        <v>1624</v>
      </c>
      <c r="C8" s="311" t="s">
        <v>431</v>
      </c>
      <c r="D8" s="313">
        <v>280</v>
      </c>
      <c r="E8" s="179">
        <v>792.12</v>
      </c>
      <c r="F8" s="314">
        <f t="shared" ref="F8:F15" si="0">ROUND(E8*D8,2)</f>
        <v>221793.6</v>
      </c>
      <c r="G8" s="314">
        <f t="shared" ref="G8:G15" si="1">ROUND(F8*1.2,2)</f>
        <v>266152.32000000001</v>
      </c>
    </row>
    <row r="9" spans="1:8" ht="15.75" x14ac:dyDescent="0.25">
      <c r="A9" s="315">
        <f>A8+1</f>
        <v>2</v>
      </c>
      <c r="B9" s="312" t="s">
        <v>1613</v>
      </c>
      <c r="C9" s="311" t="s">
        <v>239</v>
      </c>
      <c r="D9" s="313">
        <v>47.98</v>
      </c>
      <c r="E9" s="179">
        <v>3460</v>
      </c>
      <c r="F9" s="314">
        <f t="shared" ref="F9" si="2">ROUND(E9*D9,2)</f>
        <v>166010.79999999999</v>
      </c>
      <c r="G9" s="314">
        <f t="shared" ref="G9" si="3">ROUND(F9*1.2,2)</f>
        <v>199212.96</v>
      </c>
    </row>
    <row r="10" spans="1:8" ht="15.75" x14ac:dyDescent="0.25">
      <c r="A10" s="315">
        <f>A9+1</f>
        <v>3</v>
      </c>
      <c r="B10" s="316" t="s">
        <v>1521</v>
      </c>
      <c r="C10" s="311" t="s">
        <v>193</v>
      </c>
      <c r="D10" s="313">
        <v>259.2</v>
      </c>
      <c r="E10" s="179">
        <v>325</v>
      </c>
      <c r="F10" s="314">
        <f t="shared" si="0"/>
        <v>84240</v>
      </c>
      <c r="G10" s="314">
        <f t="shared" si="1"/>
        <v>101088</v>
      </c>
    </row>
    <row r="11" spans="1:8" ht="15.75" x14ac:dyDescent="0.25">
      <c r="A11" s="311">
        <f>A10+1</f>
        <v>4</v>
      </c>
      <c r="B11" s="316" t="s">
        <v>444</v>
      </c>
      <c r="C11" s="311" t="s">
        <v>193</v>
      </c>
      <c r="D11" s="313">
        <v>4.54</v>
      </c>
      <c r="E11" s="179">
        <v>1777</v>
      </c>
      <c r="F11" s="314">
        <f t="shared" si="0"/>
        <v>8067.58</v>
      </c>
      <c r="G11" s="314">
        <f t="shared" si="1"/>
        <v>9681.1</v>
      </c>
    </row>
    <row r="12" spans="1:8" ht="15.75" x14ac:dyDescent="0.25">
      <c r="A12" s="311">
        <f t="shared" ref="A12:A15" si="4">A11+1</f>
        <v>5</v>
      </c>
      <c r="B12" s="316" t="s">
        <v>518</v>
      </c>
      <c r="C12" s="311" t="s">
        <v>239</v>
      </c>
      <c r="D12" s="317">
        <v>34.799999999999997</v>
      </c>
      <c r="E12" s="179">
        <v>325</v>
      </c>
      <c r="F12" s="314">
        <f t="shared" si="0"/>
        <v>11310</v>
      </c>
      <c r="G12" s="314">
        <f t="shared" si="1"/>
        <v>13572</v>
      </c>
    </row>
    <row r="13" spans="1:8" ht="15.75" x14ac:dyDescent="0.25">
      <c r="A13" s="311">
        <f t="shared" si="4"/>
        <v>6</v>
      </c>
      <c r="B13" s="316" t="s">
        <v>503</v>
      </c>
      <c r="C13" s="311" t="s">
        <v>239</v>
      </c>
      <c r="D13" s="317">
        <v>34.799999999999997</v>
      </c>
      <c r="E13" s="179">
        <v>3460</v>
      </c>
      <c r="F13" s="314">
        <f t="shared" si="0"/>
        <v>120408</v>
      </c>
      <c r="G13" s="314">
        <f t="shared" si="1"/>
        <v>144489.60000000001</v>
      </c>
    </row>
    <row r="14" spans="1:8" ht="15.75" x14ac:dyDescent="0.25">
      <c r="A14" s="311">
        <f t="shared" si="4"/>
        <v>7</v>
      </c>
      <c r="B14" s="316" t="s">
        <v>537</v>
      </c>
      <c r="C14" s="318" t="s">
        <v>193</v>
      </c>
      <c r="D14" s="313">
        <v>193.6</v>
      </c>
      <c r="E14" s="179">
        <v>325</v>
      </c>
      <c r="F14" s="314">
        <f t="shared" si="0"/>
        <v>62920</v>
      </c>
      <c r="G14" s="314">
        <f t="shared" si="1"/>
        <v>75504</v>
      </c>
    </row>
    <row r="15" spans="1:8" ht="15.75" x14ac:dyDescent="0.25">
      <c r="A15" s="311">
        <f t="shared" si="4"/>
        <v>8</v>
      </c>
      <c r="B15" s="316" t="s">
        <v>696</v>
      </c>
      <c r="C15" s="311" t="s">
        <v>193</v>
      </c>
      <c r="D15" s="313">
        <v>48.4</v>
      </c>
      <c r="E15" s="179">
        <v>899</v>
      </c>
      <c r="F15" s="314">
        <f t="shared" si="0"/>
        <v>43511.6</v>
      </c>
      <c r="G15" s="314">
        <f t="shared" si="1"/>
        <v>52213.919999999998</v>
      </c>
    </row>
    <row r="16" spans="1:8" ht="15.75" x14ac:dyDescent="0.25">
      <c r="A16" s="311"/>
      <c r="B16" s="319" t="s">
        <v>1354</v>
      </c>
      <c r="C16" s="311"/>
      <c r="D16" s="320"/>
      <c r="E16" s="179"/>
      <c r="F16" s="314"/>
      <c r="G16" s="314"/>
    </row>
    <row r="17" spans="1:7" ht="30" x14ac:dyDescent="0.25">
      <c r="A17" s="315">
        <f>A15+1</f>
        <v>9</v>
      </c>
      <c r="B17" s="316" t="s">
        <v>1522</v>
      </c>
      <c r="C17" s="311" t="s">
        <v>193</v>
      </c>
      <c r="D17" s="313">
        <v>21.2</v>
      </c>
      <c r="E17" s="324">
        <v>8711</v>
      </c>
      <c r="F17" s="314">
        <f t="shared" ref="F17:F21" si="5">ROUND(E17*D17,2)</f>
        <v>184673.2</v>
      </c>
      <c r="G17" s="314">
        <f t="shared" ref="G17:G21" si="6">ROUND(F17*1.2,2)</f>
        <v>221607.84</v>
      </c>
    </row>
    <row r="18" spans="1:7" ht="30" x14ac:dyDescent="0.25">
      <c r="A18" s="311">
        <f>A17+1</f>
        <v>10</v>
      </c>
      <c r="B18" s="316" t="s">
        <v>1523</v>
      </c>
      <c r="C18" s="311" t="s">
        <v>193</v>
      </c>
      <c r="D18" s="313">
        <v>4.05</v>
      </c>
      <c r="E18" s="324">
        <v>2776</v>
      </c>
      <c r="F18" s="314">
        <f t="shared" si="5"/>
        <v>11242.8</v>
      </c>
      <c r="G18" s="314">
        <f t="shared" si="6"/>
        <v>13491.36</v>
      </c>
    </row>
    <row r="19" spans="1:7" ht="30" x14ac:dyDescent="0.25">
      <c r="A19" s="311">
        <f t="shared" ref="A19:A21" si="7">A18+1</f>
        <v>11</v>
      </c>
      <c r="B19" s="316" t="s">
        <v>1524</v>
      </c>
      <c r="C19" s="311" t="s">
        <v>1525</v>
      </c>
      <c r="D19" s="313">
        <v>81.91</v>
      </c>
      <c r="E19" s="179">
        <v>1007.6976744186048</v>
      </c>
      <c r="F19" s="314">
        <f t="shared" si="5"/>
        <v>82540.52</v>
      </c>
      <c r="G19" s="314">
        <f t="shared" si="6"/>
        <v>99048.62</v>
      </c>
    </row>
    <row r="20" spans="1:7" ht="30" x14ac:dyDescent="0.25">
      <c r="A20" s="311">
        <f t="shared" si="7"/>
        <v>12</v>
      </c>
      <c r="B20" s="316" t="s">
        <v>934</v>
      </c>
      <c r="C20" s="318" t="s">
        <v>431</v>
      </c>
      <c r="D20" s="313">
        <v>81.91</v>
      </c>
      <c r="E20" s="179">
        <v>152</v>
      </c>
      <c r="F20" s="314">
        <f t="shared" si="5"/>
        <v>12450.32</v>
      </c>
      <c r="G20" s="314">
        <f t="shared" si="6"/>
        <v>14940.38</v>
      </c>
    </row>
    <row r="21" spans="1:7" ht="30" x14ac:dyDescent="0.25">
      <c r="A21" s="311">
        <f t="shared" si="7"/>
        <v>13</v>
      </c>
      <c r="B21" s="316" t="s">
        <v>935</v>
      </c>
      <c r="C21" s="311" t="s">
        <v>431</v>
      </c>
      <c r="D21" s="313">
        <v>81.91</v>
      </c>
      <c r="E21" s="179">
        <v>315.54000000000002</v>
      </c>
      <c r="F21" s="314">
        <f t="shared" si="5"/>
        <v>25845.88</v>
      </c>
      <c r="G21" s="314">
        <f t="shared" si="6"/>
        <v>31015.06</v>
      </c>
    </row>
    <row r="22" spans="1:7" ht="15.75" x14ac:dyDescent="0.25">
      <c r="A22" s="315"/>
      <c r="B22" s="319" t="s">
        <v>1526</v>
      </c>
      <c r="C22" s="311"/>
      <c r="D22" s="321"/>
      <c r="E22" s="179"/>
      <c r="F22" s="314"/>
      <c r="G22" s="314"/>
    </row>
    <row r="23" spans="1:7" ht="15.75" x14ac:dyDescent="0.25">
      <c r="A23" s="311">
        <f>A21+1</f>
        <v>14</v>
      </c>
      <c r="B23" s="316" t="s">
        <v>1527</v>
      </c>
      <c r="C23" s="311" t="s">
        <v>220</v>
      </c>
      <c r="D23" s="322">
        <v>2</v>
      </c>
      <c r="E23" s="179">
        <f>305428/D23</f>
        <v>152714</v>
      </c>
      <c r="F23" s="314">
        <f t="shared" ref="F23:F32" si="8">ROUND(E23*D23,2)</f>
        <v>305428</v>
      </c>
      <c r="G23" s="314">
        <f t="shared" ref="G23:G32" si="9">ROUND(F23*1.2,2)</f>
        <v>366513.6</v>
      </c>
    </row>
    <row r="24" spans="1:7" ht="18" customHeight="1" x14ac:dyDescent="0.25">
      <c r="A24" s="311">
        <f>A23+1</f>
        <v>15</v>
      </c>
      <c r="B24" s="316" t="s">
        <v>1528</v>
      </c>
      <c r="C24" s="311" t="s">
        <v>220</v>
      </c>
      <c r="D24" s="322">
        <v>2</v>
      </c>
      <c r="E24" s="179">
        <f>312344/D24</f>
        <v>156172</v>
      </c>
      <c r="F24" s="314">
        <f t="shared" si="8"/>
        <v>312344</v>
      </c>
      <c r="G24" s="314">
        <f t="shared" si="9"/>
        <v>374812.8</v>
      </c>
    </row>
    <row r="25" spans="1:7" ht="15.75" x14ac:dyDescent="0.25">
      <c r="A25" s="311">
        <f t="shared" ref="A25:A32" si="10">A24+1</f>
        <v>16</v>
      </c>
      <c r="B25" s="316" t="s">
        <v>1529</v>
      </c>
      <c r="C25" s="311" t="s">
        <v>220</v>
      </c>
      <c r="D25" s="322">
        <v>1</v>
      </c>
      <c r="E25" s="179">
        <f>194783/D25</f>
        <v>194783</v>
      </c>
      <c r="F25" s="314">
        <f t="shared" si="8"/>
        <v>194783</v>
      </c>
      <c r="G25" s="314">
        <f t="shared" si="9"/>
        <v>233739.6</v>
      </c>
    </row>
    <row r="26" spans="1:7" ht="30" x14ac:dyDescent="0.25">
      <c r="A26" s="311">
        <f t="shared" si="10"/>
        <v>17</v>
      </c>
      <c r="B26" s="316" t="s">
        <v>1530</v>
      </c>
      <c r="C26" s="311" t="s">
        <v>220</v>
      </c>
      <c r="D26" s="322">
        <v>1</v>
      </c>
      <c r="E26" s="179">
        <f>224279/D26</f>
        <v>224279</v>
      </c>
      <c r="F26" s="314">
        <f t="shared" si="8"/>
        <v>224279</v>
      </c>
      <c r="G26" s="314">
        <f t="shared" si="9"/>
        <v>269134.8</v>
      </c>
    </row>
    <row r="27" spans="1:7" ht="30" x14ac:dyDescent="0.25">
      <c r="A27" s="311">
        <f t="shared" si="10"/>
        <v>18</v>
      </c>
      <c r="B27" s="316" t="s">
        <v>1531</v>
      </c>
      <c r="C27" s="311" t="s">
        <v>220</v>
      </c>
      <c r="D27" s="322">
        <v>1</v>
      </c>
      <c r="E27" s="179">
        <v>136702</v>
      </c>
      <c r="F27" s="314">
        <f t="shared" si="8"/>
        <v>136702</v>
      </c>
      <c r="G27" s="314">
        <f t="shared" si="9"/>
        <v>164042.4</v>
      </c>
    </row>
    <row r="28" spans="1:7" ht="15.75" x14ac:dyDescent="0.25">
      <c r="A28" s="311">
        <f t="shared" si="10"/>
        <v>19</v>
      </c>
      <c r="B28" s="316" t="s">
        <v>1532</v>
      </c>
      <c r="C28" s="311" t="s">
        <v>239</v>
      </c>
      <c r="D28" s="323">
        <v>0.379</v>
      </c>
      <c r="E28" s="179">
        <f>18359/D28</f>
        <v>48440.633245382582</v>
      </c>
      <c r="F28" s="314">
        <f t="shared" si="8"/>
        <v>18359</v>
      </c>
      <c r="G28" s="314">
        <f t="shared" si="9"/>
        <v>22030.799999999999</v>
      </c>
    </row>
    <row r="29" spans="1:7" ht="15.75" x14ac:dyDescent="0.25">
      <c r="A29" s="311">
        <f t="shared" si="10"/>
        <v>20</v>
      </c>
      <c r="B29" s="316" t="s">
        <v>1533</v>
      </c>
      <c r="C29" s="311" t="s">
        <v>220</v>
      </c>
      <c r="D29" s="322">
        <v>5</v>
      </c>
      <c r="E29" s="179">
        <f>26352/D29</f>
        <v>5270.4</v>
      </c>
      <c r="F29" s="314">
        <f t="shared" si="8"/>
        <v>26352</v>
      </c>
      <c r="G29" s="314">
        <f t="shared" si="9"/>
        <v>31622.400000000001</v>
      </c>
    </row>
    <row r="30" spans="1:7" ht="30" x14ac:dyDescent="0.25">
      <c r="A30" s="66">
        <f t="shared" si="10"/>
        <v>21</v>
      </c>
      <c r="B30" s="67" t="s">
        <v>547</v>
      </c>
      <c r="C30" s="66" t="s">
        <v>431</v>
      </c>
      <c r="D30" s="160">
        <v>37</v>
      </c>
      <c r="E30" s="179">
        <v>182</v>
      </c>
      <c r="F30" s="105">
        <f t="shared" si="8"/>
        <v>6734</v>
      </c>
      <c r="G30" s="105">
        <f t="shared" si="9"/>
        <v>8080.8</v>
      </c>
    </row>
    <row r="31" spans="1:7" ht="15.75" x14ac:dyDescent="0.25">
      <c r="A31" s="66">
        <f t="shared" si="10"/>
        <v>22</v>
      </c>
      <c r="B31" s="67" t="s">
        <v>548</v>
      </c>
      <c r="C31" s="66" t="s">
        <v>431</v>
      </c>
      <c r="D31" s="160">
        <v>37</v>
      </c>
      <c r="E31" s="179">
        <v>182</v>
      </c>
      <c r="F31" s="105">
        <f t="shared" si="8"/>
        <v>6734</v>
      </c>
      <c r="G31" s="105">
        <f t="shared" si="9"/>
        <v>8080.8</v>
      </c>
    </row>
    <row r="32" spans="1:7" ht="30" x14ac:dyDescent="0.25">
      <c r="A32" s="66">
        <f t="shared" si="10"/>
        <v>23</v>
      </c>
      <c r="B32" s="253" t="s">
        <v>934</v>
      </c>
      <c r="C32" s="88" t="s">
        <v>431</v>
      </c>
      <c r="D32" s="160">
        <v>37</v>
      </c>
      <c r="E32" s="178">
        <v>152</v>
      </c>
      <c r="F32" s="107">
        <f t="shared" si="8"/>
        <v>5624</v>
      </c>
      <c r="G32" s="107">
        <f t="shared" si="9"/>
        <v>6748.8</v>
      </c>
    </row>
    <row r="33" spans="1:7" ht="28.5" x14ac:dyDescent="0.25">
      <c r="A33" s="66"/>
      <c r="B33" s="73" t="s">
        <v>1534</v>
      </c>
      <c r="C33" s="66"/>
      <c r="D33" s="68"/>
      <c r="E33" s="179"/>
      <c r="F33" s="105"/>
      <c r="G33" s="105"/>
    </row>
    <row r="34" spans="1:7" ht="18.75" customHeight="1" x14ac:dyDescent="0.25">
      <c r="A34" s="66"/>
      <c r="B34" s="62" t="s">
        <v>1535</v>
      </c>
      <c r="C34" s="66"/>
      <c r="D34" s="298"/>
      <c r="E34" s="179"/>
      <c r="F34" s="105"/>
      <c r="G34" s="105"/>
    </row>
    <row r="35" spans="1:7" ht="15.75" x14ac:dyDescent="0.25">
      <c r="A35" s="315">
        <f>A32+1</f>
        <v>24</v>
      </c>
      <c r="B35" s="316" t="s">
        <v>1624</v>
      </c>
      <c r="C35" s="311" t="s">
        <v>431</v>
      </c>
      <c r="D35" s="322">
        <v>280</v>
      </c>
      <c r="E35" s="179">
        <v>792.12</v>
      </c>
      <c r="F35" s="314">
        <f t="shared" ref="F35" si="11">ROUND(E35*D35,2)</f>
        <v>221793.6</v>
      </c>
      <c r="G35" s="314">
        <f t="shared" ref="G35" si="12">ROUND(F35*1.2,2)</f>
        <v>266152.32000000001</v>
      </c>
    </row>
    <row r="36" spans="1:7" ht="15.75" x14ac:dyDescent="0.25">
      <c r="A36" s="315">
        <f>A35+1</f>
        <v>25</v>
      </c>
      <c r="B36" s="312" t="s">
        <v>1613</v>
      </c>
      <c r="C36" s="311" t="s">
        <v>239</v>
      </c>
      <c r="D36" s="313">
        <v>47.98</v>
      </c>
      <c r="E36" s="179">
        <v>3460</v>
      </c>
      <c r="F36" s="314">
        <f t="shared" ref="F36:F42" si="13">ROUND(E36*D36,2)</f>
        <v>166010.79999999999</v>
      </c>
      <c r="G36" s="314">
        <f t="shared" ref="G36:G42" si="14">ROUND(F36*1.2,2)</f>
        <v>199212.96</v>
      </c>
    </row>
    <row r="37" spans="1:7" ht="15.75" x14ac:dyDescent="0.25">
      <c r="A37" s="315">
        <f>A35+1</f>
        <v>25</v>
      </c>
      <c r="B37" s="316" t="s">
        <v>1521</v>
      </c>
      <c r="C37" s="311" t="s">
        <v>193</v>
      </c>
      <c r="D37" s="325">
        <v>259.2</v>
      </c>
      <c r="E37" s="179">
        <v>325</v>
      </c>
      <c r="F37" s="314">
        <f t="shared" si="13"/>
        <v>84240</v>
      </c>
      <c r="G37" s="314">
        <f t="shared" si="14"/>
        <v>101088</v>
      </c>
    </row>
    <row r="38" spans="1:7" ht="15.75" x14ac:dyDescent="0.25">
      <c r="A38" s="315">
        <f t="shared" ref="A38:A42" si="15">A37+1</f>
        <v>26</v>
      </c>
      <c r="B38" s="316" t="s">
        <v>444</v>
      </c>
      <c r="C38" s="311" t="s">
        <v>193</v>
      </c>
      <c r="D38" s="326">
        <v>4.54</v>
      </c>
      <c r="E38" s="179">
        <v>1777</v>
      </c>
      <c r="F38" s="314">
        <f t="shared" si="13"/>
        <v>8067.58</v>
      </c>
      <c r="G38" s="314">
        <f t="shared" si="14"/>
        <v>9681.1</v>
      </c>
    </row>
    <row r="39" spans="1:7" ht="15.75" x14ac:dyDescent="0.25">
      <c r="A39" s="315">
        <f t="shared" si="15"/>
        <v>27</v>
      </c>
      <c r="B39" s="316" t="s">
        <v>518</v>
      </c>
      <c r="C39" s="311" t="s">
        <v>239</v>
      </c>
      <c r="D39" s="317">
        <v>34.799999999999997</v>
      </c>
      <c r="E39" s="179">
        <v>325</v>
      </c>
      <c r="F39" s="314">
        <f t="shared" si="13"/>
        <v>11310</v>
      </c>
      <c r="G39" s="314">
        <f t="shared" si="14"/>
        <v>13572</v>
      </c>
    </row>
    <row r="40" spans="1:7" ht="15.75" x14ac:dyDescent="0.25">
      <c r="A40" s="315">
        <f t="shared" si="15"/>
        <v>28</v>
      </c>
      <c r="B40" s="316" t="s">
        <v>503</v>
      </c>
      <c r="C40" s="311" t="s">
        <v>239</v>
      </c>
      <c r="D40" s="317">
        <v>34.799999999999997</v>
      </c>
      <c r="E40" s="179">
        <v>3460</v>
      </c>
      <c r="F40" s="314">
        <f t="shared" si="13"/>
        <v>120408</v>
      </c>
      <c r="G40" s="314">
        <f t="shared" si="14"/>
        <v>144489.60000000001</v>
      </c>
    </row>
    <row r="41" spans="1:7" ht="15.75" x14ac:dyDescent="0.25">
      <c r="A41" s="315">
        <f t="shared" si="15"/>
        <v>29</v>
      </c>
      <c r="B41" s="316" t="s">
        <v>537</v>
      </c>
      <c r="C41" s="311" t="s">
        <v>193</v>
      </c>
      <c r="D41" s="326">
        <v>228.41</v>
      </c>
      <c r="E41" s="179">
        <v>325</v>
      </c>
      <c r="F41" s="314">
        <f t="shared" si="13"/>
        <v>74233.25</v>
      </c>
      <c r="G41" s="314">
        <f t="shared" si="14"/>
        <v>89079.9</v>
      </c>
    </row>
    <row r="42" spans="1:7" ht="15.75" x14ac:dyDescent="0.25">
      <c r="A42" s="315">
        <f t="shared" si="15"/>
        <v>30</v>
      </c>
      <c r="B42" s="316" t="s">
        <v>696</v>
      </c>
      <c r="C42" s="311" t="s">
        <v>193</v>
      </c>
      <c r="D42" s="325">
        <v>57.1</v>
      </c>
      <c r="E42" s="179">
        <v>899</v>
      </c>
      <c r="F42" s="314">
        <f t="shared" si="13"/>
        <v>51332.9</v>
      </c>
      <c r="G42" s="314">
        <f t="shared" si="14"/>
        <v>61599.48</v>
      </c>
    </row>
    <row r="43" spans="1:7" ht="15.75" x14ac:dyDescent="0.25">
      <c r="A43" s="315"/>
      <c r="B43" s="319" t="s">
        <v>1536</v>
      </c>
      <c r="C43" s="311"/>
      <c r="D43" s="321"/>
      <c r="E43" s="179"/>
      <c r="F43" s="314"/>
      <c r="G43" s="314"/>
    </row>
    <row r="44" spans="1:7" ht="15.75" x14ac:dyDescent="0.25">
      <c r="A44" s="311">
        <f>A42+1</f>
        <v>31</v>
      </c>
      <c r="B44" s="316" t="s">
        <v>1537</v>
      </c>
      <c r="C44" s="311" t="s">
        <v>193</v>
      </c>
      <c r="D44" s="325">
        <v>21.2</v>
      </c>
      <c r="E44" s="324">
        <v>6707</v>
      </c>
      <c r="F44" s="314">
        <f t="shared" ref="F44" si="16">ROUND(E44*D44,2)</f>
        <v>142188.4</v>
      </c>
      <c r="G44" s="314">
        <f t="shared" ref="G44" si="17">ROUND(F44*1.2,2)</f>
        <v>170626.08</v>
      </c>
    </row>
    <row r="45" spans="1:7" ht="15.75" x14ac:dyDescent="0.25">
      <c r="A45" s="311"/>
      <c r="B45" s="319" t="s">
        <v>1538</v>
      </c>
      <c r="C45" s="311"/>
      <c r="D45" s="321"/>
      <c r="E45" s="179"/>
      <c r="F45" s="314"/>
      <c r="G45" s="314"/>
    </row>
    <row r="46" spans="1:7" ht="15.75" x14ac:dyDescent="0.25">
      <c r="A46" s="315">
        <f>A44+1</f>
        <v>32</v>
      </c>
      <c r="B46" s="316" t="s">
        <v>1539</v>
      </c>
      <c r="C46" s="311" t="s">
        <v>220</v>
      </c>
      <c r="D46" s="327" t="s">
        <v>586</v>
      </c>
      <c r="E46" s="179">
        <v>73325</v>
      </c>
      <c r="F46" s="314">
        <f t="shared" ref="F46:F54" si="18">ROUND(E46*D46,2)</f>
        <v>293300</v>
      </c>
      <c r="G46" s="314">
        <f t="shared" ref="G46:G54" si="19">ROUND(F46*1.2,2)</f>
        <v>351960</v>
      </c>
    </row>
    <row r="47" spans="1:7" ht="30" x14ac:dyDescent="0.25">
      <c r="A47" s="311">
        <f>A46+1</f>
        <v>33</v>
      </c>
      <c r="B47" s="316" t="s">
        <v>1540</v>
      </c>
      <c r="C47" s="311" t="s">
        <v>220</v>
      </c>
      <c r="D47" s="327" t="s">
        <v>781</v>
      </c>
      <c r="E47" s="179">
        <v>8631</v>
      </c>
      <c r="F47" s="314">
        <f t="shared" si="18"/>
        <v>51786</v>
      </c>
      <c r="G47" s="314">
        <f t="shared" si="19"/>
        <v>62143.199999999997</v>
      </c>
    </row>
    <row r="48" spans="1:7" ht="15.75" x14ac:dyDescent="0.25">
      <c r="A48" s="311">
        <f t="shared" ref="A48:A54" si="20">A47+1</f>
        <v>34</v>
      </c>
      <c r="B48" s="316" t="s">
        <v>1541</v>
      </c>
      <c r="C48" s="311" t="s">
        <v>254</v>
      </c>
      <c r="D48" s="322">
        <v>1480</v>
      </c>
      <c r="E48" s="179">
        <f>48865/D48</f>
        <v>33.016891891891895</v>
      </c>
      <c r="F48" s="314">
        <f t="shared" si="18"/>
        <v>48865</v>
      </c>
      <c r="G48" s="314">
        <f t="shared" si="19"/>
        <v>58638</v>
      </c>
    </row>
    <row r="49" spans="1:8" ht="15.75" x14ac:dyDescent="0.25">
      <c r="A49" s="311">
        <f t="shared" si="20"/>
        <v>35</v>
      </c>
      <c r="B49" s="316" t="s">
        <v>1542</v>
      </c>
      <c r="C49" s="311" t="s">
        <v>220</v>
      </c>
      <c r="D49" s="327" t="s">
        <v>762</v>
      </c>
      <c r="E49" s="179">
        <v>239182</v>
      </c>
      <c r="F49" s="314">
        <f t="shared" si="18"/>
        <v>239182</v>
      </c>
      <c r="G49" s="314">
        <f t="shared" si="19"/>
        <v>287018.40000000002</v>
      </c>
    </row>
    <row r="50" spans="1:8" ht="15.75" x14ac:dyDescent="0.25">
      <c r="A50" s="311">
        <f t="shared" si="20"/>
        <v>36</v>
      </c>
      <c r="B50" s="316" t="s">
        <v>1543</v>
      </c>
      <c r="C50" s="311" t="s">
        <v>220</v>
      </c>
      <c r="D50" s="327" t="s">
        <v>762</v>
      </c>
      <c r="E50" s="179">
        <v>252711</v>
      </c>
      <c r="F50" s="314">
        <f t="shared" si="18"/>
        <v>252711</v>
      </c>
      <c r="G50" s="314">
        <f t="shared" si="19"/>
        <v>303253.2</v>
      </c>
    </row>
    <row r="51" spans="1:8" ht="15.75" x14ac:dyDescent="0.25">
      <c r="A51" s="311">
        <f t="shared" si="20"/>
        <v>37</v>
      </c>
      <c r="B51" s="316" t="s">
        <v>1544</v>
      </c>
      <c r="C51" s="311" t="s">
        <v>220</v>
      </c>
      <c r="D51" s="327" t="s">
        <v>762</v>
      </c>
      <c r="E51" s="179">
        <v>234827</v>
      </c>
      <c r="F51" s="314">
        <f t="shared" si="18"/>
        <v>234827</v>
      </c>
      <c r="G51" s="314">
        <f t="shared" si="19"/>
        <v>281792.40000000002</v>
      </c>
    </row>
    <row r="52" spans="1:8" ht="30" x14ac:dyDescent="0.25">
      <c r="A52" s="311">
        <f t="shared" si="20"/>
        <v>38</v>
      </c>
      <c r="B52" s="316" t="s">
        <v>1545</v>
      </c>
      <c r="C52" s="311" t="s">
        <v>220</v>
      </c>
      <c r="D52" s="327" t="s">
        <v>796</v>
      </c>
      <c r="E52" s="179">
        <f>47121/D52</f>
        <v>3926.75</v>
      </c>
      <c r="F52" s="314">
        <f t="shared" si="18"/>
        <v>47121</v>
      </c>
      <c r="G52" s="314">
        <f t="shared" si="19"/>
        <v>56545.2</v>
      </c>
    </row>
    <row r="53" spans="1:8" ht="15.75" x14ac:dyDescent="0.25">
      <c r="A53" s="328">
        <f t="shared" si="20"/>
        <v>39</v>
      </c>
      <c r="B53" s="331" t="s">
        <v>921</v>
      </c>
      <c r="C53" s="328" t="s">
        <v>239</v>
      </c>
      <c r="D53" s="332">
        <f>3.772+0.69+1.48+3.076+3.25+3.02+0.606</f>
        <v>15.894</v>
      </c>
      <c r="E53" s="329">
        <f>8660/D53</f>
        <v>544.85969548257208</v>
      </c>
      <c r="F53" s="333">
        <f t="shared" si="18"/>
        <v>8660</v>
      </c>
      <c r="G53" s="333">
        <f t="shared" si="19"/>
        <v>10392</v>
      </c>
      <c r="H53" s="218" t="s">
        <v>1625</v>
      </c>
    </row>
    <row r="54" spans="1:8" ht="30" x14ac:dyDescent="0.25">
      <c r="A54" s="328">
        <f t="shared" si="20"/>
        <v>40</v>
      </c>
      <c r="B54" s="331" t="s">
        <v>1546</v>
      </c>
      <c r="C54" s="328" t="s">
        <v>239</v>
      </c>
      <c r="D54" s="332">
        <f>3.772+0.69+1.48+3.076+3.25+3.02+0.606</f>
        <v>15.894</v>
      </c>
      <c r="E54" s="329">
        <v>3460</v>
      </c>
      <c r="F54" s="333">
        <f t="shared" si="18"/>
        <v>54993.24</v>
      </c>
      <c r="G54" s="333">
        <f t="shared" si="19"/>
        <v>65991.89</v>
      </c>
      <c r="H54" s="218" t="s">
        <v>1625</v>
      </c>
    </row>
    <row r="55" spans="1:8" ht="15.75" x14ac:dyDescent="0.25">
      <c r="A55" s="66"/>
      <c r="B55" s="300" t="s">
        <v>1547</v>
      </c>
      <c r="C55" s="301"/>
      <c r="D55" s="302"/>
      <c r="E55" s="179"/>
      <c r="F55" s="105"/>
      <c r="H55" s="476">
        <f>SUM(G57:G99)</f>
        <v>2202241.4500000002</v>
      </c>
    </row>
    <row r="56" spans="1:8" ht="15.75" x14ac:dyDescent="0.25">
      <c r="A56" s="257"/>
      <c r="B56" s="303" t="s">
        <v>1548</v>
      </c>
      <c r="C56" s="301"/>
      <c r="D56" s="302"/>
      <c r="E56" s="179"/>
      <c r="F56" s="105"/>
      <c r="G56" s="105"/>
    </row>
    <row r="57" spans="1:8" ht="30" x14ac:dyDescent="0.25">
      <c r="A57" s="311">
        <f>A54+1</f>
        <v>41</v>
      </c>
      <c r="B57" s="316" t="s">
        <v>1549</v>
      </c>
      <c r="C57" s="311" t="s">
        <v>220</v>
      </c>
      <c r="D57" s="321">
        <v>3</v>
      </c>
      <c r="E57" s="179">
        <v>52131</v>
      </c>
      <c r="F57" s="314">
        <f t="shared" ref="F57" si="21">ROUND(E57*D57,2)</f>
        <v>156393</v>
      </c>
      <c r="G57" s="314">
        <f t="shared" ref="G57" si="22">ROUND(F57*1.2,2)</f>
        <v>187671.6</v>
      </c>
    </row>
    <row r="58" spans="1:8" ht="15.75" x14ac:dyDescent="0.25">
      <c r="A58" s="66"/>
      <c r="B58" s="73" t="s">
        <v>513</v>
      </c>
      <c r="C58" s="66"/>
      <c r="D58" s="298"/>
      <c r="E58" s="179"/>
      <c r="F58" s="105"/>
      <c r="G58" s="105"/>
    </row>
    <row r="59" spans="1:8" ht="15.75" x14ac:dyDescent="0.25">
      <c r="A59" s="257">
        <f>A57+1</f>
        <v>42</v>
      </c>
      <c r="B59" s="67" t="s">
        <v>1521</v>
      </c>
      <c r="C59" s="66" t="s">
        <v>193</v>
      </c>
      <c r="D59" s="299">
        <v>259.2</v>
      </c>
      <c r="E59" s="179">
        <v>325</v>
      </c>
      <c r="F59" s="105">
        <f t="shared" ref="F59:F64" si="23">ROUND(E59*D59,2)</f>
        <v>84240</v>
      </c>
      <c r="G59" s="105">
        <f t="shared" ref="G59:G64" si="24">ROUND(F59*1.2,2)</f>
        <v>101088</v>
      </c>
    </row>
    <row r="60" spans="1:8" ht="15.75" x14ac:dyDescent="0.25">
      <c r="A60" s="66">
        <f>A59+1</f>
        <v>43</v>
      </c>
      <c r="B60" s="67" t="s">
        <v>444</v>
      </c>
      <c r="C60" s="66" t="s">
        <v>193</v>
      </c>
      <c r="D60" s="212">
        <v>11</v>
      </c>
      <c r="E60" s="179">
        <v>1777</v>
      </c>
      <c r="F60" s="105">
        <f t="shared" si="23"/>
        <v>19547</v>
      </c>
      <c r="G60" s="105">
        <f t="shared" si="24"/>
        <v>23456.400000000001</v>
      </c>
    </row>
    <row r="61" spans="1:8" ht="15.75" x14ac:dyDescent="0.25">
      <c r="A61" s="66">
        <f t="shared" ref="A61:A64" si="25">A60+1</f>
        <v>44</v>
      </c>
      <c r="B61" s="67" t="s">
        <v>518</v>
      </c>
      <c r="C61" s="66" t="s">
        <v>239</v>
      </c>
      <c r="D61" s="68">
        <v>16.32</v>
      </c>
      <c r="E61" s="179">
        <v>325</v>
      </c>
      <c r="F61" s="105">
        <f t="shared" si="23"/>
        <v>5304</v>
      </c>
      <c r="G61" s="105">
        <f t="shared" si="24"/>
        <v>6364.8</v>
      </c>
    </row>
    <row r="62" spans="1:8" ht="15.75" x14ac:dyDescent="0.25">
      <c r="A62" s="66">
        <f t="shared" si="25"/>
        <v>45</v>
      </c>
      <c r="B62" s="67" t="s">
        <v>503</v>
      </c>
      <c r="C62" s="66" t="s">
        <v>239</v>
      </c>
      <c r="D62" s="236">
        <v>16.32</v>
      </c>
      <c r="E62" s="179">
        <v>3460</v>
      </c>
      <c r="F62" s="105">
        <f t="shared" si="23"/>
        <v>56467.199999999997</v>
      </c>
      <c r="G62" s="105">
        <f t="shared" si="24"/>
        <v>67760.639999999999</v>
      </c>
    </row>
    <row r="63" spans="1:8" ht="15.75" x14ac:dyDescent="0.25">
      <c r="A63" s="66">
        <f t="shared" si="25"/>
        <v>46</v>
      </c>
      <c r="B63" s="67" t="s">
        <v>537</v>
      </c>
      <c r="C63" s="66" t="s">
        <v>193</v>
      </c>
      <c r="D63" s="212">
        <v>521</v>
      </c>
      <c r="E63" s="179">
        <v>325</v>
      </c>
      <c r="F63" s="105">
        <f t="shared" si="23"/>
        <v>169325</v>
      </c>
      <c r="G63" s="105">
        <f t="shared" si="24"/>
        <v>203190</v>
      </c>
    </row>
    <row r="64" spans="1:8" ht="15.75" x14ac:dyDescent="0.25">
      <c r="A64" s="66">
        <f t="shared" si="25"/>
        <v>47</v>
      </c>
      <c r="B64" s="67" t="s">
        <v>696</v>
      </c>
      <c r="C64" s="66" t="s">
        <v>193</v>
      </c>
      <c r="D64" s="299">
        <v>130.19999999999999</v>
      </c>
      <c r="E64" s="179">
        <v>899</v>
      </c>
      <c r="F64" s="105">
        <f t="shared" si="23"/>
        <v>117049.8</v>
      </c>
      <c r="G64" s="105">
        <f t="shared" si="24"/>
        <v>140459.76</v>
      </c>
    </row>
    <row r="65" spans="1:8" ht="19.5" customHeight="1" x14ac:dyDescent="0.25">
      <c r="A65" s="66"/>
      <c r="B65" s="303" t="s">
        <v>1550</v>
      </c>
      <c r="C65" s="66"/>
      <c r="D65" s="298"/>
      <c r="E65" s="179"/>
      <c r="F65" s="105"/>
      <c r="G65" s="105"/>
    </row>
    <row r="66" spans="1:8" ht="30" x14ac:dyDescent="0.25">
      <c r="A66" s="311">
        <f>A64+1</f>
        <v>48</v>
      </c>
      <c r="B66" s="316" t="s">
        <v>1615</v>
      </c>
      <c r="C66" s="311" t="s">
        <v>220</v>
      </c>
      <c r="D66" s="322">
        <v>3</v>
      </c>
      <c r="E66" s="179">
        <v>68000</v>
      </c>
      <c r="F66" s="314">
        <f t="shared" ref="F66" si="26">ROUND(E66*D66,2)</f>
        <v>204000</v>
      </c>
      <c r="G66" s="314">
        <f t="shared" ref="G66" si="27">ROUND(F66*1.2,2)</f>
        <v>244800</v>
      </c>
    </row>
    <row r="67" spans="1:8" ht="21.75" customHeight="1" x14ac:dyDescent="0.25">
      <c r="A67" s="66"/>
      <c r="B67" s="303" t="s">
        <v>1551</v>
      </c>
      <c r="C67" s="66"/>
      <c r="D67" s="298"/>
      <c r="E67" s="179"/>
      <c r="F67" s="105"/>
      <c r="G67" s="105"/>
    </row>
    <row r="68" spans="1:8" ht="15.75" x14ac:dyDescent="0.25">
      <c r="A68" s="66"/>
      <c r="B68" s="303" t="s">
        <v>1552</v>
      </c>
      <c r="C68" s="66"/>
      <c r="D68" s="298"/>
      <c r="E68" s="179"/>
      <c r="F68" s="105"/>
      <c r="G68" s="105"/>
    </row>
    <row r="69" spans="1:8" ht="15.75" x14ac:dyDescent="0.25">
      <c r="A69" s="311">
        <f>A66+1</f>
        <v>49</v>
      </c>
      <c r="B69" s="316" t="s">
        <v>1614</v>
      </c>
      <c r="C69" s="311" t="s">
        <v>220</v>
      </c>
      <c r="D69" s="322">
        <v>1</v>
      </c>
      <c r="E69" s="179">
        <v>49021</v>
      </c>
      <c r="F69" s="314">
        <f t="shared" ref="F69" si="28">ROUND(E69*D69,2)</f>
        <v>49021</v>
      </c>
      <c r="G69" s="314">
        <f t="shared" ref="G69" si="29">ROUND(F69*1.2,2)</f>
        <v>58825.2</v>
      </c>
    </row>
    <row r="70" spans="1:8" ht="15.75" x14ac:dyDescent="0.25">
      <c r="A70" s="311"/>
      <c r="B70" s="334" t="s">
        <v>1553</v>
      </c>
      <c r="C70" s="311"/>
      <c r="D70" s="321"/>
      <c r="E70" s="179"/>
      <c r="F70" s="314"/>
      <c r="G70" s="314"/>
    </row>
    <row r="71" spans="1:8" ht="30" x14ac:dyDescent="0.25">
      <c r="A71" s="311">
        <f>A69+1</f>
        <v>50</v>
      </c>
      <c r="B71" s="316" t="s">
        <v>1616</v>
      </c>
      <c r="C71" s="311" t="s">
        <v>220</v>
      </c>
      <c r="D71" s="322">
        <v>1</v>
      </c>
      <c r="E71" s="179">
        <v>75230</v>
      </c>
      <c r="F71" s="314">
        <f t="shared" ref="F71:F73" si="30">ROUND(E71*D71,2)</f>
        <v>75230</v>
      </c>
      <c r="G71" s="314">
        <f t="shared" ref="G71:G73" si="31">ROUND(F71*1.2,2)</f>
        <v>90276</v>
      </c>
    </row>
    <row r="72" spans="1:8" ht="15.75" x14ac:dyDescent="0.25">
      <c r="A72" s="328">
        <f t="shared" ref="A72:A73" si="32">A71+1</f>
        <v>51</v>
      </c>
      <c r="B72" s="331" t="s">
        <v>921</v>
      </c>
      <c r="C72" s="328" t="s">
        <v>239</v>
      </c>
      <c r="D72" s="332">
        <f>25.2+2.52+1.3</f>
        <v>29.02</v>
      </c>
      <c r="E72" s="329">
        <v>436.23</v>
      </c>
      <c r="F72" s="333">
        <f t="shared" si="30"/>
        <v>12659.39</v>
      </c>
      <c r="G72" s="333">
        <f t="shared" si="31"/>
        <v>15191.27</v>
      </c>
      <c r="H72" s="218" t="s">
        <v>1625</v>
      </c>
    </row>
    <row r="73" spans="1:8" ht="30" x14ac:dyDescent="0.25">
      <c r="A73" s="328">
        <f t="shared" si="32"/>
        <v>52</v>
      </c>
      <c r="B73" s="331" t="s">
        <v>855</v>
      </c>
      <c r="C73" s="328" t="s">
        <v>239</v>
      </c>
      <c r="D73" s="332">
        <f>25.2+2.52+1.3</f>
        <v>29.02</v>
      </c>
      <c r="E73" s="329">
        <v>3460</v>
      </c>
      <c r="F73" s="333">
        <f t="shared" si="30"/>
        <v>100409.2</v>
      </c>
      <c r="G73" s="333">
        <f t="shared" si="31"/>
        <v>120491.04</v>
      </c>
      <c r="H73" s="218" t="s">
        <v>1625</v>
      </c>
    </row>
    <row r="74" spans="1:8" ht="21.75" customHeight="1" x14ac:dyDescent="0.25">
      <c r="A74" s="66"/>
      <c r="B74" s="303" t="s">
        <v>1554</v>
      </c>
      <c r="C74" s="66"/>
      <c r="D74" s="298"/>
      <c r="E74" s="179"/>
      <c r="F74" s="105"/>
      <c r="G74" s="105"/>
    </row>
    <row r="75" spans="1:8" ht="19.5" customHeight="1" x14ac:dyDescent="0.25">
      <c r="A75" s="66"/>
      <c r="B75" s="73" t="s">
        <v>513</v>
      </c>
      <c r="C75" s="66"/>
      <c r="D75" s="298"/>
      <c r="E75" s="179"/>
      <c r="F75" s="105"/>
      <c r="G75" s="105"/>
    </row>
    <row r="76" spans="1:8" ht="15.75" x14ac:dyDescent="0.25">
      <c r="A76" s="66">
        <f>A73+1</f>
        <v>53</v>
      </c>
      <c r="B76" s="67" t="s">
        <v>1521</v>
      </c>
      <c r="C76" s="66" t="s">
        <v>193</v>
      </c>
      <c r="D76" s="299">
        <v>259.2</v>
      </c>
      <c r="E76" s="179">
        <v>325</v>
      </c>
      <c r="F76" s="105">
        <f t="shared" ref="F76:F81" si="33">ROUND(E76*D76,2)</f>
        <v>84240</v>
      </c>
      <c r="G76" s="105">
        <f t="shared" ref="G76:G81" si="34">ROUND(F76*1.2,2)</f>
        <v>101088</v>
      </c>
    </row>
    <row r="77" spans="1:8" ht="15.75" x14ac:dyDescent="0.25">
      <c r="A77" s="66">
        <f>A76+1</f>
        <v>54</v>
      </c>
      <c r="B77" s="67" t="s">
        <v>444</v>
      </c>
      <c r="C77" s="66" t="s">
        <v>193</v>
      </c>
      <c r="D77" s="212">
        <v>11</v>
      </c>
      <c r="E77" s="179">
        <v>1777</v>
      </c>
      <c r="F77" s="105">
        <f t="shared" si="33"/>
        <v>19547</v>
      </c>
      <c r="G77" s="105">
        <f t="shared" si="34"/>
        <v>23456.400000000001</v>
      </c>
    </row>
    <row r="78" spans="1:8" ht="15.75" x14ac:dyDescent="0.25">
      <c r="A78" s="66">
        <f t="shared" ref="A78:A81" si="35">A77+1</f>
        <v>55</v>
      </c>
      <c r="B78" s="67" t="s">
        <v>518</v>
      </c>
      <c r="C78" s="66" t="s">
        <v>239</v>
      </c>
      <c r="D78" s="68">
        <v>5.44</v>
      </c>
      <c r="E78" s="179">
        <v>325</v>
      </c>
      <c r="F78" s="105">
        <f t="shared" si="33"/>
        <v>1768</v>
      </c>
      <c r="G78" s="105">
        <f t="shared" si="34"/>
        <v>2121.6</v>
      </c>
    </row>
    <row r="79" spans="1:8" ht="15.75" x14ac:dyDescent="0.25">
      <c r="A79" s="66">
        <f t="shared" si="35"/>
        <v>56</v>
      </c>
      <c r="B79" s="67" t="s">
        <v>503</v>
      </c>
      <c r="C79" s="66" t="s">
        <v>239</v>
      </c>
      <c r="D79" s="236">
        <v>5.44</v>
      </c>
      <c r="E79" s="179">
        <v>3460</v>
      </c>
      <c r="F79" s="105">
        <f t="shared" si="33"/>
        <v>18822.400000000001</v>
      </c>
      <c r="G79" s="105">
        <f t="shared" si="34"/>
        <v>22586.880000000001</v>
      </c>
    </row>
    <row r="80" spans="1:8" ht="15.75" x14ac:dyDescent="0.25">
      <c r="A80" s="66">
        <f t="shared" si="35"/>
        <v>57</v>
      </c>
      <c r="B80" s="67" t="s">
        <v>537</v>
      </c>
      <c r="C80" s="66" t="s">
        <v>193</v>
      </c>
      <c r="D80" s="212">
        <v>166.64</v>
      </c>
      <c r="E80" s="179">
        <v>325</v>
      </c>
      <c r="F80" s="105">
        <f t="shared" si="33"/>
        <v>54158</v>
      </c>
      <c r="G80" s="105">
        <f t="shared" si="34"/>
        <v>64989.599999999999</v>
      </c>
    </row>
    <row r="81" spans="1:8" ht="15.75" x14ac:dyDescent="0.25">
      <c r="A81" s="66">
        <f t="shared" si="35"/>
        <v>58</v>
      </c>
      <c r="B81" s="67" t="s">
        <v>696</v>
      </c>
      <c r="C81" s="66" t="s">
        <v>193</v>
      </c>
      <c r="D81" s="212">
        <v>41.66</v>
      </c>
      <c r="E81" s="179">
        <v>899</v>
      </c>
      <c r="F81" s="105">
        <f t="shared" si="33"/>
        <v>37452.339999999997</v>
      </c>
      <c r="G81" s="105">
        <f t="shared" si="34"/>
        <v>44942.81</v>
      </c>
    </row>
    <row r="82" spans="1:8" ht="15.75" x14ac:dyDescent="0.25">
      <c r="A82" s="66"/>
      <c r="B82" s="73" t="s">
        <v>1555</v>
      </c>
      <c r="C82" s="66"/>
      <c r="D82" s="298"/>
      <c r="E82" s="179"/>
      <c r="F82" s="105"/>
      <c r="G82" s="105"/>
    </row>
    <row r="83" spans="1:8" ht="30" x14ac:dyDescent="0.25">
      <c r="A83" s="315">
        <f>A81+1</f>
        <v>59</v>
      </c>
      <c r="B83" s="316" t="s">
        <v>1556</v>
      </c>
      <c r="C83" s="311" t="s">
        <v>193</v>
      </c>
      <c r="D83" s="326">
        <v>0.46</v>
      </c>
      <c r="E83" s="179">
        <v>2776</v>
      </c>
      <c r="F83" s="314">
        <f t="shared" ref="F83:F86" si="36">ROUND(E83*D83,2)</f>
        <v>1276.96</v>
      </c>
      <c r="G83" s="314">
        <f t="shared" ref="G83:G86" si="37">ROUND(F83*1.2,2)</f>
        <v>1532.35</v>
      </c>
      <c r="H83" s="281"/>
    </row>
    <row r="84" spans="1:8" ht="30" x14ac:dyDescent="0.25">
      <c r="A84" s="315">
        <f>A83+1</f>
        <v>60</v>
      </c>
      <c r="B84" s="316" t="s">
        <v>1617</v>
      </c>
      <c r="C84" s="311" t="s">
        <v>220</v>
      </c>
      <c r="D84" s="322">
        <v>3</v>
      </c>
      <c r="E84" s="179">
        <v>68000</v>
      </c>
      <c r="F84" s="314">
        <f t="shared" si="36"/>
        <v>204000</v>
      </c>
      <c r="G84" s="314">
        <f t="shared" si="37"/>
        <v>244800</v>
      </c>
      <c r="H84" s="310"/>
    </row>
    <row r="85" spans="1:8" ht="30" x14ac:dyDescent="0.25">
      <c r="A85" s="311">
        <f t="shared" ref="A85:A86" si="38">A84+1</f>
        <v>61</v>
      </c>
      <c r="B85" s="316" t="s">
        <v>934</v>
      </c>
      <c r="C85" s="318" t="s">
        <v>431</v>
      </c>
      <c r="D85" s="313">
        <v>50.4</v>
      </c>
      <c r="E85" s="179">
        <v>152</v>
      </c>
      <c r="F85" s="314">
        <f t="shared" si="36"/>
        <v>7660.8</v>
      </c>
      <c r="G85" s="314">
        <f t="shared" si="37"/>
        <v>9192.9599999999991</v>
      </c>
    </row>
    <row r="86" spans="1:8" ht="30" x14ac:dyDescent="0.25">
      <c r="A86" s="311">
        <f t="shared" si="38"/>
        <v>62</v>
      </c>
      <c r="B86" s="316" t="s">
        <v>935</v>
      </c>
      <c r="C86" s="311" t="s">
        <v>431</v>
      </c>
      <c r="D86" s="313">
        <v>50.4</v>
      </c>
      <c r="E86" s="179">
        <v>315.54000000000002</v>
      </c>
      <c r="F86" s="314">
        <f t="shared" si="36"/>
        <v>15903.22</v>
      </c>
      <c r="G86" s="314">
        <f t="shared" si="37"/>
        <v>19083.86</v>
      </c>
    </row>
    <row r="87" spans="1:8" ht="15.75" x14ac:dyDescent="0.25">
      <c r="A87" s="315"/>
      <c r="B87" s="319" t="s">
        <v>1557</v>
      </c>
      <c r="C87" s="311"/>
      <c r="D87" s="321"/>
      <c r="E87" s="179"/>
      <c r="F87" s="314"/>
      <c r="G87" s="314"/>
    </row>
    <row r="88" spans="1:8" ht="35.25" customHeight="1" x14ac:dyDescent="0.25">
      <c r="A88" s="315">
        <f>A86+1</f>
        <v>63</v>
      </c>
      <c r="B88" s="316" t="s">
        <v>1558</v>
      </c>
      <c r="C88" s="311" t="s">
        <v>220</v>
      </c>
      <c r="D88" s="322">
        <v>3</v>
      </c>
      <c r="E88" s="179">
        <v>61950</v>
      </c>
      <c r="F88" s="314">
        <f t="shared" ref="F88:F90" si="39">ROUND(E88*D88,2)</f>
        <v>185850</v>
      </c>
      <c r="G88" s="314">
        <f t="shared" ref="G88:G90" si="40">ROUND(F88*1.2,2)</f>
        <v>223020</v>
      </c>
    </row>
    <row r="89" spans="1:8" ht="30" x14ac:dyDescent="0.25">
      <c r="A89" s="311">
        <f t="shared" ref="A89:A90" si="41">A88+1</f>
        <v>64</v>
      </c>
      <c r="B89" s="316" t="s">
        <v>547</v>
      </c>
      <c r="C89" s="311" t="s">
        <v>431</v>
      </c>
      <c r="D89" s="317">
        <v>45.3</v>
      </c>
      <c r="E89" s="179">
        <v>182</v>
      </c>
      <c r="F89" s="314">
        <f t="shared" si="39"/>
        <v>8244.6</v>
      </c>
      <c r="G89" s="314">
        <f t="shared" si="40"/>
        <v>9893.52</v>
      </c>
    </row>
    <row r="90" spans="1:8" ht="15.75" x14ac:dyDescent="0.25">
      <c r="A90" s="311">
        <f t="shared" si="41"/>
        <v>65</v>
      </c>
      <c r="B90" s="316" t="s">
        <v>548</v>
      </c>
      <c r="C90" s="311" t="s">
        <v>431</v>
      </c>
      <c r="D90" s="317">
        <v>45.3</v>
      </c>
      <c r="E90" s="179">
        <v>182</v>
      </c>
      <c r="F90" s="314">
        <f t="shared" si="39"/>
        <v>8244.6</v>
      </c>
      <c r="G90" s="314">
        <f t="shared" si="40"/>
        <v>9893.52</v>
      </c>
    </row>
    <row r="91" spans="1:8" ht="22.5" customHeight="1" x14ac:dyDescent="0.25">
      <c r="A91" s="315"/>
      <c r="B91" s="319" t="s">
        <v>1559</v>
      </c>
      <c r="C91" s="311"/>
      <c r="D91" s="321"/>
      <c r="E91" s="179"/>
      <c r="F91" s="314"/>
      <c r="G91" s="314"/>
    </row>
    <row r="92" spans="1:8" ht="15.75" x14ac:dyDescent="0.25">
      <c r="A92" s="315"/>
      <c r="B92" s="319" t="s">
        <v>513</v>
      </c>
      <c r="C92" s="311"/>
      <c r="D92" s="321"/>
      <c r="E92" s="179"/>
      <c r="F92" s="314"/>
      <c r="G92" s="314"/>
    </row>
    <row r="93" spans="1:8" ht="15.75" x14ac:dyDescent="0.25">
      <c r="A93" s="315">
        <f>A90+1</f>
        <v>66</v>
      </c>
      <c r="B93" s="316" t="s">
        <v>1560</v>
      </c>
      <c r="C93" s="311" t="s">
        <v>220</v>
      </c>
      <c r="D93" s="322">
        <v>1</v>
      </c>
      <c r="E93" s="179">
        <v>5973</v>
      </c>
      <c r="F93" s="314">
        <f t="shared" ref="F93:F95" si="42">ROUND(E93*D93,2)</f>
        <v>5973</v>
      </c>
      <c r="G93" s="314">
        <f t="shared" ref="G93:G95" si="43">ROUND(F93*1.2,2)</f>
        <v>7167.6</v>
      </c>
    </row>
    <row r="94" spans="1:8" ht="15.75" x14ac:dyDescent="0.25">
      <c r="A94" s="315">
        <f>A93+1</f>
        <v>67</v>
      </c>
      <c r="B94" s="316" t="s">
        <v>518</v>
      </c>
      <c r="C94" s="311" t="s">
        <v>239</v>
      </c>
      <c r="D94" s="313">
        <v>1.02</v>
      </c>
      <c r="E94" s="179">
        <v>325</v>
      </c>
      <c r="F94" s="314">
        <f t="shared" si="42"/>
        <v>331.5</v>
      </c>
      <c r="G94" s="314">
        <f t="shared" si="43"/>
        <v>397.8</v>
      </c>
    </row>
    <row r="95" spans="1:8" ht="15.75" x14ac:dyDescent="0.25">
      <c r="A95" s="315">
        <f>A94+1</f>
        <v>68</v>
      </c>
      <c r="B95" s="316" t="s">
        <v>503</v>
      </c>
      <c r="C95" s="311" t="s">
        <v>239</v>
      </c>
      <c r="D95" s="313">
        <v>1.02</v>
      </c>
      <c r="E95" s="179">
        <v>3460</v>
      </c>
      <c r="F95" s="314">
        <f t="shared" si="42"/>
        <v>3529.2</v>
      </c>
      <c r="G95" s="314">
        <f t="shared" si="43"/>
        <v>4235.04</v>
      </c>
    </row>
    <row r="96" spans="1:8" ht="15.75" x14ac:dyDescent="0.25">
      <c r="A96" s="315"/>
      <c r="B96" s="319" t="s">
        <v>1561</v>
      </c>
      <c r="C96" s="311"/>
      <c r="D96" s="321"/>
      <c r="E96" s="179"/>
      <c r="F96" s="314"/>
      <c r="G96" s="314"/>
    </row>
    <row r="97" spans="1:7" ht="45" x14ac:dyDescent="0.25">
      <c r="A97" s="315">
        <f>A95+1</f>
        <v>69</v>
      </c>
      <c r="B97" s="316" t="s">
        <v>1618</v>
      </c>
      <c r="C97" s="311" t="s">
        <v>220</v>
      </c>
      <c r="D97" s="322">
        <v>1</v>
      </c>
      <c r="E97" s="179">
        <v>60014</v>
      </c>
      <c r="F97" s="314">
        <f t="shared" ref="F97" si="44">ROUND(E97*D97,2)</f>
        <v>60014</v>
      </c>
      <c r="G97" s="314">
        <f t="shared" ref="G97" si="45">ROUND(F97*1.2,2)</f>
        <v>72016.800000000003</v>
      </c>
    </row>
    <row r="98" spans="1:7" ht="15.75" x14ac:dyDescent="0.25">
      <c r="A98" s="257"/>
      <c r="B98" s="73" t="s">
        <v>1562</v>
      </c>
      <c r="C98" s="66"/>
      <c r="D98" s="298"/>
      <c r="E98" s="179"/>
      <c r="F98" s="105"/>
      <c r="G98" s="105"/>
    </row>
    <row r="99" spans="1:7" ht="15.75" x14ac:dyDescent="0.25">
      <c r="A99" s="315">
        <f>A97+1</f>
        <v>70</v>
      </c>
      <c r="B99" s="316" t="s">
        <v>1619</v>
      </c>
      <c r="C99" s="311" t="s">
        <v>220</v>
      </c>
      <c r="D99" s="322">
        <v>1</v>
      </c>
      <c r="E99" s="179">
        <v>68540</v>
      </c>
      <c r="F99" s="314">
        <f t="shared" ref="F99" si="46">ROUND(E99*D99,2)</f>
        <v>68540</v>
      </c>
      <c r="G99" s="314">
        <f t="shared" ref="G99" si="47">ROUND(F99*1.2,2)</f>
        <v>82248</v>
      </c>
    </row>
    <row r="100" spans="1:7" x14ac:dyDescent="0.25">
      <c r="A100" s="411" t="s">
        <v>721</v>
      </c>
      <c r="B100" s="412"/>
      <c r="C100" s="412"/>
      <c r="D100" s="412"/>
      <c r="E100" s="413"/>
      <c r="F100" s="165">
        <f>SUM(F7:F99)</f>
        <v>6218584.2799999993</v>
      </c>
      <c r="G100" s="165">
        <f>SUM(G7:G99)</f>
        <v>7462301.1399999959</v>
      </c>
    </row>
    <row r="101" spans="1:7" x14ac:dyDescent="0.25">
      <c r="A101" s="411" t="s">
        <v>722</v>
      </c>
      <c r="B101" s="412"/>
      <c r="C101" s="412"/>
      <c r="D101" s="412"/>
      <c r="E101" s="413"/>
      <c r="F101" s="220">
        <f>ROUND(F100*0.03,2)</f>
        <v>186557.53</v>
      </c>
      <c r="G101" s="220">
        <f>ROUND(G100*0.03,2)</f>
        <v>223869.03</v>
      </c>
    </row>
    <row r="102" spans="1:7" x14ac:dyDescent="0.25">
      <c r="A102" s="411" t="s">
        <v>723</v>
      </c>
      <c r="B102" s="412"/>
      <c r="C102" s="412"/>
      <c r="D102" s="412"/>
      <c r="E102" s="413"/>
      <c r="F102" s="220">
        <f>F100+F101</f>
        <v>6405141.8099999996</v>
      </c>
      <c r="G102" s="220">
        <f>G100+G101</f>
        <v>7686170.1699999962</v>
      </c>
    </row>
  </sheetData>
  <mergeCells count="9">
    <mergeCell ref="A100:E100"/>
    <mergeCell ref="A101:E101"/>
    <mergeCell ref="A102:E102"/>
    <mergeCell ref="A1:A3"/>
    <mergeCell ref="B1:B3"/>
    <mergeCell ref="C1:C3"/>
    <mergeCell ref="D1:D3"/>
    <mergeCell ref="E1:G2"/>
    <mergeCell ref="B5:D5"/>
  </mergeCells>
  <pageMargins left="0.7" right="0.7" top="0.75" bottom="0.75" header="0.3" footer="0.3"/>
  <pageSetup paperSize="9" scale="62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view="pageBreakPreview" topLeftCell="A49" zoomScale="80" zoomScaleNormal="100" zoomScaleSheetLayoutView="80" workbookViewId="0">
      <selection activeCell="F17" sqref="F17"/>
    </sheetView>
  </sheetViews>
  <sheetFormatPr defaultRowHeight="15" x14ac:dyDescent="0.25"/>
  <cols>
    <col min="1" max="1" width="6.140625" customWidth="1"/>
    <col min="2" max="2" width="61.42578125" style="2" customWidth="1"/>
    <col min="3" max="3" width="7" bestFit="1" customWidth="1"/>
    <col min="4" max="4" width="10.28515625" customWidth="1"/>
    <col min="5" max="5" width="15.85546875" bestFit="1" customWidth="1"/>
    <col min="6" max="6" width="16.42578125" customWidth="1"/>
    <col min="7" max="7" width="16.7109375" style="52" customWidth="1"/>
    <col min="8" max="8" width="119.7109375" customWidth="1"/>
  </cols>
  <sheetData>
    <row r="1" spans="1:9" ht="14.45" customHeight="1" x14ac:dyDescent="0.25">
      <c r="A1" s="420" t="s">
        <v>226</v>
      </c>
      <c r="B1" s="464" t="s">
        <v>201</v>
      </c>
      <c r="C1" s="432" t="s">
        <v>230</v>
      </c>
      <c r="D1" s="432" t="s">
        <v>202</v>
      </c>
      <c r="E1" s="459" t="s">
        <v>703</v>
      </c>
      <c r="F1" s="460"/>
      <c r="G1" s="460"/>
    </row>
    <row r="2" spans="1:9" ht="14.45" customHeight="1" x14ac:dyDescent="0.25">
      <c r="A2" s="463"/>
      <c r="B2" s="465"/>
      <c r="C2" s="432"/>
      <c r="D2" s="432"/>
      <c r="E2" s="459"/>
      <c r="F2" s="460"/>
      <c r="G2" s="460"/>
    </row>
    <row r="3" spans="1:9" ht="28.5" x14ac:dyDescent="0.25">
      <c r="A3" s="421"/>
      <c r="B3" s="466"/>
      <c r="C3" s="432"/>
      <c r="D3" s="432"/>
      <c r="E3" s="290" t="s">
        <v>231</v>
      </c>
      <c r="F3" s="290" t="s">
        <v>410</v>
      </c>
      <c r="G3" s="291" t="s">
        <v>409</v>
      </c>
    </row>
    <row r="4" spans="1:9" x14ac:dyDescent="0.25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</row>
    <row r="5" spans="1:9" ht="20.25" customHeight="1" x14ac:dyDescent="0.25">
      <c r="A5" s="181"/>
      <c r="B5" s="414" t="s">
        <v>1518</v>
      </c>
      <c r="C5" s="436"/>
      <c r="D5" s="436"/>
      <c r="E5" s="182"/>
      <c r="F5" s="183"/>
      <c r="G5" s="184"/>
    </row>
    <row r="6" spans="1:9" ht="30" customHeight="1" x14ac:dyDescent="0.25">
      <c r="A6" s="289"/>
      <c r="B6" s="62" t="s">
        <v>1519</v>
      </c>
      <c r="C6" s="63"/>
      <c r="D6" s="63"/>
      <c r="E6" s="64"/>
      <c r="F6" s="65"/>
      <c r="G6" s="55"/>
    </row>
    <row r="7" spans="1:9" ht="15.75" x14ac:dyDescent="0.25">
      <c r="A7" s="311">
        <v>1</v>
      </c>
      <c r="B7" s="316" t="s">
        <v>1563</v>
      </c>
      <c r="C7" s="311" t="s">
        <v>193</v>
      </c>
      <c r="D7" s="313">
        <v>21.2</v>
      </c>
      <c r="E7" s="179">
        <v>4900</v>
      </c>
      <c r="F7" s="314">
        <f t="shared" ref="F7:F15" si="0">ROUND(E7*D7,2)</f>
        <v>103880</v>
      </c>
      <c r="G7" s="314">
        <f t="shared" ref="G7:G15" si="1">ROUND(F7*1.2,2)</f>
        <v>124656</v>
      </c>
    </row>
    <row r="8" spans="1:9" ht="15.75" x14ac:dyDescent="0.25">
      <c r="A8" s="311">
        <f>A7+1</f>
        <v>2</v>
      </c>
      <c r="B8" s="316" t="s">
        <v>1006</v>
      </c>
      <c r="C8" s="311" t="s">
        <v>193</v>
      </c>
      <c r="D8" s="313">
        <v>4.05</v>
      </c>
      <c r="E8" s="179">
        <v>4600</v>
      </c>
      <c r="F8" s="314">
        <f t="shared" si="0"/>
        <v>18630</v>
      </c>
      <c r="G8" s="314">
        <f t="shared" si="1"/>
        <v>22356</v>
      </c>
    </row>
    <row r="9" spans="1:9" ht="15.75" x14ac:dyDescent="0.25">
      <c r="A9" s="311">
        <f>A8+1</f>
        <v>3</v>
      </c>
      <c r="B9" s="316" t="s">
        <v>1564</v>
      </c>
      <c r="C9" s="318" t="s">
        <v>254</v>
      </c>
      <c r="D9" s="313">
        <v>228.4</v>
      </c>
      <c r="E9" s="179">
        <v>85</v>
      </c>
      <c r="F9" s="314">
        <f t="shared" si="0"/>
        <v>19414</v>
      </c>
      <c r="G9" s="314">
        <f t="shared" si="1"/>
        <v>23296.799999999999</v>
      </c>
    </row>
    <row r="10" spans="1:9" ht="15.75" x14ac:dyDescent="0.25">
      <c r="A10" s="311">
        <f t="shared" ref="A10:A15" si="2">A9+1</f>
        <v>4</v>
      </c>
      <c r="B10" s="316" t="s">
        <v>1565</v>
      </c>
      <c r="C10" s="318" t="s">
        <v>254</v>
      </c>
      <c r="D10" s="313">
        <v>613.20000000000005</v>
      </c>
      <c r="E10" s="179">
        <v>85</v>
      </c>
      <c r="F10" s="314">
        <f t="shared" si="0"/>
        <v>52122</v>
      </c>
      <c r="G10" s="314">
        <f t="shared" si="1"/>
        <v>62546.400000000001</v>
      </c>
    </row>
    <row r="11" spans="1:9" ht="15.75" x14ac:dyDescent="0.25">
      <c r="A11" s="311">
        <f t="shared" si="2"/>
        <v>5</v>
      </c>
      <c r="B11" s="312" t="s">
        <v>1566</v>
      </c>
      <c r="C11" s="318" t="s">
        <v>254</v>
      </c>
      <c r="D11" s="335">
        <v>222</v>
      </c>
      <c r="E11" s="179">
        <v>85</v>
      </c>
      <c r="F11" s="314">
        <f t="shared" si="0"/>
        <v>18870</v>
      </c>
      <c r="G11" s="314">
        <f t="shared" si="1"/>
        <v>22644</v>
      </c>
    </row>
    <row r="12" spans="1:9" ht="15.75" x14ac:dyDescent="0.25">
      <c r="A12" s="311">
        <f t="shared" si="2"/>
        <v>6</v>
      </c>
      <c r="B12" s="316" t="s">
        <v>1567</v>
      </c>
      <c r="C12" s="311" t="s">
        <v>254</v>
      </c>
      <c r="D12" s="313">
        <v>216.64</v>
      </c>
      <c r="E12" s="179">
        <v>85</v>
      </c>
      <c r="F12" s="314">
        <f t="shared" si="0"/>
        <v>18414.400000000001</v>
      </c>
      <c r="G12" s="314">
        <f t="shared" si="1"/>
        <v>22097.279999999999</v>
      </c>
    </row>
    <row r="13" spans="1:9" ht="15.75" x14ac:dyDescent="0.25">
      <c r="A13" s="311">
        <f t="shared" si="2"/>
        <v>7</v>
      </c>
      <c r="B13" s="316" t="s">
        <v>1568</v>
      </c>
      <c r="C13" s="311" t="s">
        <v>254</v>
      </c>
      <c r="D13" s="313">
        <v>53.12</v>
      </c>
      <c r="E13" s="336">
        <v>75</v>
      </c>
      <c r="F13" s="314">
        <f t="shared" si="0"/>
        <v>3984</v>
      </c>
      <c r="G13" s="314">
        <f t="shared" si="1"/>
        <v>4780.8</v>
      </c>
    </row>
    <row r="14" spans="1:9" ht="19.5" customHeight="1" x14ac:dyDescent="0.25">
      <c r="A14" s="311">
        <f t="shared" si="2"/>
        <v>8</v>
      </c>
      <c r="B14" s="316" t="s">
        <v>1070</v>
      </c>
      <c r="C14" s="311" t="s">
        <v>387</v>
      </c>
      <c r="D14" s="326">
        <f>24.57*20/16</f>
        <v>30.712499999999999</v>
      </c>
      <c r="E14" s="179">
        <v>250</v>
      </c>
      <c r="F14" s="314">
        <f t="shared" si="0"/>
        <v>7678.13</v>
      </c>
      <c r="G14" s="314">
        <f t="shared" si="1"/>
        <v>9213.76</v>
      </c>
      <c r="H14" s="218"/>
      <c r="I14" s="242"/>
    </row>
    <row r="15" spans="1:9" ht="19.5" customHeight="1" x14ac:dyDescent="0.25">
      <c r="A15" s="66">
        <f t="shared" si="2"/>
        <v>9</v>
      </c>
      <c r="B15" s="253" t="s">
        <v>1069</v>
      </c>
      <c r="C15" s="88" t="s">
        <v>254</v>
      </c>
      <c r="D15" s="269">
        <v>114.7</v>
      </c>
      <c r="E15" s="178">
        <v>312</v>
      </c>
      <c r="F15" s="107">
        <f t="shared" si="0"/>
        <v>35786.400000000001</v>
      </c>
      <c r="G15" s="107">
        <f t="shared" si="1"/>
        <v>42943.68</v>
      </c>
      <c r="I15" s="242"/>
    </row>
    <row r="16" spans="1:9" ht="15.75" x14ac:dyDescent="0.25">
      <c r="A16" s="66"/>
      <c r="B16" s="73" t="s">
        <v>1526</v>
      </c>
      <c r="C16" s="66"/>
      <c r="D16" s="68"/>
      <c r="E16" s="223"/>
      <c r="F16" s="105"/>
      <c r="G16" s="105"/>
    </row>
    <row r="17" spans="1:7" ht="15.75" x14ac:dyDescent="0.25">
      <c r="A17" s="88"/>
      <c r="B17" s="270" t="s">
        <v>1569</v>
      </c>
      <c r="C17" s="304" t="s">
        <v>220</v>
      </c>
      <c r="D17" s="305">
        <v>2</v>
      </c>
      <c r="E17" s="178"/>
      <c r="F17" s="107"/>
      <c r="G17" s="107"/>
    </row>
    <row r="18" spans="1:7" ht="15.75" x14ac:dyDescent="0.25">
      <c r="A18" s="311">
        <f>A15+1</f>
        <v>10</v>
      </c>
      <c r="B18" s="316" t="s">
        <v>1570</v>
      </c>
      <c r="C18" s="311" t="s">
        <v>254</v>
      </c>
      <c r="D18" s="326">
        <f>25.7*11*2</f>
        <v>565.4</v>
      </c>
      <c r="E18" s="179">
        <v>92</v>
      </c>
      <c r="F18" s="314">
        <f t="shared" ref="F18:F22" si="3">ROUND(E18*D18,2)</f>
        <v>52016.800000000003</v>
      </c>
      <c r="G18" s="314">
        <f t="shared" ref="G18:G22" si="4">ROUND(F18*1.2,2)</f>
        <v>62420.160000000003</v>
      </c>
    </row>
    <row r="19" spans="1:7" ht="15.75" x14ac:dyDescent="0.25">
      <c r="A19" s="311">
        <f>A18+1</f>
        <v>11</v>
      </c>
      <c r="B19" s="316" t="s">
        <v>1571</v>
      </c>
      <c r="C19" s="311" t="s">
        <v>254</v>
      </c>
      <c r="D19" s="326">
        <f>14.1*8.33*2</f>
        <v>234.90600000000001</v>
      </c>
      <c r="E19" s="179">
        <v>75</v>
      </c>
      <c r="F19" s="314">
        <f t="shared" si="3"/>
        <v>17617.95</v>
      </c>
      <c r="G19" s="314">
        <f t="shared" si="4"/>
        <v>21141.54</v>
      </c>
    </row>
    <row r="20" spans="1:7" ht="15.75" x14ac:dyDescent="0.25">
      <c r="A20" s="311">
        <f t="shared" ref="A20:A22" si="5">A19+1</f>
        <v>12</v>
      </c>
      <c r="B20" s="316" t="s">
        <v>1572</v>
      </c>
      <c r="C20" s="311" t="s">
        <v>254</v>
      </c>
      <c r="D20" s="326">
        <f>2.2*14.2*2</f>
        <v>62.480000000000004</v>
      </c>
      <c r="E20" s="179">
        <v>94.5</v>
      </c>
      <c r="F20" s="314">
        <f t="shared" si="3"/>
        <v>5904.36</v>
      </c>
      <c r="G20" s="314">
        <f t="shared" si="4"/>
        <v>7085.23</v>
      </c>
    </row>
    <row r="21" spans="1:7" ht="15.75" x14ac:dyDescent="0.25">
      <c r="A21" s="311">
        <f t="shared" si="5"/>
        <v>13</v>
      </c>
      <c r="B21" s="316" t="s">
        <v>1573</v>
      </c>
      <c r="C21" s="311" t="s">
        <v>254</v>
      </c>
      <c r="D21" s="325">
        <f>0.7*2*78.5</f>
        <v>109.89999999999999</v>
      </c>
      <c r="E21" s="179">
        <v>89</v>
      </c>
      <c r="F21" s="314">
        <f t="shared" si="3"/>
        <v>9781.1</v>
      </c>
      <c r="G21" s="314">
        <f t="shared" si="4"/>
        <v>11737.32</v>
      </c>
    </row>
    <row r="22" spans="1:7" ht="15.75" x14ac:dyDescent="0.25">
      <c r="A22" s="311">
        <f t="shared" si="5"/>
        <v>14</v>
      </c>
      <c r="B22" s="316" t="s">
        <v>1574</v>
      </c>
      <c r="C22" s="311" t="s">
        <v>254</v>
      </c>
      <c r="D22" s="325">
        <f>0.9*2*196.25</f>
        <v>353.25</v>
      </c>
      <c r="E22" s="179">
        <v>89</v>
      </c>
      <c r="F22" s="314">
        <f t="shared" si="3"/>
        <v>31439.25</v>
      </c>
      <c r="G22" s="314">
        <f t="shared" si="4"/>
        <v>37727.1</v>
      </c>
    </row>
    <row r="23" spans="1:7" ht="15.75" x14ac:dyDescent="0.25">
      <c r="A23" s="88"/>
      <c r="B23" s="270" t="s">
        <v>1575</v>
      </c>
      <c r="C23" s="304" t="s">
        <v>220</v>
      </c>
      <c r="D23" s="305">
        <v>2</v>
      </c>
      <c r="E23" s="178"/>
      <c r="F23" s="107"/>
      <c r="G23" s="107"/>
    </row>
    <row r="24" spans="1:7" ht="15.75" x14ac:dyDescent="0.25">
      <c r="A24" s="311">
        <f>A22+1</f>
        <v>15</v>
      </c>
      <c r="B24" s="316" t="s">
        <v>1570</v>
      </c>
      <c r="C24" s="311" t="s">
        <v>254</v>
      </c>
      <c r="D24" s="326">
        <f>25.7*11*2</f>
        <v>565.4</v>
      </c>
      <c r="E24" s="179">
        <v>92</v>
      </c>
      <c r="F24" s="314">
        <f t="shared" ref="F24:F28" si="6">ROUND(E24*D24,2)</f>
        <v>52016.800000000003</v>
      </c>
      <c r="G24" s="314">
        <f t="shared" ref="G24:G28" si="7">ROUND(F24*1.2,2)</f>
        <v>62420.160000000003</v>
      </c>
    </row>
    <row r="25" spans="1:7" ht="15.75" x14ac:dyDescent="0.25">
      <c r="A25" s="311">
        <f>A24+1</f>
        <v>16</v>
      </c>
      <c r="B25" s="316" t="s">
        <v>1571</v>
      </c>
      <c r="C25" s="311" t="s">
        <v>254</v>
      </c>
      <c r="D25" s="326">
        <f>14.1*8.33*2</f>
        <v>234.90600000000001</v>
      </c>
      <c r="E25" s="179">
        <v>75</v>
      </c>
      <c r="F25" s="314">
        <f t="shared" si="6"/>
        <v>17617.95</v>
      </c>
      <c r="G25" s="314">
        <f t="shared" si="7"/>
        <v>21141.54</v>
      </c>
    </row>
    <row r="26" spans="1:7" ht="15.75" x14ac:dyDescent="0.25">
      <c r="A26" s="311">
        <f t="shared" ref="A26:A28" si="8">A25+1</f>
        <v>17</v>
      </c>
      <c r="B26" s="316" t="s">
        <v>1572</v>
      </c>
      <c r="C26" s="311" t="s">
        <v>254</v>
      </c>
      <c r="D26" s="326">
        <f>2.2*14.2*2</f>
        <v>62.480000000000004</v>
      </c>
      <c r="E26" s="179">
        <v>94.5</v>
      </c>
      <c r="F26" s="314">
        <f t="shared" si="6"/>
        <v>5904.36</v>
      </c>
      <c r="G26" s="314">
        <f t="shared" si="7"/>
        <v>7085.23</v>
      </c>
    </row>
    <row r="27" spans="1:7" ht="15.75" x14ac:dyDescent="0.25">
      <c r="A27" s="311">
        <f t="shared" si="8"/>
        <v>18</v>
      </c>
      <c r="B27" s="316" t="s">
        <v>1573</v>
      </c>
      <c r="C27" s="311" t="s">
        <v>254</v>
      </c>
      <c r="D27" s="325">
        <f>0.9*2*78.5</f>
        <v>141.30000000000001</v>
      </c>
      <c r="E27" s="179">
        <v>89</v>
      </c>
      <c r="F27" s="314">
        <f t="shared" si="6"/>
        <v>12575.7</v>
      </c>
      <c r="G27" s="314">
        <f t="shared" si="7"/>
        <v>15090.84</v>
      </c>
    </row>
    <row r="28" spans="1:7" ht="15.75" x14ac:dyDescent="0.25">
      <c r="A28" s="311">
        <f t="shared" si="8"/>
        <v>19</v>
      </c>
      <c r="B28" s="316" t="s">
        <v>1574</v>
      </c>
      <c r="C28" s="311" t="s">
        <v>431</v>
      </c>
      <c r="D28" s="325">
        <f>0.9*2*196.25</f>
        <v>353.25</v>
      </c>
      <c r="E28" s="179">
        <v>89</v>
      </c>
      <c r="F28" s="314">
        <f t="shared" si="6"/>
        <v>31439.25</v>
      </c>
      <c r="G28" s="314">
        <f t="shared" si="7"/>
        <v>37727.1</v>
      </c>
    </row>
    <row r="29" spans="1:7" ht="15.75" x14ac:dyDescent="0.25">
      <c r="A29" s="88"/>
      <c r="B29" s="270" t="s">
        <v>1576</v>
      </c>
      <c r="C29" s="304" t="s">
        <v>220</v>
      </c>
      <c r="D29" s="305">
        <v>1</v>
      </c>
      <c r="E29" s="178"/>
      <c r="F29" s="107"/>
      <c r="G29" s="107"/>
    </row>
    <row r="30" spans="1:7" ht="15.75" x14ac:dyDescent="0.25">
      <c r="A30" s="88">
        <f>A28+1</f>
        <v>20</v>
      </c>
      <c r="B30" s="253" t="s">
        <v>1577</v>
      </c>
      <c r="C30" s="88" t="s">
        <v>254</v>
      </c>
      <c r="D30" s="269">
        <f>35.2*19.1</f>
        <v>672.32</v>
      </c>
      <c r="E30" s="178">
        <v>75</v>
      </c>
      <c r="F30" s="107">
        <f t="shared" ref="F30:F38" si="9">ROUND(E30*D30,2)</f>
        <v>50424</v>
      </c>
      <c r="G30" s="107">
        <f t="shared" ref="G30:G38" si="10">ROUND(F30*1.2,2)</f>
        <v>60508.800000000003</v>
      </c>
    </row>
    <row r="31" spans="1:7" ht="15.75" x14ac:dyDescent="0.25">
      <c r="A31" s="88">
        <f>A30+1</f>
        <v>21</v>
      </c>
      <c r="B31" s="253" t="s">
        <v>1578</v>
      </c>
      <c r="C31" s="88" t="s">
        <v>254</v>
      </c>
      <c r="D31" s="269">
        <f>12*12.25</f>
        <v>147</v>
      </c>
      <c r="E31" s="178">
        <v>75</v>
      </c>
      <c r="F31" s="107">
        <f t="shared" si="9"/>
        <v>11025</v>
      </c>
      <c r="G31" s="107">
        <f t="shared" si="10"/>
        <v>13230</v>
      </c>
    </row>
    <row r="32" spans="1:7" ht="15.75" x14ac:dyDescent="0.25">
      <c r="A32" s="88">
        <f t="shared" ref="A32:A38" si="11">A31+1</f>
        <v>22</v>
      </c>
      <c r="B32" s="253" t="s">
        <v>1571</v>
      </c>
      <c r="C32" s="88" t="s">
        <v>254</v>
      </c>
      <c r="D32" s="269">
        <f>20.4*8.33</f>
        <v>169.93199999999999</v>
      </c>
      <c r="E32" s="178">
        <v>75</v>
      </c>
      <c r="F32" s="107">
        <f t="shared" si="9"/>
        <v>12744.9</v>
      </c>
      <c r="G32" s="107">
        <f t="shared" si="10"/>
        <v>15293.88</v>
      </c>
    </row>
    <row r="33" spans="1:7" ht="15.75" x14ac:dyDescent="0.25">
      <c r="A33" s="88">
        <f t="shared" si="11"/>
        <v>23</v>
      </c>
      <c r="B33" s="253" t="s">
        <v>1579</v>
      </c>
      <c r="C33" s="88" t="s">
        <v>254</v>
      </c>
      <c r="D33" s="269">
        <f>8*5.72</f>
        <v>45.76</v>
      </c>
      <c r="E33" s="178">
        <v>75</v>
      </c>
      <c r="F33" s="107">
        <f t="shared" si="9"/>
        <v>3432</v>
      </c>
      <c r="G33" s="107">
        <f t="shared" si="10"/>
        <v>4118.3999999999996</v>
      </c>
    </row>
    <row r="34" spans="1:7" ht="15.75" x14ac:dyDescent="0.25">
      <c r="A34" s="311">
        <f t="shared" si="11"/>
        <v>24</v>
      </c>
      <c r="B34" s="316" t="s">
        <v>1572</v>
      </c>
      <c r="C34" s="311" t="s">
        <v>254</v>
      </c>
      <c r="D34" s="326">
        <f>22.1*14.2</f>
        <v>313.82</v>
      </c>
      <c r="E34" s="179">
        <v>94.5</v>
      </c>
      <c r="F34" s="314">
        <f t="shared" si="9"/>
        <v>29655.99</v>
      </c>
      <c r="G34" s="314">
        <f t="shared" si="10"/>
        <v>35587.19</v>
      </c>
    </row>
    <row r="35" spans="1:7" ht="15.75" x14ac:dyDescent="0.25">
      <c r="A35" s="88">
        <f t="shared" si="11"/>
        <v>25</v>
      </c>
      <c r="B35" s="253" t="s">
        <v>1580</v>
      </c>
      <c r="C35" s="88" t="s">
        <v>254</v>
      </c>
      <c r="D35" s="272">
        <f>0.8*66.57</f>
        <v>53.256</v>
      </c>
      <c r="E35" s="178">
        <v>89</v>
      </c>
      <c r="F35" s="107">
        <f t="shared" si="9"/>
        <v>4739.78</v>
      </c>
      <c r="G35" s="107">
        <f t="shared" si="10"/>
        <v>5687.74</v>
      </c>
    </row>
    <row r="36" spans="1:7" ht="15.75" x14ac:dyDescent="0.25">
      <c r="A36" s="88">
        <f t="shared" si="11"/>
        <v>26</v>
      </c>
      <c r="B36" s="253" t="s">
        <v>1573</v>
      </c>
      <c r="C36" s="88" t="s">
        <v>254</v>
      </c>
      <c r="D36" s="272">
        <f>1.3*78.5</f>
        <v>102.05</v>
      </c>
      <c r="E36" s="178">
        <v>89</v>
      </c>
      <c r="F36" s="107">
        <f t="shared" si="9"/>
        <v>9082.4500000000007</v>
      </c>
      <c r="G36" s="107">
        <f t="shared" si="10"/>
        <v>10898.94</v>
      </c>
    </row>
    <row r="37" spans="1:7" ht="15.75" x14ac:dyDescent="0.25">
      <c r="A37" s="88">
        <f t="shared" si="11"/>
        <v>27</v>
      </c>
      <c r="B37" s="253" t="s">
        <v>1581</v>
      </c>
      <c r="C37" s="88" t="s">
        <v>254</v>
      </c>
      <c r="D37" s="272">
        <f>0.3*94.2</f>
        <v>28.26</v>
      </c>
      <c r="E37" s="178">
        <v>89</v>
      </c>
      <c r="F37" s="107">
        <f t="shared" si="9"/>
        <v>2515.14</v>
      </c>
      <c r="G37" s="107">
        <f t="shared" si="10"/>
        <v>3018.17</v>
      </c>
    </row>
    <row r="38" spans="1:7" ht="15.75" x14ac:dyDescent="0.25">
      <c r="A38" s="88">
        <f t="shared" si="11"/>
        <v>28</v>
      </c>
      <c r="B38" s="253" t="s">
        <v>1582</v>
      </c>
      <c r="C38" s="88" t="s">
        <v>254</v>
      </c>
      <c r="D38" s="247">
        <f>1*157</f>
        <v>157</v>
      </c>
      <c r="E38" s="178">
        <v>89</v>
      </c>
      <c r="F38" s="107">
        <f t="shared" si="9"/>
        <v>13973</v>
      </c>
      <c r="G38" s="107">
        <f t="shared" si="10"/>
        <v>16767.599999999999</v>
      </c>
    </row>
    <row r="39" spans="1:7" ht="30" x14ac:dyDescent="0.25">
      <c r="A39" s="88"/>
      <c r="B39" s="270" t="s">
        <v>1583</v>
      </c>
      <c r="C39" s="304" t="s">
        <v>220</v>
      </c>
      <c r="D39" s="305">
        <v>1</v>
      </c>
      <c r="E39" s="178"/>
      <c r="F39" s="107"/>
      <c r="G39" s="107"/>
    </row>
    <row r="40" spans="1:7" ht="15.75" x14ac:dyDescent="0.25">
      <c r="A40" s="88">
        <f>A38+1</f>
        <v>29</v>
      </c>
      <c r="B40" s="253" t="s">
        <v>1577</v>
      </c>
      <c r="C40" s="88" t="s">
        <v>254</v>
      </c>
      <c r="D40" s="269">
        <f>121.6*19.1</f>
        <v>2322.56</v>
      </c>
      <c r="E40" s="178">
        <v>75</v>
      </c>
      <c r="F40" s="107">
        <f t="shared" ref="F40:F48" si="12">ROUND(E40*D40,2)</f>
        <v>174192</v>
      </c>
      <c r="G40" s="107">
        <f t="shared" ref="G40:G48" si="13">ROUND(F40*1.2,2)</f>
        <v>209030.39999999999</v>
      </c>
    </row>
    <row r="41" spans="1:7" ht="15.75" x14ac:dyDescent="0.25">
      <c r="A41" s="88">
        <f>A40+1</f>
        <v>30</v>
      </c>
      <c r="B41" s="253" t="s">
        <v>1578</v>
      </c>
      <c r="C41" s="88" t="s">
        <v>254</v>
      </c>
      <c r="D41" s="269">
        <f>35.4*12.25</f>
        <v>433.65</v>
      </c>
      <c r="E41" s="178">
        <v>75</v>
      </c>
      <c r="F41" s="107">
        <f t="shared" si="12"/>
        <v>32523.75</v>
      </c>
      <c r="G41" s="107">
        <f t="shared" si="13"/>
        <v>39028.5</v>
      </c>
    </row>
    <row r="42" spans="1:7" ht="15.75" x14ac:dyDescent="0.25">
      <c r="A42" s="88">
        <f t="shared" ref="A42:A48" si="14">A41+1</f>
        <v>31</v>
      </c>
      <c r="B42" s="253" t="s">
        <v>1571</v>
      </c>
      <c r="C42" s="88" t="s">
        <v>254</v>
      </c>
      <c r="D42" s="269">
        <f>58.5*8.33</f>
        <v>487.30500000000001</v>
      </c>
      <c r="E42" s="178">
        <v>75</v>
      </c>
      <c r="F42" s="107">
        <f t="shared" si="12"/>
        <v>36547.879999999997</v>
      </c>
      <c r="G42" s="107">
        <f t="shared" si="13"/>
        <v>43857.46</v>
      </c>
    </row>
    <row r="43" spans="1:7" ht="15.75" x14ac:dyDescent="0.25">
      <c r="A43" s="88">
        <f t="shared" si="14"/>
        <v>32</v>
      </c>
      <c r="B43" s="253" t="s">
        <v>1579</v>
      </c>
      <c r="C43" s="88" t="s">
        <v>254</v>
      </c>
      <c r="D43" s="269">
        <f>40*5.72</f>
        <v>228.79999999999998</v>
      </c>
      <c r="E43" s="178">
        <v>75</v>
      </c>
      <c r="F43" s="107">
        <f t="shared" si="12"/>
        <v>17160</v>
      </c>
      <c r="G43" s="107">
        <f t="shared" si="13"/>
        <v>20592</v>
      </c>
    </row>
    <row r="44" spans="1:7" ht="15.75" x14ac:dyDescent="0.25">
      <c r="A44" s="311">
        <f t="shared" si="14"/>
        <v>33</v>
      </c>
      <c r="B44" s="316" t="s">
        <v>1572</v>
      </c>
      <c r="C44" s="311" t="s">
        <v>254</v>
      </c>
      <c r="D44" s="326">
        <f>39.6*14.2</f>
        <v>562.31999999999994</v>
      </c>
      <c r="E44" s="179">
        <v>94.5</v>
      </c>
      <c r="F44" s="314">
        <f t="shared" si="12"/>
        <v>53139.24</v>
      </c>
      <c r="G44" s="314">
        <f t="shared" si="13"/>
        <v>63767.09</v>
      </c>
    </row>
    <row r="45" spans="1:7" ht="15.75" x14ac:dyDescent="0.25">
      <c r="A45" s="311">
        <f t="shared" si="14"/>
        <v>34</v>
      </c>
      <c r="B45" s="316" t="s">
        <v>1580</v>
      </c>
      <c r="C45" s="311" t="s">
        <v>254</v>
      </c>
      <c r="D45" s="325">
        <f>0.8*66.57</f>
        <v>53.256</v>
      </c>
      <c r="E45" s="179">
        <v>89</v>
      </c>
      <c r="F45" s="314">
        <f t="shared" si="12"/>
        <v>4739.78</v>
      </c>
      <c r="G45" s="314">
        <f t="shared" si="13"/>
        <v>5687.74</v>
      </c>
    </row>
    <row r="46" spans="1:7" ht="15.75" x14ac:dyDescent="0.25">
      <c r="A46" s="88">
        <f t="shared" si="14"/>
        <v>35</v>
      </c>
      <c r="B46" s="253" t="s">
        <v>1573</v>
      </c>
      <c r="C46" s="88" t="s">
        <v>254</v>
      </c>
      <c r="D46" s="272">
        <f>3.1*78.5</f>
        <v>243.35</v>
      </c>
      <c r="E46" s="178">
        <v>89</v>
      </c>
      <c r="F46" s="107">
        <f t="shared" si="12"/>
        <v>21658.15</v>
      </c>
      <c r="G46" s="107">
        <f t="shared" si="13"/>
        <v>25989.78</v>
      </c>
    </row>
    <row r="47" spans="1:7" ht="15.75" x14ac:dyDescent="0.25">
      <c r="A47" s="88">
        <f t="shared" si="14"/>
        <v>36</v>
      </c>
      <c r="B47" s="253" t="s">
        <v>1581</v>
      </c>
      <c r="C47" s="88" t="s">
        <v>254</v>
      </c>
      <c r="D47" s="272">
        <f>0.3*94.2</f>
        <v>28.26</v>
      </c>
      <c r="E47" s="178">
        <v>89</v>
      </c>
      <c r="F47" s="107">
        <f t="shared" si="12"/>
        <v>2515.14</v>
      </c>
      <c r="G47" s="107">
        <f t="shared" si="13"/>
        <v>3018.17</v>
      </c>
    </row>
    <row r="48" spans="1:7" ht="15.75" x14ac:dyDescent="0.25">
      <c r="A48" s="88">
        <f t="shared" si="14"/>
        <v>37</v>
      </c>
      <c r="B48" s="253" t="s">
        <v>1582</v>
      </c>
      <c r="C48" s="88" t="s">
        <v>254</v>
      </c>
      <c r="D48" s="272">
        <f>2.1*157</f>
        <v>329.7</v>
      </c>
      <c r="E48" s="178">
        <v>89</v>
      </c>
      <c r="F48" s="107">
        <f t="shared" si="12"/>
        <v>29343.3</v>
      </c>
      <c r="G48" s="107">
        <f t="shared" si="13"/>
        <v>35211.96</v>
      </c>
    </row>
    <row r="49" spans="1:7" ht="30" x14ac:dyDescent="0.25">
      <c r="A49" s="88"/>
      <c r="B49" s="270" t="s">
        <v>1584</v>
      </c>
      <c r="C49" s="304" t="s">
        <v>220</v>
      </c>
      <c r="D49" s="305">
        <v>1</v>
      </c>
      <c r="E49" s="178"/>
      <c r="F49" s="107"/>
      <c r="G49" s="107"/>
    </row>
    <row r="50" spans="1:7" ht="15.75" x14ac:dyDescent="0.25">
      <c r="A50" s="88">
        <f>A48+1</f>
        <v>38</v>
      </c>
      <c r="B50" s="253" t="s">
        <v>1577</v>
      </c>
      <c r="C50" s="88" t="s">
        <v>254</v>
      </c>
      <c r="D50" s="269">
        <f>62.2*19.1</f>
        <v>1188.0200000000002</v>
      </c>
      <c r="E50" s="178">
        <v>75</v>
      </c>
      <c r="F50" s="107">
        <f t="shared" ref="F50:F66" si="15">ROUND(E50*D50,2)</f>
        <v>89101.5</v>
      </c>
      <c r="G50" s="107">
        <f t="shared" ref="G50:G66" si="16">ROUND(F50*1.2,2)</f>
        <v>106921.8</v>
      </c>
    </row>
    <row r="51" spans="1:7" ht="15.75" x14ac:dyDescent="0.25">
      <c r="A51" s="88">
        <f>A50+1</f>
        <v>39</v>
      </c>
      <c r="B51" s="253" t="s">
        <v>1578</v>
      </c>
      <c r="C51" s="88" t="s">
        <v>254</v>
      </c>
      <c r="D51" s="269">
        <f>21.6*12.25</f>
        <v>264.60000000000002</v>
      </c>
      <c r="E51" s="178">
        <v>75</v>
      </c>
      <c r="F51" s="107">
        <f t="shared" si="15"/>
        <v>19845</v>
      </c>
      <c r="G51" s="107">
        <f t="shared" si="16"/>
        <v>23814</v>
      </c>
    </row>
    <row r="52" spans="1:7" ht="15.75" x14ac:dyDescent="0.25">
      <c r="A52" s="88">
        <f t="shared" ref="A52:A58" si="17">A51+1</f>
        <v>40</v>
      </c>
      <c r="B52" s="253" t="s">
        <v>1571</v>
      </c>
      <c r="C52" s="88" t="s">
        <v>254</v>
      </c>
      <c r="D52" s="269">
        <f>30.5*8.33</f>
        <v>254.065</v>
      </c>
      <c r="E52" s="178">
        <v>75</v>
      </c>
      <c r="F52" s="107">
        <f t="shared" si="15"/>
        <v>19054.88</v>
      </c>
      <c r="G52" s="107">
        <f t="shared" si="16"/>
        <v>22865.86</v>
      </c>
    </row>
    <row r="53" spans="1:7" ht="15.75" x14ac:dyDescent="0.25">
      <c r="A53" s="88">
        <f t="shared" si="17"/>
        <v>41</v>
      </c>
      <c r="B53" s="253" t="s">
        <v>1579</v>
      </c>
      <c r="C53" s="88" t="s">
        <v>254</v>
      </c>
      <c r="D53" s="269">
        <f>24*5.72</f>
        <v>137.28</v>
      </c>
      <c r="E53" s="178">
        <v>75</v>
      </c>
      <c r="F53" s="107">
        <f t="shared" si="15"/>
        <v>10296</v>
      </c>
      <c r="G53" s="107">
        <f t="shared" si="16"/>
        <v>12355.2</v>
      </c>
    </row>
    <row r="54" spans="1:7" ht="15.75" x14ac:dyDescent="0.25">
      <c r="A54" s="311">
        <f t="shared" si="17"/>
        <v>42</v>
      </c>
      <c r="B54" s="316" t="s">
        <v>1572</v>
      </c>
      <c r="C54" s="311" t="s">
        <v>254</v>
      </c>
      <c r="D54" s="326">
        <f>22.1*14.2</f>
        <v>313.82</v>
      </c>
      <c r="E54" s="179">
        <v>94.5</v>
      </c>
      <c r="F54" s="314">
        <f t="shared" si="15"/>
        <v>29655.99</v>
      </c>
      <c r="G54" s="314">
        <f t="shared" si="16"/>
        <v>35587.19</v>
      </c>
    </row>
    <row r="55" spans="1:7" ht="15.75" x14ac:dyDescent="0.25">
      <c r="A55" s="311">
        <f t="shared" si="17"/>
        <v>43</v>
      </c>
      <c r="B55" s="316" t="s">
        <v>1580</v>
      </c>
      <c r="C55" s="311" t="s">
        <v>254</v>
      </c>
      <c r="D55" s="325">
        <f>0.3*66.57</f>
        <v>19.970999999999997</v>
      </c>
      <c r="E55" s="179">
        <v>89</v>
      </c>
      <c r="F55" s="314">
        <f t="shared" si="15"/>
        <v>1777.42</v>
      </c>
      <c r="G55" s="314">
        <f t="shared" si="16"/>
        <v>2132.9</v>
      </c>
    </row>
    <row r="56" spans="1:7" ht="15.75" x14ac:dyDescent="0.25">
      <c r="A56" s="311">
        <f t="shared" si="17"/>
        <v>44</v>
      </c>
      <c r="B56" s="316" t="s">
        <v>1573</v>
      </c>
      <c r="C56" s="311" t="s">
        <v>431</v>
      </c>
      <c r="D56" s="325">
        <f>1.5*78.5</f>
        <v>117.75</v>
      </c>
      <c r="E56" s="179">
        <v>89</v>
      </c>
      <c r="F56" s="314">
        <f t="shared" si="15"/>
        <v>10479.75</v>
      </c>
      <c r="G56" s="314">
        <f t="shared" si="16"/>
        <v>12575.7</v>
      </c>
    </row>
    <row r="57" spans="1:7" ht="15.75" x14ac:dyDescent="0.25">
      <c r="A57" s="311">
        <f t="shared" si="17"/>
        <v>45</v>
      </c>
      <c r="B57" s="316" t="s">
        <v>1581</v>
      </c>
      <c r="C57" s="311" t="s">
        <v>431</v>
      </c>
      <c r="D57" s="325">
        <f>0.3*94.2</f>
        <v>28.26</v>
      </c>
      <c r="E57" s="179">
        <v>89</v>
      </c>
      <c r="F57" s="314">
        <f t="shared" si="15"/>
        <v>2515.14</v>
      </c>
      <c r="G57" s="314">
        <f t="shared" si="16"/>
        <v>3018.17</v>
      </c>
    </row>
    <row r="58" spans="1:7" ht="15.75" x14ac:dyDescent="0.25">
      <c r="A58" s="311">
        <f t="shared" si="17"/>
        <v>46</v>
      </c>
      <c r="B58" s="316" t="s">
        <v>1582</v>
      </c>
      <c r="C58" s="311" t="s">
        <v>254</v>
      </c>
      <c r="D58" s="325">
        <f>1.4*157</f>
        <v>219.79999999999998</v>
      </c>
      <c r="E58" s="179">
        <v>89</v>
      </c>
      <c r="F58" s="314">
        <f t="shared" si="15"/>
        <v>19562.2</v>
      </c>
      <c r="G58" s="314">
        <f t="shared" si="16"/>
        <v>23474.639999999999</v>
      </c>
    </row>
    <row r="59" spans="1:7" ht="15.75" x14ac:dyDescent="0.25">
      <c r="A59" s="88"/>
      <c r="B59" s="270" t="s">
        <v>1585</v>
      </c>
      <c r="C59" s="304" t="s">
        <v>239</v>
      </c>
      <c r="D59" s="306">
        <v>0.379</v>
      </c>
      <c r="E59" s="178"/>
      <c r="F59" s="107"/>
      <c r="G59" s="107"/>
    </row>
    <row r="60" spans="1:7" ht="15.75" x14ac:dyDescent="0.25">
      <c r="A60" s="311">
        <f>A58+1</f>
        <v>47</v>
      </c>
      <c r="B60" s="316" t="s">
        <v>1586</v>
      </c>
      <c r="C60" s="311" t="s">
        <v>254</v>
      </c>
      <c r="D60" s="326">
        <f>26*9.22</f>
        <v>239.72000000000003</v>
      </c>
      <c r="E60" s="179">
        <v>73</v>
      </c>
      <c r="F60" s="314">
        <f t="shared" ref="F60:F62" si="18">ROUND(E60*D60,2)</f>
        <v>17499.560000000001</v>
      </c>
      <c r="G60" s="314">
        <f t="shared" ref="G60:G62" si="19">ROUND(F60*1.2,2)</f>
        <v>20999.47</v>
      </c>
    </row>
    <row r="61" spans="1:7" ht="15.75" x14ac:dyDescent="0.25">
      <c r="A61" s="311">
        <f>A60+1</f>
        <v>48</v>
      </c>
      <c r="B61" s="316" t="s">
        <v>1573</v>
      </c>
      <c r="C61" s="311" t="s">
        <v>431</v>
      </c>
      <c r="D61" s="325">
        <f>0.3*78.5</f>
        <v>23.55</v>
      </c>
      <c r="E61" s="179">
        <v>89</v>
      </c>
      <c r="F61" s="314">
        <f t="shared" si="18"/>
        <v>2095.9499999999998</v>
      </c>
      <c r="G61" s="314">
        <f t="shared" si="19"/>
        <v>2515.14</v>
      </c>
    </row>
    <row r="62" spans="1:7" ht="15.75" x14ac:dyDescent="0.25">
      <c r="A62" s="311">
        <f>A61+1</f>
        <v>49</v>
      </c>
      <c r="B62" s="316" t="s">
        <v>1580</v>
      </c>
      <c r="C62" s="311" t="s">
        <v>254</v>
      </c>
      <c r="D62" s="325">
        <f>0.8*66.57</f>
        <v>53.256</v>
      </c>
      <c r="E62" s="179">
        <v>89</v>
      </c>
      <c r="F62" s="314">
        <f t="shared" si="18"/>
        <v>4739.78</v>
      </c>
      <c r="G62" s="314">
        <f t="shared" si="19"/>
        <v>5687.74</v>
      </c>
    </row>
    <row r="63" spans="1:7" ht="15.75" x14ac:dyDescent="0.25">
      <c r="A63" s="311">
        <f>A62+1</f>
        <v>50</v>
      </c>
      <c r="B63" s="316" t="s">
        <v>1587</v>
      </c>
      <c r="C63" s="311" t="s">
        <v>220</v>
      </c>
      <c r="D63" s="322">
        <v>5</v>
      </c>
      <c r="E63" s="179">
        <v>18700</v>
      </c>
      <c r="F63" s="314">
        <f t="shared" si="15"/>
        <v>93500</v>
      </c>
      <c r="G63" s="314">
        <f t="shared" si="16"/>
        <v>112200</v>
      </c>
    </row>
    <row r="64" spans="1:7" ht="15.75" x14ac:dyDescent="0.25">
      <c r="A64" s="66">
        <f t="shared" ref="A64:A66" si="20">A63+1</f>
        <v>51</v>
      </c>
      <c r="B64" s="253" t="s">
        <v>402</v>
      </c>
      <c r="C64" s="88" t="s">
        <v>254</v>
      </c>
      <c r="D64" s="297">
        <v>12.754</v>
      </c>
      <c r="E64" s="178">
        <v>1376</v>
      </c>
      <c r="F64" s="107">
        <f t="shared" si="15"/>
        <v>17549.5</v>
      </c>
      <c r="G64" s="107">
        <f t="shared" si="16"/>
        <v>21059.4</v>
      </c>
    </row>
    <row r="65" spans="1:8" ht="15.75" x14ac:dyDescent="0.25">
      <c r="A65" s="66">
        <f t="shared" si="20"/>
        <v>52</v>
      </c>
      <c r="B65" s="253" t="s">
        <v>403</v>
      </c>
      <c r="C65" s="88" t="s">
        <v>254</v>
      </c>
      <c r="D65" s="297">
        <v>12.754</v>
      </c>
      <c r="E65" s="178">
        <v>1518.0000000000002</v>
      </c>
      <c r="F65" s="107">
        <f t="shared" si="15"/>
        <v>19360.57</v>
      </c>
      <c r="G65" s="107">
        <f t="shared" si="16"/>
        <v>23232.68</v>
      </c>
    </row>
    <row r="66" spans="1:8" ht="15.75" x14ac:dyDescent="0.25">
      <c r="A66" s="66">
        <f t="shared" si="20"/>
        <v>53</v>
      </c>
      <c r="B66" s="67" t="s">
        <v>1588</v>
      </c>
      <c r="C66" s="66" t="s">
        <v>239</v>
      </c>
      <c r="D66" s="213">
        <v>12.754</v>
      </c>
      <c r="E66" s="179">
        <v>157</v>
      </c>
      <c r="F66" s="105">
        <f t="shared" si="15"/>
        <v>2002.38</v>
      </c>
      <c r="G66" s="105">
        <f t="shared" si="16"/>
        <v>2402.86</v>
      </c>
    </row>
    <row r="67" spans="1:8" ht="15.75" x14ac:dyDescent="0.25">
      <c r="A67" s="257"/>
      <c r="B67" s="73" t="s">
        <v>1554</v>
      </c>
      <c r="C67" s="66"/>
      <c r="D67" s="307"/>
      <c r="E67" s="223"/>
      <c r="F67" s="105"/>
      <c r="G67" s="105"/>
    </row>
    <row r="68" spans="1:8" ht="15.75" x14ac:dyDescent="0.25">
      <c r="A68" s="311">
        <f>A66+1</f>
        <v>54</v>
      </c>
      <c r="B68" s="316" t="s">
        <v>1006</v>
      </c>
      <c r="C68" s="311" t="s">
        <v>193</v>
      </c>
      <c r="D68" s="313">
        <v>0.46</v>
      </c>
      <c r="E68" s="179">
        <v>4600</v>
      </c>
      <c r="F68" s="337">
        <f t="shared" ref="F68:F82" si="21">ROUND(E68*D68,2)</f>
        <v>2116</v>
      </c>
      <c r="G68" s="337">
        <f t="shared" ref="G68:G82" si="22">ROUND(F68*1.2,2)</f>
        <v>2539.1999999999998</v>
      </c>
    </row>
    <row r="69" spans="1:8" ht="15.75" x14ac:dyDescent="0.25">
      <c r="A69" s="315">
        <f t="shared" ref="A69:A74" si="23">A68+1</f>
        <v>55</v>
      </c>
      <c r="B69" s="316" t="s">
        <v>1589</v>
      </c>
      <c r="C69" s="311" t="s">
        <v>193</v>
      </c>
      <c r="D69" s="325">
        <v>10.199999999999999</v>
      </c>
      <c r="E69" s="179">
        <v>24213</v>
      </c>
      <c r="F69" s="337">
        <f t="shared" si="21"/>
        <v>246972.6</v>
      </c>
      <c r="G69" s="337">
        <f t="shared" si="22"/>
        <v>296367.12</v>
      </c>
      <c r="H69" s="218"/>
    </row>
    <row r="70" spans="1:8" ht="15.75" x14ac:dyDescent="0.25">
      <c r="A70" s="315">
        <f t="shared" si="23"/>
        <v>56</v>
      </c>
      <c r="B70" s="316" t="s">
        <v>1070</v>
      </c>
      <c r="C70" s="311" t="s">
        <v>387</v>
      </c>
      <c r="D70" s="326">
        <f>15.12*20/16</f>
        <v>18.899999999999999</v>
      </c>
      <c r="E70" s="179">
        <v>250</v>
      </c>
      <c r="F70" s="337">
        <f t="shared" si="21"/>
        <v>4725</v>
      </c>
      <c r="G70" s="337">
        <f t="shared" si="22"/>
        <v>5670</v>
      </c>
    </row>
    <row r="71" spans="1:8" ht="15.75" x14ac:dyDescent="0.25">
      <c r="A71" s="315">
        <f t="shared" si="23"/>
        <v>57</v>
      </c>
      <c r="B71" s="316" t="s">
        <v>1069</v>
      </c>
      <c r="C71" s="311" t="s">
        <v>254</v>
      </c>
      <c r="D71" s="326">
        <v>70.599999999999994</v>
      </c>
      <c r="E71" s="179">
        <v>312</v>
      </c>
      <c r="F71" s="337">
        <f t="shared" si="21"/>
        <v>22027.200000000001</v>
      </c>
      <c r="G71" s="337">
        <f t="shared" si="22"/>
        <v>26432.639999999999</v>
      </c>
    </row>
    <row r="72" spans="1:8" ht="15.75" x14ac:dyDescent="0.25">
      <c r="A72" s="315">
        <f t="shared" si="23"/>
        <v>58</v>
      </c>
      <c r="B72" s="316" t="s">
        <v>1590</v>
      </c>
      <c r="C72" s="311" t="s">
        <v>220</v>
      </c>
      <c r="D72" s="322">
        <v>3</v>
      </c>
      <c r="E72" s="179">
        <v>110000</v>
      </c>
      <c r="F72" s="337">
        <f t="shared" si="21"/>
        <v>330000</v>
      </c>
      <c r="G72" s="337">
        <f t="shared" si="22"/>
        <v>396000</v>
      </c>
      <c r="H72" s="218"/>
    </row>
    <row r="73" spans="1:8" ht="15.75" x14ac:dyDescent="0.25">
      <c r="A73" s="257">
        <f t="shared" si="23"/>
        <v>59</v>
      </c>
      <c r="B73" s="253" t="s">
        <v>402</v>
      </c>
      <c r="C73" s="88" t="s">
        <v>254</v>
      </c>
      <c r="D73" s="237">
        <v>10.4</v>
      </c>
      <c r="E73" s="178">
        <v>1376</v>
      </c>
      <c r="F73" s="107">
        <f t="shared" si="21"/>
        <v>14310.4</v>
      </c>
      <c r="G73" s="107">
        <f t="shared" si="22"/>
        <v>17172.48</v>
      </c>
    </row>
    <row r="74" spans="1:8" ht="15.75" x14ac:dyDescent="0.25">
      <c r="A74" s="257">
        <f t="shared" si="23"/>
        <v>60</v>
      </c>
      <c r="B74" s="253" t="s">
        <v>403</v>
      </c>
      <c r="C74" s="88" t="s">
        <v>254</v>
      </c>
      <c r="D74" s="237">
        <v>18.2</v>
      </c>
      <c r="E74" s="178">
        <v>1518.0000000000002</v>
      </c>
      <c r="F74" s="107">
        <f t="shared" si="21"/>
        <v>27627.599999999999</v>
      </c>
      <c r="G74" s="107">
        <f t="shared" si="22"/>
        <v>33153.120000000003</v>
      </c>
    </row>
    <row r="75" spans="1:8" ht="15.75" x14ac:dyDescent="0.25">
      <c r="A75" s="257">
        <f t="shared" ref="A75:A82" si="24">A74+1</f>
        <v>61</v>
      </c>
      <c r="B75" s="67" t="s">
        <v>1591</v>
      </c>
      <c r="C75" s="88" t="s">
        <v>254</v>
      </c>
      <c r="D75" s="68">
        <f>76*0.243</f>
        <v>18.468</v>
      </c>
      <c r="E75" s="179">
        <v>127</v>
      </c>
      <c r="F75" s="107">
        <f t="shared" si="21"/>
        <v>2345.44</v>
      </c>
      <c r="G75" s="107">
        <f t="shared" si="22"/>
        <v>2814.53</v>
      </c>
    </row>
    <row r="76" spans="1:8" ht="15.75" x14ac:dyDescent="0.25">
      <c r="A76" s="257">
        <f t="shared" si="24"/>
        <v>62</v>
      </c>
      <c r="B76" s="67" t="s">
        <v>1592</v>
      </c>
      <c r="C76" s="88" t="s">
        <v>254</v>
      </c>
      <c r="D76" s="68">
        <f>76*0.071</f>
        <v>5.3959999999999999</v>
      </c>
      <c r="E76" s="179">
        <v>147</v>
      </c>
      <c r="F76" s="107">
        <f t="shared" si="21"/>
        <v>793.21</v>
      </c>
      <c r="G76" s="107">
        <f t="shared" si="22"/>
        <v>951.85</v>
      </c>
    </row>
    <row r="77" spans="1:8" ht="15.75" x14ac:dyDescent="0.25">
      <c r="A77" s="257">
        <f t="shared" si="24"/>
        <v>63</v>
      </c>
      <c r="B77" s="67" t="s">
        <v>1593</v>
      </c>
      <c r="C77" s="88" t="s">
        <v>254</v>
      </c>
      <c r="D77" s="68">
        <f>76*0.0172</f>
        <v>1.3071999999999999</v>
      </c>
      <c r="E77" s="179">
        <v>197</v>
      </c>
      <c r="F77" s="107">
        <f t="shared" si="21"/>
        <v>257.52</v>
      </c>
      <c r="G77" s="107">
        <f t="shared" si="22"/>
        <v>309.02</v>
      </c>
    </row>
    <row r="78" spans="1:8" ht="15.75" x14ac:dyDescent="0.25">
      <c r="A78" s="257">
        <f t="shared" si="24"/>
        <v>64</v>
      </c>
      <c r="B78" s="67" t="s">
        <v>1594</v>
      </c>
      <c r="C78" s="88" t="s">
        <v>254</v>
      </c>
      <c r="D78" s="68">
        <f>76*0.015</f>
        <v>1.1399999999999999</v>
      </c>
      <c r="E78" s="179">
        <v>197</v>
      </c>
      <c r="F78" s="107">
        <f t="shared" si="21"/>
        <v>224.58</v>
      </c>
      <c r="G78" s="107">
        <f t="shared" si="22"/>
        <v>269.5</v>
      </c>
    </row>
    <row r="79" spans="1:8" ht="15.75" x14ac:dyDescent="0.25">
      <c r="A79" s="257">
        <f t="shared" si="24"/>
        <v>65</v>
      </c>
      <c r="B79" s="67" t="s">
        <v>1595</v>
      </c>
      <c r="C79" s="88" t="s">
        <v>254</v>
      </c>
      <c r="D79" s="68">
        <f>0.33*40</f>
        <v>13.200000000000001</v>
      </c>
      <c r="E79" s="179">
        <v>127</v>
      </c>
      <c r="F79" s="107">
        <f t="shared" si="21"/>
        <v>1676.4</v>
      </c>
      <c r="G79" s="107">
        <f t="shared" si="22"/>
        <v>2011.68</v>
      </c>
    </row>
    <row r="80" spans="1:8" ht="15.75" x14ac:dyDescent="0.25">
      <c r="A80" s="257">
        <f t="shared" si="24"/>
        <v>66</v>
      </c>
      <c r="B80" s="67" t="s">
        <v>1596</v>
      </c>
      <c r="C80" s="88" t="s">
        <v>254</v>
      </c>
      <c r="D80" s="68">
        <f>40*0.107</f>
        <v>4.28</v>
      </c>
      <c r="E80" s="179">
        <v>147</v>
      </c>
      <c r="F80" s="107">
        <f t="shared" si="21"/>
        <v>629.16</v>
      </c>
      <c r="G80" s="107">
        <f t="shared" si="22"/>
        <v>754.99</v>
      </c>
    </row>
    <row r="81" spans="1:8" ht="15.75" x14ac:dyDescent="0.25">
      <c r="A81" s="257">
        <f t="shared" si="24"/>
        <v>67</v>
      </c>
      <c r="B81" s="67" t="s">
        <v>1597</v>
      </c>
      <c r="C81" s="88" t="s">
        <v>254</v>
      </c>
      <c r="D81" s="68">
        <f>0.03*40</f>
        <v>1.2</v>
      </c>
      <c r="E81" s="179">
        <v>197</v>
      </c>
      <c r="F81" s="107">
        <f t="shared" si="21"/>
        <v>236.4</v>
      </c>
      <c r="G81" s="107">
        <f t="shared" si="22"/>
        <v>283.68</v>
      </c>
    </row>
    <row r="82" spans="1:8" ht="15.75" x14ac:dyDescent="0.25">
      <c r="A82" s="257">
        <f t="shared" si="24"/>
        <v>68</v>
      </c>
      <c r="B82" s="67" t="s">
        <v>1598</v>
      </c>
      <c r="C82" s="88" t="s">
        <v>254</v>
      </c>
      <c r="D82" s="68">
        <f>40*0.068</f>
        <v>2.72</v>
      </c>
      <c r="E82" s="179">
        <v>197</v>
      </c>
      <c r="F82" s="107">
        <f t="shared" si="21"/>
        <v>535.84</v>
      </c>
      <c r="G82" s="107">
        <f t="shared" si="22"/>
        <v>643.01</v>
      </c>
    </row>
    <row r="83" spans="1:8" ht="15.75" x14ac:dyDescent="0.25">
      <c r="A83" s="257"/>
      <c r="B83" s="73" t="s">
        <v>1559</v>
      </c>
      <c r="C83" s="66"/>
      <c r="D83" s="307"/>
      <c r="E83" s="223"/>
      <c r="F83" s="105"/>
      <c r="G83" s="105"/>
    </row>
    <row r="84" spans="1:8" ht="30" x14ac:dyDescent="0.25">
      <c r="A84" s="315">
        <f>A82+1</f>
        <v>69</v>
      </c>
      <c r="B84" s="316" t="s">
        <v>1599</v>
      </c>
      <c r="C84" s="311" t="s">
        <v>193</v>
      </c>
      <c r="D84" s="326">
        <v>0.52</v>
      </c>
      <c r="E84" s="179">
        <v>24410</v>
      </c>
      <c r="F84" s="337">
        <f t="shared" ref="F84:F86" si="25">ROUND(E84*D84,2)</f>
        <v>12693.2</v>
      </c>
      <c r="G84" s="337">
        <f t="shared" ref="G84:G86" si="26">ROUND(F84*1.2,2)</f>
        <v>15231.84</v>
      </c>
      <c r="H84" s="218"/>
    </row>
    <row r="85" spans="1:8" ht="15.75" x14ac:dyDescent="0.25">
      <c r="A85" s="315">
        <f>A84+1</f>
        <v>70</v>
      </c>
      <c r="B85" s="316" t="s">
        <v>1600</v>
      </c>
      <c r="C85" s="311" t="s">
        <v>193</v>
      </c>
      <c r="D85" s="326">
        <v>2.52</v>
      </c>
      <c r="E85" s="179">
        <v>22230</v>
      </c>
      <c r="F85" s="337">
        <f t="shared" si="25"/>
        <v>56019.6</v>
      </c>
      <c r="G85" s="337">
        <f t="shared" si="26"/>
        <v>67223.520000000004</v>
      </c>
      <c r="H85" s="218"/>
    </row>
    <row r="86" spans="1:8" ht="30" x14ac:dyDescent="0.25">
      <c r="A86" s="311">
        <f>A85+1</f>
        <v>71</v>
      </c>
      <c r="B86" s="316" t="s">
        <v>407</v>
      </c>
      <c r="C86" s="311" t="s">
        <v>243</v>
      </c>
      <c r="D86" s="335">
        <v>1</v>
      </c>
      <c r="E86" s="338">
        <v>140000</v>
      </c>
      <c r="F86" s="337">
        <f t="shared" si="25"/>
        <v>140000</v>
      </c>
      <c r="G86" s="337">
        <f t="shared" si="26"/>
        <v>168000</v>
      </c>
    </row>
    <row r="87" spans="1:8" ht="22.5" customHeight="1" x14ac:dyDescent="0.25">
      <c r="A87" s="467" t="s">
        <v>408</v>
      </c>
      <c r="B87" s="467"/>
      <c r="C87" s="467"/>
      <c r="D87" s="467"/>
      <c r="E87" s="467"/>
      <c r="F87" s="83">
        <f>SUM(F6:F86)</f>
        <v>2246729.7199999997</v>
      </c>
      <c r="G87" s="83">
        <f>SUM(G6:G86)</f>
        <v>2696075.69</v>
      </c>
    </row>
  </sheetData>
  <mergeCells count="7">
    <mergeCell ref="A87:E87"/>
    <mergeCell ref="A1:A3"/>
    <mergeCell ref="B1:B3"/>
    <mergeCell ref="C1:C3"/>
    <mergeCell ref="D1:D3"/>
    <mergeCell ref="E1:G2"/>
    <mergeCell ref="B5:D5"/>
  </mergeCells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8"/>
  <sheetViews>
    <sheetView view="pageBreakPreview" zoomScale="70" zoomScaleNormal="100" zoomScaleSheetLayoutView="70" workbookViewId="0">
      <selection activeCell="B13" sqref="B13"/>
    </sheetView>
  </sheetViews>
  <sheetFormatPr defaultColWidth="8.85546875" defaultRowHeight="15" x14ac:dyDescent="0.25"/>
  <cols>
    <col min="2" max="2" width="61.7109375" customWidth="1"/>
    <col min="5" max="5" width="15.140625" customWidth="1"/>
    <col min="6" max="6" width="16" customWidth="1"/>
    <col min="7" max="7" width="17" style="52" customWidth="1"/>
    <col min="8" max="8" width="76.28515625" style="52" customWidth="1"/>
  </cols>
  <sheetData>
    <row r="1" spans="1:8" ht="14.45" customHeight="1" x14ac:dyDescent="0.25">
      <c r="A1" s="420" t="s">
        <v>226</v>
      </c>
      <c r="B1" s="464" t="s">
        <v>201</v>
      </c>
      <c r="C1" s="432" t="s">
        <v>230</v>
      </c>
      <c r="D1" s="432" t="s">
        <v>202</v>
      </c>
      <c r="E1" s="459" t="s">
        <v>703</v>
      </c>
      <c r="F1" s="460"/>
      <c r="G1" s="460"/>
    </row>
    <row r="2" spans="1:8" ht="14.45" customHeight="1" x14ac:dyDescent="0.25">
      <c r="A2" s="463"/>
      <c r="B2" s="465"/>
      <c r="C2" s="432"/>
      <c r="D2" s="432"/>
      <c r="E2" s="461"/>
      <c r="F2" s="462"/>
      <c r="G2" s="462"/>
    </row>
    <row r="3" spans="1:8" ht="56.1" customHeight="1" x14ac:dyDescent="0.25">
      <c r="A3" s="421"/>
      <c r="B3" s="466"/>
      <c r="C3" s="432"/>
      <c r="D3" s="432"/>
      <c r="E3" s="352" t="s">
        <v>441</v>
      </c>
      <c r="F3" s="352" t="s">
        <v>433</v>
      </c>
      <c r="G3" s="104" t="s">
        <v>409</v>
      </c>
    </row>
    <row r="4" spans="1:8" x14ac:dyDescent="0.25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  <c r="H4"/>
    </row>
    <row r="5" spans="1:8" ht="20.25" customHeight="1" x14ac:dyDescent="0.25">
      <c r="A5" s="181"/>
      <c r="B5" s="414" t="s">
        <v>232</v>
      </c>
      <c r="C5" s="436"/>
      <c r="D5" s="436"/>
      <c r="E5" s="182"/>
      <c r="F5" s="183"/>
      <c r="G5" s="481">
        <f>SUM(G7:G106)</f>
        <v>45815441.049999997</v>
      </c>
    </row>
    <row r="6" spans="1:8" ht="20.25" customHeight="1" x14ac:dyDescent="0.25">
      <c r="A6" s="351"/>
      <c r="B6" s="62" t="s">
        <v>442</v>
      </c>
      <c r="C6" s="63"/>
      <c r="D6" s="63"/>
      <c r="E6" s="64"/>
      <c r="F6" s="65"/>
      <c r="G6" s="133"/>
    </row>
    <row r="7" spans="1:8" ht="30" x14ac:dyDescent="0.25">
      <c r="A7" s="66">
        <v>1</v>
      </c>
      <c r="B7" s="67" t="s">
        <v>443</v>
      </c>
      <c r="C7" s="74" t="s">
        <v>193</v>
      </c>
      <c r="D7" s="71">
        <v>1080</v>
      </c>
      <c r="E7" s="179">
        <v>325</v>
      </c>
      <c r="F7" s="105">
        <f t="shared" ref="F7:F61" si="0">ROUND(E7*D7,2)</f>
        <v>351000</v>
      </c>
      <c r="G7" s="105">
        <f t="shared" ref="G7:G61" si="1">ROUND(F7*1.2,2)</f>
        <v>421200</v>
      </c>
    </row>
    <row r="8" spans="1:8" ht="15.75" x14ac:dyDescent="0.25">
      <c r="A8" s="66">
        <f>A7+1</f>
        <v>2</v>
      </c>
      <c r="B8" s="67" t="s">
        <v>444</v>
      </c>
      <c r="C8" s="74" t="s">
        <v>193</v>
      </c>
      <c r="D8" s="71">
        <v>20</v>
      </c>
      <c r="E8" s="179">
        <v>1777</v>
      </c>
      <c r="F8" s="105">
        <f t="shared" si="0"/>
        <v>35540</v>
      </c>
      <c r="G8" s="105">
        <f t="shared" si="1"/>
        <v>42648</v>
      </c>
    </row>
    <row r="9" spans="1:8" ht="15.75" x14ac:dyDescent="0.25">
      <c r="A9" s="66">
        <f>A8+1</f>
        <v>3</v>
      </c>
      <c r="B9" s="67" t="s">
        <v>445</v>
      </c>
      <c r="C9" s="66" t="s">
        <v>239</v>
      </c>
      <c r="D9" s="71">
        <v>1744</v>
      </c>
      <c r="E9" s="179">
        <v>3460</v>
      </c>
      <c r="F9" s="105">
        <f t="shared" si="0"/>
        <v>6034240</v>
      </c>
      <c r="G9" s="105">
        <f t="shared" si="1"/>
        <v>7241088</v>
      </c>
    </row>
    <row r="10" spans="1:8" ht="15.75" x14ac:dyDescent="0.25">
      <c r="A10" s="66">
        <f t="shared" ref="A10:A15" si="2">A9+1</f>
        <v>4</v>
      </c>
      <c r="B10" s="67" t="s">
        <v>446</v>
      </c>
      <c r="C10" s="66" t="s">
        <v>193</v>
      </c>
      <c r="D10" s="71">
        <v>1090</v>
      </c>
      <c r="E10" s="179">
        <v>50</v>
      </c>
      <c r="F10" s="105">
        <f t="shared" si="0"/>
        <v>54500</v>
      </c>
      <c r="G10" s="105">
        <f t="shared" si="1"/>
        <v>65400</v>
      </c>
    </row>
    <row r="11" spans="1:8" ht="15.75" x14ac:dyDescent="0.25">
      <c r="A11" s="66">
        <f t="shared" si="2"/>
        <v>5</v>
      </c>
      <c r="B11" s="67" t="s">
        <v>447</v>
      </c>
      <c r="C11" s="66" t="s">
        <v>431</v>
      </c>
      <c r="D11" s="71">
        <v>1030</v>
      </c>
      <c r="E11" s="179">
        <v>325</v>
      </c>
      <c r="F11" s="105">
        <f t="shared" si="0"/>
        <v>334750</v>
      </c>
      <c r="G11" s="105">
        <f t="shared" si="1"/>
        <v>401700</v>
      </c>
    </row>
    <row r="12" spans="1:8" ht="15.75" x14ac:dyDescent="0.25">
      <c r="A12" s="66">
        <f t="shared" si="2"/>
        <v>6</v>
      </c>
      <c r="B12" s="67" t="s">
        <v>448</v>
      </c>
      <c r="C12" s="66" t="s">
        <v>431</v>
      </c>
      <c r="D12" s="71">
        <v>10</v>
      </c>
      <c r="E12" s="179">
        <v>899</v>
      </c>
      <c r="F12" s="105">
        <f t="shared" si="0"/>
        <v>8990</v>
      </c>
      <c r="G12" s="105">
        <f t="shared" si="1"/>
        <v>10788</v>
      </c>
    </row>
    <row r="13" spans="1:8" ht="19.5" customHeight="1" x14ac:dyDescent="0.25">
      <c r="A13" s="66">
        <f t="shared" si="2"/>
        <v>7</v>
      </c>
      <c r="B13" s="67" t="s">
        <v>449</v>
      </c>
      <c r="C13" s="66" t="s">
        <v>193</v>
      </c>
      <c r="D13" s="71">
        <v>8</v>
      </c>
      <c r="E13" s="179">
        <v>325</v>
      </c>
      <c r="F13" s="105">
        <f t="shared" si="0"/>
        <v>2600</v>
      </c>
      <c r="G13" s="105">
        <f t="shared" si="1"/>
        <v>3120</v>
      </c>
    </row>
    <row r="14" spans="1:8" ht="15.75" x14ac:dyDescent="0.25">
      <c r="A14" s="66">
        <f t="shared" si="2"/>
        <v>8</v>
      </c>
      <c r="B14" s="67" t="s">
        <v>450</v>
      </c>
      <c r="C14" s="66" t="s">
        <v>193</v>
      </c>
      <c r="D14" s="71">
        <v>2</v>
      </c>
      <c r="E14" s="179">
        <v>899</v>
      </c>
      <c r="F14" s="105">
        <f t="shared" si="0"/>
        <v>1798</v>
      </c>
      <c r="G14" s="105">
        <f t="shared" si="1"/>
        <v>2157.6</v>
      </c>
    </row>
    <row r="15" spans="1:8" ht="15.75" x14ac:dyDescent="0.25">
      <c r="A15" s="66">
        <f t="shared" si="2"/>
        <v>9</v>
      </c>
      <c r="B15" s="67" t="s">
        <v>451</v>
      </c>
      <c r="C15" s="66" t="s">
        <v>193</v>
      </c>
      <c r="D15" s="71">
        <v>10</v>
      </c>
      <c r="E15" s="179">
        <v>203</v>
      </c>
      <c r="F15" s="105">
        <f t="shared" si="0"/>
        <v>2030</v>
      </c>
      <c r="G15" s="105">
        <f t="shared" si="1"/>
        <v>2436</v>
      </c>
    </row>
    <row r="16" spans="1:8" ht="15.75" x14ac:dyDescent="0.25">
      <c r="A16" s="66"/>
      <c r="B16" s="62" t="s">
        <v>233</v>
      </c>
      <c r="C16" s="66"/>
      <c r="D16" s="71"/>
      <c r="E16" s="223"/>
      <c r="F16" s="105"/>
      <c r="G16" s="105"/>
    </row>
    <row r="17" spans="1:7" ht="15.75" x14ac:dyDescent="0.25">
      <c r="A17" s="66">
        <f>A15+1</f>
        <v>10</v>
      </c>
      <c r="B17" s="67" t="s">
        <v>452</v>
      </c>
      <c r="C17" s="66" t="s">
        <v>193</v>
      </c>
      <c r="D17" s="71">
        <v>168</v>
      </c>
      <c r="E17" s="179">
        <v>1111</v>
      </c>
      <c r="F17" s="105">
        <f t="shared" si="0"/>
        <v>186648</v>
      </c>
      <c r="G17" s="105">
        <f t="shared" si="1"/>
        <v>223977.60000000001</v>
      </c>
    </row>
    <row r="18" spans="1:7" ht="30" x14ac:dyDescent="0.25">
      <c r="A18" s="66">
        <f>A17+1</f>
        <v>11</v>
      </c>
      <c r="B18" s="67" t="s">
        <v>453</v>
      </c>
      <c r="C18" s="66" t="s">
        <v>431</v>
      </c>
      <c r="D18" s="71">
        <v>1030</v>
      </c>
      <c r="E18" s="179">
        <v>253</v>
      </c>
      <c r="F18" s="105">
        <f t="shared" si="0"/>
        <v>260590</v>
      </c>
      <c r="G18" s="105">
        <f t="shared" si="1"/>
        <v>312708</v>
      </c>
    </row>
    <row r="19" spans="1:7" ht="15.75" x14ac:dyDescent="0.25">
      <c r="A19" s="66">
        <f>A18+1</f>
        <v>12</v>
      </c>
      <c r="B19" s="67" t="s">
        <v>454</v>
      </c>
      <c r="C19" s="66" t="s">
        <v>431</v>
      </c>
      <c r="D19" s="71">
        <v>1030</v>
      </c>
      <c r="E19" s="179">
        <v>468</v>
      </c>
      <c r="F19" s="105">
        <f t="shared" si="0"/>
        <v>482040</v>
      </c>
      <c r="G19" s="105">
        <f t="shared" si="1"/>
        <v>578448</v>
      </c>
    </row>
    <row r="20" spans="1:7" ht="15.75" x14ac:dyDescent="0.25">
      <c r="A20" s="66">
        <f>A19+1</f>
        <v>13</v>
      </c>
      <c r="B20" s="67" t="s">
        <v>455</v>
      </c>
      <c r="C20" s="66" t="s">
        <v>193</v>
      </c>
      <c r="D20" s="71">
        <v>121</v>
      </c>
      <c r="E20" s="179">
        <v>1475</v>
      </c>
      <c r="F20" s="105">
        <f t="shared" si="0"/>
        <v>178475</v>
      </c>
      <c r="G20" s="105">
        <f t="shared" si="1"/>
        <v>214170</v>
      </c>
    </row>
    <row r="21" spans="1:7" ht="30" x14ac:dyDescent="0.25">
      <c r="A21" s="66">
        <f>A20+1</f>
        <v>14</v>
      </c>
      <c r="B21" s="67" t="s">
        <v>456</v>
      </c>
      <c r="C21" s="66" t="s">
        <v>431</v>
      </c>
      <c r="D21" s="71">
        <v>770</v>
      </c>
      <c r="E21" s="179">
        <v>1140</v>
      </c>
      <c r="F21" s="105">
        <f t="shared" si="0"/>
        <v>877800</v>
      </c>
      <c r="G21" s="105">
        <f t="shared" si="1"/>
        <v>1053360</v>
      </c>
    </row>
    <row r="22" spans="1:7" ht="15.75" x14ac:dyDescent="0.25">
      <c r="A22" s="66">
        <f t="shared" ref="A22:A23" si="3">A21+1</f>
        <v>15</v>
      </c>
      <c r="B22" s="67" t="s">
        <v>457</v>
      </c>
      <c r="C22" s="66" t="s">
        <v>431</v>
      </c>
      <c r="D22" s="71">
        <v>150</v>
      </c>
      <c r="E22" s="179">
        <v>1440</v>
      </c>
      <c r="F22" s="105">
        <f t="shared" si="0"/>
        <v>216000</v>
      </c>
      <c r="G22" s="105">
        <f t="shared" si="1"/>
        <v>259200</v>
      </c>
    </row>
    <row r="23" spans="1:7" ht="15.75" x14ac:dyDescent="0.25">
      <c r="A23" s="66">
        <f t="shared" si="3"/>
        <v>16</v>
      </c>
      <c r="B23" s="67" t="s">
        <v>458</v>
      </c>
      <c r="C23" s="66" t="s">
        <v>194</v>
      </c>
      <c r="D23" s="71">
        <v>100</v>
      </c>
      <c r="E23" s="179">
        <v>1205</v>
      </c>
      <c r="F23" s="105">
        <f t="shared" si="0"/>
        <v>120500</v>
      </c>
      <c r="G23" s="105">
        <f t="shared" si="1"/>
        <v>144600</v>
      </c>
    </row>
    <row r="24" spans="1:7" ht="15.75" x14ac:dyDescent="0.25">
      <c r="A24" s="66"/>
      <c r="B24" s="62" t="s">
        <v>244</v>
      </c>
      <c r="C24" s="66"/>
      <c r="D24" s="71"/>
      <c r="E24" s="223"/>
      <c r="F24" s="105"/>
      <c r="G24" s="105"/>
    </row>
    <row r="25" spans="1:7" ht="30" x14ac:dyDescent="0.25">
      <c r="A25" s="66">
        <f>A23+1</f>
        <v>17</v>
      </c>
      <c r="B25" s="67" t="s">
        <v>459</v>
      </c>
      <c r="C25" s="66" t="s">
        <v>194</v>
      </c>
      <c r="D25" s="71">
        <v>156</v>
      </c>
      <c r="E25" s="179">
        <v>2348</v>
      </c>
      <c r="F25" s="105">
        <f t="shared" si="0"/>
        <v>366288</v>
      </c>
      <c r="G25" s="105">
        <f t="shared" si="1"/>
        <v>439545.59999999998</v>
      </c>
    </row>
    <row r="26" spans="1:7" ht="20.25" x14ac:dyDescent="0.25">
      <c r="A26" s="351"/>
      <c r="B26" s="62" t="s">
        <v>251</v>
      </c>
      <c r="C26" s="63"/>
      <c r="D26" s="63"/>
      <c r="E26" s="190"/>
      <c r="F26" s="105"/>
      <c r="G26" s="105"/>
    </row>
    <row r="27" spans="1:7" ht="15.75" x14ac:dyDescent="0.25">
      <c r="A27" s="66"/>
      <c r="B27" s="73" t="s">
        <v>460</v>
      </c>
      <c r="C27" s="74"/>
      <c r="D27" s="75"/>
      <c r="E27" s="223"/>
      <c r="F27" s="105"/>
      <c r="G27" s="105"/>
    </row>
    <row r="28" spans="1:7" ht="15.75" x14ac:dyDescent="0.25">
      <c r="A28" s="66">
        <f>A25+1</f>
        <v>18</v>
      </c>
      <c r="B28" s="67" t="s">
        <v>461</v>
      </c>
      <c r="C28" s="66" t="s">
        <v>193</v>
      </c>
      <c r="D28" s="68">
        <v>1.92</v>
      </c>
      <c r="E28" s="179">
        <v>3979</v>
      </c>
      <c r="F28" s="105">
        <f t="shared" si="0"/>
        <v>7639.68</v>
      </c>
      <c r="G28" s="105">
        <f t="shared" si="1"/>
        <v>9167.6200000000008</v>
      </c>
    </row>
    <row r="29" spans="1:7" ht="15.75" x14ac:dyDescent="0.25">
      <c r="A29" s="66">
        <f t="shared" ref="A29:A37" si="4">A28+1</f>
        <v>19</v>
      </c>
      <c r="B29" s="67" t="s">
        <v>462</v>
      </c>
      <c r="C29" s="66" t="s">
        <v>193</v>
      </c>
      <c r="D29" s="68">
        <v>7.2</v>
      </c>
      <c r="E29" s="179">
        <v>8423</v>
      </c>
      <c r="F29" s="105">
        <f t="shared" si="0"/>
        <v>60645.599999999999</v>
      </c>
      <c r="G29" s="105">
        <f t="shared" si="1"/>
        <v>72774.720000000001</v>
      </c>
    </row>
    <row r="30" spans="1:7" ht="15.75" x14ac:dyDescent="0.25">
      <c r="A30" s="66">
        <f t="shared" si="4"/>
        <v>20</v>
      </c>
      <c r="B30" s="67" t="s">
        <v>463</v>
      </c>
      <c r="C30" s="66" t="s">
        <v>239</v>
      </c>
      <c r="D30" s="77">
        <v>0.13239999999999999</v>
      </c>
      <c r="E30" s="179">
        <v>150291</v>
      </c>
      <c r="F30" s="105">
        <f t="shared" si="0"/>
        <v>19898.53</v>
      </c>
      <c r="G30" s="105">
        <f t="shared" si="1"/>
        <v>23878.240000000002</v>
      </c>
    </row>
    <row r="31" spans="1:7" ht="15.75" x14ac:dyDescent="0.25">
      <c r="A31" s="66">
        <f t="shared" si="4"/>
        <v>21</v>
      </c>
      <c r="B31" s="67" t="s">
        <v>464</v>
      </c>
      <c r="C31" s="66" t="s">
        <v>431</v>
      </c>
      <c r="D31" s="68">
        <v>35.840000000000003</v>
      </c>
      <c r="E31" s="179">
        <v>320</v>
      </c>
      <c r="F31" s="105">
        <f t="shared" si="0"/>
        <v>11468.8</v>
      </c>
      <c r="G31" s="105">
        <f t="shared" si="1"/>
        <v>13762.56</v>
      </c>
    </row>
    <row r="32" spans="1:7" ht="15.75" x14ac:dyDescent="0.25">
      <c r="A32" s="66"/>
      <c r="B32" s="73" t="s">
        <v>263</v>
      </c>
      <c r="C32" s="66"/>
      <c r="D32" s="68"/>
      <c r="E32" s="223"/>
      <c r="F32" s="105"/>
      <c r="G32" s="105"/>
    </row>
    <row r="33" spans="1:7" ht="15.75" x14ac:dyDescent="0.25">
      <c r="A33" s="66">
        <f>A31+1</f>
        <v>22</v>
      </c>
      <c r="B33" s="67" t="s">
        <v>461</v>
      </c>
      <c r="C33" s="66" t="s">
        <v>193</v>
      </c>
      <c r="D33" s="68">
        <v>1.8</v>
      </c>
      <c r="E33" s="179">
        <v>3979</v>
      </c>
      <c r="F33" s="105">
        <f t="shared" si="0"/>
        <v>7162.2</v>
      </c>
      <c r="G33" s="105">
        <f t="shared" si="1"/>
        <v>8594.64</v>
      </c>
    </row>
    <row r="34" spans="1:7" ht="15.75" x14ac:dyDescent="0.25">
      <c r="A34" s="66">
        <f t="shared" si="4"/>
        <v>23</v>
      </c>
      <c r="B34" s="67" t="s">
        <v>462</v>
      </c>
      <c r="C34" s="66" t="s">
        <v>193</v>
      </c>
      <c r="D34" s="68">
        <v>3.6</v>
      </c>
      <c r="E34" s="179">
        <v>8435</v>
      </c>
      <c r="F34" s="105">
        <f t="shared" si="0"/>
        <v>30366</v>
      </c>
      <c r="G34" s="105">
        <f t="shared" si="1"/>
        <v>36439.199999999997</v>
      </c>
    </row>
    <row r="35" spans="1:7" ht="15.75" x14ac:dyDescent="0.25">
      <c r="A35" s="66">
        <f t="shared" si="4"/>
        <v>24</v>
      </c>
      <c r="B35" s="67" t="s">
        <v>465</v>
      </c>
      <c r="C35" s="66" t="s">
        <v>239</v>
      </c>
      <c r="D35" s="77">
        <v>0.12640000000000001</v>
      </c>
      <c r="E35" s="179">
        <v>73989</v>
      </c>
      <c r="F35" s="105">
        <f t="shared" si="0"/>
        <v>9352.2099999999991</v>
      </c>
      <c r="G35" s="105">
        <f t="shared" si="1"/>
        <v>11222.65</v>
      </c>
    </row>
    <row r="36" spans="1:7" ht="15.75" x14ac:dyDescent="0.25">
      <c r="A36" s="66">
        <f t="shared" si="4"/>
        <v>25</v>
      </c>
      <c r="B36" s="67" t="s">
        <v>466</v>
      </c>
      <c r="C36" s="66" t="s">
        <v>239</v>
      </c>
      <c r="D36" s="81">
        <v>0.20216000000000001</v>
      </c>
      <c r="E36" s="179">
        <v>150291</v>
      </c>
      <c r="F36" s="105">
        <f t="shared" si="0"/>
        <v>30382.83</v>
      </c>
      <c r="G36" s="105">
        <f t="shared" si="1"/>
        <v>36459.4</v>
      </c>
    </row>
    <row r="37" spans="1:7" ht="15.75" x14ac:dyDescent="0.25">
      <c r="A37" s="66">
        <f t="shared" si="4"/>
        <v>26</v>
      </c>
      <c r="B37" s="67" t="s">
        <v>464</v>
      </c>
      <c r="C37" s="66" t="s">
        <v>431</v>
      </c>
      <c r="D37" s="68">
        <v>26.4</v>
      </c>
      <c r="E37" s="179">
        <v>320</v>
      </c>
      <c r="F37" s="105">
        <f t="shared" si="0"/>
        <v>8448</v>
      </c>
      <c r="G37" s="105">
        <f t="shared" si="1"/>
        <v>10137.6</v>
      </c>
    </row>
    <row r="38" spans="1:7" ht="15.75" x14ac:dyDescent="0.25">
      <c r="A38" s="66"/>
      <c r="B38" s="62" t="s">
        <v>283</v>
      </c>
      <c r="C38" s="74"/>
      <c r="D38" s="75"/>
      <c r="E38" s="223"/>
      <c r="F38" s="105"/>
      <c r="G38" s="105"/>
    </row>
    <row r="39" spans="1:7" ht="15.75" x14ac:dyDescent="0.25">
      <c r="A39" s="66"/>
      <c r="B39" s="73" t="s">
        <v>284</v>
      </c>
      <c r="C39" s="74"/>
      <c r="D39" s="75"/>
      <c r="E39" s="223"/>
      <c r="F39" s="105"/>
      <c r="G39" s="105"/>
    </row>
    <row r="40" spans="1:7" ht="15.75" x14ac:dyDescent="0.25">
      <c r="A40" s="66">
        <f>A37+1</f>
        <v>27</v>
      </c>
      <c r="B40" s="67" t="s">
        <v>467</v>
      </c>
      <c r="C40" s="66" t="s">
        <v>239</v>
      </c>
      <c r="D40" s="76">
        <v>2.2160000000000002</v>
      </c>
      <c r="E40" s="179">
        <v>150291</v>
      </c>
      <c r="F40" s="105">
        <f t="shared" si="0"/>
        <v>333044.86</v>
      </c>
      <c r="G40" s="105">
        <f t="shared" si="1"/>
        <v>399653.83</v>
      </c>
    </row>
    <row r="41" spans="1:7" ht="15.75" x14ac:dyDescent="0.25">
      <c r="A41" s="66">
        <f>A40+1</f>
        <v>28</v>
      </c>
      <c r="B41" s="67" t="s">
        <v>468</v>
      </c>
      <c r="C41" s="66" t="s">
        <v>431</v>
      </c>
      <c r="D41" s="72">
        <v>55.4</v>
      </c>
      <c r="E41" s="179">
        <v>152</v>
      </c>
      <c r="F41" s="105">
        <f t="shared" si="0"/>
        <v>8420.7999999999993</v>
      </c>
      <c r="G41" s="105">
        <f t="shared" si="1"/>
        <v>10104.959999999999</v>
      </c>
    </row>
    <row r="42" spans="1:7" ht="15.75" x14ac:dyDescent="0.25">
      <c r="A42" s="66">
        <f t="shared" ref="A42:A44" si="5">A41+1</f>
        <v>29</v>
      </c>
      <c r="B42" s="67" t="s">
        <v>469</v>
      </c>
      <c r="C42" s="66" t="s">
        <v>431</v>
      </c>
      <c r="D42" s="72">
        <v>55.4</v>
      </c>
      <c r="E42" s="179">
        <v>152</v>
      </c>
      <c r="F42" s="105">
        <f t="shared" si="0"/>
        <v>8420.7999999999993</v>
      </c>
      <c r="G42" s="105">
        <f t="shared" si="1"/>
        <v>10104.959999999999</v>
      </c>
    </row>
    <row r="43" spans="1:7" ht="15.75" x14ac:dyDescent="0.25">
      <c r="A43" s="66">
        <f t="shared" si="5"/>
        <v>30</v>
      </c>
      <c r="B43" s="67" t="s">
        <v>470</v>
      </c>
      <c r="C43" s="74" t="s">
        <v>431</v>
      </c>
      <c r="D43" s="68">
        <v>1.08</v>
      </c>
      <c r="E43" s="179">
        <v>1454</v>
      </c>
      <c r="F43" s="105">
        <f t="shared" si="0"/>
        <v>1570.32</v>
      </c>
      <c r="G43" s="105">
        <f t="shared" si="1"/>
        <v>1884.38</v>
      </c>
    </row>
    <row r="44" spans="1:7" ht="15.75" x14ac:dyDescent="0.25">
      <c r="A44" s="66">
        <f t="shared" si="5"/>
        <v>31</v>
      </c>
      <c r="B44" s="67" t="s">
        <v>471</v>
      </c>
      <c r="C44" s="74" t="s">
        <v>193</v>
      </c>
      <c r="D44" s="68">
        <v>0.84</v>
      </c>
      <c r="E44" s="179">
        <v>12612</v>
      </c>
      <c r="F44" s="105">
        <f t="shared" si="0"/>
        <v>10594.08</v>
      </c>
      <c r="G44" s="105">
        <f t="shared" si="1"/>
        <v>12712.9</v>
      </c>
    </row>
    <row r="45" spans="1:7" ht="15.75" x14ac:dyDescent="0.25">
      <c r="A45" s="66"/>
      <c r="B45" s="73" t="s">
        <v>472</v>
      </c>
      <c r="C45" s="74"/>
      <c r="D45" s="192"/>
      <c r="E45" s="223"/>
      <c r="F45" s="105"/>
      <c r="G45" s="105"/>
    </row>
    <row r="46" spans="1:7" ht="15.75" x14ac:dyDescent="0.25">
      <c r="A46" s="66">
        <f>A44+1</f>
        <v>32</v>
      </c>
      <c r="B46" s="67" t="s">
        <v>473</v>
      </c>
      <c r="C46" s="74" t="s">
        <v>239</v>
      </c>
      <c r="D46" s="81">
        <v>2.5645500000000001</v>
      </c>
      <c r="E46" s="179">
        <v>73989</v>
      </c>
      <c r="F46" s="105">
        <f t="shared" si="0"/>
        <v>189748.49</v>
      </c>
      <c r="G46" s="105">
        <f t="shared" si="1"/>
        <v>227698.19</v>
      </c>
    </row>
    <row r="47" spans="1:7" ht="15.75" x14ac:dyDescent="0.25">
      <c r="A47" s="66">
        <f t="shared" ref="A47:A53" si="6">A46+1</f>
        <v>33</v>
      </c>
      <c r="B47" s="67" t="s">
        <v>468</v>
      </c>
      <c r="C47" s="66" t="s">
        <v>431</v>
      </c>
      <c r="D47" s="71">
        <v>65</v>
      </c>
      <c r="E47" s="179">
        <v>152</v>
      </c>
      <c r="F47" s="105">
        <f t="shared" si="0"/>
        <v>9880</v>
      </c>
      <c r="G47" s="105">
        <f t="shared" si="1"/>
        <v>11856</v>
      </c>
    </row>
    <row r="48" spans="1:7" ht="15.75" x14ac:dyDescent="0.25">
      <c r="A48" s="66">
        <f t="shared" si="6"/>
        <v>34</v>
      </c>
      <c r="B48" s="67" t="s">
        <v>469</v>
      </c>
      <c r="C48" s="66" t="s">
        <v>431</v>
      </c>
      <c r="D48" s="71">
        <v>65</v>
      </c>
      <c r="E48" s="179">
        <v>152</v>
      </c>
      <c r="F48" s="105">
        <f t="shared" si="0"/>
        <v>9880</v>
      </c>
      <c r="G48" s="105">
        <f t="shared" si="1"/>
        <v>11856</v>
      </c>
    </row>
    <row r="49" spans="1:7" ht="15.75" x14ac:dyDescent="0.25">
      <c r="A49" s="66"/>
      <c r="B49" s="62" t="s">
        <v>314</v>
      </c>
      <c r="C49" s="74"/>
      <c r="D49" s="192"/>
      <c r="E49" s="223"/>
      <c r="F49" s="105"/>
      <c r="G49" s="105"/>
    </row>
    <row r="50" spans="1:7" ht="15.75" x14ac:dyDescent="0.25">
      <c r="A50" s="66"/>
      <c r="B50" s="73" t="s">
        <v>315</v>
      </c>
      <c r="C50" s="74"/>
      <c r="D50" s="192"/>
      <c r="E50" s="223"/>
      <c r="F50" s="105"/>
      <c r="G50" s="105"/>
    </row>
    <row r="51" spans="1:7" ht="15.75" x14ac:dyDescent="0.25">
      <c r="A51" s="66">
        <f>A48+1</f>
        <v>35</v>
      </c>
      <c r="B51" s="67" t="s">
        <v>461</v>
      </c>
      <c r="C51" s="66" t="s">
        <v>193</v>
      </c>
      <c r="D51" s="68">
        <v>0.11</v>
      </c>
      <c r="E51" s="179">
        <v>3979</v>
      </c>
      <c r="F51" s="105">
        <f t="shared" si="0"/>
        <v>437.69</v>
      </c>
      <c r="G51" s="105">
        <f t="shared" si="1"/>
        <v>525.23</v>
      </c>
    </row>
    <row r="52" spans="1:7" ht="15.75" x14ac:dyDescent="0.25">
      <c r="A52" s="66">
        <f t="shared" si="6"/>
        <v>36</v>
      </c>
      <c r="B52" s="67" t="s">
        <v>474</v>
      </c>
      <c r="C52" s="66" t="s">
        <v>193</v>
      </c>
      <c r="D52" s="68">
        <v>0.5</v>
      </c>
      <c r="E52" s="179">
        <v>20591</v>
      </c>
      <c r="F52" s="105">
        <f t="shared" si="0"/>
        <v>10295.5</v>
      </c>
      <c r="G52" s="105">
        <f t="shared" si="1"/>
        <v>12354.6</v>
      </c>
    </row>
    <row r="53" spans="1:7" ht="15.75" x14ac:dyDescent="0.25">
      <c r="A53" s="66">
        <f t="shared" si="6"/>
        <v>37</v>
      </c>
      <c r="B53" s="67" t="s">
        <v>475</v>
      </c>
      <c r="C53" s="66" t="s">
        <v>239</v>
      </c>
      <c r="D53" s="76">
        <v>0.20300000000000001</v>
      </c>
      <c r="E53" s="179">
        <v>69473</v>
      </c>
      <c r="F53" s="105">
        <f t="shared" si="0"/>
        <v>14103.02</v>
      </c>
      <c r="G53" s="105">
        <f t="shared" si="1"/>
        <v>16923.62</v>
      </c>
    </row>
    <row r="54" spans="1:7" ht="15.75" x14ac:dyDescent="0.25">
      <c r="A54" s="66"/>
      <c r="B54" s="73" t="s">
        <v>320</v>
      </c>
      <c r="C54" s="74"/>
      <c r="D54" s="68"/>
      <c r="E54" s="223"/>
      <c r="F54" s="105"/>
      <c r="G54" s="105"/>
    </row>
    <row r="55" spans="1:7" ht="15.75" x14ac:dyDescent="0.25">
      <c r="A55" s="66">
        <f>A53+1</f>
        <v>38</v>
      </c>
      <c r="B55" s="67" t="s">
        <v>476</v>
      </c>
      <c r="C55" s="74" t="s">
        <v>194</v>
      </c>
      <c r="D55" s="71">
        <v>12</v>
      </c>
      <c r="E55" s="179">
        <v>1670</v>
      </c>
      <c r="F55" s="105">
        <f t="shared" si="0"/>
        <v>20040</v>
      </c>
      <c r="G55" s="105">
        <f t="shared" si="1"/>
        <v>24048</v>
      </c>
    </row>
    <row r="56" spans="1:7" ht="15.75" x14ac:dyDescent="0.25">
      <c r="A56" s="66">
        <f t="shared" ref="A56:A61" si="7">A55+1</f>
        <v>39</v>
      </c>
      <c r="B56" s="67" t="s">
        <v>477</v>
      </c>
      <c r="C56" s="74" t="s">
        <v>194</v>
      </c>
      <c r="D56" s="68">
        <v>9.56</v>
      </c>
      <c r="E56" s="179">
        <v>1999</v>
      </c>
      <c r="F56" s="105">
        <f t="shared" si="0"/>
        <v>19110.439999999999</v>
      </c>
      <c r="G56" s="105">
        <f t="shared" si="1"/>
        <v>22932.53</v>
      </c>
    </row>
    <row r="57" spans="1:7" ht="15.75" x14ac:dyDescent="0.25">
      <c r="A57" s="66">
        <f t="shared" si="7"/>
        <v>40</v>
      </c>
      <c r="B57" s="67" t="s">
        <v>478</v>
      </c>
      <c r="C57" s="74" t="s">
        <v>431</v>
      </c>
      <c r="D57" s="68">
        <v>8.6</v>
      </c>
      <c r="E57" s="179">
        <v>1007.6976744186048</v>
      </c>
      <c r="F57" s="105">
        <f t="shared" si="0"/>
        <v>8666.2000000000007</v>
      </c>
      <c r="G57" s="105">
        <f t="shared" si="1"/>
        <v>10399.44</v>
      </c>
    </row>
    <row r="58" spans="1:7" ht="15.75" x14ac:dyDescent="0.25">
      <c r="A58" s="66">
        <f t="shared" si="7"/>
        <v>41</v>
      </c>
      <c r="B58" s="67" t="s">
        <v>479</v>
      </c>
      <c r="C58" s="74" t="s">
        <v>431</v>
      </c>
      <c r="D58" s="68">
        <v>8.6</v>
      </c>
      <c r="E58" s="179">
        <v>85</v>
      </c>
      <c r="F58" s="105">
        <f t="shared" si="0"/>
        <v>731</v>
      </c>
      <c r="G58" s="105">
        <f t="shared" si="1"/>
        <v>877.2</v>
      </c>
    </row>
    <row r="59" spans="1:7" ht="15.75" x14ac:dyDescent="0.25">
      <c r="A59" s="66">
        <f t="shared" si="7"/>
        <v>42</v>
      </c>
      <c r="B59" s="67" t="s">
        <v>480</v>
      </c>
      <c r="C59" s="74" t="s">
        <v>431</v>
      </c>
      <c r="D59" s="68">
        <v>8.6</v>
      </c>
      <c r="E59" s="179">
        <v>104.87</v>
      </c>
      <c r="F59" s="105">
        <f t="shared" si="0"/>
        <v>901.88</v>
      </c>
      <c r="G59" s="105">
        <f t="shared" si="1"/>
        <v>1082.26</v>
      </c>
    </row>
    <row r="60" spans="1:7" ht="15.75" x14ac:dyDescent="0.25">
      <c r="A60" s="66">
        <f t="shared" si="7"/>
        <v>43</v>
      </c>
      <c r="B60" s="67" t="s">
        <v>481</v>
      </c>
      <c r="C60" s="74" t="s">
        <v>431</v>
      </c>
      <c r="D60" s="68">
        <v>8.6</v>
      </c>
      <c r="E60" s="179">
        <v>152</v>
      </c>
      <c r="F60" s="105">
        <f t="shared" si="0"/>
        <v>1307.2</v>
      </c>
      <c r="G60" s="105">
        <f t="shared" si="1"/>
        <v>1568.64</v>
      </c>
    </row>
    <row r="61" spans="1:7" ht="15.75" x14ac:dyDescent="0.25">
      <c r="A61" s="66">
        <f t="shared" si="7"/>
        <v>44</v>
      </c>
      <c r="B61" s="67" t="s">
        <v>482</v>
      </c>
      <c r="C61" s="74" t="s">
        <v>431</v>
      </c>
      <c r="D61" s="68">
        <v>8.6</v>
      </c>
      <c r="E61" s="179">
        <v>152</v>
      </c>
      <c r="F61" s="105">
        <f t="shared" si="0"/>
        <v>1307.2</v>
      </c>
      <c r="G61" s="105">
        <f t="shared" si="1"/>
        <v>1568.64</v>
      </c>
    </row>
    <row r="62" spans="1:7" ht="22.5" customHeight="1" x14ac:dyDescent="0.25">
      <c r="A62" s="181"/>
      <c r="B62" s="414" t="s">
        <v>341</v>
      </c>
      <c r="C62" s="436"/>
      <c r="D62" s="436"/>
      <c r="E62" s="182"/>
      <c r="F62" s="193"/>
      <c r="G62" s="505">
        <f>SUM(G64:G82)</f>
        <v>1127756.44</v>
      </c>
    </row>
    <row r="63" spans="1:7" x14ac:dyDescent="0.25">
      <c r="A63" s="66"/>
      <c r="B63" s="62" t="s">
        <v>342</v>
      </c>
      <c r="C63" s="74"/>
      <c r="D63" s="75"/>
      <c r="E63" s="89"/>
      <c r="F63" s="89"/>
      <c r="G63" s="133"/>
    </row>
    <row r="64" spans="1:7" ht="15.75" x14ac:dyDescent="0.25">
      <c r="A64" s="66">
        <f>A61+1</f>
        <v>45</v>
      </c>
      <c r="B64" s="67" t="s">
        <v>483</v>
      </c>
      <c r="C64" s="66" t="s">
        <v>193</v>
      </c>
      <c r="D64" s="68">
        <v>6.4</v>
      </c>
      <c r="E64" s="179">
        <v>1240</v>
      </c>
      <c r="F64" s="105">
        <f t="shared" ref="F64:F82" si="8">ROUND(E64*D64,2)</f>
        <v>7936</v>
      </c>
      <c r="G64" s="105">
        <f t="shared" ref="G64:G82" si="9">ROUND(F64*1.2,2)</f>
        <v>9523.2000000000007</v>
      </c>
    </row>
    <row r="65" spans="1:7" ht="15.75" x14ac:dyDescent="0.25">
      <c r="A65" s="66">
        <f t="shared" ref="A65:A82" si="10">A64+1</f>
        <v>46</v>
      </c>
      <c r="B65" s="67" t="s">
        <v>484</v>
      </c>
      <c r="C65" s="66" t="s">
        <v>194</v>
      </c>
      <c r="D65" s="71">
        <v>65</v>
      </c>
      <c r="E65" s="179">
        <v>2455</v>
      </c>
      <c r="F65" s="105">
        <f t="shared" si="8"/>
        <v>159575</v>
      </c>
      <c r="G65" s="105">
        <f t="shared" si="9"/>
        <v>191490</v>
      </c>
    </row>
    <row r="66" spans="1:7" ht="15.75" x14ac:dyDescent="0.25">
      <c r="A66" s="66">
        <f t="shared" si="10"/>
        <v>47</v>
      </c>
      <c r="B66" s="67" t="s">
        <v>485</v>
      </c>
      <c r="C66" s="66" t="s">
        <v>431</v>
      </c>
      <c r="D66" s="68">
        <v>50.49</v>
      </c>
      <c r="E66" s="179">
        <v>315</v>
      </c>
      <c r="F66" s="105">
        <f t="shared" si="8"/>
        <v>15904.35</v>
      </c>
      <c r="G66" s="105">
        <f t="shared" si="9"/>
        <v>19085.22</v>
      </c>
    </row>
    <row r="67" spans="1:7" ht="15.75" x14ac:dyDescent="0.25">
      <c r="A67" s="66"/>
      <c r="B67" s="73" t="s">
        <v>486</v>
      </c>
      <c r="C67" s="74"/>
      <c r="D67" s="68"/>
      <c r="E67" s="223"/>
      <c r="F67" s="105"/>
      <c r="G67" s="105"/>
    </row>
    <row r="68" spans="1:7" ht="15.75" x14ac:dyDescent="0.25">
      <c r="A68" s="66">
        <f>A66+1</f>
        <v>48</v>
      </c>
      <c r="B68" s="67" t="s">
        <v>487</v>
      </c>
      <c r="C68" s="66" t="s">
        <v>193</v>
      </c>
      <c r="D68" s="68">
        <v>3.75</v>
      </c>
      <c r="E68" s="179">
        <v>1777</v>
      </c>
      <c r="F68" s="105">
        <f t="shared" si="8"/>
        <v>6663.75</v>
      </c>
      <c r="G68" s="105">
        <f t="shared" si="9"/>
        <v>7996.5</v>
      </c>
    </row>
    <row r="69" spans="1:7" ht="15.75" x14ac:dyDescent="0.25">
      <c r="A69" s="66">
        <f t="shared" si="10"/>
        <v>49</v>
      </c>
      <c r="B69" s="67" t="s">
        <v>488</v>
      </c>
      <c r="C69" s="66" t="s">
        <v>193</v>
      </c>
      <c r="D69" s="68">
        <v>1.25</v>
      </c>
      <c r="E69" s="179">
        <v>899</v>
      </c>
      <c r="F69" s="105">
        <f t="shared" si="8"/>
        <v>1123.75</v>
      </c>
      <c r="G69" s="105">
        <f t="shared" si="9"/>
        <v>1348.5</v>
      </c>
    </row>
    <row r="70" spans="1:7" ht="15.75" x14ac:dyDescent="0.25">
      <c r="A70" s="66">
        <f t="shared" si="10"/>
        <v>50</v>
      </c>
      <c r="B70" s="67" t="s">
        <v>489</v>
      </c>
      <c r="C70" s="66" t="s">
        <v>193</v>
      </c>
      <c r="D70" s="68">
        <v>2.2000000000000002</v>
      </c>
      <c r="E70" s="179">
        <v>6056</v>
      </c>
      <c r="F70" s="105">
        <f t="shared" si="8"/>
        <v>13323.2</v>
      </c>
      <c r="G70" s="105">
        <f t="shared" si="9"/>
        <v>15987.84</v>
      </c>
    </row>
    <row r="71" spans="1:7" ht="15.75" x14ac:dyDescent="0.25">
      <c r="A71" s="66">
        <f t="shared" si="10"/>
        <v>51</v>
      </c>
      <c r="B71" s="67" t="s">
        <v>485</v>
      </c>
      <c r="C71" s="66" t="s">
        <v>431</v>
      </c>
      <c r="D71" s="68">
        <v>7.62</v>
      </c>
      <c r="E71" s="179">
        <v>315</v>
      </c>
      <c r="F71" s="105">
        <f t="shared" si="8"/>
        <v>2400.3000000000002</v>
      </c>
      <c r="G71" s="105">
        <f t="shared" si="9"/>
        <v>2880.36</v>
      </c>
    </row>
    <row r="72" spans="1:7" ht="15.75" x14ac:dyDescent="0.25">
      <c r="A72" s="66">
        <f t="shared" si="10"/>
        <v>52</v>
      </c>
      <c r="B72" s="67" t="s">
        <v>490</v>
      </c>
      <c r="C72" s="66" t="s">
        <v>193</v>
      </c>
      <c r="D72" s="68">
        <v>1.7</v>
      </c>
      <c r="E72" s="179">
        <v>6799</v>
      </c>
      <c r="F72" s="105">
        <f t="shared" si="8"/>
        <v>11558.3</v>
      </c>
      <c r="G72" s="105">
        <f t="shared" si="9"/>
        <v>13869.96</v>
      </c>
    </row>
    <row r="73" spans="1:7" ht="15.75" x14ac:dyDescent="0.25">
      <c r="A73" s="66">
        <f t="shared" si="10"/>
        <v>53</v>
      </c>
      <c r="B73" s="67" t="s">
        <v>491</v>
      </c>
      <c r="C73" s="66" t="s">
        <v>431</v>
      </c>
      <c r="D73" s="68">
        <v>0.71440000000000003</v>
      </c>
      <c r="E73" s="179">
        <v>334</v>
      </c>
      <c r="F73" s="105">
        <f t="shared" si="8"/>
        <v>238.61</v>
      </c>
      <c r="G73" s="105">
        <f t="shared" si="9"/>
        <v>286.33</v>
      </c>
    </row>
    <row r="74" spans="1:7" ht="15.75" x14ac:dyDescent="0.25">
      <c r="A74" s="66"/>
      <c r="B74" s="62" t="s">
        <v>352</v>
      </c>
      <c r="C74" s="74"/>
      <c r="D74" s="75"/>
      <c r="E74" s="223"/>
      <c r="F74" s="105"/>
      <c r="G74" s="105"/>
    </row>
    <row r="75" spans="1:7" ht="15.75" x14ac:dyDescent="0.25">
      <c r="A75" s="66">
        <f>A73+1</f>
        <v>54</v>
      </c>
      <c r="B75" s="67" t="s">
        <v>492</v>
      </c>
      <c r="C75" s="66" t="s">
        <v>193</v>
      </c>
      <c r="D75" s="71">
        <v>230</v>
      </c>
      <c r="E75" s="179">
        <v>325</v>
      </c>
      <c r="F75" s="105">
        <f t="shared" si="8"/>
        <v>74750</v>
      </c>
      <c r="G75" s="105">
        <f t="shared" si="9"/>
        <v>89700</v>
      </c>
    </row>
    <row r="76" spans="1:7" ht="15.75" x14ac:dyDescent="0.25">
      <c r="A76" s="66">
        <f t="shared" si="10"/>
        <v>55</v>
      </c>
      <c r="B76" s="67" t="s">
        <v>444</v>
      </c>
      <c r="C76" s="74" t="s">
        <v>193</v>
      </c>
      <c r="D76" s="68">
        <v>2.92</v>
      </c>
      <c r="E76" s="179">
        <v>1777</v>
      </c>
      <c r="F76" s="105">
        <f t="shared" si="8"/>
        <v>5188.84</v>
      </c>
      <c r="G76" s="105">
        <f t="shared" si="9"/>
        <v>6226.61</v>
      </c>
    </row>
    <row r="77" spans="1:7" ht="30" x14ac:dyDescent="0.25">
      <c r="A77" s="66">
        <f t="shared" si="10"/>
        <v>56</v>
      </c>
      <c r="B77" s="67" t="s">
        <v>493</v>
      </c>
      <c r="C77" s="74" t="s">
        <v>239</v>
      </c>
      <c r="D77" s="68">
        <v>41.12</v>
      </c>
      <c r="E77" s="195">
        <v>3460</v>
      </c>
      <c r="F77" s="105">
        <f t="shared" si="8"/>
        <v>142275.20000000001</v>
      </c>
      <c r="G77" s="105">
        <f t="shared" si="9"/>
        <v>170730.23999999999</v>
      </c>
    </row>
    <row r="78" spans="1:7" ht="20.25" customHeight="1" x14ac:dyDescent="0.25">
      <c r="A78" s="66">
        <f t="shared" si="10"/>
        <v>57</v>
      </c>
      <c r="B78" s="67" t="s">
        <v>449</v>
      </c>
      <c r="C78" s="74" t="s">
        <v>193</v>
      </c>
      <c r="D78" s="71">
        <v>200</v>
      </c>
      <c r="E78" s="179">
        <v>325</v>
      </c>
      <c r="F78" s="105">
        <f t="shared" si="8"/>
        <v>65000</v>
      </c>
      <c r="G78" s="105">
        <f t="shared" si="9"/>
        <v>78000</v>
      </c>
    </row>
    <row r="79" spans="1:7" ht="15.75" x14ac:dyDescent="0.25">
      <c r="A79" s="66">
        <f t="shared" si="10"/>
        <v>58</v>
      </c>
      <c r="B79" s="67" t="s">
        <v>450</v>
      </c>
      <c r="C79" s="74" t="s">
        <v>193</v>
      </c>
      <c r="D79" s="68">
        <v>7.22</v>
      </c>
      <c r="E79" s="179">
        <v>899</v>
      </c>
      <c r="F79" s="105">
        <f t="shared" si="8"/>
        <v>6490.78</v>
      </c>
      <c r="G79" s="105">
        <f t="shared" si="9"/>
        <v>7788.94</v>
      </c>
    </row>
    <row r="80" spans="1:7" ht="15.75" x14ac:dyDescent="0.25">
      <c r="A80" s="66">
        <f t="shared" si="10"/>
        <v>59</v>
      </c>
      <c r="B80" s="67" t="s">
        <v>461</v>
      </c>
      <c r="C80" s="74" t="s">
        <v>193</v>
      </c>
      <c r="D80" s="68">
        <v>7.3</v>
      </c>
      <c r="E80" s="179">
        <v>3979</v>
      </c>
      <c r="F80" s="105">
        <f t="shared" si="8"/>
        <v>29046.7</v>
      </c>
      <c r="G80" s="105">
        <f t="shared" si="9"/>
        <v>34856.04</v>
      </c>
    </row>
    <row r="81" spans="1:7" ht="15.75" x14ac:dyDescent="0.25">
      <c r="A81" s="66">
        <f t="shared" si="10"/>
        <v>60</v>
      </c>
      <c r="B81" s="67" t="s">
        <v>494</v>
      </c>
      <c r="C81" s="74" t="s">
        <v>193</v>
      </c>
      <c r="D81" s="68">
        <v>25.7</v>
      </c>
      <c r="E81" s="179">
        <v>12200</v>
      </c>
      <c r="F81" s="105">
        <f t="shared" si="8"/>
        <v>313540</v>
      </c>
      <c r="G81" s="105">
        <f t="shared" si="9"/>
        <v>376248</v>
      </c>
    </row>
    <row r="82" spans="1:7" ht="15.75" x14ac:dyDescent="0.25">
      <c r="A82" s="66">
        <f t="shared" si="10"/>
        <v>61</v>
      </c>
      <c r="B82" s="67" t="s">
        <v>485</v>
      </c>
      <c r="C82" s="66" t="s">
        <v>431</v>
      </c>
      <c r="D82" s="68">
        <v>269.14999999999998</v>
      </c>
      <c r="E82" s="179">
        <v>315</v>
      </c>
      <c r="F82" s="105">
        <f t="shared" si="8"/>
        <v>84782.25</v>
      </c>
      <c r="G82" s="105">
        <f t="shared" si="9"/>
        <v>101738.7</v>
      </c>
    </row>
    <row r="83" spans="1:7" ht="19.5" customHeight="1" x14ac:dyDescent="0.25">
      <c r="A83" s="181"/>
      <c r="B83" s="414" t="s">
        <v>364</v>
      </c>
      <c r="C83" s="436"/>
      <c r="D83" s="436"/>
      <c r="E83" s="182"/>
      <c r="F83" s="193"/>
      <c r="G83" s="505">
        <f>SUM(G85:G106)</f>
        <v>15571396.68</v>
      </c>
    </row>
    <row r="84" spans="1:7" x14ac:dyDescent="0.25">
      <c r="A84" s="66"/>
      <c r="B84" s="62" t="s">
        <v>495</v>
      </c>
      <c r="C84" s="74"/>
      <c r="D84" s="75"/>
      <c r="E84" s="89"/>
      <c r="F84" s="89"/>
      <c r="G84" s="133"/>
    </row>
    <row r="85" spans="1:7" ht="15.75" x14ac:dyDescent="0.25">
      <c r="A85" s="66">
        <f>A82+1</f>
        <v>62</v>
      </c>
      <c r="B85" s="67" t="s">
        <v>496</v>
      </c>
      <c r="C85" s="74" t="s">
        <v>193</v>
      </c>
      <c r="D85" s="71">
        <v>1109</v>
      </c>
      <c r="E85" s="179">
        <v>125</v>
      </c>
      <c r="F85" s="105">
        <f t="shared" ref="F85:F90" si="11">ROUND(E85*D85,2)</f>
        <v>138625</v>
      </c>
      <c r="G85" s="105">
        <f t="shared" ref="G85:G90" si="12">ROUND(F85*1.2,2)</f>
        <v>166350</v>
      </c>
    </row>
    <row r="86" spans="1:7" ht="15.75" x14ac:dyDescent="0.25">
      <c r="A86" s="66">
        <f>A85+1</f>
        <v>63</v>
      </c>
      <c r="B86" s="67" t="s">
        <v>497</v>
      </c>
      <c r="C86" s="74" t="s">
        <v>193</v>
      </c>
      <c r="D86" s="71">
        <v>1109</v>
      </c>
      <c r="E86" s="179">
        <v>325</v>
      </c>
      <c r="F86" s="105">
        <f t="shared" si="11"/>
        <v>360425</v>
      </c>
      <c r="G86" s="105">
        <f t="shared" si="12"/>
        <v>432510</v>
      </c>
    </row>
    <row r="87" spans="1:7" ht="15.75" x14ac:dyDescent="0.25">
      <c r="A87" s="66">
        <f t="shared" ref="A87:A90" si="13">A86+1</f>
        <v>64</v>
      </c>
      <c r="B87" s="67" t="s">
        <v>446</v>
      </c>
      <c r="C87" s="74" t="s">
        <v>193</v>
      </c>
      <c r="D87" s="71">
        <v>1109</v>
      </c>
      <c r="E87" s="179">
        <v>50</v>
      </c>
      <c r="F87" s="105">
        <f t="shared" si="11"/>
        <v>55450</v>
      </c>
      <c r="G87" s="105">
        <f t="shared" si="12"/>
        <v>66540</v>
      </c>
    </row>
    <row r="88" spans="1:7" ht="15.75" x14ac:dyDescent="0.25">
      <c r="A88" s="66">
        <f t="shared" si="13"/>
        <v>65</v>
      </c>
      <c r="B88" s="67" t="s">
        <v>498</v>
      </c>
      <c r="C88" s="74" t="s">
        <v>193</v>
      </c>
      <c r="D88" s="71">
        <v>1109</v>
      </c>
      <c r="E88" s="179">
        <v>325</v>
      </c>
      <c r="F88" s="105">
        <f t="shared" si="11"/>
        <v>360425</v>
      </c>
      <c r="G88" s="105">
        <f t="shared" si="12"/>
        <v>432510</v>
      </c>
    </row>
    <row r="89" spans="1:7" ht="30" x14ac:dyDescent="0.25">
      <c r="A89" s="66">
        <f t="shared" si="13"/>
        <v>66</v>
      </c>
      <c r="B89" s="67" t="s">
        <v>499</v>
      </c>
      <c r="C89" s="66" t="s">
        <v>239</v>
      </c>
      <c r="D89" s="72">
        <v>1752.2</v>
      </c>
      <c r="E89" s="179">
        <v>3460</v>
      </c>
      <c r="F89" s="105">
        <f t="shared" si="11"/>
        <v>6062612</v>
      </c>
      <c r="G89" s="105">
        <f t="shared" si="12"/>
        <v>7275134.4000000004</v>
      </c>
    </row>
    <row r="90" spans="1:7" ht="15.75" x14ac:dyDescent="0.25">
      <c r="A90" s="66">
        <f t="shared" si="13"/>
        <v>67</v>
      </c>
      <c r="B90" s="67" t="s">
        <v>500</v>
      </c>
      <c r="C90" s="74" t="s">
        <v>431</v>
      </c>
      <c r="D90" s="71">
        <v>2637</v>
      </c>
      <c r="E90" s="179">
        <v>325</v>
      </c>
      <c r="F90" s="105">
        <f t="shared" si="11"/>
        <v>857025</v>
      </c>
      <c r="G90" s="105">
        <f t="shared" si="12"/>
        <v>1028430</v>
      </c>
    </row>
    <row r="91" spans="1:7" ht="15.75" x14ac:dyDescent="0.25">
      <c r="A91" s="66"/>
      <c r="B91" s="62" t="s">
        <v>365</v>
      </c>
      <c r="C91" s="74"/>
      <c r="D91" s="75"/>
      <c r="E91" s="223"/>
      <c r="F91" s="89"/>
      <c r="G91" s="133"/>
    </row>
    <row r="92" spans="1:7" ht="15.75" x14ac:dyDescent="0.25">
      <c r="A92" s="66">
        <f>A90+1</f>
        <v>68</v>
      </c>
      <c r="B92" s="67" t="s">
        <v>501</v>
      </c>
      <c r="C92" s="74" t="s">
        <v>193</v>
      </c>
      <c r="D92" s="68">
        <v>493.58</v>
      </c>
      <c r="E92" s="179">
        <v>325</v>
      </c>
      <c r="F92" s="105">
        <f t="shared" ref="F92:F99" si="14">ROUND(E92*D92,2)</f>
        <v>160413.5</v>
      </c>
      <c r="G92" s="105">
        <f t="shared" ref="G92:G99" si="15">ROUND(F92*1.2,2)</f>
        <v>192496.2</v>
      </c>
    </row>
    <row r="93" spans="1:7" ht="15.75" x14ac:dyDescent="0.25">
      <c r="A93" s="66">
        <f>A92+1</f>
        <v>69</v>
      </c>
      <c r="B93" s="67" t="s">
        <v>502</v>
      </c>
      <c r="C93" s="74" t="s">
        <v>193</v>
      </c>
      <c r="D93" s="71">
        <v>493</v>
      </c>
      <c r="E93" s="179">
        <v>325</v>
      </c>
      <c r="F93" s="105">
        <f t="shared" si="14"/>
        <v>160225</v>
      </c>
      <c r="G93" s="105">
        <f t="shared" si="15"/>
        <v>192270</v>
      </c>
    </row>
    <row r="94" spans="1:7" ht="15.75" x14ac:dyDescent="0.25">
      <c r="A94" s="66">
        <f t="shared" ref="A94:A99" si="16">A93+1</f>
        <v>70</v>
      </c>
      <c r="B94" s="67" t="s">
        <v>503</v>
      </c>
      <c r="C94" s="74" t="s">
        <v>239</v>
      </c>
      <c r="D94" s="71">
        <v>780</v>
      </c>
      <c r="E94" s="179">
        <v>3460</v>
      </c>
      <c r="F94" s="105">
        <f t="shared" si="14"/>
        <v>2698800</v>
      </c>
      <c r="G94" s="105">
        <f t="shared" si="15"/>
        <v>3238560</v>
      </c>
    </row>
    <row r="95" spans="1:7" ht="15.75" x14ac:dyDescent="0.25">
      <c r="A95" s="66">
        <f t="shared" si="16"/>
        <v>71</v>
      </c>
      <c r="B95" s="67" t="s">
        <v>504</v>
      </c>
      <c r="C95" s="74" t="s">
        <v>193</v>
      </c>
      <c r="D95" s="71">
        <v>281</v>
      </c>
      <c r="E95" s="179">
        <v>1111</v>
      </c>
      <c r="F95" s="105">
        <f t="shared" si="14"/>
        <v>312191</v>
      </c>
      <c r="G95" s="105">
        <f t="shared" si="15"/>
        <v>374629.2</v>
      </c>
    </row>
    <row r="96" spans="1:7" ht="15.75" x14ac:dyDescent="0.25">
      <c r="A96" s="66">
        <f t="shared" si="16"/>
        <v>72</v>
      </c>
      <c r="B96" s="67" t="s">
        <v>505</v>
      </c>
      <c r="C96" s="74" t="s">
        <v>193</v>
      </c>
      <c r="D96" s="72">
        <v>141.69999999999999</v>
      </c>
      <c r="E96" s="179">
        <v>1754</v>
      </c>
      <c r="F96" s="105">
        <f t="shared" si="14"/>
        <v>248541.8</v>
      </c>
      <c r="G96" s="105">
        <f t="shared" si="15"/>
        <v>298250.15999999997</v>
      </c>
    </row>
    <row r="97" spans="1:7" ht="30" x14ac:dyDescent="0.25">
      <c r="A97" s="66">
        <f t="shared" si="16"/>
        <v>73</v>
      </c>
      <c r="B97" s="67" t="s">
        <v>506</v>
      </c>
      <c r="C97" s="74" t="s">
        <v>193</v>
      </c>
      <c r="D97" s="72">
        <v>71.5</v>
      </c>
      <c r="E97" s="179">
        <v>1754</v>
      </c>
      <c r="F97" s="105">
        <f t="shared" si="14"/>
        <v>125411</v>
      </c>
      <c r="G97" s="105">
        <f t="shared" si="15"/>
        <v>150493.20000000001</v>
      </c>
    </row>
    <row r="98" spans="1:7" ht="15.75" x14ac:dyDescent="0.25">
      <c r="A98" s="66">
        <f t="shared" si="16"/>
        <v>74</v>
      </c>
      <c r="B98" s="67" t="s">
        <v>507</v>
      </c>
      <c r="C98" s="74" t="s">
        <v>239</v>
      </c>
      <c r="D98" s="72">
        <v>1.4</v>
      </c>
      <c r="E98" s="179">
        <v>1854</v>
      </c>
      <c r="F98" s="105">
        <f t="shared" si="14"/>
        <v>2595.6</v>
      </c>
      <c r="G98" s="105">
        <f t="shared" si="15"/>
        <v>3114.72</v>
      </c>
    </row>
    <row r="99" spans="1:7" ht="15.75" x14ac:dyDescent="0.25">
      <c r="A99" s="66">
        <f t="shared" si="16"/>
        <v>75</v>
      </c>
      <c r="B99" s="67" t="s">
        <v>508</v>
      </c>
      <c r="C99" s="74" t="s">
        <v>431</v>
      </c>
      <c r="D99" s="71">
        <v>851</v>
      </c>
      <c r="E99" s="179">
        <v>1140</v>
      </c>
      <c r="F99" s="105">
        <f t="shared" si="14"/>
        <v>970140</v>
      </c>
      <c r="G99" s="105">
        <f t="shared" si="15"/>
        <v>1164168</v>
      </c>
    </row>
    <row r="100" spans="1:7" ht="15.75" x14ac:dyDescent="0.25">
      <c r="A100" s="311"/>
      <c r="B100" s="341" t="s">
        <v>927</v>
      </c>
      <c r="C100" s="318"/>
      <c r="D100" s="335"/>
      <c r="E100" s="179"/>
      <c r="F100" s="314"/>
      <c r="G100" s="314"/>
    </row>
    <row r="101" spans="1:7" ht="30" x14ac:dyDescent="0.25">
      <c r="A101" s="311">
        <f>A99+1</f>
        <v>76</v>
      </c>
      <c r="B101" s="377" t="s">
        <v>928</v>
      </c>
      <c r="C101" s="311" t="s">
        <v>220</v>
      </c>
      <c r="D101" s="335">
        <v>3</v>
      </c>
      <c r="E101" s="179">
        <v>3438</v>
      </c>
      <c r="F101" s="314">
        <f t="shared" ref="F101:F102" si="17">ROUND(E101*D101,2)</f>
        <v>10314</v>
      </c>
      <c r="G101" s="314">
        <f t="shared" ref="G101:G102" si="18">ROUND(F101*1.2,2)</f>
        <v>12376.8</v>
      </c>
    </row>
    <row r="102" spans="1:7" ht="15.75" x14ac:dyDescent="0.25">
      <c r="A102" s="311">
        <f>A101+1</f>
        <v>77</v>
      </c>
      <c r="B102" s="377" t="s">
        <v>929</v>
      </c>
      <c r="C102" s="311" t="s">
        <v>220</v>
      </c>
      <c r="D102" s="335">
        <v>3</v>
      </c>
      <c r="E102" s="179">
        <v>2078</v>
      </c>
      <c r="F102" s="314">
        <f t="shared" si="17"/>
        <v>6234</v>
      </c>
      <c r="G102" s="314">
        <f t="shared" si="18"/>
        <v>7480.8</v>
      </c>
    </row>
    <row r="103" spans="1:7" ht="15.75" x14ac:dyDescent="0.25">
      <c r="A103" s="66"/>
      <c r="B103" s="62" t="s">
        <v>371</v>
      </c>
      <c r="C103" s="74"/>
      <c r="D103" s="71"/>
      <c r="E103" s="223"/>
      <c r="F103" s="89"/>
      <c r="G103" s="133"/>
    </row>
    <row r="104" spans="1:7" ht="15.75" x14ac:dyDescent="0.25">
      <c r="A104" s="66">
        <f>A102+1</f>
        <v>78</v>
      </c>
      <c r="B104" s="67" t="s">
        <v>509</v>
      </c>
      <c r="C104" s="74" t="s">
        <v>431</v>
      </c>
      <c r="D104" s="71">
        <v>454</v>
      </c>
      <c r="E104" s="179">
        <v>325</v>
      </c>
      <c r="F104" s="105">
        <f t="shared" ref="F104:F106" si="19">ROUND(E104*D104,2)</f>
        <v>147550</v>
      </c>
      <c r="G104" s="105">
        <f t="shared" ref="G104:G106" si="20">ROUND(F104*1.2,2)</f>
        <v>177060</v>
      </c>
    </row>
    <row r="105" spans="1:7" ht="30" x14ac:dyDescent="0.25">
      <c r="A105" s="66">
        <f>A104+1</f>
        <v>79</v>
      </c>
      <c r="B105" s="67" t="s">
        <v>510</v>
      </c>
      <c r="C105" s="74" t="s">
        <v>431</v>
      </c>
      <c r="D105" s="71">
        <v>454</v>
      </c>
      <c r="E105" s="179">
        <v>549</v>
      </c>
      <c r="F105" s="105">
        <f t="shared" si="19"/>
        <v>249246</v>
      </c>
      <c r="G105" s="105">
        <f t="shared" si="20"/>
        <v>299095.2</v>
      </c>
    </row>
    <row r="106" spans="1:7" ht="15.75" x14ac:dyDescent="0.25">
      <c r="A106" s="66">
        <f>A105+1</f>
        <v>80</v>
      </c>
      <c r="B106" s="67" t="s">
        <v>511</v>
      </c>
      <c r="C106" s="74" t="s">
        <v>431</v>
      </c>
      <c r="D106" s="71">
        <v>454</v>
      </c>
      <c r="E106" s="179">
        <v>110</v>
      </c>
      <c r="F106" s="105">
        <f t="shared" si="19"/>
        <v>49940</v>
      </c>
      <c r="G106" s="105">
        <f t="shared" si="20"/>
        <v>59928</v>
      </c>
    </row>
    <row r="107" spans="1:7" ht="22.5" customHeight="1" x14ac:dyDescent="0.25">
      <c r="A107" s="181"/>
      <c r="B107" s="414" t="s">
        <v>375</v>
      </c>
      <c r="C107" s="436"/>
      <c r="D107" s="436"/>
      <c r="E107" s="182"/>
      <c r="F107" s="193"/>
      <c r="G107" s="505">
        <f>SUM(G110:G136)</f>
        <v>1560807.2</v>
      </c>
    </row>
    <row r="108" spans="1:7" x14ac:dyDescent="0.25">
      <c r="A108" s="66"/>
      <c r="B108" s="62" t="s">
        <v>512</v>
      </c>
      <c r="C108" s="74"/>
      <c r="D108" s="71"/>
      <c r="E108" s="89"/>
      <c r="F108" s="89"/>
      <c r="G108" s="133"/>
    </row>
    <row r="109" spans="1:7" x14ac:dyDescent="0.25">
      <c r="A109" s="66"/>
      <c r="B109" s="62" t="s">
        <v>513</v>
      </c>
      <c r="C109" s="74"/>
      <c r="D109" s="71"/>
      <c r="E109" s="89"/>
      <c r="F109" s="89"/>
      <c r="G109" s="133"/>
    </row>
    <row r="110" spans="1:7" ht="15.75" x14ac:dyDescent="0.25">
      <c r="A110" s="66">
        <f>A106+1</f>
        <v>81</v>
      </c>
      <c r="B110" s="67" t="s">
        <v>514</v>
      </c>
      <c r="C110" s="66" t="s">
        <v>193</v>
      </c>
      <c r="D110" s="71">
        <f>60+168</f>
        <v>228</v>
      </c>
      <c r="E110" s="179">
        <v>325</v>
      </c>
      <c r="F110" s="105">
        <f t="shared" ref="F110:F116" si="21">ROUND(E110*D110,2)</f>
        <v>74100</v>
      </c>
      <c r="G110" s="105">
        <f t="shared" ref="G110:G116" si="22">ROUND(F110*1.2,2)</f>
        <v>88920</v>
      </c>
    </row>
    <row r="111" spans="1:7" ht="15.75" x14ac:dyDescent="0.25">
      <c r="A111" s="66">
        <f>A110+1</f>
        <v>82</v>
      </c>
      <c r="B111" s="67" t="s">
        <v>487</v>
      </c>
      <c r="C111" s="66" t="s">
        <v>193</v>
      </c>
      <c r="D111" s="71">
        <v>182</v>
      </c>
      <c r="E111" s="179">
        <v>1777</v>
      </c>
      <c r="F111" s="105">
        <f t="shared" si="21"/>
        <v>323414</v>
      </c>
      <c r="G111" s="105">
        <f t="shared" si="22"/>
        <v>388096.8</v>
      </c>
    </row>
    <row r="112" spans="1:7" ht="15.75" x14ac:dyDescent="0.25">
      <c r="A112" s="66">
        <f t="shared" ref="A112:A116" si="23">A111+1</f>
        <v>83</v>
      </c>
      <c r="B112" s="67" t="s">
        <v>515</v>
      </c>
      <c r="C112" s="66" t="s">
        <v>193</v>
      </c>
      <c r="D112" s="71">
        <v>2</v>
      </c>
      <c r="E112" s="179">
        <v>1777</v>
      </c>
      <c r="F112" s="105">
        <f t="shared" si="21"/>
        <v>3554</v>
      </c>
      <c r="G112" s="105">
        <f t="shared" si="22"/>
        <v>4264.8</v>
      </c>
    </row>
    <row r="113" spans="1:7" ht="15.75" x14ac:dyDescent="0.25">
      <c r="A113" s="66">
        <f t="shared" si="23"/>
        <v>84</v>
      </c>
      <c r="B113" s="67" t="s">
        <v>516</v>
      </c>
      <c r="C113" s="66" t="s">
        <v>193</v>
      </c>
      <c r="D113" s="71">
        <v>360</v>
      </c>
      <c r="E113" s="179">
        <v>125</v>
      </c>
      <c r="F113" s="105">
        <f t="shared" si="21"/>
        <v>45000</v>
      </c>
      <c r="G113" s="105">
        <f t="shared" si="22"/>
        <v>54000</v>
      </c>
    </row>
    <row r="114" spans="1:7" ht="15.75" x14ac:dyDescent="0.25">
      <c r="A114" s="66">
        <f t="shared" si="23"/>
        <v>85</v>
      </c>
      <c r="B114" s="67" t="s">
        <v>517</v>
      </c>
      <c r="C114" s="66" t="s">
        <v>193</v>
      </c>
      <c r="D114" s="71">
        <v>28</v>
      </c>
      <c r="E114" s="179">
        <v>899</v>
      </c>
      <c r="F114" s="105">
        <f t="shared" si="21"/>
        <v>25172</v>
      </c>
      <c r="G114" s="105">
        <f t="shared" si="22"/>
        <v>30206.400000000001</v>
      </c>
    </row>
    <row r="115" spans="1:7" ht="15.75" x14ac:dyDescent="0.25">
      <c r="A115" s="66">
        <f t="shared" si="23"/>
        <v>86</v>
      </c>
      <c r="B115" s="67" t="s">
        <v>518</v>
      </c>
      <c r="C115" s="66" t="s">
        <v>239</v>
      </c>
      <c r="D115" s="72">
        <v>52.8</v>
      </c>
      <c r="E115" s="179">
        <v>325</v>
      </c>
      <c r="F115" s="105">
        <f t="shared" si="21"/>
        <v>17160</v>
      </c>
      <c r="G115" s="105">
        <f t="shared" si="22"/>
        <v>20592</v>
      </c>
    </row>
    <row r="116" spans="1:7" ht="15.75" x14ac:dyDescent="0.25">
      <c r="A116" s="66">
        <f t="shared" si="23"/>
        <v>87</v>
      </c>
      <c r="B116" s="67" t="s">
        <v>503</v>
      </c>
      <c r="C116" s="66" t="s">
        <v>239</v>
      </c>
      <c r="D116" s="72">
        <v>52.8</v>
      </c>
      <c r="E116" s="179">
        <v>3460</v>
      </c>
      <c r="F116" s="105">
        <f t="shared" si="21"/>
        <v>182688</v>
      </c>
      <c r="G116" s="105">
        <f t="shared" si="22"/>
        <v>219225.60000000001</v>
      </c>
    </row>
    <row r="117" spans="1:7" ht="15.75" x14ac:dyDescent="0.25">
      <c r="A117" s="66"/>
      <c r="B117" s="62" t="s">
        <v>519</v>
      </c>
      <c r="C117" s="66"/>
      <c r="D117" s="72"/>
      <c r="E117" s="223"/>
      <c r="F117" s="89"/>
      <c r="G117" s="133"/>
    </row>
    <row r="118" spans="1:7" ht="30" x14ac:dyDescent="0.25">
      <c r="A118" s="66">
        <f>A116+1</f>
        <v>88</v>
      </c>
      <c r="B118" s="67" t="s">
        <v>520</v>
      </c>
      <c r="C118" s="66" t="s">
        <v>193</v>
      </c>
      <c r="D118" s="72">
        <v>0.8</v>
      </c>
      <c r="E118" s="179">
        <v>1422</v>
      </c>
      <c r="F118" s="105">
        <f t="shared" ref="F118:F120" si="24">ROUND(E118*D118,2)</f>
        <v>1137.5999999999999</v>
      </c>
      <c r="G118" s="105">
        <f t="shared" ref="G118:G120" si="25">ROUND(F118*1.2,2)</f>
        <v>1365.12</v>
      </c>
    </row>
    <row r="119" spans="1:7" ht="15.75" x14ac:dyDescent="0.25">
      <c r="A119" s="66">
        <f>A118+1</f>
        <v>89</v>
      </c>
      <c r="B119" s="67" t="s">
        <v>521</v>
      </c>
      <c r="C119" s="66" t="s">
        <v>193</v>
      </c>
      <c r="D119" s="71">
        <v>3</v>
      </c>
      <c r="E119" s="179">
        <v>1380</v>
      </c>
      <c r="F119" s="105">
        <f t="shared" si="24"/>
        <v>4140</v>
      </c>
      <c r="G119" s="105">
        <f t="shared" si="25"/>
        <v>4968</v>
      </c>
    </row>
    <row r="120" spans="1:7" ht="15.75" x14ac:dyDescent="0.25">
      <c r="A120" s="66">
        <f>A119+1</f>
        <v>90</v>
      </c>
      <c r="B120" s="67" t="s">
        <v>522</v>
      </c>
      <c r="C120" s="66" t="s">
        <v>193</v>
      </c>
      <c r="D120" s="71">
        <v>9</v>
      </c>
      <c r="E120" s="179">
        <v>1380</v>
      </c>
      <c r="F120" s="105">
        <f t="shared" si="24"/>
        <v>12420</v>
      </c>
      <c r="G120" s="105">
        <f t="shared" si="25"/>
        <v>14904</v>
      </c>
    </row>
    <row r="121" spans="1:7" ht="15.75" x14ac:dyDescent="0.25">
      <c r="A121" s="66"/>
      <c r="B121" s="62" t="s">
        <v>523</v>
      </c>
      <c r="C121" s="66"/>
      <c r="D121" s="71"/>
      <c r="E121" s="223"/>
      <c r="F121" s="89"/>
      <c r="G121" s="133"/>
    </row>
    <row r="122" spans="1:7" ht="30" x14ac:dyDescent="0.25">
      <c r="A122" s="66">
        <f>A120+1</f>
        <v>91</v>
      </c>
      <c r="B122" s="67" t="s">
        <v>524</v>
      </c>
      <c r="C122" s="66" t="s">
        <v>194</v>
      </c>
      <c r="D122" s="71">
        <v>29</v>
      </c>
      <c r="E122" s="179">
        <v>539</v>
      </c>
      <c r="F122" s="105">
        <f t="shared" ref="F122" si="26">ROUND(E122*D122,2)</f>
        <v>15631</v>
      </c>
      <c r="G122" s="105">
        <f t="shared" ref="G122" si="27">ROUND(F122*1.2,2)</f>
        <v>18757.2</v>
      </c>
    </row>
    <row r="123" spans="1:7" ht="15.75" x14ac:dyDescent="0.25">
      <c r="A123" s="66"/>
      <c r="B123" s="62" t="s">
        <v>525</v>
      </c>
      <c r="C123" s="66"/>
      <c r="D123" s="71"/>
      <c r="E123" s="223"/>
      <c r="F123" s="89"/>
      <c r="G123" s="133"/>
    </row>
    <row r="124" spans="1:7" ht="30" x14ac:dyDescent="0.25">
      <c r="A124" s="66">
        <f>A122+1</f>
        <v>92</v>
      </c>
      <c r="B124" s="67" t="s">
        <v>526</v>
      </c>
      <c r="C124" s="66" t="s">
        <v>193</v>
      </c>
      <c r="D124" s="68">
        <v>3.24</v>
      </c>
      <c r="E124" s="179">
        <v>18174</v>
      </c>
      <c r="F124" s="105">
        <f t="shared" ref="F124:F126" si="28">ROUND(E124*D124,2)</f>
        <v>58883.76</v>
      </c>
      <c r="G124" s="105">
        <f t="shared" ref="G124:G126" si="29">ROUND(F124*1.2,2)</f>
        <v>70660.509999999995</v>
      </c>
    </row>
    <row r="125" spans="1:7" ht="15.75" x14ac:dyDescent="0.25">
      <c r="A125" s="66">
        <f>A124+1</f>
        <v>93</v>
      </c>
      <c r="B125" s="67" t="s">
        <v>527</v>
      </c>
      <c r="C125" s="66" t="s">
        <v>193</v>
      </c>
      <c r="D125" s="72">
        <v>3.5</v>
      </c>
      <c r="E125" s="179">
        <v>25276</v>
      </c>
      <c r="F125" s="105">
        <f t="shared" si="28"/>
        <v>88466</v>
      </c>
      <c r="G125" s="105">
        <f t="shared" si="29"/>
        <v>106159.2</v>
      </c>
    </row>
    <row r="126" spans="1:7" ht="15.75" x14ac:dyDescent="0.25">
      <c r="A126" s="66">
        <f>A125+1</f>
        <v>94</v>
      </c>
      <c r="B126" s="67" t="s">
        <v>528</v>
      </c>
      <c r="C126" s="66" t="s">
        <v>239</v>
      </c>
      <c r="D126" s="77">
        <v>7.4999999999999997E-3</v>
      </c>
      <c r="E126" s="179">
        <v>69775</v>
      </c>
      <c r="F126" s="105">
        <f t="shared" si="28"/>
        <v>523.30999999999995</v>
      </c>
      <c r="G126" s="105">
        <f t="shared" si="29"/>
        <v>627.97</v>
      </c>
    </row>
    <row r="127" spans="1:7" ht="28.5" x14ac:dyDescent="0.25">
      <c r="A127" s="66"/>
      <c r="B127" s="62" t="s">
        <v>529</v>
      </c>
      <c r="C127" s="66"/>
      <c r="D127" s="71"/>
      <c r="E127" s="223"/>
      <c r="F127" s="89"/>
      <c r="G127" s="133"/>
    </row>
    <row r="128" spans="1:7" ht="15.75" x14ac:dyDescent="0.25">
      <c r="A128" s="66">
        <f>A126+1</f>
        <v>95</v>
      </c>
      <c r="B128" s="67" t="s">
        <v>514</v>
      </c>
      <c r="C128" s="66" t="s">
        <v>193</v>
      </c>
      <c r="D128" s="71">
        <v>332</v>
      </c>
      <c r="E128" s="179">
        <v>325</v>
      </c>
      <c r="F128" s="105">
        <f t="shared" ref="F128:F136" si="30">ROUND(E128*D128,2)</f>
        <v>107900</v>
      </c>
      <c r="G128" s="105">
        <f t="shared" ref="G128:G136" si="31">ROUND(F128*1.2,2)</f>
        <v>129480</v>
      </c>
    </row>
    <row r="129" spans="1:7" ht="15.75" x14ac:dyDescent="0.25">
      <c r="A129" s="66">
        <f>A128+1</f>
        <v>96</v>
      </c>
      <c r="B129" s="67" t="s">
        <v>487</v>
      </c>
      <c r="C129" s="66" t="s">
        <v>193</v>
      </c>
      <c r="D129" s="71">
        <v>10</v>
      </c>
      <c r="E129" s="179">
        <v>1777</v>
      </c>
      <c r="F129" s="105">
        <f t="shared" si="30"/>
        <v>17770</v>
      </c>
      <c r="G129" s="105">
        <f t="shared" si="31"/>
        <v>21324</v>
      </c>
    </row>
    <row r="130" spans="1:7" ht="15.75" x14ac:dyDescent="0.25">
      <c r="A130" s="66">
        <f t="shared" ref="A130:A136" si="32">A129+1</f>
        <v>97</v>
      </c>
      <c r="B130" s="67" t="s">
        <v>530</v>
      </c>
      <c r="C130" s="66" t="s">
        <v>194</v>
      </c>
      <c r="D130" s="71">
        <v>27</v>
      </c>
      <c r="E130" s="179">
        <v>4886</v>
      </c>
      <c r="F130" s="105">
        <f t="shared" si="30"/>
        <v>131922</v>
      </c>
      <c r="G130" s="105">
        <f t="shared" si="31"/>
        <v>158306.4</v>
      </c>
    </row>
    <row r="131" spans="1:7" ht="30" x14ac:dyDescent="0.25">
      <c r="A131" s="66">
        <f t="shared" si="32"/>
        <v>98</v>
      </c>
      <c r="B131" s="67" t="s">
        <v>531</v>
      </c>
      <c r="C131" s="66" t="s">
        <v>194</v>
      </c>
      <c r="D131" s="71">
        <v>27</v>
      </c>
      <c r="E131" s="179">
        <v>414</v>
      </c>
      <c r="F131" s="105">
        <f t="shared" si="30"/>
        <v>11178</v>
      </c>
      <c r="G131" s="105">
        <f t="shared" si="31"/>
        <v>13413.6</v>
      </c>
    </row>
    <row r="132" spans="1:7" ht="30" x14ac:dyDescent="0.25">
      <c r="A132" s="66">
        <f t="shared" si="32"/>
        <v>99</v>
      </c>
      <c r="B132" s="67" t="s">
        <v>532</v>
      </c>
      <c r="C132" s="66" t="s">
        <v>194</v>
      </c>
      <c r="D132" s="71">
        <v>27</v>
      </c>
      <c r="E132" s="179">
        <v>3703</v>
      </c>
      <c r="F132" s="105">
        <f t="shared" si="30"/>
        <v>99981</v>
      </c>
      <c r="G132" s="105">
        <f t="shared" si="31"/>
        <v>119977.2</v>
      </c>
    </row>
    <row r="133" spans="1:7" ht="15.75" x14ac:dyDescent="0.25">
      <c r="A133" s="66">
        <f t="shared" si="32"/>
        <v>100</v>
      </c>
      <c r="B133" s="67" t="s">
        <v>516</v>
      </c>
      <c r="C133" s="66" t="s">
        <v>193</v>
      </c>
      <c r="D133" s="71">
        <v>321</v>
      </c>
      <c r="E133" s="179">
        <v>125</v>
      </c>
      <c r="F133" s="105">
        <f t="shared" si="30"/>
        <v>40125</v>
      </c>
      <c r="G133" s="105">
        <f t="shared" si="31"/>
        <v>48150</v>
      </c>
    </row>
    <row r="134" spans="1:7" ht="15.75" x14ac:dyDescent="0.25">
      <c r="A134" s="66">
        <f t="shared" si="32"/>
        <v>101</v>
      </c>
      <c r="B134" s="67" t="s">
        <v>517</v>
      </c>
      <c r="C134" s="66" t="s">
        <v>193</v>
      </c>
      <c r="D134" s="71">
        <v>17</v>
      </c>
      <c r="E134" s="179">
        <v>899</v>
      </c>
      <c r="F134" s="105">
        <f t="shared" si="30"/>
        <v>15283</v>
      </c>
      <c r="G134" s="105">
        <f t="shared" si="31"/>
        <v>18339.599999999999</v>
      </c>
    </row>
    <row r="135" spans="1:7" ht="15.75" x14ac:dyDescent="0.25">
      <c r="A135" s="66">
        <f t="shared" si="32"/>
        <v>102</v>
      </c>
      <c r="B135" s="67" t="s">
        <v>518</v>
      </c>
      <c r="C135" s="66" t="s">
        <v>239</v>
      </c>
      <c r="D135" s="72">
        <v>6.4</v>
      </c>
      <c r="E135" s="179">
        <v>325</v>
      </c>
      <c r="F135" s="105">
        <f t="shared" si="30"/>
        <v>2080</v>
      </c>
      <c r="G135" s="105">
        <f t="shared" si="31"/>
        <v>2496</v>
      </c>
    </row>
    <row r="136" spans="1:7" ht="15.75" x14ac:dyDescent="0.25">
      <c r="A136" s="66">
        <f t="shared" si="32"/>
        <v>103</v>
      </c>
      <c r="B136" s="67" t="s">
        <v>503</v>
      </c>
      <c r="C136" s="66" t="s">
        <v>239</v>
      </c>
      <c r="D136" s="72">
        <v>6.4</v>
      </c>
      <c r="E136" s="179">
        <v>3460</v>
      </c>
      <c r="F136" s="105">
        <f t="shared" si="30"/>
        <v>22144</v>
      </c>
      <c r="G136" s="105">
        <f t="shared" si="31"/>
        <v>26572.799999999999</v>
      </c>
    </row>
    <row r="137" spans="1:7" ht="21" customHeight="1" x14ac:dyDescent="0.25">
      <c r="A137" s="181"/>
      <c r="B137" s="414" t="s">
        <v>399</v>
      </c>
      <c r="C137" s="436"/>
      <c r="D137" s="436"/>
      <c r="E137" s="182"/>
      <c r="F137" s="193"/>
      <c r="G137" s="505">
        <f>SUM(G140:G235)</f>
        <v>3468235.439999999</v>
      </c>
    </row>
    <row r="138" spans="1:7" x14ac:dyDescent="0.25">
      <c r="A138" s="66"/>
      <c r="B138" s="62" t="s">
        <v>512</v>
      </c>
      <c r="C138" s="74"/>
      <c r="D138" s="71"/>
      <c r="E138" s="89"/>
      <c r="F138" s="89"/>
      <c r="G138" s="133"/>
    </row>
    <row r="139" spans="1:7" x14ac:dyDescent="0.25">
      <c r="A139" s="66"/>
      <c r="B139" s="62" t="s">
        <v>713</v>
      </c>
      <c r="C139" s="66"/>
      <c r="D139" s="72"/>
      <c r="E139" s="89"/>
      <c r="F139" s="89"/>
      <c r="G139" s="133"/>
    </row>
    <row r="140" spans="1:7" ht="15.75" x14ac:dyDescent="0.25">
      <c r="A140" s="66">
        <f>A136+1</f>
        <v>104</v>
      </c>
      <c r="B140" s="67" t="s">
        <v>533</v>
      </c>
      <c r="C140" s="66" t="s">
        <v>193</v>
      </c>
      <c r="D140" s="72">
        <v>5.4</v>
      </c>
      <c r="E140" s="179">
        <v>18650.372222222224</v>
      </c>
      <c r="F140" s="105">
        <f t="shared" ref="F140:F145" si="33">ROUND(E140*D140,2)</f>
        <v>100712.01</v>
      </c>
      <c r="G140" s="105">
        <f t="shared" ref="G140:G145" si="34">ROUND(F140*1.2,2)</f>
        <v>120854.41</v>
      </c>
    </row>
    <row r="141" spans="1:7" ht="15.75" x14ac:dyDescent="0.25">
      <c r="A141" s="66">
        <f>A140+1</f>
        <v>105</v>
      </c>
      <c r="B141" s="67" t="s">
        <v>534</v>
      </c>
      <c r="C141" s="66" t="s">
        <v>239</v>
      </c>
      <c r="D141" s="236">
        <v>2.06</v>
      </c>
      <c r="E141" s="179">
        <v>31141.773584905659</v>
      </c>
      <c r="F141" s="105">
        <f t="shared" si="33"/>
        <v>64152.05</v>
      </c>
      <c r="G141" s="105">
        <f t="shared" si="34"/>
        <v>76982.460000000006</v>
      </c>
    </row>
    <row r="142" spans="1:7" ht="15.75" x14ac:dyDescent="0.25">
      <c r="A142" s="88">
        <f t="shared" ref="A142:A145" si="35">A141+1</f>
        <v>106</v>
      </c>
      <c r="B142" s="253" t="s">
        <v>932</v>
      </c>
      <c r="C142" s="88" t="s">
        <v>239</v>
      </c>
      <c r="D142" s="236">
        <v>1.95</v>
      </c>
      <c r="E142" s="178">
        <v>31141.773584905659</v>
      </c>
      <c r="F142" s="107">
        <f t="shared" si="33"/>
        <v>60726.46</v>
      </c>
      <c r="G142" s="107">
        <f t="shared" si="34"/>
        <v>72871.75</v>
      </c>
    </row>
    <row r="143" spans="1:7" ht="15.75" x14ac:dyDescent="0.25">
      <c r="A143" s="66">
        <f t="shared" si="35"/>
        <v>107</v>
      </c>
      <c r="B143" s="67" t="s">
        <v>535</v>
      </c>
      <c r="C143" s="66" t="s">
        <v>239</v>
      </c>
      <c r="D143" s="236">
        <v>1.65</v>
      </c>
      <c r="E143" s="179">
        <v>31141.773584905663</v>
      </c>
      <c r="F143" s="105">
        <f t="shared" si="33"/>
        <v>51383.93</v>
      </c>
      <c r="G143" s="105">
        <f t="shared" si="34"/>
        <v>61660.72</v>
      </c>
    </row>
    <row r="144" spans="1:7" x14ac:dyDescent="0.25">
      <c r="A144" s="66">
        <f t="shared" si="35"/>
        <v>108</v>
      </c>
      <c r="B144" s="67" t="s">
        <v>536</v>
      </c>
      <c r="C144" s="66" t="s">
        <v>239</v>
      </c>
      <c r="D144" s="236">
        <v>20</v>
      </c>
      <c r="E144" s="195">
        <v>250</v>
      </c>
      <c r="F144" s="105">
        <f t="shared" si="33"/>
        <v>5000</v>
      </c>
      <c r="G144" s="105">
        <f t="shared" si="34"/>
        <v>6000</v>
      </c>
    </row>
    <row r="145" spans="1:7" x14ac:dyDescent="0.25">
      <c r="A145" s="66">
        <f t="shared" si="35"/>
        <v>109</v>
      </c>
      <c r="B145" s="80" t="s">
        <v>446</v>
      </c>
      <c r="C145" s="66" t="s">
        <v>193</v>
      </c>
      <c r="D145" s="236">
        <v>20</v>
      </c>
      <c r="E145" s="195">
        <v>50</v>
      </c>
      <c r="F145" s="105">
        <f t="shared" si="33"/>
        <v>1000</v>
      </c>
      <c r="G145" s="105">
        <f t="shared" si="34"/>
        <v>1200</v>
      </c>
    </row>
    <row r="146" spans="1:7" x14ac:dyDescent="0.25">
      <c r="A146" s="66"/>
      <c r="B146" s="194" t="s">
        <v>513</v>
      </c>
      <c r="C146" s="74"/>
      <c r="D146" s="237"/>
      <c r="E146" s="195"/>
      <c r="F146" s="89"/>
      <c r="G146" s="133"/>
    </row>
    <row r="147" spans="1:7" ht="19.5" customHeight="1" x14ac:dyDescent="0.25">
      <c r="A147" s="66">
        <f>A144+1</f>
        <v>109</v>
      </c>
      <c r="B147" s="67" t="s">
        <v>514</v>
      </c>
      <c r="C147" s="66" t="s">
        <v>193</v>
      </c>
      <c r="D147" s="237">
        <v>77.400000000000006</v>
      </c>
      <c r="E147" s="179">
        <v>325</v>
      </c>
      <c r="F147" s="105">
        <f t="shared" ref="F147:F151" si="36">ROUND(E147*D147,2)</f>
        <v>25155</v>
      </c>
      <c r="G147" s="105">
        <f t="shared" ref="G147:G151" si="37">ROUND(F147*1.2,2)</f>
        <v>30186</v>
      </c>
    </row>
    <row r="148" spans="1:7" ht="15.75" x14ac:dyDescent="0.25">
      <c r="A148" s="66">
        <f>A147+1</f>
        <v>110</v>
      </c>
      <c r="B148" s="67" t="s">
        <v>515</v>
      </c>
      <c r="C148" s="66" t="s">
        <v>193</v>
      </c>
      <c r="D148" s="237">
        <v>1.5</v>
      </c>
      <c r="E148" s="179">
        <v>1776.64</v>
      </c>
      <c r="F148" s="105">
        <f t="shared" si="36"/>
        <v>2664.96</v>
      </c>
      <c r="G148" s="105">
        <f t="shared" si="37"/>
        <v>3197.95</v>
      </c>
    </row>
    <row r="149" spans="1:7" ht="15.75" x14ac:dyDescent="0.25">
      <c r="A149" s="66">
        <f t="shared" ref="A149:A151" si="38">A148+1</f>
        <v>111</v>
      </c>
      <c r="B149" s="67" t="s">
        <v>537</v>
      </c>
      <c r="C149" s="66" t="s">
        <v>193</v>
      </c>
      <c r="D149" s="237">
        <v>80.099999999999994</v>
      </c>
      <c r="E149" s="179">
        <v>125</v>
      </c>
      <c r="F149" s="105">
        <f t="shared" si="36"/>
        <v>10012.5</v>
      </c>
      <c r="G149" s="105">
        <f t="shared" si="37"/>
        <v>12015</v>
      </c>
    </row>
    <row r="150" spans="1:7" ht="15.75" x14ac:dyDescent="0.25">
      <c r="A150" s="66">
        <f t="shared" si="38"/>
        <v>112</v>
      </c>
      <c r="B150" s="67" t="s">
        <v>538</v>
      </c>
      <c r="C150" s="66" t="s">
        <v>193</v>
      </c>
      <c r="D150" s="237">
        <v>4.2</v>
      </c>
      <c r="E150" s="179">
        <v>898.85000000000014</v>
      </c>
      <c r="F150" s="105">
        <f t="shared" si="36"/>
        <v>3775.17</v>
      </c>
      <c r="G150" s="105">
        <f t="shared" si="37"/>
        <v>4530.2</v>
      </c>
    </row>
    <row r="151" spans="1:7" x14ac:dyDescent="0.25">
      <c r="A151" s="66">
        <f t="shared" si="38"/>
        <v>113</v>
      </c>
      <c r="B151" s="67" t="s">
        <v>539</v>
      </c>
      <c r="C151" s="66" t="s">
        <v>239</v>
      </c>
      <c r="D151" s="236">
        <v>8.64</v>
      </c>
      <c r="E151" s="195">
        <v>125</v>
      </c>
      <c r="F151" s="105">
        <f t="shared" si="36"/>
        <v>1080</v>
      </c>
      <c r="G151" s="105">
        <f t="shared" si="37"/>
        <v>1296</v>
      </c>
    </row>
    <row r="152" spans="1:7" x14ac:dyDescent="0.25">
      <c r="A152" s="66"/>
      <c r="B152" s="62" t="s">
        <v>513</v>
      </c>
      <c r="C152" s="74"/>
      <c r="D152" s="160"/>
      <c r="E152" s="195"/>
      <c r="F152" s="89"/>
      <c r="G152" s="133"/>
    </row>
    <row r="153" spans="1:7" ht="23.25" customHeight="1" x14ac:dyDescent="0.25">
      <c r="A153" s="66">
        <f>A151+1</f>
        <v>114</v>
      </c>
      <c r="B153" s="67" t="s">
        <v>514</v>
      </c>
      <c r="C153" s="66" t="s">
        <v>193</v>
      </c>
      <c r="D153" s="237">
        <f>490.6+217.7</f>
        <v>708.3</v>
      </c>
      <c r="E153" s="179">
        <v>325</v>
      </c>
      <c r="F153" s="105">
        <f t="shared" ref="F153:F159" si="39">ROUND(E153*D153,2)</f>
        <v>230197.5</v>
      </c>
      <c r="G153" s="105">
        <f t="shared" ref="G153:G159" si="40">ROUND(F153*1.2,2)</f>
        <v>276237</v>
      </c>
    </row>
    <row r="154" spans="1:7" ht="21" customHeight="1" x14ac:dyDescent="0.25">
      <c r="A154" s="66">
        <f>A153+1</f>
        <v>115</v>
      </c>
      <c r="B154" s="67" t="s">
        <v>515</v>
      </c>
      <c r="C154" s="66" t="s">
        <v>193</v>
      </c>
      <c r="D154" s="237">
        <f>14.72+3.81</f>
        <v>18.53</v>
      </c>
      <c r="E154" s="179">
        <v>1776.9307116104872</v>
      </c>
      <c r="F154" s="105">
        <f t="shared" si="39"/>
        <v>32926.53</v>
      </c>
      <c r="G154" s="105">
        <f t="shared" si="40"/>
        <v>39511.839999999997</v>
      </c>
    </row>
    <row r="155" spans="1:7" ht="19.5" customHeight="1" x14ac:dyDescent="0.25">
      <c r="A155" s="66">
        <f t="shared" ref="A155:A159" si="41">A154+1</f>
        <v>116</v>
      </c>
      <c r="B155" s="67" t="s">
        <v>540</v>
      </c>
      <c r="C155" s="66" t="s">
        <v>193</v>
      </c>
      <c r="D155" s="237">
        <f>337.86+170.18</f>
        <v>508.04</v>
      </c>
      <c r="E155" s="179">
        <v>125</v>
      </c>
      <c r="F155" s="105">
        <f t="shared" si="39"/>
        <v>63505</v>
      </c>
      <c r="G155" s="105">
        <f t="shared" si="40"/>
        <v>76206</v>
      </c>
    </row>
    <row r="156" spans="1:7" ht="15.75" x14ac:dyDescent="0.25">
      <c r="A156" s="66">
        <f t="shared" si="41"/>
        <v>117</v>
      </c>
      <c r="B156" s="67" t="s">
        <v>517</v>
      </c>
      <c r="C156" s="66" t="s">
        <v>193</v>
      </c>
      <c r="D156" s="160">
        <f>84.46+42.54</f>
        <v>127</v>
      </c>
      <c r="E156" s="179">
        <v>898.68666666666672</v>
      </c>
      <c r="F156" s="105">
        <f t="shared" si="39"/>
        <v>114133.21</v>
      </c>
      <c r="G156" s="105">
        <f t="shared" si="40"/>
        <v>136959.85</v>
      </c>
    </row>
    <row r="157" spans="1:7" ht="15.75" x14ac:dyDescent="0.25">
      <c r="A157" s="66">
        <f t="shared" si="41"/>
        <v>118</v>
      </c>
      <c r="B157" s="67" t="s">
        <v>518</v>
      </c>
      <c r="C157" s="66" t="s">
        <v>239</v>
      </c>
      <c r="D157" s="237">
        <f>132.8+14.1</f>
        <v>146.9</v>
      </c>
      <c r="E157" s="179">
        <v>325</v>
      </c>
      <c r="F157" s="105">
        <f t="shared" si="39"/>
        <v>47742.5</v>
      </c>
      <c r="G157" s="105">
        <f t="shared" si="40"/>
        <v>57291</v>
      </c>
    </row>
    <row r="158" spans="1:7" ht="15.75" x14ac:dyDescent="0.25">
      <c r="A158" s="66">
        <f t="shared" si="41"/>
        <v>119</v>
      </c>
      <c r="B158" s="67" t="s">
        <v>541</v>
      </c>
      <c r="C158" s="66" t="s">
        <v>239</v>
      </c>
      <c r="D158" s="237">
        <f t="shared" ref="D158:D159" si="42">132.8+14.1</f>
        <v>146.9</v>
      </c>
      <c r="E158" s="179">
        <v>250</v>
      </c>
      <c r="F158" s="105">
        <f t="shared" si="39"/>
        <v>36725</v>
      </c>
      <c r="G158" s="105">
        <f t="shared" si="40"/>
        <v>44070</v>
      </c>
    </row>
    <row r="159" spans="1:7" ht="15.75" x14ac:dyDescent="0.25">
      <c r="A159" s="66">
        <f t="shared" si="41"/>
        <v>120</v>
      </c>
      <c r="B159" s="80" t="s">
        <v>446</v>
      </c>
      <c r="C159" s="66" t="s">
        <v>193</v>
      </c>
      <c r="D159" s="237">
        <f t="shared" si="42"/>
        <v>146.9</v>
      </c>
      <c r="E159" s="179">
        <v>50</v>
      </c>
      <c r="F159" s="105">
        <f t="shared" si="39"/>
        <v>7345</v>
      </c>
      <c r="G159" s="105">
        <f t="shared" si="40"/>
        <v>8814</v>
      </c>
    </row>
    <row r="160" spans="1:7" ht="28.5" x14ac:dyDescent="0.25">
      <c r="A160" s="66"/>
      <c r="B160" s="62" t="s">
        <v>945</v>
      </c>
      <c r="C160" s="66"/>
      <c r="D160" s="72"/>
      <c r="E160" s="195"/>
      <c r="F160" s="89"/>
      <c r="G160" s="133"/>
    </row>
    <row r="161" spans="1:8" ht="45" x14ac:dyDescent="0.25">
      <c r="A161" s="66">
        <f>A159+1</f>
        <v>121</v>
      </c>
      <c r="B161" s="67" t="s">
        <v>542</v>
      </c>
      <c r="C161" s="66" t="s">
        <v>220</v>
      </c>
      <c r="D161" s="160">
        <v>11</v>
      </c>
      <c r="E161" s="179">
        <v>6240</v>
      </c>
      <c r="F161" s="105">
        <f t="shared" ref="F161:F224" si="43">ROUND(E161*D161,2)</f>
        <v>68640</v>
      </c>
      <c r="G161" s="105">
        <f t="shared" ref="G161:G224" si="44">ROUND(F161*1.2,2)</f>
        <v>82368</v>
      </c>
    </row>
    <row r="162" spans="1:8" ht="45" x14ac:dyDescent="0.25">
      <c r="A162" s="66">
        <f t="shared" ref="A162:A202" si="45">A161+1</f>
        <v>122</v>
      </c>
      <c r="B162" s="67" t="s">
        <v>543</v>
      </c>
      <c r="C162" s="66" t="s">
        <v>220</v>
      </c>
      <c r="D162" s="160">
        <v>43</v>
      </c>
      <c r="E162" s="179">
        <v>1560</v>
      </c>
      <c r="F162" s="105">
        <f t="shared" si="43"/>
        <v>67080</v>
      </c>
      <c r="G162" s="105">
        <f t="shared" si="44"/>
        <v>80496</v>
      </c>
    </row>
    <row r="163" spans="1:8" ht="45" x14ac:dyDescent="0.25">
      <c r="A163" s="66">
        <f t="shared" si="45"/>
        <v>123</v>
      </c>
      <c r="B163" s="67" t="s">
        <v>544</v>
      </c>
      <c r="C163" s="66" t="s">
        <v>220</v>
      </c>
      <c r="D163" s="160">
        <v>14</v>
      </c>
      <c r="E163" s="179">
        <v>1060</v>
      </c>
      <c r="F163" s="105">
        <f t="shared" si="43"/>
        <v>14840</v>
      </c>
      <c r="G163" s="105">
        <f t="shared" si="44"/>
        <v>17808</v>
      </c>
    </row>
    <row r="164" spans="1:8" ht="30" x14ac:dyDescent="0.25">
      <c r="A164" s="66">
        <f t="shared" si="45"/>
        <v>124</v>
      </c>
      <c r="B164" s="67" t="s">
        <v>545</v>
      </c>
      <c r="C164" s="66" t="s">
        <v>193</v>
      </c>
      <c r="D164" s="236">
        <v>0.02</v>
      </c>
      <c r="E164" s="179">
        <v>127396</v>
      </c>
      <c r="F164" s="105">
        <f t="shared" si="43"/>
        <v>2547.92</v>
      </c>
      <c r="G164" s="105">
        <f t="shared" si="44"/>
        <v>3057.5</v>
      </c>
    </row>
    <row r="165" spans="1:8" ht="30" x14ac:dyDescent="0.25">
      <c r="A165" s="66">
        <f t="shared" si="45"/>
        <v>125</v>
      </c>
      <c r="B165" s="67" t="s">
        <v>546</v>
      </c>
      <c r="C165" s="66" t="s">
        <v>193</v>
      </c>
      <c r="D165" s="236">
        <v>5.63</v>
      </c>
      <c r="E165" s="179">
        <v>5763.1974358974367</v>
      </c>
      <c r="F165" s="105">
        <f t="shared" si="43"/>
        <v>32446.799999999999</v>
      </c>
      <c r="G165" s="105">
        <f t="shared" si="44"/>
        <v>38936.160000000003</v>
      </c>
    </row>
    <row r="166" spans="1:8" ht="30" x14ac:dyDescent="0.25">
      <c r="A166" s="88">
        <f t="shared" si="45"/>
        <v>126</v>
      </c>
      <c r="B166" s="253" t="s">
        <v>933</v>
      </c>
      <c r="C166" s="88" t="s">
        <v>431</v>
      </c>
      <c r="D166" s="236">
        <v>171.64</v>
      </c>
      <c r="E166" s="178">
        <v>1007.6976744186048</v>
      </c>
      <c r="F166" s="107">
        <f t="shared" si="43"/>
        <v>172961.23</v>
      </c>
      <c r="G166" s="107">
        <f t="shared" si="44"/>
        <v>207553.48</v>
      </c>
    </row>
    <row r="167" spans="1:8" ht="30" x14ac:dyDescent="0.25">
      <c r="A167" s="88">
        <f t="shared" si="45"/>
        <v>127</v>
      </c>
      <c r="B167" s="253" t="s">
        <v>934</v>
      </c>
      <c r="C167" s="260" t="s">
        <v>431</v>
      </c>
      <c r="D167" s="236">
        <v>171.64</v>
      </c>
      <c r="E167" s="178">
        <v>152</v>
      </c>
      <c r="F167" s="107">
        <f t="shared" si="43"/>
        <v>26089.279999999999</v>
      </c>
      <c r="G167" s="107">
        <f t="shared" si="44"/>
        <v>31307.14</v>
      </c>
    </row>
    <row r="168" spans="1:8" ht="30" x14ac:dyDescent="0.25">
      <c r="A168" s="88">
        <f t="shared" si="45"/>
        <v>128</v>
      </c>
      <c r="B168" s="253" t="s">
        <v>935</v>
      </c>
      <c r="C168" s="88" t="s">
        <v>431</v>
      </c>
      <c r="D168" s="236">
        <v>171.64</v>
      </c>
      <c r="E168" s="178">
        <v>315.54000000000002</v>
      </c>
      <c r="F168" s="107">
        <f t="shared" si="43"/>
        <v>54159.29</v>
      </c>
      <c r="G168" s="107">
        <f t="shared" si="44"/>
        <v>64991.15</v>
      </c>
    </row>
    <row r="169" spans="1:8" ht="30" x14ac:dyDescent="0.25">
      <c r="A169" s="311">
        <f t="shared" si="45"/>
        <v>129</v>
      </c>
      <c r="B169" s="316" t="s">
        <v>1071</v>
      </c>
      <c r="C169" s="311" t="s">
        <v>193</v>
      </c>
      <c r="D169" s="313">
        <v>0.34</v>
      </c>
      <c r="E169" s="179">
        <v>30352.94</v>
      </c>
      <c r="F169" s="314">
        <f t="shared" si="43"/>
        <v>10320</v>
      </c>
      <c r="G169" s="314">
        <f t="shared" si="44"/>
        <v>12384</v>
      </c>
      <c r="H169" s="219"/>
    </row>
    <row r="170" spans="1:8" ht="30" x14ac:dyDescent="0.25">
      <c r="A170" s="311">
        <f t="shared" si="45"/>
        <v>130</v>
      </c>
      <c r="B170" s="316" t="s">
        <v>936</v>
      </c>
      <c r="C170" s="311" t="s">
        <v>193</v>
      </c>
      <c r="D170" s="313">
        <v>0.62</v>
      </c>
      <c r="E170" s="179">
        <v>30352.94</v>
      </c>
      <c r="F170" s="314">
        <f t="shared" si="43"/>
        <v>18818.82</v>
      </c>
      <c r="G170" s="314">
        <f t="shared" si="44"/>
        <v>22582.58</v>
      </c>
    </row>
    <row r="171" spans="1:8" ht="30" x14ac:dyDescent="0.25">
      <c r="A171" s="88">
        <f t="shared" si="45"/>
        <v>131</v>
      </c>
      <c r="B171" s="253" t="s">
        <v>933</v>
      </c>
      <c r="C171" s="88" t="s">
        <v>431</v>
      </c>
      <c r="D171" s="236">
        <v>0.8</v>
      </c>
      <c r="E171" s="178">
        <v>1007.6976744186048</v>
      </c>
      <c r="F171" s="107">
        <f t="shared" si="43"/>
        <v>806.16</v>
      </c>
      <c r="G171" s="107">
        <f t="shared" si="44"/>
        <v>967.39</v>
      </c>
    </row>
    <row r="172" spans="1:8" ht="30" x14ac:dyDescent="0.25">
      <c r="A172" s="88">
        <f t="shared" si="45"/>
        <v>132</v>
      </c>
      <c r="B172" s="253" t="s">
        <v>934</v>
      </c>
      <c r="C172" s="260" t="s">
        <v>431</v>
      </c>
      <c r="D172" s="236">
        <v>3.8</v>
      </c>
      <c r="E172" s="178">
        <v>152</v>
      </c>
      <c r="F172" s="107">
        <f t="shared" si="43"/>
        <v>577.6</v>
      </c>
      <c r="G172" s="107">
        <f t="shared" si="44"/>
        <v>693.12</v>
      </c>
    </row>
    <row r="173" spans="1:8" ht="30" x14ac:dyDescent="0.25">
      <c r="A173" s="88">
        <f t="shared" si="45"/>
        <v>133</v>
      </c>
      <c r="B173" s="253" t="s">
        <v>935</v>
      </c>
      <c r="C173" s="88" t="s">
        <v>431</v>
      </c>
      <c r="D173" s="236">
        <v>3.8</v>
      </c>
      <c r="E173" s="178">
        <v>315.54000000000002</v>
      </c>
      <c r="F173" s="107">
        <f t="shared" si="43"/>
        <v>1199.05</v>
      </c>
      <c r="G173" s="107">
        <f t="shared" si="44"/>
        <v>1438.86</v>
      </c>
    </row>
    <row r="174" spans="1:8" ht="15.75" x14ac:dyDescent="0.25">
      <c r="A174" s="88">
        <f t="shared" si="45"/>
        <v>134</v>
      </c>
      <c r="B174" s="253" t="s">
        <v>937</v>
      </c>
      <c r="C174" s="88" t="s">
        <v>193</v>
      </c>
      <c r="D174" s="236">
        <v>1.5</v>
      </c>
      <c r="E174" s="178">
        <v>5761.0434782608691</v>
      </c>
      <c r="F174" s="107">
        <f t="shared" si="43"/>
        <v>8641.57</v>
      </c>
      <c r="G174" s="107">
        <f t="shared" si="44"/>
        <v>10369.879999999999</v>
      </c>
    </row>
    <row r="175" spans="1:8" ht="30" x14ac:dyDescent="0.25">
      <c r="A175" s="482">
        <f t="shared" si="45"/>
        <v>135</v>
      </c>
      <c r="B175" s="483" t="s">
        <v>938</v>
      </c>
      <c r="C175" s="482" t="s">
        <v>193</v>
      </c>
      <c r="D175" s="484">
        <v>0.16</v>
      </c>
      <c r="E175" s="324">
        <v>6943.75</v>
      </c>
      <c r="F175" s="314">
        <f t="shared" si="43"/>
        <v>1111</v>
      </c>
      <c r="G175" s="314">
        <f t="shared" si="44"/>
        <v>1333.2</v>
      </c>
    </row>
    <row r="176" spans="1:8" ht="15.75" x14ac:dyDescent="0.25">
      <c r="A176" s="482">
        <f t="shared" si="45"/>
        <v>136</v>
      </c>
      <c r="B176" s="483" t="s">
        <v>939</v>
      </c>
      <c r="C176" s="482" t="s">
        <v>193</v>
      </c>
      <c r="D176" s="484">
        <v>0.6</v>
      </c>
      <c r="E176" s="324">
        <f>4166/0.6</f>
        <v>6943.3333333333339</v>
      </c>
      <c r="F176" s="314">
        <f t="shared" si="43"/>
        <v>4166</v>
      </c>
      <c r="G176" s="314">
        <f t="shared" si="44"/>
        <v>4999.2</v>
      </c>
    </row>
    <row r="177" spans="1:8" ht="30" x14ac:dyDescent="0.25">
      <c r="A177" s="88">
        <f t="shared" si="45"/>
        <v>137</v>
      </c>
      <c r="B177" s="253" t="s">
        <v>933</v>
      </c>
      <c r="C177" s="88" t="s">
        <v>431</v>
      </c>
      <c r="D177" s="236">
        <v>4.5</v>
      </c>
      <c r="E177" s="178">
        <v>1007.6976744186048</v>
      </c>
      <c r="F177" s="107">
        <f t="shared" si="43"/>
        <v>4534.6400000000003</v>
      </c>
      <c r="G177" s="107">
        <f t="shared" si="44"/>
        <v>5441.57</v>
      </c>
    </row>
    <row r="178" spans="1:8" ht="30" x14ac:dyDescent="0.25">
      <c r="A178" s="88">
        <f t="shared" si="45"/>
        <v>138</v>
      </c>
      <c r="B178" s="253" t="s">
        <v>934</v>
      </c>
      <c r="C178" s="260" t="s">
        <v>431</v>
      </c>
      <c r="D178" s="236">
        <v>4.5</v>
      </c>
      <c r="E178" s="178">
        <v>152</v>
      </c>
      <c r="F178" s="107">
        <f t="shared" si="43"/>
        <v>684</v>
      </c>
      <c r="G178" s="107">
        <f t="shared" si="44"/>
        <v>820.8</v>
      </c>
    </row>
    <row r="179" spans="1:8" ht="30" x14ac:dyDescent="0.25">
      <c r="A179" s="88">
        <f t="shared" si="45"/>
        <v>139</v>
      </c>
      <c r="B179" s="253" t="s">
        <v>935</v>
      </c>
      <c r="C179" s="88" t="s">
        <v>431</v>
      </c>
      <c r="D179" s="236">
        <v>4.5</v>
      </c>
      <c r="E179" s="178">
        <v>315.54000000000002</v>
      </c>
      <c r="F179" s="107">
        <f t="shared" si="43"/>
        <v>1419.93</v>
      </c>
      <c r="G179" s="107">
        <f t="shared" si="44"/>
        <v>1703.92</v>
      </c>
    </row>
    <row r="180" spans="1:8" ht="15.75" x14ac:dyDescent="0.25">
      <c r="A180" s="311">
        <f t="shared" si="45"/>
        <v>140</v>
      </c>
      <c r="B180" s="316" t="s">
        <v>940</v>
      </c>
      <c r="C180" s="311" t="s">
        <v>193</v>
      </c>
      <c r="D180" s="313">
        <v>0.08</v>
      </c>
      <c r="E180" s="179">
        <f>2280/0.08</f>
        <v>28500</v>
      </c>
      <c r="F180" s="314">
        <f t="shared" si="43"/>
        <v>2280</v>
      </c>
      <c r="G180" s="314">
        <f t="shared" si="44"/>
        <v>2736</v>
      </c>
    </row>
    <row r="181" spans="1:8" ht="15.75" x14ac:dyDescent="0.25">
      <c r="A181" s="311">
        <f t="shared" si="45"/>
        <v>141</v>
      </c>
      <c r="B181" s="316" t="s">
        <v>944</v>
      </c>
      <c r="C181" s="311" t="s">
        <v>220</v>
      </c>
      <c r="D181" s="335">
        <v>1</v>
      </c>
      <c r="E181" s="179">
        <v>26237</v>
      </c>
      <c r="F181" s="314">
        <f t="shared" si="43"/>
        <v>26237</v>
      </c>
      <c r="G181" s="314">
        <f t="shared" si="44"/>
        <v>31484.400000000001</v>
      </c>
    </row>
    <row r="182" spans="1:8" ht="15.75" x14ac:dyDescent="0.25">
      <c r="A182" s="311">
        <f t="shared" si="45"/>
        <v>142</v>
      </c>
      <c r="B182" s="316" t="s">
        <v>1257</v>
      </c>
      <c r="C182" s="311" t="s">
        <v>254</v>
      </c>
      <c r="D182" s="313">
        <v>138.83000000000001</v>
      </c>
      <c r="E182" s="179">
        <f>3037/138.83</f>
        <v>21.8756752863214</v>
      </c>
      <c r="F182" s="314">
        <f t="shared" si="43"/>
        <v>3037</v>
      </c>
      <c r="G182" s="314">
        <f t="shared" si="44"/>
        <v>3644.4</v>
      </c>
    </row>
    <row r="183" spans="1:8" ht="15.75" x14ac:dyDescent="0.25">
      <c r="A183" s="311">
        <f t="shared" si="45"/>
        <v>143</v>
      </c>
      <c r="B183" s="316" t="s">
        <v>943</v>
      </c>
      <c r="C183" s="311" t="s">
        <v>254</v>
      </c>
      <c r="D183" s="313">
        <v>45</v>
      </c>
      <c r="E183" s="179">
        <v>115.24</v>
      </c>
      <c r="F183" s="314">
        <f t="shared" si="43"/>
        <v>5185.8</v>
      </c>
      <c r="G183" s="314">
        <f t="shared" si="44"/>
        <v>6222.96</v>
      </c>
    </row>
    <row r="184" spans="1:8" ht="15.75" x14ac:dyDescent="0.25">
      <c r="A184" s="88"/>
      <c r="B184" s="235" t="s">
        <v>946</v>
      </c>
      <c r="C184" s="88"/>
      <c r="D184" s="236"/>
      <c r="E184" s="178"/>
      <c r="F184" s="107"/>
      <c r="G184" s="107"/>
    </row>
    <row r="185" spans="1:8" s="379" customFormat="1" ht="15.75" x14ac:dyDescent="0.25">
      <c r="A185" s="311">
        <f>A183+1</f>
        <v>144</v>
      </c>
      <c r="B185" s="316" t="s">
        <v>947</v>
      </c>
      <c r="C185" s="311" t="s">
        <v>193</v>
      </c>
      <c r="D185" s="313">
        <v>9.9</v>
      </c>
      <c r="E185" s="179">
        <v>13642.522222222222</v>
      </c>
      <c r="F185" s="314">
        <f t="shared" si="43"/>
        <v>135060.97</v>
      </c>
      <c r="G185" s="314">
        <f t="shared" ref="G185:G205" si="46">ROUND(F185*1.2,2)</f>
        <v>162073.16</v>
      </c>
      <c r="H185" s="485"/>
    </row>
    <row r="186" spans="1:8" ht="15.75" x14ac:dyDescent="0.25">
      <c r="A186" s="88">
        <f>A185+1</f>
        <v>145</v>
      </c>
      <c r="B186" s="253" t="s">
        <v>948</v>
      </c>
      <c r="C186" s="88" t="s">
        <v>193</v>
      </c>
      <c r="D186" s="236">
        <v>1.7</v>
      </c>
      <c r="E186" s="178">
        <v>13272.15</v>
      </c>
      <c r="F186" s="107">
        <f t="shared" si="43"/>
        <v>22562.66</v>
      </c>
      <c r="G186" s="107">
        <f t="shared" si="46"/>
        <v>27075.19</v>
      </c>
    </row>
    <row r="187" spans="1:8" s="379" customFormat="1" ht="15.75" x14ac:dyDescent="0.25">
      <c r="A187" s="311">
        <f t="shared" ref="A187:A192" si="47">A186+1</f>
        <v>146</v>
      </c>
      <c r="B187" s="316" t="s">
        <v>1258</v>
      </c>
      <c r="C187" s="482" t="s">
        <v>220</v>
      </c>
      <c r="D187" s="486">
        <v>3</v>
      </c>
      <c r="E187" s="179">
        <v>3041</v>
      </c>
      <c r="F187" s="314">
        <f t="shared" si="43"/>
        <v>9123</v>
      </c>
      <c r="G187" s="314">
        <f t="shared" si="46"/>
        <v>10947.6</v>
      </c>
      <c r="H187" s="487" t="s">
        <v>1261</v>
      </c>
    </row>
    <row r="188" spans="1:8" s="379" customFormat="1" ht="15.75" x14ac:dyDescent="0.25">
      <c r="A188" s="311">
        <f t="shared" si="47"/>
        <v>147</v>
      </c>
      <c r="B188" s="316" t="s">
        <v>1259</v>
      </c>
      <c r="C188" s="482" t="s">
        <v>220</v>
      </c>
      <c r="D188" s="486">
        <v>2</v>
      </c>
      <c r="E188" s="179">
        <v>1416</v>
      </c>
      <c r="F188" s="314">
        <f t="shared" si="43"/>
        <v>2832</v>
      </c>
      <c r="G188" s="314">
        <f t="shared" si="46"/>
        <v>3398.4</v>
      </c>
      <c r="H188" s="487" t="s">
        <v>1261</v>
      </c>
    </row>
    <row r="189" spans="1:8" s="379" customFormat="1" ht="15.75" x14ac:dyDescent="0.25">
      <c r="A189" s="311">
        <f t="shared" si="47"/>
        <v>148</v>
      </c>
      <c r="B189" s="316" t="s">
        <v>1260</v>
      </c>
      <c r="C189" s="482" t="s">
        <v>220</v>
      </c>
      <c r="D189" s="486">
        <v>1</v>
      </c>
      <c r="E189" s="179">
        <v>1294</v>
      </c>
      <c r="F189" s="314">
        <f t="shared" si="43"/>
        <v>1294</v>
      </c>
      <c r="G189" s="314">
        <f t="shared" si="46"/>
        <v>1552.8</v>
      </c>
      <c r="H189" s="487" t="s">
        <v>1261</v>
      </c>
    </row>
    <row r="190" spans="1:8" s="379" customFormat="1" ht="15.75" x14ac:dyDescent="0.25">
      <c r="A190" s="311">
        <f t="shared" si="47"/>
        <v>149</v>
      </c>
      <c r="B190" s="316" t="s">
        <v>949</v>
      </c>
      <c r="C190" s="311" t="s">
        <v>220</v>
      </c>
      <c r="D190" s="335">
        <v>2</v>
      </c>
      <c r="E190" s="179">
        <v>4289</v>
      </c>
      <c r="F190" s="314">
        <f t="shared" si="43"/>
        <v>8578</v>
      </c>
      <c r="G190" s="314">
        <f t="shared" si="46"/>
        <v>10293.6</v>
      </c>
      <c r="H190" s="485"/>
    </row>
    <row r="191" spans="1:8" s="379" customFormat="1" ht="15.75" x14ac:dyDescent="0.25">
      <c r="A191" s="311">
        <f t="shared" si="47"/>
        <v>150</v>
      </c>
      <c r="B191" s="316" t="s">
        <v>950</v>
      </c>
      <c r="C191" s="311" t="s">
        <v>220</v>
      </c>
      <c r="D191" s="335">
        <v>2</v>
      </c>
      <c r="E191" s="179">
        <v>2078</v>
      </c>
      <c r="F191" s="314">
        <f t="shared" si="43"/>
        <v>4156</v>
      </c>
      <c r="G191" s="314">
        <f t="shared" si="46"/>
        <v>4987.2</v>
      </c>
      <c r="H191" s="485"/>
    </row>
    <row r="192" spans="1:8" s="379" customFormat="1" ht="15.75" x14ac:dyDescent="0.25">
      <c r="A192" s="311">
        <f t="shared" si="47"/>
        <v>151</v>
      </c>
      <c r="B192" s="316" t="s">
        <v>951</v>
      </c>
      <c r="C192" s="311" t="s">
        <v>220</v>
      </c>
      <c r="D192" s="335">
        <v>2</v>
      </c>
      <c r="E192" s="179">
        <v>2078</v>
      </c>
      <c r="F192" s="314">
        <f t="shared" si="43"/>
        <v>4156</v>
      </c>
      <c r="G192" s="314">
        <f t="shared" si="46"/>
        <v>4987.2</v>
      </c>
      <c r="H192" s="485"/>
    </row>
    <row r="193" spans="1:8" s="379" customFormat="1" ht="30" x14ac:dyDescent="0.25">
      <c r="A193" s="311">
        <f>A192+1</f>
        <v>152</v>
      </c>
      <c r="B193" s="316" t="s">
        <v>952</v>
      </c>
      <c r="C193" s="311" t="s">
        <v>220</v>
      </c>
      <c r="D193" s="335">
        <v>2</v>
      </c>
      <c r="E193" s="179">
        <v>5667</v>
      </c>
      <c r="F193" s="314">
        <f t="shared" si="43"/>
        <v>11334</v>
      </c>
      <c r="G193" s="314">
        <f t="shared" si="46"/>
        <v>13600.8</v>
      </c>
      <c r="H193" s="485"/>
    </row>
    <row r="194" spans="1:8" s="379" customFormat="1" ht="30" x14ac:dyDescent="0.25">
      <c r="A194" s="311">
        <f t="shared" ref="A194:A196" si="48">A193+1</f>
        <v>153</v>
      </c>
      <c r="B194" s="316" t="s">
        <v>953</v>
      </c>
      <c r="C194" s="311" t="s">
        <v>220</v>
      </c>
      <c r="D194" s="335">
        <v>2</v>
      </c>
      <c r="E194" s="179">
        <v>18703</v>
      </c>
      <c r="F194" s="314">
        <f t="shared" si="43"/>
        <v>37406</v>
      </c>
      <c r="G194" s="314">
        <f t="shared" si="46"/>
        <v>44887.199999999997</v>
      </c>
      <c r="H194" s="485"/>
    </row>
    <row r="195" spans="1:8" s="379" customFormat="1" ht="30" x14ac:dyDescent="0.25">
      <c r="A195" s="311">
        <f t="shared" si="48"/>
        <v>154</v>
      </c>
      <c r="B195" s="316" t="s">
        <v>954</v>
      </c>
      <c r="C195" s="311" t="s">
        <v>220</v>
      </c>
      <c r="D195" s="335">
        <v>2</v>
      </c>
      <c r="E195" s="179">
        <v>6960</v>
      </c>
      <c r="F195" s="314">
        <f t="shared" si="43"/>
        <v>13920</v>
      </c>
      <c r="G195" s="314">
        <f t="shared" si="46"/>
        <v>16704</v>
      </c>
      <c r="H195" s="485"/>
    </row>
    <row r="196" spans="1:8" s="379" customFormat="1" ht="30" x14ac:dyDescent="0.25">
      <c r="A196" s="311">
        <f t="shared" si="48"/>
        <v>155</v>
      </c>
      <c r="B196" s="316" t="s">
        <v>955</v>
      </c>
      <c r="C196" s="311" t="s">
        <v>220</v>
      </c>
      <c r="D196" s="335">
        <v>2</v>
      </c>
      <c r="E196" s="179">
        <f>1258*2</f>
        <v>2516</v>
      </c>
      <c r="F196" s="314">
        <f t="shared" si="43"/>
        <v>5032</v>
      </c>
      <c r="G196" s="314">
        <f t="shared" si="46"/>
        <v>6038.4</v>
      </c>
      <c r="H196" s="485"/>
    </row>
    <row r="197" spans="1:8" s="379" customFormat="1" ht="30" x14ac:dyDescent="0.25">
      <c r="A197" s="311">
        <f>A196+1</f>
        <v>156</v>
      </c>
      <c r="B197" s="316" t="s">
        <v>956</v>
      </c>
      <c r="C197" s="311" t="s">
        <v>239</v>
      </c>
      <c r="D197" s="339">
        <v>7.8E-2</v>
      </c>
      <c r="E197" s="179">
        <f>9795/0.078</f>
        <v>125576.92307692308</v>
      </c>
      <c r="F197" s="314">
        <f t="shared" si="43"/>
        <v>9795</v>
      </c>
      <c r="G197" s="314">
        <f t="shared" si="46"/>
        <v>11754</v>
      </c>
      <c r="H197" s="485"/>
    </row>
    <row r="198" spans="1:8" ht="30" x14ac:dyDescent="0.25">
      <c r="A198" s="88">
        <f t="shared" si="45"/>
        <v>157</v>
      </c>
      <c r="B198" s="253" t="s">
        <v>934</v>
      </c>
      <c r="C198" s="88" t="s">
        <v>431</v>
      </c>
      <c r="D198" s="236">
        <v>54.1</v>
      </c>
      <c r="E198" s="178">
        <v>152</v>
      </c>
      <c r="F198" s="107">
        <f t="shared" si="43"/>
        <v>8223.2000000000007</v>
      </c>
      <c r="G198" s="107">
        <f t="shared" si="46"/>
        <v>9867.84</v>
      </c>
    </row>
    <row r="199" spans="1:8" ht="30" x14ac:dyDescent="0.25">
      <c r="A199" s="88">
        <f t="shared" si="45"/>
        <v>158</v>
      </c>
      <c r="B199" s="253" t="s">
        <v>935</v>
      </c>
      <c r="C199" s="88" t="s">
        <v>431</v>
      </c>
      <c r="D199" s="236">
        <v>54.1</v>
      </c>
      <c r="E199" s="178">
        <v>315.54000000000002</v>
      </c>
      <c r="F199" s="107">
        <f t="shared" si="43"/>
        <v>17070.71</v>
      </c>
      <c r="G199" s="107">
        <f t="shared" si="46"/>
        <v>20484.849999999999</v>
      </c>
    </row>
    <row r="200" spans="1:8" ht="30" x14ac:dyDescent="0.25">
      <c r="A200" s="66">
        <f t="shared" si="45"/>
        <v>159</v>
      </c>
      <c r="B200" s="67" t="s">
        <v>547</v>
      </c>
      <c r="C200" s="66" t="s">
        <v>431</v>
      </c>
      <c r="D200" s="160">
        <v>2</v>
      </c>
      <c r="E200" s="179">
        <v>182</v>
      </c>
      <c r="F200" s="105">
        <f t="shared" si="43"/>
        <v>364</v>
      </c>
      <c r="G200" s="105">
        <f t="shared" si="46"/>
        <v>436.8</v>
      </c>
    </row>
    <row r="201" spans="1:8" ht="15.75" x14ac:dyDescent="0.25">
      <c r="A201" s="66">
        <f t="shared" si="45"/>
        <v>160</v>
      </c>
      <c r="B201" s="67" t="s">
        <v>548</v>
      </c>
      <c r="C201" s="66" t="s">
        <v>431</v>
      </c>
      <c r="D201" s="160">
        <v>2</v>
      </c>
      <c r="E201" s="179">
        <v>182</v>
      </c>
      <c r="F201" s="105">
        <f t="shared" si="43"/>
        <v>364</v>
      </c>
      <c r="G201" s="105">
        <f t="shared" si="46"/>
        <v>436.8</v>
      </c>
    </row>
    <row r="202" spans="1:8" ht="30" x14ac:dyDescent="0.25">
      <c r="A202" s="66">
        <f t="shared" si="45"/>
        <v>161</v>
      </c>
      <c r="B202" s="67" t="s">
        <v>549</v>
      </c>
      <c r="C202" s="66" t="s">
        <v>193</v>
      </c>
      <c r="D202" s="72">
        <v>0.2</v>
      </c>
      <c r="E202" s="179">
        <v>13272.15</v>
      </c>
      <c r="F202" s="105">
        <f t="shared" si="43"/>
        <v>2654.43</v>
      </c>
      <c r="G202" s="105">
        <f t="shared" si="46"/>
        <v>3185.32</v>
      </c>
    </row>
    <row r="203" spans="1:8" ht="30" x14ac:dyDescent="0.25">
      <c r="A203" s="311">
        <f>A202+1</f>
        <v>162</v>
      </c>
      <c r="B203" s="316" t="s">
        <v>957</v>
      </c>
      <c r="C203" s="311" t="s">
        <v>193</v>
      </c>
      <c r="D203" s="339">
        <v>0.621</v>
      </c>
      <c r="E203" s="179">
        <f>52655/0.621</f>
        <v>84790.660225442829</v>
      </c>
      <c r="F203" s="314">
        <f t="shared" si="43"/>
        <v>52655</v>
      </c>
      <c r="G203" s="314">
        <f t="shared" si="46"/>
        <v>63186</v>
      </c>
    </row>
    <row r="204" spans="1:8" ht="30" x14ac:dyDescent="0.25">
      <c r="A204" s="311">
        <f>A203+1</f>
        <v>163</v>
      </c>
      <c r="B204" s="316" t="s">
        <v>958</v>
      </c>
      <c r="C204" s="311" t="s">
        <v>960</v>
      </c>
      <c r="D204" s="313">
        <v>23.55</v>
      </c>
      <c r="E204" s="179">
        <v>626.07000000000005</v>
      </c>
      <c r="F204" s="314">
        <f t="shared" si="43"/>
        <v>14743.95</v>
      </c>
      <c r="G204" s="314">
        <f t="shared" si="46"/>
        <v>17692.740000000002</v>
      </c>
    </row>
    <row r="205" spans="1:8" ht="15.75" x14ac:dyDescent="0.25">
      <c r="A205" s="311">
        <f>A204+1</f>
        <v>164</v>
      </c>
      <c r="B205" s="316" t="s">
        <v>959</v>
      </c>
      <c r="C205" s="311" t="s">
        <v>431</v>
      </c>
      <c r="D205" s="313">
        <v>0.3</v>
      </c>
      <c r="E205" s="179">
        <f>102/0.3</f>
        <v>340</v>
      </c>
      <c r="F205" s="314">
        <f t="shared" si="43"/>
        <v>102</v>
      </c>
      <c r="G205" s="314">
        <f t="shared" si="46"/>
        <v>122.4</v>
      </c>
    </row>
    <row r="206" spans="1:8" ht="15.75" x14ac:dyDescent="0.25">
      <c r="A206" s="66"/>
      <c r="B206" s="62" t="s">
        <v>404</v>
      </c>
      <c r="C206" s="66"/>
      <c r="D206" s="72"/>
      <c r="E206" s="223"/>
      <c r="F206" s="105"/>
      <c r="G206" s="105"/>
    </row>
    <row r="207" spans="1:8" ht="45" x14ac:dyDescent="0.25">
      <c r="A207" s="111">
        <f>A205+1</f>
        <v>165</v>
      </c>
      <c r="B207" s="488" t="s">
        <v>961</v>
      </c>
      <c r="C207" s="66" t="s">
        <v>194</v>
      </c>
      <c r="D207" s="237">
        <v>115</v>
      </c>
      <c r="E207" s="179">
        <v>2290.1579999999999</v>
      </c>
      <c r="F207" s="105">
        <f t="shared" si="43"/>
        <v>263368.17</v>
      </c>
      <c r="G207" s="105">
        <f t="shared" si="44"/>
        <v>316041.8</v>
      </c>
      <c r="H207" s="250" t="s">
        <v>1080</v>
      </c>
    </row>
    <row r="208" spans="1:8" ht="15.75" x14ac:dyDescent="0.25">
      <c r="A208" s="111">
        <f>A207+1</f>
        <v>166</v>
      </c>
      <c r="B208" s="488" t="s">
        <v>1081</v>
      </c>
      <c r="C208" s="66" t="s">
        <v>220</v>
      </c>
      <c r="D208" s="72">
        <v>24</v>
      </c>
      <c r="E208" s="179">
        <v>9339.7969230769231</v>
      </c>
      <c r="F208" s="105">
        <f t="shared" si="43"/>
        <v>224155.13</v>
      </c>
      <c r="G208" s="105">
        <f t="shared" si="44"/>
        <v>268986.15999999997</v>
      </c>
      <c r="H208" s="239" t="s">
        <v>1629</v>
      </c>
    </row>
    <row r="209" spans="1:8" ht="15.75" x14ac:dyDescent="0.25">
      <c r="A209" s="111">
        <f t="shared" ref="A209:A211" si="49">A208+1</f>
        <v>167</v>
      </c>
      <c r="B209" s="488" t="s">
        <v>1082</v>
      </c>
      <c r="C209" s="66" t="s">
        <v>220</v>
      </c>
      <c r="D209" s="72">
        <v>24</v>
      </c>
      <c r="E209" s="179">
        <v>1866.7559615384619</v>
      </c>
      <c r="F209" s="105">
        <f t="shared" si="43"/>
        <v>44802.14</v>
      </c>
      <c r="G209" s="105">
        <f t="shared" si="44"/>
        <v>53762.57</v>
      </c>
      <c r="H209" s="239" t="s">
        <v>1629</v>
      </c>
    </row>
    <row r="210" spans="1:8" ht="19.5" customHeight="1" x14ac:dyDescent="0.25">
      <c r="A210" s="311">
        <f t="shared" si="49"/>
        <v>168</v>
      </c>
      <c r="B210" s="316" t="s">
        <v>1048</v>
      </c>
      <c r="C210" s="311" t="s">
        <v>217</v>
      </c>
      <c r="D210" s="317">
        <f>12+12</f>
        <v>24</v>
      </c>
      <c r="E210" s="179">
        <v>10778</v>
      </c>
      <c r="F210" s="314">
        <f t="shared" si="43"/>
        <v>258672</v>
      </c>
      <c r="G210" s="314">
        <f t="shared" si="44"/>
        <v>310406.40000000002</v>
      </c>
      <c r="H210" s="281"/>
    </row>
    <row r="211" spans="1:8" ht="45" x14ac:dyDescent="0.25">
      <c r="A211" s="311">
        <f t="shared" si="49"/>
        <v>169</v>
      </c>
      <c r="B211" s="316" t="s">
        <v>1262</v>
      </c>
      <c r="C211" s="311" t="s">
        <v>194</v>
      </c>
      <c r="D211" s="317">
        <v>11</v>
      </c>
      <c r="E211" s="179">
        <v>981.27272727272725</v>
      </c>
      <c r="F211" s="314">
        <f t="shared" si="43"/>
        <v>10794</v>
      </c>
      <c r="G211" s="314">
        <f t="shared" si="44"/>
        <v>12952.8</v>
      </c>
    </row>
    <row r="212" spans="1:8" ht="30" x14ac:dyDescent="0.25">
      <c r="A212" s="311">
        <f>A211+1</f>
        <v>170</v>
      </c>
      <c r="B212" s="316" t="s">
        <v>962</v>
      </c>
      <c r="C212" s="311" t="s">
        <v>194</v>
      </c>
      <c r="D212" s="317">
        <v>10.5</v>
      </c>
      <c r="E212" s="179">
        <v>918.1</v>
      </c>
      <c r="F212" s="314">
        <f t="shared" si="43"/>
        <v>9640.0499999999993</v>
      </c>
      <c r="G212" s="314">
        <f t="shared" si="44"/>
        <v>11568.06</v>
      </c>
      <c r="H212" s="267"/>
    </row>
    <row r="213" spans="1:8" ht="15.75" x14ac:dyDescent="0.25">
      <c r="A213" s="88">
        <f>A212+1</f>
        <v>171</v>
      </c>
      <c r="B213" s="253" t="s">
        <v>963</v>
      </c>
      <c r="C213" s="88" t="s">
        <v>220</v>
      </c>
      <c r="D213" s="160">
        <v>16</v>
      </c>
      <c r="E213" s="178">
        <v>4680</v>
      </c>
      <c r="F213" s="107">
        <f t="shared" si="43"/>
        <v>74880</v>
      </c>
      <c r="G213" s="107">
        <f t="shared" si="44"/>
        <v>89856</v>
      </c>
      <c r="H213" s="268"/>
    </row>
    <row r="214" spans="1:8" ht="15.75" x14ac:dyDescent="0.25">
      <c r="A214" s="311">
        <f>A213+1</f>
        <v>172</v>
      </c>
      <c r="B214" s="316" t="s">
        <v>964</v>
      </c>
      <c r="C214" s="311" t="s">
        <v>220</v>
      </c>
      <c r="D214" s="335">
        <v>6</v>
      </c>
      <c r="E214" s="179">
        <v>1347.33</v>
      </c>
      <c r="F214" s="314">
        <f t="shared" si="43"/>
        <v>8083.98</v>
      </c>
      <c r="G214" s="314">
        <f t="shared" si="44"/>
        <v>9700.7800000000007</v>
      </c>
      <c r="H214" s="268"/>
    </row>
    <row r="215" spans="1:8" ht="15.75" x14ac:dyDescent="0.25">
      <c r="A215" s="311">
        <f>A214+1</f>
        <v>173</v>
      </c>
      <c r="B215" s="316" t="s">
        <v>965</v>
      </c>
      <c r="C215" s="311" t="s">
        <v>220</v>
      </c>
      <c r="D215" s="335">
        <v>8</v>
      </c>
      <c r="E215" s="324">
        <v>275.38</v>
      </c>
      <c r="F215" s="314">
        <f t="shared" si="43"/>
        <v>2203.04</v>
      </c>
      <c r="G215" s="314">
        <f t="shared" si="44"/>
        <v>2643.65</v>
      </c>
    </row>
    <row r="216" spans="1:8" ht="30" x14ac:dyDescent="0.25">
      <c r="A216" s="311">
        <f t="shared" ref="A216:A224" si="50">A215+1</f>
        <v>174</v>
      </c>
      <c r="B216" s="316" t="s">
        <v>966</v>
      </c>
      <c r="C216" s="311" t="s">
        <v>220</v>
      </c>
      <c r="D216" s="335">
        <v>4</v>
      </c>
      <c r="E216" s="324">
        <v>13305</v>
      </c>
      <c r="F216" s="314">
        <f t="shared" si="43"/>
        <v>53220</v>
      </c>
      <c r="G216" s="314">
        <f t="shared" si="44"/>
        <v>63864</v>
      </c>
    </row>
    <row r="217" spans="1:8" ht="30" x14ac:dyDescent="0.25">
      <c r="A217" s="311">
        <f t="shared" si="50"/>
        <v>175</v>
      </c>
      <c r="B217" s="316" t="s">
        <v>967</v>
      </c>
      <c r="C217" s="311" t="s">
        <v>220</v>
      </c>
      <c r="D217" s="335">
        <v>2</v>
      </c>
      <c r="E217" s="324">
        <v>7683</v>
      </c>
      <c r="F217" s="314">
        <f t="shared" si="43"/>
        <v>15366</v>
      </c>
      <c r="G217" s="314">
        <f t="shared" si="44"/>
        <v>18439.2</v>
      </c>
    </row>
    <row r="218" spans="1:8" ht="30" x14ac:dyDescent="0.25">
      <c r="A218" s="311">
        <f t="shared" si="50"/>
        <v>176</v>
      </c>
      <c r="B218" s="316" t="s">
        <v>968</v>
      </c>
      <c r="C218" s="311" t="s">
        <v>220</v>
      </c>
      <c r="D218" s="335">
        <v>4</v>
      </c>
      <c r="E218" s="324">
        <v>4797</v>
      </c>
      <c r="F218" s="314">
        <f t="shared" si="43"/>
        <v>19188</v>
      </c>
      <c r="G218" s="314">
        <f t="shared" si="44"/>
        <v>23025.599999999999</v>
      </c>
    </row>
    <row r="219" spans="1:8" ht="15.75" x14ac:dyDescent="0.25">
      <c r="A219" s="311">
        <f t="shared" si="50"/>
        <v>177</v>
      </c>
      <c r="B219" s="316" t="s">
        <v>969</v>
      </c>
      <c r="C219" s="311" t="s">
        <v>220</v>
      </c>
      <c r="D219" s="335">
        <v>2</v>
      </c>
      <c r="E219" s="179">
        <v>1529</v>
      </c>
      <c r="F219" s="314">
        <f t="shared" si="43"/>
        <v>3058</v>
      </c>
      <c r="G219" s="314">
        <f t="shared" si="44"/>
        <v>3669.6</v>
      </c>
    </row>
    <row r="220" spans="1:8" ht="15.75" x14ac:dyDescent="0.25">
      <c r="A220" s="311">
        <f t="shared" si="50"/>
        <v>178</v>
      </c>
      <c r="B220" s="316" t="s">
        <v>970</v>
      </c>
      <c r="C220" s="311" t="s">
        <v>194</v>
      </c>
      <c r="D220" s="317">
        <v>2.2999999999999998</v>
      </c>
      <c r="E220" s="179">
        <f>1596/D220</f>
        <v>693.91304347826087</v>
      </c>
      <c r="F220" s="314">
        <f t="shared" si="43"/>
        <v>1596</v>
      </c>
      <c r="G220" s="314">
        <f t="shared" si="44"/>
        <v>1915.2</v>
      </c>
    </row>
    <row r="221" spans="1:8" ht="15.75" x14ac:dyDescent="0.25">
      <c r="A221" s="311">
        <f t="shared" si="50"/>
        <v>179</v>
      </c>
      <c r="B221" s="316" t="s">
        <v>971</v>
      </c>
      <c r="C221" s="311" t="s">
        <v>220</v>
      </c>
      <c r="D221" s="335">
        <v>1</v>
      </c>
      <c r="E221" s="179">
        <v>3453</v>
      </c>
      <c r="F221" s="314">
        <f t="shared" si="43"/>
        <v>3453</v>
      </c>
      <c r="G221" s="314">
        <f t="shared" si="44"/>
        <v>4143.6000000000004</v>
      </c>
    </row>
    <row r="222" spans="1:8" ht="15.75" x14ac:dyDescent="0.25">
      <c r="A222" s="311">
        <f t="shared" si="50"/>
        <v>180</v>
      </c>
      <c r="B222" s="316" t="s">
        <v>972</v>
      </c>
      <c r="C222" s="311" t="s">
        <v>220</v>
      </c>
      <c r="D222" s="335">
        <v>4</v>
      </c>
      <c r="E222" s="179">
        <f>3211</f>
        <v>3211</v>
      </c>
      <c r="F222" s="314">
        <f t="shared" si="43"/>
        <v>12844</v>
      </c>
      <c r="G222" s="314">
        <f t="shared" si="44"/>
        <v>15412.8</v>
      </c>
      <c r="H222" s="281" t="s">
        <v>1264</v>
      </c>
    </row>
    <row r="223" spans="1:8" ht="15.75" x14ac:dyDescent="0.25">
      <c r="A223" s="311">
        <f t="shared" si="50"/>
        <v>181</v>
      </c>
      <c r="B223" s="316" t="s">
        <v>1041</v>
      </c>
      <c r="C223" s="311" t="s">
        <v>217</v>
      </c>
      <c r="D223" s="335">
        <v>4</v>
      </c>
      <c r="E223" s="179">
        <v>425</v>
      </c>
      <c r="F223" s="314">
        <f t="shared" si="43"/>
        <v>1700</v>
      </c>
      <c r="G223" s="314">
        <f t="shared" si="44"/>
        <v>2040</v>
      </c>
      <c r="H223" s="281" t="s">
        <v>1265</v>
      </c>
    </row>
    <row r="224" spans="1:8" ht="15.75" x14ac:dyDescent="0.25">
      <c r="A224" s="88">
        <f t="shared" si="50"/>
        <v>182</v>
      </c>
      <c r="B224" s="253" t="s">
        <v>974</v>
      </c>
      <c r="C224" s="88" t="s">
        <v>193</v>
      </c>
      <c r="D224" s="237">
        <f>0.31+0.34+0.27+0.403</f>
        <v>1.323</v>
      </c>
      <c r="E224" s="178">
        <v>18174</v>
      </c>
      <c r="F224" s="107">
        <f t="shared" si="43"/>
        <v>24044.2</v>
      </c>
      <c r="G224" s="107">
        <f t="shared" si="44"/>
        <v>28853.040000000001</v>
      </c>
    </row>
    <row r="225" spans="1:8" ht="15.75" x14ac:dyDescent="0.25">
      <c r="A225" s="311">
        <f>A224+1</f>
        <v>183</v>
      </c>
      <c r="B225" s="316" t="s">
        <v>951</v>
      </c>
      <c r="C225" s="311" t="s">
        <v>220</v>
      </c>
      <c r="D225" s="335">
        <v>1</v>
      </c>
      <c r="E225" s="179">
        <v>2078</v>
      </c>
      <c r="F225" s="314">
        <f t="shared" ref="F225:F235" si="51">ROUND(E225*D225,2)</f>
        <v>2078</v>
      </c>
      <c r="G225" s="314">
        <f t="shared" ref="G225:G235" si="52">ROUND(F225*1.2,2)</f>
        <v>2493.6</v>
      </c>
    </row>
    <row r="226" spans="1:8" ht="15.75" x14ac:dyDescent="0.25">
      <c r="A226" s="311">
        <f>A225+1</f>
        <v>184</v>
      </c>
      <c r="B226" s="316" t="s">
        <v>981</v>
      </c>
      <c r="C226" s="311" t="s">
        <v>193</v>
      </c>
      <c r="D226" s="313">
        <v>0.28000000000000003</v>
      </c>
      <c r="E226" s="179">
        <f>4703/D226</f>
        <v>16796.428571428569</v>
      </c>
      <c r="F226" s="314">
        <f t="shared" si="51"/>
        <v>4703</v>
      </c>
      <c r="G226" s="314">
        <f t="shared" si="52"/>
        <v>5643.6</v>
      </c>
    </row>
    <row r="227" spans="1:8" ht="15.75" x14ac:dyDescent="0.25">
      <c r="A227" s="311">
        <f t="shared" ref="A227:A235" si="53">A226+1</f>
        <v>185</v>
      </c>
      <c r="B227" s="316" t="s">
        <v>982</v>
      </c>
      <c r="C227" s="311" t="s">
        <v>193</v>
      </c>
      <c r="D227" s="313">
        <v>0.05</v>
      </c>
      <c r="E227" s="179">
        <f>1324/D227</f>
        <v>26480</v>
      </c>
      <c r="F227" s="314">
        <f t="shared" si="51"/>
        <v>1324</v>
      </c>
      <c r="G227" s="314">
        <f t="shared" si="52"/>
        <v>1588.8</v>
      </c>
      <c r="H227" s="281" t="s">
        <v>1266</v>
      </c>
    </row>
    <row r="228" spans="1:8" ht="15.75" x14ac:dyDescent="0.25">
      <c r="A228" s="311">
        <f t="shared" si="53"/>
        <v>186</v>
      </c>
      <c r="B228" s="316" t="s">
        <v>983</v>
      </c>
      <c r="C228" s="311" t="s">
        <v>193</v>
      </c>
      <c r="D228" s="317">
        <v>0.3</v>
      </c>
      <c r="E228" s="179">
        <v>1380</v>
      </c>
      <c r="F228" s="314">
        <f t="shared" si="51"/>
        <v>414</v>
      </c>
      <c r="G228" s="314">
        <f t="shared" si="52"/>
        <v>496.8</v>
      </c>
    </row>
    <row r="229" spans="1:8" ht="15.75" x14ac:dyDescent="0.25">
      <c r="A229" s="311">
        <f t="shared" si="53"/>
        <v>187</v>
      </c>
      <c r="B229" s="316" t="s">
        <v>984</v>
      </c>
      <c r="C229" s="311" t="s">
        <v>239</v>
      </c>
      <c r="D229" s="339">
        <v>0.123</v>
      </c>
      <c r="E229" s="179">
        <f>8639/D229</f>
        <v>70235.772357723574</v>
      </c>
      <c r="F229" s="314">
        <f t="shared" si="51"/>
        <v>8639</v>
      </c>
      <c r="G229" s="314">
        <f t="shared" si="52"/>
        <v>10366.799999999999</v>
      </c>
    </row>
    <row r="230" spans="1:8" ht="15.75" x14ac:dyDescent="0.25">
      <c r="A230" s="311">
        <f t="shared" si="53"/>
        <v>188</v>
      </c>
      <c r="B230" s="316" t="s">
        <v>986</v>
      </c>
      <c r="C230" s="311" t="s">
        <v>220</v>
      </c>
      <c r="D230" s="335">
        <v>3</v>
      </c>
      <c r="E230" s="179">
        <v>874</v>
      </c>
      <c r="F230" s="314">
        <f t="shared" si="51"/>
        <v>2622</v>
      </c>
      <c r="G230" s="314">
        <f t="shared" si="52"/>
        <v>3146.4</v>
      </c>
    </row>
    <row r="231" spans="1:8" ht="15.75" x14ac:dyDescent="0.25">
      <c r="A231" s="311">
        <f t="shared" si="53"/>
        <v>189</v>
      </c>
      <c r="B231" s="316" t="s">
        <v>980</v>
      </c>
      <c r="C231" s="311" t="s">
        <v>193</v>
      </c>
      <c r="D231" s="313">
        <v>0.02</v>
      </c>
      <c r="E231" s="179">
        <f>1391/D231</f>
        <v>69550</v>
      </c>
      <c r="F231" s="314">
        <f t="shared" si="51"/>
        <v>1391</v>
      </c>
      <c r="G231" s="314">
        <f t="shared" si="52"/>
        <v>1669.2</v>
      </c>
    </row>
    <row r="232" spans="1:8" ht="15.75" x14ac:dyDescent="0.25">
      <c r="A232" s="311">
        <f t="shared" si="53"/>
        <v>190</v>
      </c>
      <c r="B232" s="316" t="s">
        <v>1263</v>
      </c>
      <c r="C232" s="311" t="s">
        <v>193</v>
      </c>
      <c r="D232" s="339">
        <v>4.3890000000000002</v>
      </c>
      <c r="E232" s="179">
        <f>61720/D232</f>
        <v>14062.428799270903</v>
      </c>
      <c r="F232" s="314">
        <f t="shared" si="51"/>
        <v>61720</v>
      </c>
      <c r="G232" s="314">
        <f t="shared" si="52"/>
        <v>74064</v>
      </c>
    </row>
    <row r="233" spans="1:8" ht="15.75" x14ac:dyDescent="0.25">
      <c r="A233" s="88">
        <f t="shared" si="53"/>
        <v>191</v>
      </c>
      <c r="B233" s="253" t="s">
        <v>978</v>
      </c>
      <c r="C233" s="88" t="s">
        <v>431</v>
      </c>
      <c r="D233" s="236">
        <v>41.6</v>
      </c>
      <c r="E233" s="178">
        <v>152</v>
      </c>
      <c r="F233" s="107">
        <f t="shared" si="51"/>
        <v>6323.2</v>
      </c>
      <c r="G233" s="107">
        <f t="shared" si="52"/>
        <v>7587.84</v>
      </c>
    </row>
    <row r="234" spans="1:8" ht="15.75" x14ac:dyDescent="0.25">
      <c r="A234" s="88">
        <f t="shared" si="53"/>
        <v>192</v>
      </c>
      <c r="B234" s="253" t="s">
        <v>979</v>
      </c>
      <c r="C234" s="88" t="s">
        <v>431</v>
      </c>
      <c r="D234" s="236">
        <v>41.6</v>
      </c>
      <c r="E234" s="178">
        <v>315.54000000000002</v>
      </c>
      <c r="F234" s="107">
        <f t="shared" si="51"/>
        <v>13126.46</v>
      </c>
      <c r="G234" s="107">
        <f t="shared" si="52"/>
        <v>15751.75</v>
      </c>
    </row>
    <row r="235" spans="1:8" ht="15.75" x14ac:dyDescent="0.25">
      <c r="A235" s="311">
        <f t="shared" si="53"/>
        <v>193</v>
      </c>
      <c r="B235" s="316" t="s">
        <v>985</v>
      </c>
      <c r="C235" s="311" t="s">
        <v>239</v>
      </c>
      <c r="D235" s="339">
        <v>0.13300000000000001</v>
      </c>
      <c r="E235" s="179">
        <f>9341/D235</f>
        <v>70233.082706766916</v>
      </c>
      <c r="F235" s="314">
        <f t="shared" si="51"/>
        <v>9341</v>
      </c>
      <c r="G235" s="314">
        <f t="shared" si="52"/>
        <v>11209.2</v>
      </c>
    </row>
    <row r="236" spans="1:8" x14ac:dyDescent="0.25">
      <c r="A236" s="411" t="s">
        <v>721</v>
      </c>
      <c r="B236" s="412"/>
      <c r="C236" s="412"/>
      <c r="D236" s="412"/>
      <c r="E236" s="413"/>
      <c r="F236" s="165">
        <f>SUM(F7:F235)</f>
        <v>28454442.130000014</v>
      </c>
      <c r="G236" s="165">
        <f>SUM(G7:G235)</f>
        <v>55873526.329999991</v>
      </c>
    </row>
    <row r="237" spans="1:8" x14ac:dyDescent="0.25">
      <c r="A237" s="411" t="s">
        <v>722</v>
      </c>
      <c r="B237" s="412"/>
      <c r="C237" s="412"/>
      <c r="D237" s="412"/>
      <c r="E237" s="413"/>
      <c r="F237" s="220">
        <f>ROUND(F236*0.03,2)</f>
        <v>853633.26</v>
      </c>
      <c r="G237" s="220">
        <f>ROUND(G236*0.03,2)</f>
        <v>1676205.79</v>
      </c>
    </row>
    <row r="238" spans="1:8" x14ac:dyDescent="0.25">
      <c r="A238" s="411" t="s">
        <v>723</v>
      </c>
      <c r="B238" s="412"/>
      <c r="C238" s="412"/>
      <c r="D238" s="412"/>
      <c r="E238" s="413"/>
      <c r="F238" s="220">
        <f>F236+F237</f>
        <v>29308075.390000015</v>
      </c>
      <c r="G238" s="220">
        <f>G236+G237</f>
        <v>57549732.11999999</v>
      </c>
    </row>
  </sheetData>
  <mergeCells count="13">
    <mergeCell ref="A238:E238"/>
    <mergeCell ref="B62:D62"/>
    <mergeCell ref="B83:D83"/>
    <mergeCell ref="B107:D107"/>
    <mergeCell ref="B137:D137"/>
    <mergeCell ref="A236:E236"/>
    <mergeCell ref="A237:E237"/>
    <mergeCell ref="A1:A3"/>
    <mergeCell ref="B1:B3"/>
    <mergeCell ref="C1:C3"/>
    <mergeCell ref="D1:D3"/>
    <mergeCell ref="E1:G2"/>
    <mergeCell ref="B5:D5"/>
  </mergeCells>
  <pageMargins left="0.7" right="0.7" top="0.75" bottom="0.75" header="0.3" footer="0.3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1"/>
  <sheetViews>
    <sheetView view="pageBreakPreview" topLeftCell="A250" zoomScale="85" zoomScaleNormal="100" zoomScaleSheetLayoutView="85" workbookViewId="0">
      <selection activeCell="G184" sqref="G184"/>
    </sheetView>
  </sheetViews>
  <sheetFormatPr defaultColWidth="8.85546875" defaultRowHeight="15" x14ac:dyDescent="0.25"/>
  <cols>
    <col min="1" max="1" width="6.140625" customWidth="1"/>
    <col min="2" max="2" width="61.42578125" style="2" customWidth="1"/>
    <col min="3" max="3" width="7" bestFit="1" customWidth="1"/>
    <col min="4" max="4" width="10.140625" customWidth="1"/>
    <col min="5" max="5" width="15.85546875" bestFit="1" customWidth="1"/>
    <col min="6" max="6" width="16.28515625" customWidth="1"/>
    <col min="7" max="7" width="16.7109375" style="52" customWidth="1"/>
    <col min="8" max="8" width="119.7109375" customWidth="1"/>
  </cols>
  <sheetData>
    <row r="1" spans="1:7" ht="14.45" customHeight="1" x14ac:dyDescent="0.25">
      <c r="A1" s="420" t="s">
        <v>226</v>
      </c>
      <c r="B1" s="464" t="s">
        <v>201</v>
      </c>
      <c r="C1" s="432" t="s">
        <v>230</v>
      </c>
      <c r="D1" s="432" t="s">
        <v>202</v>
      </c>
      <c r="E1" s="459" t="s">
        <v>703</v>
      </c>
      <c r="F1" s="460"/>
      <c r="G1" s="460"/>
    </row>
    <row r="2" spans="1:7" ht="14.45" customHeight="1" x14ac:dyDescent="0.25">
      <c r="A2" s="463"/>
      <c r="B2" s="465"/>
      <c r="C2" s="432"/>
      <c r="D2" s="432"/>
      <c r="E2" s="459"/>
      <c r="F2" s="460"/>
      <c r="G2" s="460"/>
    </row>
    <row r="3" spans="1:7" ht="42.75" x14ac:dyDescent="0.25">
      <c r="A3" s="421"/>
      <c r="B3" s="466"/>
      <c r="C3" s="432"/>
      <c r="D3" s="432"/>
      <c r="E3" s="352" t="s">
        <v>231</v>
      </c>
      <c r="F3" s="352" t="s">
        <v>410</v>
      </c>
      <c r="G3" s="353" t="s">
        <v>409</v>
      </c>
    </row>
    <row r="4" spans="1:7" x14ac:dyDescent="0.25">
      <c r="A4" s="154">
        <v>1</v>
      </c>
      <c r="B4" s="155">
        <v>2</v>
      </c>
      <c r="C4" s="155">
        <v>3</v>
      </c>
      <c r="D4" s="155">
        <v>4</v>
      </c>
      <c r="E4" s="155">
        <v>5</v>
      </c>
      <c r="F4" s="155">
        <v>6</v>
      </c>
      <c r="G4" s="155">
        <v>7</v>
      </c>
    </row>
    <row r="5" spans="1:7" ht="20.25" customHeight="1" x14ac:dyDescent="0.25">
      <c r="A5" s="181"/>
      <c r="B5" s="414" t="s">
        <v>232</v>
      </c>
      <c r="C5" s="436"/>
      <c r="D5" s="436"/>
      <c r="E5" s="182"/>
      <c r="F5" s="183"/>
      <c r="G5" s="503">
        <f>SUM(G7:G143)</f>
        <v>12833903.860000007</v>
      </c>
    </row>
    <row r="6" spans="1:7" x14ac:dyDescent="0.25">
      <c r="A6" s="351"/>
      <c r="B6" s="62" t="s">
        <v>233</v>
      </c>
      <c r="C6" s="63"/>
      <c r="D6" s="63"/>
      <c r="E6" s="64"/>
      <c r="F6" s="65"/>
      <c r="G6" s="55"/>
    </row>
    <row r="7" spans="1:7" ht="15.75" x14ac:dyDescent="0.25">
      <c r="A7" s="66">
        <v>1</v>
      </c>
      <c r="B7" s="67" t="s">
        <v>234</v>
      </c>
      <c r="C7" s="66" t="s">
        <v>193</v>
      </c>
      <c r="D7" s="68">
        <v>218.4</v>
      </c>
      <c r="E7" s="223">
        <v>1320</v>
      </c>
      <c r="F7" s="105">
        <f t="shared" ref="F7:F14" si="0">ROUND(E7*D7,2)</f>
        <v>288288</v>
      </c>
      <c r="G7" s="105">
        <f t="shared" ref="G7:G14" si="1">ROUND(F7*1.2,2)</f>
        <v>345945.59999999998</v>
      </c>
    </row>
    <row r="8" spans="1:7" ht="15.75" x14ac:dyDescent="0.25">
      <c r="A8" s="66">
        <f>A7+1</f>
        <v>2</v>
      </c>
      <c r="B8" s="67" t="s">
        <v>235</v>
      </c>
      <c r="C8" s="66" t="s">
        <v>193</v>
      </c>
      <c r="D8" s="68">
        <v>370.8</v>
      </c>
      <c r="E8" s="223">
        <v>1581</v>
      </c>
      <c r="F8" s="105">
        <f t="shared" si="0"/>
        <v>586234.80000000005</v>
      </c>
      <c r="G8" s="105">
        <f t="shared" si="1"/>
        <v>703481.76</v>
      </c>
    </row>
    <row r="9" spans="1:7" ht="15.75" x14ac:dyDescent="0.25">
      <c r="A9" s="66">
        <f>A8+1</f>
        <v>3</v>
      </c>
      <c r="B9" s="67" t="s">
        <v>236</v>
      </c>
      <c r="C9" s="66" t="s">
        <v>193</v>
      </c>
      <c r="D9" s="68">
        <v>337.22199999999998</v>
      </c>
      <c r="E9" s="223">
        <v>4006</v>
      </c>
      <c r="F9" s="105">
        <f t="shared" si="0"/>
        <v>1350911.33</v>
      </c>
      <c r="G9" s="105">
        <f t="shared" si="1"/>
        <v>1621093.6</v>
      </c>
    </row>
    <row r="10" spans="1:7" ht="15.75" x14ac:dyDescent="0.25">
      <c r="A10" s="66">
        <f t="shared" ref="A10:A14" si="2">A9+1</f>
        <v>4</v>
      </c>
      <c r="B10" s="67" t="s">
        <v>237</v>
      </c>
      <c r="C10" s="66" t="s">
        <v>193</v>
      </c>
      <c r="D10" s="68">
        <v>141.57</v>
      </c>
      <c r="E10" s="223">
        <v>4217</v>
      </c>
      <c r="F10" s="105">
        <f t="shared" si="0"/>
        <v>597000.68999999994</v>
      </c>
      <c r="G10" s="105">
        <f t="shared" si="1"/>
        <v>716400.83</v>
      </c>
    </row>
    <row r="11" spans="1:7" ht="15.75" x14ac:dyDescent="0.25">
      <c r="A11" s="66">
        <f t="shared" si="2"/>
        <v>5</v>
      </c>
      <c r="B11" s="67" t="s">
        <v>238</v>
      </c>
      <c r="C11" s="66" t="s">
        <v>239</v>
      </c>
      <c r="D11" s="68">
        <v>123.17</v>
      </c>
      <c r="E11" s="223">
        <v>6220</v>
      </c>
      <c r="F11" s="105">
        <f t="shared" si="0"/>
        <v>766117.4</v>
      </c>
      <c r="G11" s="105">
        <f t="shared" si="1"/>
        <v>919340.88</v>
      </c>
    </row>
    <row r="12" spans="1:7" ht="15.75" x14ac:dyDescent="0.25">
      <c r="A12" s="66">
        <f t="shared" si="2"/>
        <v>6</v>
      </c>
      <c r="B12" s="67" t="s">
        <v>240</v>
      </c>
      <c r="C12" s="66" t="s">
        <v>220</v>
      </c>
      <c r="D12" s="71">
        <v>100</v>
      </c>
      <c r="E12" s="223">
        <v>401</v>
      </c>
      <c r="F12" s="105">
        <f t="shared" si="0"/>
        <v>40100</v>
      </c>
      <c r="G12" s="105">
        <f t="shared" si="1"/>
        <v>48120</v>
      </c>
    </row>
    <row r="13" spans="1:7" ht="15.75" x14ac:dyDescent="0.25">
      <c r="A13" s="66">
        <f t="shared" si="2"/>
        <v>7</v>
      </c>
      <c r="B13" s="67" t="s">
        <v>241</v>
      </c>
      <c r="C13" s="66" t="s">
        <v>193</v>
      </c>
      <c r="D13" s="72">
        <v>5.9</v>
      </c>
      <c r="E13" s="223">
        <v>5060</v>
      </c>
      <c r="F13" s="105">
        <f t="shared" si="0"/>
        <v>29854</v>
      </c>
      <c r="G13" s="105">
        <f t="shared" si="1"/>
        <v>35824.800000000003</v>
      </c>
    </row>
    <row r="14" spans="1:7" ht="30" x14ac:dyDescent="0.25">
      <c r="A14" s="66">
        <f t="shared" si="2"/>
        <v>8</v>
      </c>
      <c r="B14" s="67" t="s">
        <v>242</v>
      </c>
      <c r="C14" s="66" t="s">
        <v>243</v>
      </c>
      <c r="D14" s="71">
        <v>1</v>
      </c>
      <c r="E14" s="223">
        <v>33000</v>
      </c>
      <c r="F14" s="105">
        <f t="shared" si="0"/>
        <v>33000</v>
      </c>
      <c r="G14" s="105">
        <f t="shared" si="1"/>
        <v>39600</v>
      </c>
    </row>
    <row r="15" spans="1:7" ht="20.25" x14ac:dyDescent="0.25">
      <c r="A15" s="351"/>
      <c r="B15" s="62" t="s">
        <v>244</v>
      </c>
      <c r="C15" s="63"/>
      <c r="D15" s="63"/>
      <c r="E15" s="190"/>
      <c r="F15" s="105"/>
      <c r="G15" s="105"/>
    </row>
    <row r="16" spans="1:7" ht="15.75" x14ac:dyDescent="0.25">
      <c r="A16" s="66">
        <f>A14+1</f>
        <v>9</v>
      </c>
      <c r="B16" s="67" t="s">
        <v>245</v>
      </c>
      <c r="C16" s="66" t="s">
        <v>220</v>
      </c>
      <c r="D16" s="71">
        <v>284</v>
      </c>
      <c r="E16" s="179">
        <v>2635</v>
      </c>
      <c r="F16" s="105">
        <f t="shared" ref="F16:F21" si="3">ROUND(E16*D16,2)</f>
        <v>748340</v>
      </c>
      <c r="G16" s="105">
        <f t="shared" ref="G16:G21" si="4">ROUND(F16*1.2,2)</f>
        <v>898008</v>
      </c>
    </row>
    <row r="17" spans="1:7" ht="15.75" x14ac:dyDescent="0.25">
      <c r="A17" s="66">
        <f>A16+1</f>
        <v>10</v>
      </c>
      <c r="B17" s="67" t="s">
        <v>246</v>
      </c>
      <c r="C17" s="66" t="s">
        <v>220</v>
      </c>
      <c r="D17" s="71">
        <v>16</v>
      </c>
      <c r="E17" s="179">
        <v>81171</v>
      </c>
      <c r="F17" s="105">
        <f t="shared" si="3"/>
        <v>1298736</v>
      </c>
      <c r="G17" s="105">
        <f t="shared" si="4"/>
        <v>1558483.2</v>
      </c>
    </row>
    <row r="18" spans="1:7" ht="15.75" x14ac:dyDescent="0.25">
      <c r="A18" s="66">
        <f t="shared" ref="A18:A21" si="5">A17+1</f>
        <v>11</v>
      </c>
      <c r="B18" s="67" t="s">
        <v>247</v>
      </c>
      <c r="C18" s="66" t="s">
        <v>239</v>
      </c>
      <c r="D18" s="68">
        <v>4.04</v>
      </c>
      <c r="E18" s="179">
        <v>253000.00000000003</v>
      </c>
      <c r="F18" s="105">
        <f t="shared" si="3"/>
        <v>1022120</v>
      </c>
      <c r="G18" s="105">
        <f t="shared" si="4"/>
        <v>1226544</v>
      </c>
    </row>
    <row r="19" spans="1:7" ht="15.75" x14ac:dyDescent="0.25">
      <c r="A19" s="66">
        <f t="shared" si="5"/>
        <v>12</v>
      </c>
      <c r="B19" s="67" t="s">
        <v>248</v>
      </c>
      <c r="C19" s="66" t="s">
        <v>220</v>
      </c>
      <c r="D19" s="71">
        <v>574</v>
      </c>
      <c r="E19" s="179">
        <v>79</v>
      </c>
      <c r="F19" s="105">
        <f t="shared" si="3"/>
        <v>45346</v>
      </c>
      <c r="G19" s="105">
        <f t="shared" si="4"/>
        <v>54415.199999999997</v>
      </c>
    </row>
    <row r="20" spans="1:7" ht="15.75" x14ac:dyDescent="0.25">
      <c r="A20" s="66">
        <f t="shared" si="5"/>
        <v>13</v>
      </c>
      <c r="B20" s="67" t="s">
        <v>249</v>
      </c>
      <c r="C20" s="66" t="s">
        <v>220</v>
      </c>
      <c r="D20" s="71">
        <v>574</v>
      </c>
      <c r="E20" s="179">
        <v>71</v>
      </c>
      <c r="F20" s="105">
        <f t="shared" si="3"/>
        <v>40754</v>
      </c>
      <c r="G20" s="105">
        <f t="shared" si="4"/>
        <v>48904.800000000003</v>
      </c>
    </row>
    <row r="21" spans="1:7" ht="30" x14ac:dyDescent="0.25">
      <c r="A21" s="66">
        <f t="shared" si="5"/>
        <v>14</v>
      </c>
      <c r="B21" s="67" t="s">
        <v>250</v>
      </c>
      <c r="C21" s="66" t="s">
        <v>243</v>
      </c>
      <c r="D21" s="71">
        <v>1</v>
      </c>
      <c r="E21" s="223">
        <v>330000</v>
      </c>
      <c r="F21" s="105">
        <f t="shared" si="3"/>
        <v>330000</v>
      </c>
      <c r="G21" s="105">
        <f t="shared" si="4"/>
        <v>396000</v>
      </c>
    </row>
    <row r="22" spans="1:7" ht="20.25" x14ac:dyDescent="0.25">
      <c r="A22" s="351"/>
      <c r="B22" s="62" t="s">
        <v>251</v>
      </c>
      <c r="C22" s="63"/>
      <c r="D22" s="63"/>
      <c r="E22" s="190"/>
      <c r="F22" s="105"/>
      <c r="G22" s="105"/>
    </row>
    <row r="23" spans="1:7" ht="15.75" x14ac:dyDescent="0.25">
      <c r="A23" s="66"/>
      <c r="B23" s="73" t="s">
        <v>252</v>
      </c>
      <c r="C23" s="74"/>
      <c r="D23" s="75"/>
      <c r="E23" s="223"/>
      <c r="F23" s="105"/>
      <c r="G23" s="105"/>
    </row>
    <row r="24" spans="1:7" ht="15.75" x14ac:dyDescent="0.25">
      <c r="A24" s="66">
        <f>A21+1</f>
        <v>15</v>
      </c>
      <c r="B24" s="67" t="s">
        <v>253</v>
      </c>
      <c r="C24" s="66" t="s">
        <v>254</v>
      </c>
      <c r="D24" s="68">
        <f>10*1.73*4*2</f>
        <v>138.4</v>
      </c>
      <c r="E24" s="179">
        <v>63</v>
      </c>
      <c r="F24" s="105">
        <f t="shared" ref="F24:F33" si="6">ROUND(E24*D24,2)</f>
        <v>8719.2000000000007</v>
      </c>
      <c r="G24" s="105">
        <f t="shared" ref="G24:G33" si="7">ROUND(F24*1.2,2)</f>
        <v>10463.040000000001</v>
      </c>
    </row>
    <row r="25" spans="1:7" ht="15.75" x14ac:dyDescent="0.25">
      <c r="A25" s="66">
        <f>A24+1</f>
        <v>16</v>
      </c>
      <c r="B25" s="67" t="s">
        <v>255</v>
      </c>
      <c r="C25" s="66" t="s">
        <v>254</v>
      </c>
      <c r="D25" s="76">
        <f>8*2.524*4</f>
        <v>80.768000000000001</v>
      </c>
      <c r="E25" s="179">
        <v>68</v>
      </c>
      <c r="F25" s="105">
        <f t="shared" si="6"/>
        <v>5492.22</v>
      </c>
      <c r="G25" s="105">
        <f t="shared" si="7"/>
        <v>6590.66</v>
      </c>
    </row>
    <row r="26" spans="1:7" ht="15.75" x14ac:dyDescent="0.25">
      <c r="A26" s="66">
        <f t="shared" ref="A26:A32" si="8">A25+1</f>
        <v>17</v>
      </c>
      <c r="B26" s="67" t="s">
        <v>256</v>
      </c>
      <c r="C26" s="66" t="s">
        <v>254</v>
      </c>
      <c r="D26" s="76">
        <f>4*1.191*4</f>
        <v>19.056000000000001</v>
      </c>
      <c r="E26" s="179">
        <v>70</v>
      </c>
      <c r="F26" s="105">
        <f t="shared" si="6"/>
        <v>1333.92</v>
      </c>
      <c r="G26" s="105">
        <f t="shared" si="7"/>
        <v>1600.7</v>
      </c>
    </row>
    <row r="27" spans="1:7" ht="15.75" x14ac:dyDescent="0.25">
      <c r="A27" s="66">
        <f t="shared" si="8"/>
        <v>18</v>
      </c>
      <c r="B27" s="67" t="s">
        <v>256</v>
      </c>
      <c r="C27" s="66" t="s">
        <v>254</v>
      </c>
      <c r="D27" s="68">
        <f>4*0.86*4</f>
        <v>13.76</v>
      </c>
      <c r="E27" s="179">
        <v>70</v>
      </c>
      <c r="F27" s="105">
        <f t="shared" si="6"/>
        <v>963.2</v>
      </c>
      <c r="G27" s="105">
        <f t="shared" si="7"/>
        <v>1155.8399999999999</v>
      </c>
    </row>
    <row r="28" spans="1:7" ht="15.75" x14ac:dyDescent="0.25">
      <c r="A28" s="66">
        <f t="shared" si="8"/>
        <v>19</v>
      </c>
      <c r="B28" s="67" t="s">
        <v>257</v>
      </c>
      <c r="C28" s="66" t="s">
        <v>254</v>
      </c>
      <c r="D28" s="68">
        <f>4*6.77*4</f>
        <v>108.32</v>
      </c>
      <c r="E28" s="179">
        <v>184</v>
      </c>
      <c r="F28" s="105">
        <f t="shared" si="6"/>
        <v>19930.88</v>
      </c>
      <c r="G28" s="105">
        <f t="shared" si="7"/>
        <v>23917.06</v>
      </c>
    </row>
    <row r="29" spans="1:7" ht="15.75" x14ac:dyDescent="0.25">
      <c r="A29" s="66">
        <f t="shared" si="8"/>
        <v>20</v>
      </c>
      <c r="B29" s="67" t="s">
        <v>258</v>
      </c>
      <c r="C29" s="66" t="s">
        <v>254</v>
      </c>
      <c r="D29" s="68">
        <f>(2+2)*1.51*4</f>
        <v>24.16</v>
      </c>
      <c r="E29" s="179">
        <v>75</v>
      </c>
      <c r="F29" s="105">
        <f t="shared" si="6"/>
        <v>1812</v>
      </c>
      <c r="G29" s="105">
        <f t="shared" si="7"/>
        <v>2174.4</v>
      </c>
    </row>
    <row r="30" spans="1:7" ht="15.75" x14ac:dyDescent="0.25">
      <c r="A30" s="66">
        <f t="shared" si="8"/>
        <v>21</v>
      </c>
      <c r="B30" s="67" t="s">
        <v>259</v>
      </c>
      <c r="C30" s="66" t="s">
        <v>193</v>
      </c>
      <c r="D30" s="76">
        <f>1.8*4*1.015</f>
        <v>7.3079999999999998</v>
      </c>
      <c r="E30" s="179">
        <v>6114</v>
      </c>
      <c r="F30" s="105">
        <f t="shared" si="6"/>
        <v>44681.11</v>
      </c>
      <c r="G30" s="105">
        <f t="shared" si="7"/>
        <v>53617.33</v>
      </c>
    </row>
    <row r="31" spans="1:7" ht="15.75" x14ac:dyDescent="0.25">
      <c r="A31" s="66">
        <f t="shared" si="8"/>
        <v>22</v>
      </c>
      <c r="B31" s="67" t="s">
        <v>260</v>
      </c>
      <c r="C31" s="66" t="s">
        <v>193</v>
      </c>
      <c r="D31" s="77">
        <f>0.48*4*1.02</f>
        <v>1.9583999999999999</v>
      </c>
      <c r="E31" s="179">
        <v>5060</v>
      </c>
      <c r="F31" s="105">
        <f t="shared" si="6"/>
        <v>9909.5</v>
      </c>
      <c r="G31" s="105">
        <f t="shared" si="7"/>
        <v>11891.4</v>
      </c>
    </row>
    <row r="32" spans="1:7" ht="15.75" x14ac:dyDescent="0.25">
      <c r="A32" s="66">
        <f t="shared" si="8"/>
        <v>23</v>
      </c>
      <c r="B32" s="67" t="s">
        <v>261</v>
      </c>
      <c r="C32" s="66" t="s">
        <v>254</v>
      </c>
      <c r="D32" s="76">
        <v>86.016000000000005</v>
      </c>
      <c r="E32" s="179">
        <v>157</v>
      </c>
      <c r="F32" s="105">
        <f t="shared" si="6"/>
        <v>13504.51</v>
      </c>
      <c r="G32" s="105">
        <f t="shared" si="7"/>
        <v>16205.41</v>
      </c>
    </row>
    <row r="33" spans="1:7" ht="30" x14ac:dyDescent="0.25">
      <c r="A33" s="66">
        <f>A32+1</f>
        <v>24</v>
      </c>
      <c r="B33" s="67" t="s">
        <v>262</v>
      </c>
      <c r="C33" s="66" t="s">
        <v>243</v>
      </c>
      <c r="D33" s="71">
        <v>1</v>
      </c>
      <c r="E33" s="223">
        <v>33000</v>
      </c>
      <c r="F33" s="105">
        <f t="shared" si="6"/>
        <v>33000</v>
      </c>
      <c r="G33" s="105">
        <f t="shared" si="7"/>
        <v>39600</v>
      </c>
    </row>
    <row r="34" spans="1:7" ht="15.75" x14ac:dyDescent="0.25">
      <c r="A34" s="66"/>
      <c r="B34" s="73" t="s">
        <v>263</v>
      </c>
      <c r="C34" s="66"/>
      <c r="D34" s="71"/>
      <c r="E34" s="223"/>
      <c r="F34" s="105"/>
      <c r="G34" s="105"/>
    </row>
    <row r="35" spans="1:7" ht="15.75" x14ac:dyDescent="0.25">
      <c r="A35" s="66">
        <f>A33+1</f>
        <v>25</v>
      </c>
      <c r="B35" s="67" t="s">
        <v>264</v>
      </c>
      <c r="C35" s="66" t="s">
        <v>254</v>
      </c>
      <c r="D35" s="76">
        <f>12*2.618*4</f>
        <v>125.66399999999999</v>
      </c>
      <c r="E35" s="179">
        <v>63</v>
      </c>
      <c r="F35" s="105">
        <f t="shared" ref="F35:F41" si="9">ROUND(E35*D35,2)</f>
        <v>7916.83</v>
      </c>
      <c r="G35" s="105">
        <f t="shared" ref="G35:G41" si="10">ROUND(F35*1.2,2)</f>
        <v>9500.2000000000007</v>
      </c>
    </row>
    <row r="36" spans="1:7" ht="15.75" x14ac:dyDescent="0.25">
      <c r="A36" s="66">
        <f>A35+1</f>
        <v>26</v>
      </c>
      <c r="B36" s="67" t="s">
        <v>265</v>
      </c>
      <c r="C36" s="66" t="s">
        <v>254</v>
      </c>
      <c r="D36" s="68">
        <f>30*1.02*4</f>
        <v>122.4</v>
      </c>
      <c r="E36" s="179">
        <v>68</v>
      </c>
      <c r="F36" s="105">
        <f t="shared" si="9"/>
        <v>8323.2000000000007</v>
      </c>
      <c r="G36" s="105">
        <f t="shared" si="10"/>
        <v>9987.84</v>
      </c>
    </row>
    <row r="37" spans="1:7" ht="15.75" x14ac:dyDescent="0.25">
      <c r="A37" s="66">
        <f t="shared" ref="A37:A42" si="11">A36+1</f>
        <v>27</v>
      </c>
      <c r="B37" s="67" t="s">
        <v>266</v>
      </c>
      <c r="C37" s="66" t="s">
        <v>254</v>
      </c>
      <c r="D37" s="76">
        <f>(42+4)*0.371*4</f>
        <v>68.263999999999996</v>
      </c>
      <c r="E37" s="179">
        <v>70</v>
      </c>
      <c r="F37" s="105">
        <f t="shared" si="9"/>
        <v>4778.4799999999996</v>
      </c>
      <c r="G37" s="105">
        <f t="shared" si="10"/>
        <v>5734.18</v>
      </c>
    </row>
    <row r="38" spans="1:7" ht="15.75" x14ac:dyDescent="0.25">
      <c r="A38" s="66">
        <f t="shared" si="11"/>
        <v>28</v>
      </c>
      <c r="B38" s="67" t="s">
        <v>259</v>
      </c>
      <c r="C38" s="66" t="s">
        <v>193</v>
      </c>
      <c r="D38" s="76">
        <f>0.9*4*1.015</f>
        <v>3.6539999999999999</v>
      </c>
      <c r="E38" s="179">
        <v>6114</v>
      </c>
      <c r="F38" s="105">
        <f t="shared" si="9"/>
        <v>22340.560000000001</v>
      </c>
      <c r="G38" s="105">
        <f t="shared" si="10"/>
        <v>26808.67</v>
      </c>
    </row>
    <row r="39" spans="1:7" ht="15.75" x14ac:dyDescent="0.25">
      <c r="A39" s="66">
        <f t="shared" si="11"/>
        <v>29</v>
      </c>
      <c r="B39" s="67" t="s">
        <v>260</v>
      </c>
      <c r="C39" s="66" t="s">
        <v>193</v>
      </c>
      <c r="D39" s="76">
        <f>0.45*4*1.02</f>
        <v>1.8360000000000001</v>
      </c>
      <c r="E39" s="179">
        <v>5060</v>
      </c>
      <c r="F39" s="105">
        <f t="shared" si="9"/>
        <v>9290.16</v>
      </c>
      <c r="G39" s="105">
        <f t="shared" si="10"/>
        <v>11148.19</v>
      </c>
    </row>
    <row r="40" spans="1:7" ht="15.75" x14ac:dyDescent="0.25">
      <c r="A40" s="66">
        <f t="shared" si="11"/>
        <v>30</v>
      </c>
      <c r="B40" s="67" t="s">
        <v>261</v>
      </c>
      <c r="C40" s="66" t="s">
        <v>254</v>
      </c>
      <c r="D40" s="68">
        <v>63.36</v>
      </c>
      <c r="E40" s="179">
        <v>157</v>
      </c>
      <c r="F40" s="105">
        <f t="shared" si="9"/>
        <v>9947.52</v>
      </c>
      <c r="G40" s="105">
        <f t="shared" si="10"/>
        <v>11937.02</v>
      </c>
    </row>
    <row r="41" spans="1:7" ht="30" x14ac:dyDescent="0.25">
      <c r="A41" s="66">
        <f t="shared" si="11"/>
        <v>31</v>
      </c>
      <c r="B41" s="67" t="s">
        <v>267</v>
      </c>
      <c r="C41" s="66" t="s">
        <v>243</v>
      </c>
      <c r="D41" s="71">
        <v>1</v>
      </c>
      <c r="E41" s="223">
        <v>5500</v>
      </c>
      <c r="F41" s="105">
        <f t="shared" si="9"/>
        <v>5500</v>
      </c>
      <c r="G41" s="105">
        <f t="shared" si="10"/>
        <v>6600</v>
      </c>
    </row>
    <row r="42" spans="1:7" ht="15.75" x14ac:dyDescent="0.25">
      <c r="A42" s="66">
        <f t="shared" si="11"/>
        <v>32</v>
      </c>
      <c r="B42" s="78" t="s">
        <v>268</v>
      </c>
      <c r="C42" s="66"/>
      <c r="D42" s="71"/>
      <c r="E42" s="223"/>
      <c r="F42" s="105"/>
      <c r="G42" s="105"/>
    </row>
    <row r="43" spans="1:7" ht="15.75" x14ac:dyDescent="0.25">
      <c r="A43" s="79" t="s">
        <v>269</v>
      </c>
      <c r="B43" s="67" t="s">
        <v>270</v>
      </c>
      <c r="C43" s="66" t="s">
        <v>254</v>
      </c>
      <c r="D43" s="68">
        <f>1*10.73*2*4</f>
        <v>85.84</v>
      </c>
      <c r="E43" s="179">
        <v>114</v>
      </c>
      <c r="F43" s="105">
        <f t="shared" ref="F43:F49" si="12">ROUND(E43*D43,2)</f>
        <v>9785.76</v>
      </c>
      <c r="G43" s="105">
        <f t="shared" ref="G43:G49" si="13">ROUND(F43*1.2,2)</f>
        <v>11742.91</v>
      </c>
    </row>
    <row r="44" spans="1:7" ht="15.75" x14ac:dyDescent="0.25">
      <c r="A44" s="79" t="s">
        <v>271</v>
      </c>
      <c r="B44" s="67" t="s">
        <v>272</v>
      </c>
      <c r="C44" s="66" t="s">
        <v>254</v>
      </c>
      <c r="D44" s="68">
        <f>1*11.3*2*4</f>
        <v>90.4</v>
      </c>
      <c r="E44" s="179">
        <v>89</v>
      </c>
      <c r="F44" s="105">
        <f t="shared" si="12"/>
        <v>8045.6</v>
      </c>
      <c r="G44" s="105">
        <f t="shared" si="13"/>
        <v>9654.7199999999993</v>
      </c>
    </row>
    <row r="45" spans="1:7" ht="15.75" x14ac:dyDescent="0.25">
      <c r="A45" s="79" t="s">
        <v>273</v>
      </c>
      <c r="B45" s="67" t="s">
        <v>274</v>
      </c>
      <c r="C45" s="66" t="s">
        <v>254</v>
      </c>
      <c r="D45" s="68">
        <f>2*5.54*2*4</f>
        <v>88.64</v>
      </c>
      <c r="E45" s="179">
        <v>89</v>
      </c>
      <c r="F45" s="105">
        <f t="shared" si="12"/>
        <v>7888.96</v>
      </c>
      <c r="G45" s="105">
        <f t="shared" si="13"/>
        <v>9466.75</v>
      </c>
    </row>
    <row r="46" spans="1:7" ht="15.75" x14ac:dyDescent="0.25">
      <c r="A46" s="79" t="s">
        <v>275</v>
      </c>
      <c r="B46" s="67" t="s">
        <v>276</v>
      </c>
      <c r="C46" s="66" t="s">
        <v>254</v>
      </c>
      <c r="D46" s="68">
        <f>1*3.46*2*4</f>
        <v>27.68</v>
      </c>
      <c r="E46" s="179">
        <v>89</v>
      </c>
      <c r="F46" s="105">
        <f t="shared" si="12"/>
        <v>2463.52</v>
      </c>
      <c r="G46" s="105">
        <f t="shared" si="13"/>
        <v>2956.22</v>
      </c>
    </row>
    <row r="47" spans="1:7" ht="15.75" x14ac:dyDescent="0.25">
      <c r="A47" s="79" t="s">
        <v>277</v>
      </c>
      <c r="B47" s="67" t="s">
        <v>278</v>
      </c>
      <c r="C47" s="66" t="s">
        <v>254</v>
      </c>
      <c r="D47" s="68">
        <f>9*0.31*2*4</f>
        <v>22.32</v>
      </c>
      <c r="E47" s="179">
        <v>89</v>
      </c>
      <c r="F47" s="105">
        <f t="shared" si="12"/>
        <v>1986.48</v>
      </c>
      <c r="G47" s="105">
        <f t="shared" si="13"/>
        <v>2383.7800000000002</v>
      </c>
    </row>
    <row r="48" spans="1:7" ht="15.75" x14ac:dyDescent="0.25">
      <c r="A48" s="79" t="s">
        <v>279</v>
      </c>
      <c r="B48" s="67" t="s">
        <v>280</v>
      </c>
      <c r="C48" s="66" t="s">
        <v>254</v>
      </c>
      <c r="D48" s="68">
        <f>9*0.19*2*4</f>
        <v>13.68</v>
      </c>
      <c r="E48" s="179">
        <v>69</v>
      </c>
      <c r="F48" s="105">
        <f t="shared" si="12"/>
        <v>943.92</v>
      </c>
      <c r="G48" s="105">
        <f t="shared" si="13"/>
        <v>1132.7</v>
      </c>
    </row>
    <row r="49" spans="1:7" ht="15.75" x14ac:dyDescent="0.25">
      <c r="A49" s="79" t="s">
        <v>281</v>
      </c>
      <c r="B49" s="67" t="s">
        <v>282</v>
      </c>
      <c r="C49" s="66" t="s">
        <v>254</v>
      </c>
      <c r="D49" s="68">
        <f>16*0.3</f>
        <v>4.8</v>
      </c>
      <c r="E49" s="179">
        <v>317</v>
      </c>
      <c r="F49" s="105">
        <f t="shared" si="12"/>
        <v>1521.6</v>
      </c>
      <c r="G49" s="105">
        <f t="shared" si="13"/>
        <v>1825.92</v>
      </c>
    </row>
    <row r="50" spans="1:7" ht="15.75" x14ac:dyDescent="0.25">
      <c r="A50" s="66"/>
      <c r="B50" s="62" t="s">
        <v>283</v>
      </c>
      <c r="C50" s="66"/>
      <c r="D50" s="71"/>
      <c r="E50" s="223"/>
      <c r="F50" s="105"/>
      <c r="G50" s="105"/>
    </row>
    <row r="51" spans="1:7" ht="15.75" x14ac:dyDescent="0.25">
      <c r="A51" s="66"/>
      <c r="B51" s="73" t="s">
        <v>284</v>
      </c>
      <c r="C51" s="66"/>
      <c r="D51" s="71"/>
      <c r="E51" s="223"/>
      <c r="F51" s="105"/>
      <c r="G51" s="105"/>
    </row>
    <row r="52" spans="1:7" ht="15.75" x14ac:dyDescent="0.25">
      <c r="A52" s="66">
        <f>A42+1</f>
        <v>33</v>
      </c>
      <c r="B52" s="67" t="s">
        <v>285</v>
      </c>
      <c r="C52" s="66" t="s">
        <v>254</v>
      </c>
      <c r="D52" s="68">
        <f>0.9*5.8*4</f>
        <v>20.88</v>
      </c>
      <c r="E52" s="179">
        <v>75</v>
      </c>
      <c r="F52" s="105">
        <f t="shared" ref="F52:F61" si="14">ROUND(E52*D52,2)</f>
        <v>1566</v>
      </c>
      <c r="G52" s="105">
        <f t="shared" ref="G52:G61" si="15">ROUND(F52*1.2,2)</f>
        <v>1879.2</v>
      </c>
    </row>
    <row r="53" spans="1:7" ht="15.75" x14ac:dyDescent="0.25">
      <c r="A53" s="66">
        <f>A52+1</f>
        <v>34</v>
      </c>
      <c r="B53" s="67" t="s">
        <v>286</v>
      </c>
      <c r="C53" s="66" t="s">
        <v>254</v>
      </c>
      <c r="D53" s="68">
        <f>7.5*59.07*4</f>
        <v>1772.1</v>
      </c>
      <c r="E53" s="179">
        <v>112</v>
      </c>
      <c r="F53" s="105">
        <f t="shared" si="14"/>
        <v>198475.2</v>
      </c>
      <c r="G53" s="105">
        <f t="shared" si="15"/>
        <v>238170.23999999999</v>
      </c>
    </row>
    <row r="54" spans="1:7" ht="15.75" x14ac:dyDescent="0.25">
      <c r="A54" s="66">
        <f t="shared" ref="A54:A61" si="16">A53+1</f>
        <v>35</v>
      </c>
      <c r="B54" s="67" t="s">
        <v>287</v>
      </c>
      <c r="C54" s="66" t="s">
        <v>254</v>
      </c>
      <c r="D54" s="68">
        <f>0.27*235.5*4</f>
        <v>254.34</v>
      </c>
      <c r="E54" s="179">
        <v>94</v>
      </c>
      <c r="F54" s="105">
        <f t="shared" si="14"/>
        <v>23907.96</v>
      </c>
      <c r="G54" s="105">
        <f t="shared" si="15"/>
        <v>28689.55</v>
      </c>
    </row>
    <row r="55" spans="1:7" ht="15.75" x14ac:dyDescent="0.25">
      <c r="A55" s="66">
        <f t="shared" si="16"/>
        <v>36</v>
      </c>
      <c r="B55" s="67" t="s">
        <v>288</v>
      </c>
      <c r="C55" s="66" t="s">
        <v>254</v>
      </c>
      <c r="D55" s="68">
        <f>0.53*94.2*4</f>
        <v>199.70400000000001</v>
      </c>
      <c r="E55" s="179">
        <v>89</v>
      </c>
      <c r="F55" s="105">
        <f t="shared" si="14"/>
        <v>17773.66</v>
      </c>
      <c r="G55" s="105">
        <f t="shared" si="15"/>
        <v>21328.39</v>
      </c>
    </row>
    <row r="56" spans="1:7" ht="15.75" x14ac:dyDescent="0.25">
      <c r="A56" s="66">
        <f t="shared" si="16"/>
        <v>37</v>
      </c>
      <c r="B56" s="67" t="s">
        <v>289</v>
      </c>
      <c r="C56" s="66" t="s">
        <v>254</v>
      </c>
      <c r="D56" s="68">
        <f>0.07*39.25*4</f>
        <v>10.99</v>
      </c>
      <c r="E56" s="179">
        <v>89</v>
      </c>
      <c r="F56" s="105">
        <f t="shared" si="14"/>
        <v>978.11</v>
      </c>
      <c r="G56" s="105">
        <f t="shared" si="15"/>
        <v>1173.73</v>
      </c>
    </row>
    <row r="57" spans="1:7" ht="15.75" x14ac:dyDescent="0.25">
      <c r="A57" s="66">
        <f t="shared" si="16"/>
        <v>38</v>
      </c>
      <c r="B57" s="67" t="s">
        <v>290</v>
      </c>
      <c r="C57" s="66" t="s">
        <v>193</v>
      </c>
      <c r="D57" s="77">
        <f>0.21*4*1.015</f>
        <v>0.85259999999999991</v>
      </c>
      <c r="E57" s="179">
        <v>5271</v>
      </c>
      <c r="F57" s="105">
        <f t="shared" si="14"/>
        <v>4494.05</v>
      </c>
      <c r="G57" s="105">
        <f t="shared" si="15"/>
        <v>5392.86</v>
      </c>
    </row>
    <row r="58" spans="1:7" ht="15.75" x14ac:dyDescent="0.25">
      <c r="A58" s="66">
        <f t="shared" si="16"/>
        <v>39</v>
      </c>
      <c r="B58" s="67" t="s">
        <v>291</v>
      </c>
      <c r="C58" s="66" t="s">
        <v>193</v>
      </c>
      <c r="D58" s="76">
        <v>8.7999999999999995E-2</v>
      </c>
      <c r="E58" s="179">
        <v>8855</v>
      </c>
      <c r="F58" s="105">
        <f t="shared" si="14"/>
        <v>779.24</v>
      </c>
      <c r="G58" s="105">
        <f t="shared" si="15"/>
        <v>935.09</v>
      </c>
    </row>
    <row r="59" spans="1:7" ht="15.75" x14ac:dyDescent="0.25">
      <c r="A59" s="66">
        <f t="shared" si="16"/>
        <v>40</v>
      </c>
      <c r="B59" s="67" t="s">
        <v>292</v>
      </c>
      <c r="C59" s="66" t="s">
        <v>254</v>
      </c>
      <c r="D59" s="68">
        <v>9.9600000000000009</v>
      </c>
      <c r="E59" s="179">
        <v>157</v>
      </c>
      <c r="F59" s="105">
        <f t="shared" si="14"/>
        <v>1563.72</v>
      </c>
      <c r="G59" s="105">
        <f t="shared" si="15"/>
        <v>1876.46</v>
      </c>
    </row>
    <row r="60" spans="1:7" ht="15.75" x14ac:dyDescent="0.25">
      <c r="A60" s="66">
        <f t="shared" si="16"/>
        <v>41</v>
      </c>
      <c r="B60" s="67" t="s">
        <v>293</v>
      </c>
      <c r="C60" s="66" t="s">
        <v>254</v>
      </c>
      <c r="D60" s="68">
        <v>9.9600000000000009</v>
      </c>
      <c r="E60" s="179">
        <v>174</v>
      </c>
      <c r="F60" s="105">
        <f t="shared" si="14"/>
        <v>1733.04</v>
      </c>
      <c r="G60" s="105">
        <f t="shared" si="15"/>
        <v>2079.65</v>
      </c>
    </row>
    <row r="61" spans="1:7" ht="30" x14ac:dyDescent="0.25">
      <c r="A61" s="66">
        <f t="shared" si="16"/>
        <v>42</v>
      </c>
      <c r="B61" s="67" t="s">
        <v>262</v>
      </c>
      <c r="C61" s="66"/>
      <c r="D61" s="71">
        <v>1</v>
      </c>
      <c r="E61" s="223">
        <v>6600.0000000000009</v>
      </c>
      <c r="F61" s="105">
        <f t="shared" si="14"/>
        <v>6600</v>
      </c>
      <c r="G61" s="105">
        <f t="shared" si="15"/>
        <v>7920</v>
      </c>
    </row>
    <row r="62" spans="1:7" ht="15.75" x14ac:dyDescent="0.25">
      <c r="A62" s="66"/>
      <c r="B62" s="73" t="s">
        <v>294</v>
      </c>
      <c r="C62" s="66"/>
      <c r="D62" s="71"/>
      <c r="E62" s="223"/>
      <c r="F62" s="105"/>
      <c r="G62" s="105"/>
    </row>
    <row r="63" spans="1:7" ht="15.75" x14ac:dyDescent="0.25">
      <c r="A63" s="66">
        <f>A61+1</f>
        <v>43</v>
      </c>
      <c r="B63" s="67" t="s">
        <v>295</v>
      </c>
      <c r="C63" s="66" t="s">
        <v>254</v>
      </c>
      <c r="D63" s="68">
        <f>75.6*5.8*2</f>
        <v>876.95999999999992</v>
      </c>
      <c r="E63" s="179">
        <v>75</v>
      </c>
      <c r="F63" s="105">
        <f t="shared" ref="F63:F71" si="17">ROUND(E63*D63,2)</f>
        <v>65772</v>
      </c>
      <c r="G63" s="105">
        <f t="shared" ref="G63:G71" si="18">ROUND(F63*1.2,2)</f>
        <v>78926.399999999994</v>
      </c>
    </row>
    <row r="64" spans="1:7" ht="15.75" x14ac:dyDescent="0.25">
      <c r="A64" s="66">
        <f>A63+1</f>
        <v>44</v>
      </c>
      <c r="B64" s="67" t="s">
        <v>296</v>
      </c>
      <c r="C64" s="66" t="s">
        <v>254</v>
      </c>
      <c r="D64" s="68">
        <f>121.2*3.05*2</f>
        <v>739.31999999999994</v>
      </c>
      <c r="E64" s="179">
        <v>75</v>
      </c>
      <c r="F64" s="105">
        <f t="shared" si="17"/>
        <v>55449</v>
      </c>
      <c r="G64" s="105">
        <f t="shared" si="18"/>
        <v>66538.8</v>
      </c>
    </row>
    <row r="65" spans="1:7" ht="15.75" x14ac:dyDescent="0.25">
      <c r="A65" s="66">
        <f t="shared" ref="A65:A71" si="19">A64+1</f>
        <v>45</v>
      </c>
      <c r="B65" s="67" t="s">
        <v>297</v>
      </c>
      <c r="C65" s="66" t="s">
        <v>254</v>
      </c>
      <c r="D65" s="68">
        <f>0.15*125.6*2</f>
        <v>37.68</v>
      </c>
      <c r="E65" s="179">
        <v>89</v>
      </c>
      <c r="F65" s="105">
        <f t="shared" si="17"/>
        <v>3353.52</v>
      </c>
      <c r="G65" s="105">
        <f t="shared" si="18"/>
        <v>4024.22</v>
      </c>
    </row>
    <row r="66" spans="1:7" ht="15.75" x14ac:dyDescent="0.25">
      <c r="A66" s="66">
        <f t="shared" si="19"/>
        <v>46</v>
      </c>
      <c r="B66" s="67" t="s">
        <v>298</v>
      </c>
      <c r="C66" s="66" t="s">
        <v>254</v>
      </c>
      <c r="D66" s="68">
        <f>0.24*78.5*2</f>
        <v>37.68</v>
      </c>
      <c r="E66" s="179">
        <v>89</v>
      </c>
      <c r="F66" s="105">
        <f t="shared" si="17"/>
        <v>3353.52</v>
      </c>
      <c r="G66" s="105">
        <f t="shared" si="18"/>
        <v>4024.22</v>
      </c>
    </row>
    <row r="67" spans="1:7" ht="15.75" x14ac:dyDescent="0.25">
      <c r="A67" s="66">
        <f t="shared" si="19"/>
        <v>47</v>
      </c>
      <c r="B67" s="67" t="s">
        <v>299</v>
      </c>
      <c r="C67" s="66" t="s">
        <v>254</v>
      </c>
      <c r="D67" s="68">
        <f>1.62*39.25*2</f>
        <v>127.17</v>
      </c>
      <c r="E67" s="179">
        <v>89</v>
      </c>
      <c r="F67" s="105">
        <f t="shared" si="17"/>
        <v>11318.13</v>
      </c>
      <c r="G67" s="105">
        <f t="shared" si="18"/>
        <v>13581.76</v>
      </c>
    </row>
    <row r="68" spans="1:7" ht="15.75" x14ac:dyDescent="0.25">
      <c r="A68" s="66">
        <f t="shared" si="19"/>
        <v>48</v>
      </c>
      <c r="B68" s="67" t="s">
        <v>300</v>
      </c>
      <c r="C68" s="66" t="s">
        <v>254</v>
      </c>
      <c r="D68" s="68">
        <f>16*0.137</f>
        <v>2.1920000000000002</v>
      </c>
      <c r="E68" s="179">
        <v>127</v>
      </c>
      <c r="F68" s="105">
        <f t="shared" si="17"/>
        <v>278.38</v>
      </c>
      <c r="G68" s="105">
        <f t="shared" si="18"/>
        <v>334.06</v>
      </c>
    </row>
    <row r="69" spans="1:7" ht="15.75" x14ac:dyDescent="0.25">
      <c r="A69" s="66">
        <f t="shared" si="19"/>
        <v>49</v>
      </c>
      <c r="B69" s="67" t="s">
        <v>301</v>
      </c>
      <c r="C69" s="66" t="s">
        <v>254</v>
      </c>
      <c r="D69" s="68">
        <f>16*0.032</f>
        <v>0.51200000000000001</v>
      </c>
      <c r="E69" s="179">
        <v>147</v>
      </c>
      <c r="F69" s="105">
        <f t="shared" si="17"/>
        <v>75.260000000000005</v>
      </c>
      <c r="G69" s="105">
        <f t="shared" si="18"/>
        <v>90.31</v>
      </c>
    </row>
    <row r="70" spans="1:7" ht="15.75" x14ac:dyDescent="0.25">
      <c r="A70" s="66">
        <f t="shared" si="19"/>
        <v>50</v>
      </c>
      <c r="B70" s="67" t="s">
        <v>302</v>
      </c>
      <c r="C70" s="66" t="s">
        <v>254</v>
      </c>
      <c r="D70" s="68">
        <f>16*0.013</f>
        <v>0.20799999999999999</v>
      </c>
      <c r="E70" s="179">
        <v>197</v>
      </c>
      <c r="F70" s="105">
        <f t="shared" si="17"/>
        <v>40.98</v>
      </c>
      <c r="G70" s="105">
        <f t="shared" si="18"/>
        <v>49.18</v>
      </c>
    </row>
    <row r="71" spans="1:7" ht="15.75" x14ac:dyDescent="0.25">
      <c r="A71" s="66">
        <f t="shared" si="19"/>
        <v>51</v>
      </c>
      <c r="B71" s="67" t="s">
        <v>303</v>
      </c>
      <c r="C71" s="66" t="s">
        <v>254</v>
      </c>
      <c r="D71" s="68">
        <f>16*0.006</f>
        <v>9.6000000000000002E-2</v>
      </c>
      <c r="E71" s="179">
        <v>214</v>
      </c>
      <c r="F71" s="105">
        <f t="shared" si="17"/>
        <v>20.54</v>
      </c>
      <c r="G71" s="105">
        <f t="shared" si="18"/>
        <v>24.65</v>
      </c>
    </row>
    <row r="72" spans="1:7" ht="15.75" x14ac:dyDescent="0.25">
      <c r="A72" s="66"/>
      <c r="B72" s="73" t="s">
        <v>304</v>
      </c>
      <c r="C72" s="66"/>
      <c r="D72" s="71"/>
      <c r="E72" s="223"/>
      <c r="F72" s="105"/>
      <c r="G72" s="105"/>
    </row>
    <row r="73" spans="1:7" ht="15.75" x14ac:dyDescent="0.25">
      <c r="A73" s="66">
        <f>A71+1</f>
        <v>52</v>
      </c>
      <c r="B73" s="67" t="s">
        <v>305</v>
      </c>
      <c r="C73" s="66" t="s">
        <v>254</v>
      </c>
      <c r="D73" s="68">
        <f>56.4*5.8</f>
        <v>327.12</v>
      </c>
      <c r="E73" s="179">
        <v>75</v>
      </c>
      <c r="F73" s="105">
        <f t="shared" ref="F73:F84" si="20">ROUND(E73*D73,2)</f>
        <v>24534</v>
      </c>
      <c r="G73" s="105">
        <f t="shared" ref="G73:G84" si="21">ROUND(F73*1.2,2)</f>
        <v>29440.799999999999</v>
      </c>
    </row>
    <row r="74" spans="1:7" ht="15.75" x14ac:dyDescent="0.25">
      <c r="A74" s="66">
        <f>A73+1</f>
        <v>53</v>
      </c>
      <c r="B74" s="67" t="s">
        <v>306</v>
      </c>
      <c r="C74" s="66" t="s">
        <v>254</v>
      </c>
      <c r="D74" s="68">
        <f>107.7*3.05</f>
        <v>328.48500000000001</v>
      </c>
      <c r="E74" s="179">
        <v>75</v>
      </c>
      <c r="F74" s="105">
        <f t="shared" si="20"/>
        <v>24636.38</v>
      </c>
      <c r="G74" s="105">
        <f t="shared" si="21"/>
        <v>29563.66</v>
      </c>
    </row>
    <row r="75" spans="1:7" ht="15.75" x14ac:dyDescent="0.25">
      <c r="A75" s="66">
        <f t="shared" ref="A75:A84" si="22">A74+1</f>
        <v>54</v>
      </c>
      <c r="B75" s="67" t="s">
        <v>307</v>
      </c>
      <c r="C75" s="66" t="s">
        <v>254</v>
      </c>
      <c r="D75" s="68">
        <f>0.15*125.6</f>
        <v>18.84</v>
      </c>
      <c r="E75" s="179">
        <v>89</v>
      </c>
      <c r="F75" s="105">
        <f t="shared" si="20"/>
        <v>1676.76</v>
      </c>
      <c r="G75" s="105">
        <f t="shared" si="21"/>
        <v>2012.11</v>
      </c>
    </row>
    <row r="76" spans="1:7" ht="15.75" x14ac:dyDescent="0.25">
      <c r="A76" s="66">
        <f t="shared" si="22"/>
        <v>55</v>
      </c>
      <c r="B76" s="67" t="s">
        <v>308</v>
      </c>
      <c r="C76" s="66" t="s">
        <v>254</v>
      </c>
      <c r="D76" s="68">
        <f>0.24*78.5</f>
        <v>18.84</v>
      </c>
      <c r="E76" s="179">
        <v>89</v>
      </c>
      <c r="F76" s="105">
        <f t="shared" si="20"/>
        <v>1676.76</v>
      </c>
      <c r="G76" s="105">
        <f t="shared" si="21"/>
        <v>2012.11</v>
      </c>
    </row>
    <row r="77" spans="1:7" ht="15.75" x14ac:dyDescent="0.25">
      <c r="A77" s="66">
        <f t="shared" si="22"/>
        <v>56</v>
      </c>
      <c r="B77" s="67" t="s">
        <v>309</v>
      </c>
      <c r="C77" s="66" t="s">
        <v>254</v>
      </c>
      <c r="D77" s="68">
        <f>1.62*39.25*2</f>
        <v>127.17</v>
      </c>
      <c r="E77" s="179">
        <v>89</v>
      </c>
      <c r="F77" s="105">
        <f t="shared" si="20"/>
        <v>11318.13</v>
      </c>
      <c r="G77" s="105">
        <f t="shared" si="21"/>
        <v>13581.76</v>
      </c>
    </row>
    <row r="78" spans="1:7" ht="15.75" x14ac:dyDescent="0.25">
      <c r="A78" s="66">
        <f t="shared" si="22"/>
        <v>57</v>
      </c>
      <c r="B78" s="67" t="s">
        <v>310</v>
      </c>
      <c r="C78" s="66" t="s">
        <v>254</v>
      </c>
      <c r="D78" s="68">
        <f>8*0.137</f>
        <v>1.0960000000000001</v>
      </c>
      <c r="E78" s="179">
        <v>127</v>
      </c>
      <c r="F78" s="105">
        <f t="shared" si="20"/>
        <v>139.19</v>
      </c>
      <c r="G78" s="105">
        <f t="shared" si="21"/>
        <v>167.03</v>
      </c>
    </row>
    <row r="79" spans="1:7" ht="15.75" x14ac:dyDescent="0.25">
      <c r="A79" s="66">
        <f t="shared" si="22"/>
        <v>58</v>
      </c>
      <c r="B79" s="67" t="s">
        <v>311</v>
      </c>
      <c r="C79" s="66" t="s">
        <v>254</v>
      </c>
      <c r="D79" s="68">
        <f>8*0.032</f>
        <v>0.25600000000000001</v>
      </c>
      <c r="E79" s="179">
        <v>147</v>
      </c>
      <c r="F79" s="105">
        <f t="shared" si="20"/>
        <v>37.630000000000003</v>
      </c>
      <c r="G79" s="105">
        <f t="shared" si="21"/>
        <v>45.16</v>
      </c>
    </row>
    <row r="80" spans="1:7" ht="15.75" x14ac:dyDescent="0.25">
      <c r="A80" s="66">
        <f t="shared" si="22"/>
        <v>59</v>
      </c>
      <c r="B80" s="67" t="s">
        <v>312</v>
      </c>
      <c r="C80" s="66" t="s">
        <v>254</v>
      </c>
      <c r="D80" s="68">
        <f>8*0.013</f>
        <v>0.104</v>
      </c>
      <c r="E80" s="179">
        <v>197</v>
      </c>
      <c r="F80" s="105">
        <f t="shared" si="20"/>
        <v>20.49</v>
      </c>
      <c r="G80" s="105">
        <f t="shared" si="21"/>
        <v>24.59</v>
      </c>
    </row>
    <row r="81" spans="1:7" ht="15.75" x14ac:dyDescent="0.25">
      <c r="A81" s="66">
        <f t="shared" si="22"/>
        <v>60</v>
      </c>
      <c r="B81" s="67" t="s">
        <v>313</v>
      </c>
      <c r="C81" s="66" t="s">
        <v>254</v>
      </c>
      <c r="D81" s="68">
        <f>8*0.006</f>
        <v>4.8000000000000001E-2</v>
      </c>
      <c r="E81" s="179">
        <v>214</v>
      </c>
      <c r="F81" s="105">
        <f t="shared" si="20"/>
        <v>10.27</v>
      </c>
      <c r="G81" s="105">
        <f t="shared" si="21"/>
        <v>12.32</v>
      </c>
    </row>
    <row r="82" spans="1:7" ht="15.75" x14ac:dyDescent="0.25">
      <c r="A82" s="66">
        <f t="shared" si="22"/>
        <v>61</v>
      </c>
      <c r="B82" s="67" t="s">
        <v>292</v>
      </c>
      <c r="C82" s="66" t="s">
        <v>254</v>
      </c>
      <c r="D82" s="68">
        <f>5.85*2</f>
        <v>11.7</v>
      </c>
      <c r="E82" s="179">
        <v>157</v>
      </c>
      <c r="F82" s="105">
        <f t="shared" si="20"/>
        <v>1836.9</v>
      </c>
      <c r="G82" s="105">
        <f t="shared" si="21"/>
        <v>2204.2800000000002</v>
      </c>
    </row>
    <row r="83" spans="1:7" ht="15.75" x14ac:dyDescent="0.25">
      <c r="A83" s="66">
        <f t="shared" si="22"/>
        <v>62</v>
      </c>
      <c r="B83" s="67" t="s">
        <v>293</v>
      </c>
      <c r="C83" s="66" t="s">
        <v>254</v>
      </c>
      <c r="D83" s="68">
        <f>5.85*2</f>
        <v>11.7</v>
      </c>
      <c r="E83" s="179">
        <v>174</v>
      </c>
      <c r="F83" s="105">
        <f t="shared" si="20"/>
        <v>2035.8</v>
      </c>
      <c r="G83" s="105">
        <f t="shared" si="21"/>
        <v>2442.96</v>
      </c>
    </row>
    <row r="84" spans="1:7" ht="30" x14ac:dyDescent="0.25">
      <c r="A84" s="66">
        <f t="shared" si="22"/>
        <v>63</v>
      </c>
      <c r="B84" s="67" t="s">
        <v>262</v>
      </c>
      <c r="C84" s="66" t="s">
        <v>243</v>
      </c>
      <c r="D84" s="71">
        <v>1</v>
      </c>
      <c r="E84" s="223">
        <v>22000</v>
      </c>
      <c r="F84" s="105">
        <f t="shared" si="20"/>
        <v>22000</v>
      </c>
      <c r="G84" s="105">
        <f t="shared" si="21"/>
        <v>26400</v>
      </c>
    </row>
    <row r="85" spans="1:7" ht="15.75" x14ac:dyDescent="0.25">
      <c r="A85" s="66"/>
      <c r="B85" s="62" t="s">
        <v>314</v>
      </c>
      <c r="C85" s="66"/>
      <c r="D85" s="71"/>
      <c r="E85" s="223"/>
      <c r="F85" s="105"/>
      <c r="G85" s="105"/>
    </row>
    <row r="86" spans="1:7" ht="15.75" x14ac:dyDescent="0.25">
      <c r="A86" s="66"/>
      <c r="B86" s="73" t="s">
        <v>315</v>
      </c>
      <c r="C86" s="66"/>
      <c r="D86" s="71"/>
      <c r="E86" s="223"/>
      <c r="F86" s="105"/>
      <c r="G86" s="105"/>
    </row>
    <row r="87" spans="1:7" ht="15.75" x14ac:dyDescent="0.25">
      <c r="A87" s="66">
        <f>A84+1</f>
        <v>64</v>
      </c>
      <c r="B87" s="67" t="s">
        <v>316</v>
      </c>
      <c r="C87" s="66" t="s">
        <v>254</v>
      </c>
      <c r="D87" s="68">
        <f>10*0.059</f>
        <v>0.59</v>
      </c>
      <c r="E87" s="179">
        <v>70</v>
      </c>
      <c r="F87" s="105">
        <f t="shared" ref="F87:F93" si="23">ROUND(E87*D87,2)</f>
        <v>41.3</v>
      </c>
      <c r="G87" s="105">
        <f t="shared" ref="G87:G93" si="24">ROUND(F87*1.2,2)</f>
        <v>49.56</v>
      </c>
    </row>
    <row r="88" spans="1:7" ht="15.75" x14ac:dyDescent="0.25">
      <c r="A88" s="66">
        <f>A87+1</f>
        <v>65</v>
      </c>
      <c r="B88" s="67" t="s">
        <v>317</v>
      </c>
      <c r="C88" s="66" t="s">
        <v>254</v>
      </c>
      <c r="D88" s="68">
        <f>2*1.36</f>
        <v>2.72</v>
      </c>
      <c r="E88" s="179">
        <v>75</v>
      </c>
      <c r="F88" s="105">
        <f t="shared" si="23"/>
        <v>204</v>
      </c>
      <c r="G88" s="105">
        <f t="shared" si="24"/>
        <v>244.8</v>
      </c>
    </row>
    <row r="89" spans="1:7" ht="15.75" x14ac:dyDescent="0.25">
      <c r="A89" s="66">
        <f t="shared" ref="A89:A93" si="25">A88+1</f>
        <v>66</v>
      </c>
      <c r="B89" s="67" t="s">
        <v>318</v>
      </c>
      <c r="C89" s="66" t="s">
        <v>254</v>
      </c>
      <c r="D89" s="72">
        <f>12.6</f>
        <v>12.6</v>
      </c>
      <c r="E89" s="179">
        <v>114</v>
      </c>
      <c r="F89" s="105">
        <f t="shared" si="23"/>
        <v>1436.4</v>
      </c>
      <c r="G89" s="105">
        <f t="shared" si="24"/>
        <v>1723.68</v>
      </c>
    </row>
    <row r="90" spans="1:7" ht="15.75" x14ac:dyDescent="0.25">
      <c r="A90" s="66">
        <f t="shared" si="25"/>
        <v>67</v>
      </c>
      <c r="B90" s="67" t="s">
        <v>319</v>
      </c>
      <c r="C90" s="66" t="s">
        <v>254</v>
      </c>
      <c r="D90" s="72">
        <v>20.3</v>
      </c>
      <c r="E90" s="179">
        <v>655</v>
      </c>
      <c r="F90" s="105">
        <f t="shared" si="23"/>
        <v>13296.5</v>
      </c>
      <c r="G90" s="105">
        <f t="shared" si="24"/>
        <v>15955.8</v>
      </c>
    </row>
    <row r="91" spans="1:7" ht="15.75" x14ac:dyDescent="0.25">
      <c r="A91" s="66">
        <f t="shared" si="25"/>
        <v>68</v>
      </c>
      <c r="B91" s="67" t="s">
        <v>259</v>
      </c>
      <c r="C91" s="66" t="s">
        <v>193</v>
      </c>
      <c r="D91" s="77">
        <f>0.5*1.015</f>
        <v>0.50749999999999995</v>
      </c>
      <c r="E91" s="179">
        <v>6114</v>
      </c>
      <c r="F91" s="105">
        <f t="shared" si="23"/>
        <v>3102.86</v>
      </c>
      <c r="G91" s="105">
        <f t="shared" si="24"/>
        <v>3723.43</v>
      </c>
    </row>
    <row r="92" spans="1:7" ht="15.75" x14ac:dyDescent="0.25">
      <c r="A92" s="66">
        <f t="shared" si="25"/>
        <v>69</v>
      </c>
      <c r="B92" s="67" t="s">
        <v>260</v>
      </c>
      <c r="C92" s="66" t="s">
        <v>193</v>
      </c>
      <c r="D92" s="77">
        <f>0.11*1.02</f>
        <v>0.11220000000000001</v>
      </c>
      <c r="E92" s="179">
        <v>5060</v>
      </c>
      <c r="F92" s="105">
        <f t="shared" si="23"/>
        <v>567.73</v>
      </c>
      <c r="G92" s="105">
        <f t="shared" si="24"/>
        <v>681.28</v>
      </c>
    </row>
    <row r="93" spans="1:7" ht="30" x14ac:dyDescent="0.25">
      <c r="A93" s="66">
        <f t="shared" si="25"/>
        <v>70</v>
      </c>
      <c r="B93" s="67" t="s">
        <v>262</v>
      </c>
      <c r="C93" s="66" t="s">
        <v>243</v>
      </c>
      <c r="D93" s="71">
        <v>1</v>
      </c>
      <c r="E93" s="223">
        <v>3300.0000000000005</v>
      </c>
      <c r="F93" s="105">
        <f t="shared" si="23"/>
        <v>3300</v>
      </c>
      <c r="G93" s="105">
        <f t="shared" si="24"/>
        <v>3960</v>
      </c>
    </row>
    <row r="94" spans="1:7" ht="15.75" x14ac:dyDescent="0.25">
      <c r="A94" s="66"/>
      <c r="B94" s="73" t="s">
        <v>320</v>
      </c>
      <c r="C94" s="66"/>
      <c r="D94" s="71"/>
      <c r="E94" s="223"/>
      <c r="F94" s="105"/>
      <c r="G94" s="105"/>
    </row>
    <row r="95" spans="1:7" ht="30" x14ac:dyDescent="0.25">
      <c r="A95" s="66">
        <f>A93+1</f>
        <v>71</v>
      </c>
      <c r="B95" s="67" t="s">
        <v>321</v>
      </c>
      <c r="C95" s="66" t="s">
        <v>220</v>
      </c>
      <c r="D95" s="71">
        <v>1</v>
      </c>
      <c r="E95" s="179">
        <v>37079</v>
      </c>
      <c r="F95" s="105">
        <f t="shared" ref="F95:F114" si="26">ROUND(E95*D95,2)</f>
        <v>37079</v>
      </c>
      <c r="G95" s="105">
        <f t="shared" ref="G95:G114" si="27">ROUND(F95*1.2,2)</f>
        <v>44494.8</v>
      </c>
    </row>
    <row r="96" spans="1:7" ht="30" x14ac:dyDescent="0.25">
      <c r="A96" s="66">
        <f>A95+1</f>
        <v>72</v>
      </c>
      <c r="B96" s="67" t="s">
        <v>322</v>
      </c>
      <c r="C96" s="66" t="s">
        <v>220</v>
      </c>
      <c r="D96" s="71">
        <v>1</v>
      </c>
      <c r="E96" s="179">
        <v>37079</v>
      </c>
      <c r="F96" s="105">
        <f t="shared" si="26"/>
        <v>37079</v>
      </c>
      <c r="G96" s="105">
        <f t="shared" si="27"/>
        <v>44494.8</v>
      </c>
    </row>
    <row r="97" spans="1:7" ht="30" x14ac:dyDescent="0.25">
      <c r="A97" s="66">
        <f t="shared" ref="A97:A114" si="28">A96+1</f>
        <v>73</v>
      </c>
      <c r="B97" s="67" t="s">
        <v>323</v>
      </c>
      <c r="C97" s="66" t="s">
        <v>220</v>
      </c>
      <c r="D97" s="71">
        <v>1</v>
      </c>
      <c r="E97" s="179">
        <v>37079</v>
      </c>
      <c r="F97" s="105">
        <f t="shared" si="26"/>
        <v>37079</v>
      </c>
      <c r="G97" s="105">
        <f t="shared" si="27"/>
        <v>44494.8</v>
      </c>
    </row>
    <row r="98" spans="1:7" ht="30" x14ac:dyDescent="0.25">
      <c r="A98" s="66">
        <f t="shared" si="28"/>
        <v>74</v>
      </c>
      <c r="B98" s="67" t="s">
        <v>324</v>
      </c>
      <c r="C98" s="66" t="s">
        <v>220</v>
      </c>
      <c r="D98" s="71">
        <v>1</v>
      </c>
      <c r="E98" s="179">
        <v>37079</v>
      </c>
      <c r="F98" s="105">
        <f t="shared" si="26"/>
        <v>37079</v>
      </c>
      <c r="G98" s="105">
        <f t="shared" si="27"/>
        <v>44494.8</v>
      </c>
    </row>
    <row r="99" spans="1:7" ht="30" x14ac:dyDescent="0.25">
      <c r="A99" s="66">
        <f t="shared" si="28"/>
        <v>75</v>
      </c>
      <c r="B99" s="67" t="s">
        <v>325</v>
      </c>
      <c r="C99" s="66" t="s">
        <v>220</v>
      </c>
      <c r="D99" s="71">
        <v>1</v>
      </c>
      <c r="E99" s="179">
        <v>36315</v>
      </c>
      <c r="F99" s="105">
        <f t="shared" si="26"/>
        <v>36315</v>
      </c>
      <c r="G99" s="105">
        <f t="shared" si="27"/>
        <v>43578</v>
      </c>
    </row>
    <row r="100" spans="1:7" ht="30" x14ac:dyDescent="0.25">
      <c r="A100" s="66">
        <f t="shared" si="28"/>
        <v>76</v>
      </c>
      <c r="B100" s="67" t="s">
        <v>326</v>
      </c>
      <c r="C100" s="66" t="s">
        <v>220</v>
      </c>
      <c r="D100" s="71">
        <v>1</v>
      </c>
      <c r="E100" s="179">
        <v>36315</v>
      </c>
      <c r="F100" s="105">
        <f t="shared" si="26"/>
        <v>36315</v>
      </c>
      <c r="G100" s="105">
        <f t="shared" si="27"/>
        <v>43578</v>
      </c>
    </row>
    <row r="101" spans="1:7" ht="30" x14ac:dyDescent="0.25">
      <c r="A101" s="66">
        <f t="shared" si="28"/>
        <v>77</v>
      </c>
      <c r="B101" s="67" t="s">
        <v>327</v>
      </c>
      <c r="C101" s="66" t="s">
        <v>220</v>
      </c>
      <c r="D101" s="71">
        <v>1</v>
      </c>
      <c r="E101" s="179">
        <v>36315</v>
      </c>
      <c r="F101" s="105">
        <f t="shared" si="26"/>
        <v>36315</v>
      </c>
      <c r="G101" s="105">
        <f t="shared" si="27"/>
        <v>43578</v>
      </c>
    </row>
    <row r="102" spans="1:7" ht="30" x14ac:dyDescent="0.25">
      <c r="A102" s="66">
        <f t="shared" si="28"/>
        <v>78</v>
      </c>
      <c r="B102" s="67" t="s">
        <v>328</v>
      </c>
      <c r="C102" s="66" t="s">
        <v>220</v>
      </c>
      <c r="D102" s="71">
        <v>1</v>
      </c>
      <c r="E102" s="179">
        <v>36315</v>
      </c>
      <c r="F102" s="105">
        <f t="shared" si="26"/>
        <v>36315</v>
      </c>
      <c r="G102" s="105">
        <f t="shared" si="27"/>
        <v>43578</v>
      </c>
    </row>
    <row r="103" spans="1:7" ht="30" x14ac:dyDescent="0.25">
      <c r="A103" s="66">
        <f t="shared" si="28"/>
        <v>79</v>
      </c>
      <c r="B103" s="67" t="s">
        <v>329</v>
      </c>
      <c r="C103" s="66" t="s">
        <v>220</v>
      </c>
      <c r="D103" s="71">
        <v>1</v>
      </c>
      <c r="E103" s="179">
        <v>36315</v>
      </c>
      <c r="F103" s="105">
        <f t="shared" si="26"/>
        <v>36315</v>
      </c>
      <c r="G103" s="105">
        <f t="shared" si="27"/>
        <v>43578</v>
      </c>
    </row>
    <row r="104" spans="1:7" ht="30" x14ac:dyDescent="0.25">
      <c r="A104" s="66">
        <f t="shared" si="28"/>
        <v>80</v>
      </c>
      <c r="B104" s="67" t="s">
        <v>330</v>
      </c>
      <c r="C104" s="66" t="s">
        <v>220</v>
      </c>
      <c r="D104" s="71">
        <v>1</v>
      </c>
      <c r="E104" s="179">
        <v>35552</v>
      </c>
      <c r="F104" s="105">
        <f t="shared" si="26"/>
        <v>35552</v>
      </c>
      <c r="G104" s="105">
        <f t="shared" si="27"/>
        <v>42662.400000000001</v>
      </c>
    </row>
    <row r="105" spans="1:7" ht="30" x14ac:dyDescent="0.25">
      <c r="A105" s="66">
        <f t="shared" si="28"/>
        <v>81</v>
      </c>
      <c r="B105" s="67" t="s">
        <v>331</v>
      </c>
      <c r="C105" s="66" t="s">
        <v>220</v>
      </c>
      <c r="D105" s="71">
        <v>1</v>
      </c>
      <c r="E105" s="179">
        <v>35552</v>
      </c>
      <c r="F105" s="105">
        <f t="shared" si="26"/>
        <v>35552</v>
      </c>
      <c r="G105" s="105">
        <f t="shared" si="27"/>
        <v>42662.400000000001</v>
      </c>
    </row>
    <row r="106" spans="1:7" ht="30" x14ac:dyDescent="0.25">
      <c r="A106" s="66">
        <f t="shared" si="28"/>
        <v>82</v>
      </c>
      <c r="B106" s="67" t="s">
        <v>332</v>
      </c>
      <c r="C106" s="66" t="s">
        <v>220</v>
      </c>
      <c r="D106" s="71">
        <v>1</v>
      </c>
      <c r="E106" s="179">
        <v>35552</v>
      </c>
      <c r="F106" s="105">
        <f t="shared" si="26"/>
        <v>35552</v>
      </c>
      <c r="G106" s="105">
        <f t="shared" si="27"/>
        <v>42662.400000000001</v>
      </c>
    </row>
    <row r="107" spans="1:7" ht="30" x14ac:dyDescent="0.25">
      <c r="A107" s="66">
        <f t="shared" si="28"/>
        <v>83</v>
      </c>
      <c r="B107" s="67" t="s">
        <v>333</v>
      </c>
      <c r="C107" s="66" t="s">
        <v>220</v>
      </c>
      <c r="D107" s="71">
        <v>26</v>
      </c>
      <c r="E107" s="179">
        <v>9509</v>
      </c>
      <c r="F107" s="105">
        <f t="shared" si="26"/>
        <v>247234</v>
      </c>
      <c r="G107" s="105">
        <f t="shared" si="27"/>
        <v>296680.8</v>
      </c>
    </row>
    <row r="108" spans="1:7" ht="15.75" x14ac:dyDescent="0.25">
      <c r="A108" s="66">
        <f t="shared" si="28"/>
        <v>84</v>
      </c>
      <c r="B108" s="67" t="s">
        <v>334</v>
      </c>
      <c r="C108" s="66" t="s">
        <v>254</v>
      </c>
      <c r="D108" s="71">
        <f>8*10</f>
        <v>80</v>
      </c>
      <c r="E108" s="179">
        <v>89</v>
      </c>
      <c r="F108" s="105">
        <f t="shared" si="26"/>
        <v>7120</v>
      </c>
      <c r="G108" s="105">
        <f t="shared" si="27"/>
        <v>8544</v>
      </c>
    </row>
    <row r="109" spans="1:7" ht="15.75" x14ac:dyDescent="0.25">
      <c r="A109" s="66">
        <f t="shared" si="28"/>
        <v>85</v>
      </c>
      <c r="B109" s="67" t="s">
        <v>335</v>
      </c>
      <c r="C109" s="66" t="s">
        <v>254</v>
      </c>
      <c r="D109" s="72">
        <v>8.1999999999999993</v>
      </c>
      <c r="E109" s="179">
        <v>89</v>
      </c>
      <c r="F109" s="105">
        <f t="shared" si="26"/>
        <v>729.8</v>
      </c>
      <c r="G109" s="105">
        <f t="shared" si="27"/>
        <v>875.76</v>
      </c>
    </row>
    <row r="110" spans="1:7" ht="15.75" x14ac:dyDescent="0.25">
      <c r="A110" s="66">
        <f t="shared" si="28"/>
        <v>86</v>
      </c>
      <c r="B110" s="67" t="s">
        <v>336</v>
      </c>
      <c r="C110" s="66" t="s">
        <v>194</v>
      </c>
      <c r="D110" s="77">
        <f>2.49*2*1.01</f>
        <v>5.0298000000000007</v>
      </c>
      <c r="E110" s="179">
        <v>4428</v>
      </c>
      <c r="F110" s="105">
        <f t="shared" si="26"/>
        <v>22271.95</v>
      </c>
      <c r="G110" s="105">
        <f t="shared" si="27"/>
        <v>26726.34</v>
      </c>
    </row>
    <row r="111" spans="1:7" ht="15.75" x14ac:dyDescent="0.25">
      <c r="A111" s="66">
        <f t="shared" si="28"/>
        <v>87</v>
      </c>
      <c r="B111" s="67" t="s">
        <v>337</v>
      </c>
      <c r="C111" s="66" t="s">
        <v>194</v>
      </c>
      <c r="D111" s="77">
        <f>2.29*2*1.01</f>
        <v>4.6257999999999999</v>
      </c>
      <c r="E111" s="179">
        <v>4428</v>
      </c>
      <c r="F111" s="105">
        <f t="shared" si="26"/>
        <v>20483.04</v>
      </c>
      <c r="G111" s="105">
        <f t="shared" si="27"/>
        <v>24579.65</v>
      </c>
    </row>
    <row r="112" spans="1:7" ht="15.75" x14ac:dyDescent="0.25">
      <c r="A112" s="66">
        <f t="shared" si="28"/>
        <v>88</v>
      </c>
      <c r="B112" s="80" t="s">
        <v>338</v>
      </c>
      <c r="C112" s="66" t="s">
        <v>254</v>
      </c>
      <c r="D112" s="76">
        <v>2.7519999999999998</v>
      </c>
      <c r="E112" s="179">
        <v>182</v>
      </c>
      <c r="F112" s="105">
        <f t="shared" si="26"/>
        <v>500.86</v>
      </c>
      <c r="G112" s="105">
        <f t="shared" si="27"/>
        <v>601.03</v>
      </c>
    </row>
    <row r="113" spans="1:7" ht="15.75" x14ac:dyDescent="0.25">
      <c r="A113" s="66">
        <f t="shared" si="28"/>
        <v>89</v>
      </c>
      <c r="B113" s="67" t="s">
        <v>339</v>
      </c>
      <c r="C113" s="66" t="s">
        <v>254</v>
      </c>
      <c r="D113" s="68">
        <v>1.29</v>
      </c>
      <c r="E113" s="179">
        <v>1376</v>
      </c>
      <c r="F113" s="105">
        <f t="shared" si="26"/>
        <v>1775.04</v>
      </c>
      <c r="G113" s="105">
        <f t="shared" si="27"/>
        <v>2130.0500000000002</v>
      </c>
    </row>
    <row r="114" spans="1:7" ht="30" x14ac:dyDescent="0.25">
      <c r="A114" s="66">
        <f t="shared" si="28"/>
        <v>90</v>
      </c>
      <c r="B114" s="67" t="s">
        <v>340</v>
      </c>
      <c r="C114" s="66" t="s">
        <v>254</v>
      </c>
      <c r="D114" s="68">
        <v>2.81</v>
      </c>
      <c r="E114" s="179">
        <v>660</v>
      </c>
      <c r="F114" s="105">
        <f t="shared" si="26"/>
        <v>1854.6</v>
      </c>
      <c r="G114" s="105">
        <f t="shared" si="27"/>
        <v>2225.52</v>
      </c>
    </row>
    <row r="115" spans="1:7" x14ac:dyDescent="0.25">
      <c r="A115" s="181"/>
      <c r="B115" s="414" t="s">
        <v>341</v>
      </c>
      <c r="C115" s="436"/>
      <c r="D115" s="436"/>
      <c r="E115" s="182"/>
      <c r="F115" s="183"/>
      <c r="G115" s="503">
        <f>SUM(G117:G143)</f>
        <v>1218071.3</v>
      </c>
    </row>
    <row r="116" spans="1:7" x14ac:dyDescent="0.25">
      <c r="A116" s="66"/>
      <c r="B116" s="62" t="s">
        <v>342</v>
      </c>
      <c r="C116" s="74"/>
      <c r="D116" s="75"/>
      <c r="E116" s="89"/>
      <c r="F116" s="70"/>
      <c r="G116" s="55"/>
    </row>
    <row r="117" spans="1:7" ht="15.75" x14ac:dyDescent="0.25">
      <c r="A117" s="66">
        <f>A114+1</f>
        <v>91</v>
      </c>
      <c r="B117" s="67" t="s">
        <v>343</v>
      </c>
      <c r="C117" s="66" t="s">
        <v>193</v>
      </c>
      <c r="D117" s="68">
        <v>7.36</v>
      </c>
      <c r="E117" s="179">
        <v>2635</v>
      </c>
      <c r="F117" s="105">
        <f t="shared" ref="F117:F143" si="29">ROUND(E117*D117,2)</f>
        <v>19393.599999999999</v>
      </c>
      <c r="G117" s="105">
        <f t="shared" ref="G117:G143" si="30">ROUND(F117*1.2,2)</f>
        <v>23272.32</v>
      </c>
    </row>
    <row r="118" spans="1:7" ht="15.75" x14ac:dyDescent="0.25">
      <c r="A118" s="66">
        <f t="shared" ref="A118:A143" si="31">A117+1</f>
        <v>92</v>
      </c>
      <c r="B118" s="67" t="s">
        <v>344</v>
      </c>
      <c r="C118" s="74" t="s">
        <v>220</v>
      </c>
      <c r="D118" s="71">
        <v>26</v>
      </c>
      <c r="E118" s="179">
        <v>12650.000000000002</v>
      </c>
      <c r="F118" s="105">
        <f t="shared" si="29"/>
        <v>328900</v>
      </c>
      <c r="G118" s="105">
        <f t="shared" si="30"/>
        <v>394680</v>
      </c>
    </row>
    <row r="119" spans="1:7" ht="15.75" x14ac:dyDescent="0.25">
      <c r="A119" s="66">
        <f t="shared" si="31"/>
        <v>93</v>
      </c>
      <c r="B119" s="67" t="s">
        <v>345</v>
      </c>
      <c r="C119" s="74" t="s">
        <v>220</v>
      </c>
      <c r="D119" s="71">
        <v>27</v>
      </c>
      <c r="E119" s="179">
        <v>4006</v>
      </c>
      <c r="F119" s="105">
        <f t="shared" si="29"/>
        <v>108162</v>
      </c>
      <c r="G119" s="105">
        <f t="shared" si="30"/>
        <v>129794.4</v>
      </c>
    </row>
    <row r="120" spans="1:7" ht="15.75" x14ac:dyDescent="0.25">
      <c r="A120" s="66">
        <f t="shared" si="31"/>
        <v>94</v>
      </c>
      <c r="B120" s="67" t="s">
        <v>346</v>
      </c>
      <c r="C120" s="74" t="s">
        <v>193</v>
      </c>
      <c r="D120" s="76">
        <f>2.5*1.014</f>
        <v>2.5350000000000001</v>
      </c>
      <c r="E120" s="179">
        <v>5587</v>
      </c>
      <c r="F120" s="105">
        <f t="shared" si="29"/>
        <v>14163.05</v>
      </c>
      <c r="G120" s="105">
        <f t="shared" si="30"/>
        <v>16995.66</v>
      </c>
    </row>
    <row r="121" spans="1:7" ht="15.75" x14ac:dyDescent="0.25">
      <c r="A121" s="66">
        <f t="shared" si="31"/>
        <v>95</v>
      </c>
      <c r="B121" s="67" t="s">
        <v>347</v>
      </c>
      <c r="C121" s="74" t="s">
        <v>220</v>
      </c>
      <c r="D121" s="71">
        <v>646</v>
      </c>
      <c r="E121" s="179">
        <v>15</v>
      </c>
      <c r="F121" s="105">
        <f t="shared" si="29"/>
        <v>9690</v>
      </c>
      <c r="G121" s="105">
        <f t="shared" si="30"/>
        <v>11628</v>
      </c>
    </row>
    <row r="122" spans="1:7" ht="21.75" customHeight="1" x14ac:dyDescent="0.25">
      <c r="A122" s="66">
        <f t="shared" si="31"/>
        <v>96</v>
      </c>
      <c r="B122" s="67" t="s">
        <v>348</v>
      </c>
      <c r="C122" s="66" t="s">
        <v>193</v>
      </c>
      <c r="D122" s="76">
        <v>0.40799999999999997</v>
      </c>
      <c r="E122" s="179">
        <v>4428</v>
      </c>
      <c r="F122" s="105">
        <f t="shared" si="29"/>
        <v>1806.62</v>
      </c>
      <c r="G122" s="105">
        <f t="shared" si="30"/>
        <v>2167.94</v>
      </c>
    </row>
    <row r="123" spans="1:7" ht="15.75" x14ac:dyDescent="0.25">
      <c r="A123" s="66">
        <f t="shared" si="31"/>
        <v>97</v>
      </c>
      <c r="B123" s="67" t="s">
        <v>349</v>
      </c>
      <c r="C123" s="74" t="s">
        <v>254</v>
      </c>
      <c r="D123" s="77">
        <f>8.0784+1.12192</f>
        <v>9.2003199999999996</v>
      </c>
      <c r="E123" s="179">
        <v>440</v>
      </c>
      <c r="F123" s="105">
        <f t="shared" si="29"/>
        <v>4048.14</v>
      </c>
      <c r="G123" s="105">
        <f t="shared" si="30"/>
        <v>4857.7700000000004</v>
      </c>
    </row>
    <row r="124" spans="1:7" ht="15.75" x14ac:dyDescent="0.25">
      <c r="A124" s="66">
        <f t="shared" si="31"/>
        <v>98</v>
      </c>
      <c r="B124" s="67" t="s">
        <v>350</v>
      </c>
      <c r="C124" s="74" t="s">
        <v>254</v>
      </c>
      <c r="D124" s="76">
        <f>121.176+0.018288</f>
        <v>121.194288</v>
      </c>
      <c r="E124" s="179">
        <v>41</v>
      </c>
      <c r="F124" s="105">
        <f t="shared" si="29"/>
        <v>4968.97</v>
      </c>
      <c r="G124" s="105">
        <f t="shared" si="30"/>
        <v>5962.76</v>
      </c>
    </row>
    <row r="125" spans="1:7" ht="15.75" x14ac:dyDescent="0.25">
      <c r="A125" s="66">
        <f t="shared" si="31"/>
        <v>99</v>
      </c>
      <c r="B125" s="67" t="s">
        <v>351</v>
      </c>
      <c r="C125" s="74" t="s">
        <v>193</v>
      </c>
      <c r="D125" s="81">
        <v>1.45738E-2</v>
      </c>
      <c r="E125" s="179">
        <v>5693</v>
      </c>
      <c r="F125" s="105">
        <f t="shared" si="29"/>
        <v>82.97</v>
      </c>
      <c r="G125" s="105">
        <f t="shared" si="30"/>
        <v>99.56</v>
      </c>
    </row>
    <row r="126" spans="1:7" ht="30" x14ac:dyDescent="0.25">
      <c r="A126" s="66">
        <f t="shared" si="31"/>
        <v>100</v>
      </c>
      <c r="B126" s="67" t="s">
        <v>262</v>
      </c>
      <c r="C126" s="66" t="s">
        <v>243</v>
      </c>
      <c r="D126" s="71">
        <v>1</v>
      </c>
      <c r="E126" s="223">
        <v>5500</v>
      </c>
      <c r="F126" s="105">
        <f t="shared" si="29"/>
        <v>5500</v>
      </c>
      <c r="G126" s="105">
        <f t="shared" si="30"/>
        <v>6600</v>
      </c>
    </row>
    <row r="127" spans="1:7" ht="15.75" x14ac:dyDescent="0.25">
      <c r="A127" s="66"/>
      <c r="B127" s="62" t="s">
        <v>352</v>
      </c>
      <c r="C127" s="74"/>
      <c r="D127" s="75"/>
      <c r="E127" s="223"/>
      <c r="F127" s="105"/>
      <c r="G127" s="105"/>
    </row>
    <row r="128" spans="1:7" ht="16.5" customHeight="1" x14ac:dyDescent="0.25">
      <c r="A128" s="66">
        <f>A126+1</f>
        <v>101</v>
      </c>
      <c r="B128" s="67" t="s">
        <v>353</v>
      </c>
      <c r="C128" s="66" t="s">
        <v>254</v>
      </c>
      <c r="D128" s="76">
        <f>255*1.314</f>
        <v>335.07</v>
      </c>
      <c r="E128" s="179">
        <v>89</v>
      </c>
      <c r="F128" s="105">
        <f t="shared" si="29"/>
        <v>29821.23</v>
      </c>
      <c r="G128" s="105">
        <f t="shared" si="30"/>
        <v>35785.480000000003</v>
      </c>
    </row>
    <row r="129" spans="1:7" ht="16.5" customHeight="1" x14ac:dyDescent="0.25">
      <c r="A129" s="66">
        <f t="shared" si="31"/>
        <v>102</v>
      </c>
      <c r="B129" s="67" t="s">
        <v>354</v>
      </c>
      <c r="C129" s="66" t="s">
        <v>254</v>
      </c>
      <c r="D129" s="76">
        <f>255*1.067</f>
        <v>272.08499999999998</v>
      </c>
      <c r="E129" s="179">
        <v>89</v>
      </c>
      <c r="F129" s="105">
        <f t="shared" si="29"/>
        <v>24215.57</v>
      </c>
      <c r="G129" s="105">
        <f t="shared" si="30"/>
        <v>29058.68</v>
      </c>
    </row>
    <row r="130" spans="1:7" ht="16.5" customHeight="1" x14ac:dyDescent="0.25">
      <c r="A130" s="66">
        <f t="shared" si="31"/>
        <v>103</v>
      </c>
      <c r="B130" s="67" t="s">
        <v>355</v>
      </c>
      <c r="C130" s="66" t="s">
        <v>254</v>
      </c>
      <c r="D130" s="76">
        <f>512*0.716</f>
        <v>366.59199999999998</v>
      </c>
      <c r="E130" s="179">
        <v>89</v>
      </c>
      <c r="F130" s="105">
        <f t="shared" si="29"/>
        <v>32626.69</v>
      </c>
      <c r="G130" s="105">
        <f t="shared" si="30"/>
        <v>39152.03</v>
      </c>
    </row>
    <row r="131" spans="1:7" ht="16.5" customHeight="1" x14ac:dyDescent="0.25">
      <c r="A131" s="66">
        <f t="shared" si="31"/>
        <v>104</v>
      </c>
      <c r="B131" s="67" t="s">
        <v>356</v>
      </c>
      <c r="C131" s="66" t="s">
        <v>254</v>
      </c>
      <c r="D131" s="76">
        <f>12*4.911</f>
        <v>58.931999999999995</v>
      </c>
      <c r="E131" s="179">
        <v>89</v>
      </c>
      <c r="F131" s="105">
        <f t="shared" si="29"/>
        <v>5244.95</v>
      </c>
      <c r="G131" s="105">
        <f t="shared" si="30"/>
        <v>6293.94</v>
      </c>
    </row>
    <row r="132" spans="1:7" ht="16.5" customHeight="1" x14ac:dyDescent="0.25">
      <c r="A132" s="66">
        <f t="shared" si="31"/>
        <v>105</v>
      </c>
      <c r="B132" s="67" t="s">
        <v>357</v>
      </c>
      <c r="C132" s="66" t="s">
        <v>254</v>
      </c>
      <c r="D132" s="76">
        <f>14*4.294</f>
        <v>60.115999999999993</v>
      </c>
      <c r="E132" s="179">
        <v>89</v>
      </c>
      <c r="F132" s="105">
        <f t="shared" si="29"/>
        <v>5350.32</v>
      </c>
      <c r="G132" s="105">
        <f t="shared" si="30"/>
        <v>6420.38</v>
      </c>
    </row>
    <row r="133" spans="1:7" ht="16.5" customHeight="1" x14ac:dyDescent="0.25">
      <c r="A133" s="66">
        <f t="shared" si="31"/>
        <v>106</v>
      </c>
      <c r="B133" s="67" t="s">
        <v>358</v>
      </c>
      <c r="C133" s="66" t="s">
        <v>254</v>
      </c>
      <c r="D133" s="76">
        <f>1200*0.617</f>
        <v>740.4</v>
      </c>
      <c r="E133" s="179">
        <v>89</v>
      </c>
      <c r="F133" s="105">
        <f t="shared" si="29"/>
        <v>65895.600000000006</v>
      </c>
      <c r="G133" s="105">
        <f t="shared" si="30"/>
        <v>79074.720000000001</v>
      </c>
    </row>
    <row r="134" spans="1:7" ht="16.5" customHeight="1" x14ac:dyDescent="0.25">
      <c r="A134" s="66">
        <f t="shared" si="31"/>
        <v>107</v>
      </c>
      <c r="B134" s="67" t="s">
        <v>359</v>
      </c>
      <c r="C134" s="66" t="s">
        <v>254</v>
      </c>
      <c r="D134" s="76">
        <f>134*0.558</f>
        <v>74.772000000000006</v>
      </c>
      <c r="E134" s="179">
        <v>89</v>
      </c>
      <c r="F134" s="105">
        <f t="shared" si="29"/>
        <v>6654.71</v>
      </c>
      <c r="G134" s="105">
        <f t="shared" si="30"/>
        <v>7985.65</v>
      </c>
    </row>
    <row r="135" spans="1:7" ht="16.5" customHeight="1" x14ac:dyDescent="0.25">
      <c r="A135" s="66">
        <f t="shared" si="31"/>
        <v>108</v>
      </c>
      <c r="B135" s="67" t="s">
        <v>360</v>
      </c>
      <c r="C135" s="66" t="s">
        <v>254</v>
      </c>
      <c r="D135" s="76">
        <f>256*0.546</f>
        <v>139.77600000000001</v>
      </c>
      <c r="E135" s="179">
        <v>89</v>
      </c>
      <c r="F135" s="105">
        <f t="shared" si="29"/>
        <v>12440.06</v>
      </c>
      <c r="G135" s="105">
        <f t="shared" si="30"/>
        <v>14928.07</v>
      </c>
    </row>
    <row r="136" spans="1:7" ht="16.5" customHeight="1" x14ac:dyDescent="0.25">
      <c r="A136" s="66">
        <f t="shared" si="31"/>
        <v>109</v>
      </c>
      <c r="B136" s="67" t="s">
        <v>361</v>
      </c>
      <c r="C136" s="66" t="s">
        <v>254</v>
      </c>
      <c r="D136" s="76">
        <f>510*0.552</f>
        <v>281.52000000000004</v>
      </c>
      <c r="E136" s="179">
        <v>89</v>
      </c>
      <c r="F136" s="105">
        <f t="shared" si="29"/>
        <v>25055.279999999999</v>
      </c>
      <c r="G136" s="105">
        <f t="shared" si="30"/>
        <v>30066.34</v>
      </c>
    </row>
    <row r="137" spans="1:7" ht="16.5" customHeight="1" x14ac:dyDescent="0.25">
      <c r="A137" s="66">
        <f t="shared" si="31"/>
        <v>110</v>
      </c>
      <c r="B137" s="67" t="s">
        <v>362</v>
      </c>
      <c r="C137" s="66" t="s">
        <v>254</v>
      </c>
      <c r="D137" s="76">
        <f>265*0.518</f>
        <v>137.27000000000001</v>
      </c>
      <c r="E137" s="179">
        <v>89</v>
      </c>
      <c r="F137" s="105">
        <f t="shared" si="29"/>
        <v>12217.03</v>
      </c>
      <c r="G137" s="105">
        <f t="shared" si="30"/>
        <v>14660.44</v>
      </c>
    </row>
    <row r="138" spans="1:7" ht="16.5" customHeight="1" x14ac:dyDescent="0.25">
      <c r="A138" s="66">
        <f t="shared" si="31"/>
        <v>111</v>
      </c>
      <c r="B138" s="67" t="s">
        <v>363</v>
      </c>
      <c r="C138" s="66" t="s">
        <v>254</v>
      </c>
      <c r="D138" s="76">
        <f>177*0.099</f>
        <v>17.523</v>
      </c>
      <c r="E138" s="179">
        <v>70</v>
      </c>
      <c r="F138" s="105">
        <f t="shared" si="29"/>
        <v>1226.6099999999999</v>
      </c>
      <c r="G138" s="105">
        <f t="shared" si="30"/>
        <v>1471.93</v>
      </c>
    </row>
    <row r="139" spans="1:7" ht="15.75" x14ac:dyDescent="0.25">
      <c r="A139" s="66">
        <f t="shared" si="31"/>
        <v>112</v>
      </c>
      <c r="B139" s="67" t="s">
        <v>259</v>
      </c>
      <c r="C139" s="66" t="s">
        <v>193</v>
      </c>
      <c r="D139" s="77">
        <f>25.7*1.015</f>
        <v>26.085499999999996</v>
      </c>
      <c r="E139" s="179">
        <v>6114</v>
      </c>
      <c r="F139" s="105">
        <f t="shared" si="29"/>
        <v>159486.75</v>
      </c>
      <c r="G139" s="105">
        <f t="shared" si="30"/>
        <v>191384.1</v>
      </c>
    </row>
    <row r="140" spans="1:7" ht="15.75" x14ac:dyDescent="0.25">
      <c r="A140" s="66">
        <f t="shared" si="31"/>
        <v>113</v>
      </c>
      <c r="B140" s="67" t="s">
        <v>260</v>
      </c>
      <c r="C140" s="66" t="s">
        <v>193</v>
      </c>
      <c r="D140" s="76">
        <f>7.3*1.02</f>
        <v>7.4459999999999997</v>
      </c>
      <c r="E140" s="179">
        <v>5060</v>
      </c>
      <c r="F140" s="105">
        <f t="shared" si="29"/>
        <v>37676.76</v>
      </c>
      <c r="G140" s="105">
        <f t="shared" si="30"/>
        <v>45212.11</v>
      </c>
    </row>
    <row r="141" spans="1:7" ht="15.75" x14ac:dyDescent="0.25">
      <c r="A141" s="66">
        <f t="shared" si="31"/>
        <v>114</v>
      </c>
      <c r="B141" s="67" t="s">
        <v>349</v>
      </c>
      <c r="C141" s="74" t="s">
        <v>254</v>
      </c>
      <c r="D141" s="76">
        <v>43.064</v>
      </c>
      <c r="E141" s="179">
        <v>440</v>
      </c>
      <c r="F141" s="105">
        <f t="shared" si="29"/>
        <v>18948.16</v>
      </c>
      <c r="G141" s="105">
        <f t="shared" si="30"/>
        <v>22737.79</v>
      </c>
    </row>
    <row r="142" spans="1:7" ht="15.75" x14ac:dyDescent="0.25">
      <c r="A142" s="66">
        <f t="shared" si="31"/>
        <v>115</v>
      </c>
      <c r="B142" s="67" t="s">
        <v>350</v>
      </c>
      <c r="C142" s="74" t="s">
        <v>254</v>
      </c>
      <c r="D142" s="68">
        <v>645.96</v>
      </c>
      <c r="E142" s="179">
        <v>41</v>
      </c>
      <c r="F142" s="105">
        <f t="shared" si="29"/>
        <v>26484.36</v>
      </c>
      <c r="G142" s="105">
        <f t="shared" si="30"/>
        <v>31781.23</v>
      </c>
    </row>
    <row r="143" spans="1:7" ht="30" x14ac:dyDescent="0.25">
      <c r="A143" s="66">
        <f t="shared" si="31"/>
        <v>116</v>
      </c>
      <c r="B143" s="67" t="s">
        <v>262</v>
      </c>
      <c r="C143" s="66" t="s">
        <v>243</v>
      </c>
      <c r="D143" s="71">
        <v>1</v>
      </c>
      <c r="E143" s="223">
        <v>55000.000000000007</v>
      </c>
      <c r="F143" s="105">
        <f t="shared" si="29"/>
        <v>55000</v>
      </c>
      <c r="G143" s="105">
        <f t="shared" si="30"/>
        <v>66000</v>
      </c>
    </row>
    <row r="144" spans="1:7" x14ac:dyDescent="0.25">
      <c r="A144" s="185"/>
      <c r="B144" s="414" t="s">
        <v>364</v>
      </c>
      <c r="C144" s="436"/>
      <c r="D144" s="436"/>
      <c r="E144" s="186"/>
      <c r="F144" s="187"/>
      <c r="G144" s="504">
        <f>SUM(G146:G158)</f>
        <v>2266763.4000000004</v>
      </c>
    </row>
    <row r="145" spans="1:8" ht="21" customHeight="1" x14ac:dyDescent="0.25">
      <c r="A145" s="66"/>
      <c r="B145" s="62" t="s">
        <v>365</v>
      </c>
      <c r="C145" s="74"/>
      <c r="D145" s="75"/>
      <c r="E145" s="89"/>
      <c r="F145" s="70"/>
    </row>
    <row r="146" spans="1:8" ht="20.25" customHeight="1" x14ac:dyDescent="0.25">
      <c r="A146" s="66">
        <f>A143+1</f>
        <v>117</v>
      </c>
      <c r="B146" s="67" t="s">
        <v>366</v>
      </c>
      <c r="C146" s="66" t="s">
        <v>193</v>
      </c>
      <c r="D146" s="71">
        <v>281</v>
      </c>
      <c r="E146" s="179">
        <v>1581</v>
      </c>
      <c r="F146" s="105">
        <f t="shared" ref="F146:F150" si="32">ROUND(E146*D146,2)</f>
        <v>444261</v>
      </c>
      <c r="G146" s="105">
        <f t="shared" ref="G146:G150" si="33">ROUND(F146*1.2,2)</f>
        <v>533113.19999999995</v>
      </c>
    </row>
    <row r="147" spans="1:8" ht="20.25" customHeight="1" x14ac:dyDescent="0.25">
      <c r="A147" s="66">
        <f>A146+1</f>
        <v>118</v>
      </c>
      <c r="B147" s="67" t="s">
        <v>367</v>
      </c>
      <c r="C147" s="74" t="s">
        <v>193</v>
      </c>
      <c r="D147" s="68">
        <v>141.69999999999999</v>
      </c>
      <c r="E147" s="179">
        <v>4006</v>
      </c>
      <c r="F147" s="105">
        <f t="shared" si="32"/>
        <v>567650.19999999995</v>
      </c>
      <c r="G147" s="105">
        <f t="shared" si="33"/>
        <v>681180.24</v>
      </c>
    </row>
    <row r="148" spans="1:8" ht="15.75" x14ac:dyDescent="0.25">
      <c r="A148" s="66">
        <f t="shared" ref="A148:A150" si="34">A147+1</f>
        <v>119</v>
      </c>
      <c r="B148" s="67" t="s">
        <v>368</v>
      </c>
      <c r="C148" s="74" t="s">
        <v>193</v>
      </c>
      <c r="D148" s="68">
        <v>71.5</v>
      </c>
      <c r="E148" s="179">
        <v>4428</v>
      </c>
      <c r="F148" s="105">
        <f t="shared" si="32"/>
        <v>316602</v>
      </c>
      <c r="G148" s="105">
        <f t="shared" si="33"/>
        <v>379922.4</v>
      </c>
    </row>
    <row r="149" spans="1:8" ht="19.5" customHeight="1" x14ac:dyDescent="0.25">
      <c r="A149" s="66">
        <f t="shared" si="34"/>
        <v>120</v>
      </c>
      <c r="B149" s="67" t="s">
        <v>369</v>
      </c>
      <c r="C149" s="66" t="s">
        <v>239</v>
      </c>
      <c r="D149" s="68">
        <v>104.8</v>
      </c>
      <c r="E149" s="179">
        <v>4638</v>
      </c>
      <c r="F149" s="105">
        <f t="shared" si="32"/>
        <v>486062.4</v>
      </c>
      <c r="G149" s="105">
        <f t="shared" si="33"/>
        <v>583274.88</v>
      </c>
    </row>
    <row r="150" spans="1:8" ht="15.75" x14ac:dyDescent="0.25">
      <c r="A150" s="66">
        <f t="shared" si="34"/>
        <v>121</v>
      </c>
      <c r="B150" s="67" t="s">
        <v>370</v>
      </c>
      <c r="C150" s="66" t="s">
        <v>239</v>
      </c>
      <c r="D150" s="68">
        <v>1.4</v>
      </c>
      <c r="E150" s="179">
        <v>26354</v>
      </c>
      <c r="F150" s="105">
        <f t="shared" si="32"/>
        <v>36895.599999999999</v>
      </c>
      <c r="G150" s="105">
        <f t="shared" si="33"/>
        <v>44274.720000000001</v>
      </c>
    </row>
    <row r="151" spans="1:8" ht="15.75" x14ac:dyDescent="0.25">
      <c r="A151" s="311"/>
      <c r="B151" s="341" t="s">
        <v>927</v>
      </c>
      <c r="C151" s="318"/>
      <c r="D151" s="335"/>
      <c r="E151" s="179"/>
      <c r="F151" s="314"/>
      <c r="G151" s="314"/>
      <c r="H151" s="52"/>
    </row>
    <row r="152" spans="1:8" ht="15.75" x14ac:dyDescent="0.25">
      <c r="A152" s="311">
        <f>A150+1</f>
        <v>122</v>
      </c>
      <c r="B152" s="377" t="s">
        <v>930</v>
      </c>
      <c r="C152" s="311" t="s">
        <v>220</v>
      </c>
      <c r="D152" s="335">
        <v>3</v>
      </c>
      <c r="E152" s="179">
        <v>2830</v>
      </c>
      <c r="F152" s="314">
        <f t="shared" ref="F152:F153" si="35">ROUND(E152*D152,2)</f>
        <v>8490</v>
      </c>
      <c r="G152" s="314">
        <f t="shared" ref="G152:G153" si="36">ROUND(F152*1.2,2)</f>
        <v>10188</v>
      </c>
      <c r="H152" s="52"/>
    </row>
    <row r="153" spans="1:8" ht="15.75" x14ac:dyDescent="0.25">
      <c r="A153" s="311">
        <f>A152+1</f>
        <v>123</v>
      </c>
      <c r="B153" s="377" t="s">
        <v>931</v>
      </c>
      <c r="C153" s="311" t="s">
        <v>220</v>
      </c>
      <c r="D153" s="335">
        <v>3</v>
      </c>
      <c r="E153" s="179">
        <v>1530</v>
      </c>
      <c r="F153" s="314">
        <f t="shared" si="35"/>
        <v>4590</v>
      </c>
      <c r="G153" s="314">
        <f t="shared" si="36"/>
        <v>5508</v>
      </c>
      <c r="H153" s="52"/>
    </row>
    <row r="154" spans="1:8" ht="19.5" customHeight="1" x14ac:dyDescent="0.25">
      <c r="A154" s="66"/>
      <c r="B154" s="62" t="s">
        <v>371</v>
      </c>
      <c r="C154" s="74"/>
      <c r="D154" s="68"/>
      <c r="E154" s="179"/>
      <c r="F154" s="70"/>
      <c r="G154" s="55"/>
    </row>
    <row r="155" spans="1:8" ht="18.75" customHeight="1" x14ac:dyDescent="0.25">
      <c r="A155" s="66">
        <f>A153+1</f>
        <v>124</v>
      </c>
      <c r="B155" s="67" t="s">
        <v>372</v>
      </c>
      <c r="C155" s="74" t="s">
        <v>254</v>
      </c>
      <c r="D155" s="68">
        <v>1.3</v>
      </c>
      <c r="E155" s="179">
        <v>486</v>
      </c>
      <c r="F155" s="105">
        <f t="shared" ref="F155:F158" si="37">ROUND(E155*D155,2)</f>
        <v>631.79999999999995</v>
      </c>
      <c r="G155" s="105">
        <f t="shared" ref="G155:G182" si="38">ROUND(F155*1.2,2)</f>
        <v>758.16</v>
      </c>
    </row>
    <row r="156" spans="1:8" ht="18.75" customHeight="1" x14ac:dyDescent="0.25">
      <c r="A156" s="66">
        <f>A155+1</f>
        <v>125</v>
      </c>
      <c r="B156" s="67" t="s">
        <v>373</v>
      </c>
      <c r="C156" s="74" t="s">
        <v>254</v>
      </c>
      <c r="D156" s="68">
        <v>1</v>
      </c>
      <c r="E156" s="179">
        <v>648</v>
      </c>
      <c r="F156" s="105">
        <f t="shared" si="37"/>
        <v>648</v>
      </c>
      <c r="G156" s="105">
        <f t="shared" si="38"/>
        <v>777.6</v>
      </c>
    </row>
    <row r="157" spans="1:8" ht="18.75" customHeight="1" x14ac:dyDescent="0.25">
      <c r="A157" s="66">
        <f t="shared" ref="A157:A158" si="39">A156+1</f>
        <v>126</v>
      </c>
      <c r="B157" s="67" t="s">
        <v>374</v>
      </c>
      <c r="C157" s="74" t="s">
        <v>254</v>
      </c>
      <c r="D157" s="68">
        <v>0.9</v>
      </c>
      <c r="E157" s="179">
        <v>1265</v>
      </c>
      <c r="F157" s="105">
        <f t="shared" si="37"/>
        <v>1138.5</v>
      </c>
      <c r="G157" s="105">
        <f t="shared" si="38"/>
        <v>1366.2</v>
      </c>
    </row>
    <row r="158" spans="1:8" ht="30" x14ac:dyDescent="0.25">
      <c r="A158" s="66">
        <f t="shared" si="39"/>
        <v>127</v>
      </c>
      <c r="B158" s="67" t="s">
        <v>262</v>
      </c>
      <c r="C158" s="66" t="s">
        <v>243</v>
      </c>
      <c r="D158" s="71">
        <v>1</v>
      </c>
      <c r="E158" s="223">
        <v>22000</v>
      </c>
      <c r="F158" s="105">
        <f t="shared" si="37"/>
        <v>22000</v>
      </c>
      <c r="G158" s="105">
        <f t="shared" si="38"/>
        <v>26400</v>
      </c>
    </row>
    <row r="159" spans="1:8" ht="22.5" customHeight="1" x14ac:dyDescent="0.25">
      <c r="A159" s="181"/>
      <c r="B159" s="414" t="s">
        <v>375</v>
      </c>
      <c r="C159" s="436"/>
      <c r="D159" s="436"/>
      <c r="E159" s="182"/>
      <c r="F159" s="183"/>
      <c r="G159" s="184">
        <f>SUM(G160:G182)</f>
        <v>687603.94999999972</v>
      </c>
    </row>
    <row r="160" spans="1:8" ht="30" x14ac:dyDescent="0.25">
      <c r="A160" s="66">
        <f>A158+1</f>
        <v>128</v>
      </c>
      <c r="B160" s="67" t="s">
        <v>376</v>
      </c>
      <c r="C160" s="74" t="s">
        <v>194</v>
      </c>
      <c r="D160" s="71">
        <v>29</v>
      </c>
      <c r="E160" s="179">
        <v>4301</v>
      </c>
      <c r="F160" s="105">
        <f t="shared" ref="F160:F182" si="40">ROUND(E160*D160,2)</f>
        <v>124729</v>
      </c>
      <c r="G160" s="105">
        <f t="shared" si="38"/>
        <v>149674.79999999999</v>
      </c>
    </row>
    <row r="161" spans="1:7" ht="30" x14ac:dyDescent="0.25">
      <c r="A161" s="66">
        <f>A160+1</f>
        <v>129</v>
      </c>
      <c r="B161" s="67" t="s">
        <v>377</v>
      </c>
      <c r="C161" s="74" t="s">
        <v>194</v>
      </c>
      <c r="D161" s="68">
        <f>27*1.01</f>
        <v>27.27</v>
      </c>
      <c r="E161" s="179">
        <v>7337.0000000000009</v>
      </c>
      <c r="F161" s="105">
        <f t="shared" si="40"/>
        <v>200079.99</v>
      </c>
      <c r="G161" s="105">
        <f t="shared" si="38"/>
        <v>240095.99</v>
      </c>
    </row>
    <row r="162" spans="1:7" ht="15.75" x14ac:dyDescent="0.25">
      <c r="A162" s="66">
        <f t="shared" ref="A162:A182" si="41">A161+1</f>
        <v>130</v>
      </c>
      <c r="B162" s="67" t="s">
        <v>378</v>
      </c>
      <c r="C162" s="74" t="s">
        <v>220</v>
      </c>
      <c r="D162" s="71">
        <v>1</v>
      </c>
      <c r="E162" s="179">
        <v>10753</v>
      </c>
      <c r="F162" s="105">
        <f t="shared" si="40"/>
        <v>10753</v>
      </c>
      <c r="G162" s="105">
        <f t="shared" si="38"/>
        <v>12903.6</v>
      </c>
    </row>
    <row r="163" spans="1:7" ht="15.75" x14ac:dyDescent="0.25">
      <c r="A163" s="66">
        <f t="shared" si="41"/>
        <v>131</v>
      </c>
      <c r="B163" s="67" t="s">
        <v>379</v>
      </c>
      <c r="C163" s="74" t="s">
        <v>220</v>
      </c>
      <c r="D163" s="71">
        <v>1</v>
      </c>
      <c r="E163" s="179">
        <v>11385.000000000002</v>
      </c>
      <c r="F163" s="105">
        <f t="shared" si="40"/>
        <v>11385</v>
      </c>
      <c r="G163" s="105">
        <f t="shared" si="38"/>
        <v>13662</v>
      </c>
    </row>
    <row r="164" spans="1:7" ht="15.75" x14ac:dyDescent="0.25">
      <c r="A164" s="66">
        <f t="shared" si="41"/>
        <v>132</v>
      </c>
      <c r="B164" s="67" t="s">
        <v>380</v>
      </c>
      <c r="C164" s="74" t="s">
        <v>220</v>
      </c>
      <c r="D164" s="71">
        <v>1</v>
      </c>
      <c r="E164" s="179">
        <v>10247</v>
      </c>
      <c r="F164" s="105">
        <f t="shared" si="40"/>
        <v>10247</v>
      </c>
      <c r="G164" s="105">
        <f t="shared" si="38"/>
        <v>12296.4</v>
      </c>
    </row>
    <row r="165" spans="1:7" ht="15.75" x14ac:dyDescent="0.25">
      <c r="A165" s="66">
        <f t="shared" si="41"/>
        <v>133</v>
      </c>
      <c r="B165" s="67" t="s">
        <v>381</v>
      </c>
      <c r="C165" s="74" t="s">
        <v>220</v>
      </c>
      <c r="D165" s="71">
        <v>3</v>
      </c>
      <c r="E165" s="179">
        <v>11006</v>
      </c>
      <c r="F165" s="105">
        <f t="shared" si="40"/>
        <v>33018</v>
      </c>
      <c r="G165" s="105">
        <f t="shared" si="38"/>
        <v>39621.599999999999</v>
      </c>
    </row>
    <row r="166" spans="1:7" ht="15.75" x14ac:dyDescent="0.25">
      <c r="A166" s="66">
        <f t="shared" si="41"/>
        <v>134</v>
      </c>
      <c r="B166" s="67" t="s">
        <v>382</v>
      </c>
      <c r="C166" s="74" t="s">
        <v>220</v>
      </c>
      <c r="D166" s="71">
        <v>1</v>
      </c>
      <c r="E166" s="179">
        <v>6199</v>
      </c>
      <c r="F166" s="105">
        <f t="shared" si="40"/>
        <v>6199</v>
      </c>
      <c r="G166" s="105">
        <f t="shared" si="38"/>
        <v>7438.8</v>
      </c>
    </row>
    <row r="167" spans="1:7" ht="15.75" x14ac:dyDescent="0.25">
      <c r="A167" s="66">
        <f t="shared" si="41"/>
        <v>135</v>
      </c>
      <c r="B167" s="67" t="s">
        <v>383</v>
      </c>
      <c r="C167" s="74" t="s">
        <v>220</v>
      </c>
      <c r="D167" s="71">
        <v>1</v>
      </c>
      <c r="E167" s="179">
        <v>15180.000000000002</v>
      </c>
      <c r="F167" s="105">
        <f t="shared" si="40"/>
        <v>15180</v>
      </c>
      <c r="G167" s="105">
        <f t="shared" si="38"/>
        <v>18216</v>
      </c>
    </row>
    <row r="168" spans="1:7" ht="45" x14ac:dyDescent="0.25">
      <c r="A168" s="66">
        <f t="shared" si="41"/>
        <v>136</v>
      </c>
      <c r="B168" s="67" t="s">
        <v>384</v>
      </c>
      <c r="C168" s="74" t="s">
        <v>220</v>
      </c>
      <c r="D168" s="71">
        <v>1</v>
      </c>
      <c r="E168" s="179">
        <v>3669</v>
      </c>
      <c r="F168" s="105">
        <f t="shared" si="40"/>
        <v>3669</v>
      </c>
      <c r="G168" s="105">
        <f t="shared" si="38"/>
        <v>4402.8</v>
      </c>
    </row>
    <row r="169" spans="1:7" ht="30" x14ac:dyDescent="0.25">
      <c r="A169" s="66">
        <f t="shared" si="41"/>
        <v>137</v>
      </c>
      <c r="B169" s="67" t="s">
        <v>385</v>
      </c>
      <c r="C169" s="74" t="s">
        <v>254</v>
      </c>
      <c r="D169" s="68">
        <v>16.13</v>
      </c>
      <c r="E169" s="179">
        <v>702</v>
      </c>
      <c r="F169" s="105">
        <f t="shared" si="40"/>
        <v>11323.26</v>
      </c>
      <c r="G169" s="105">
        <f t="shared" si="38"/>
        <v>13587.91</v>
      </c>
    </row>
    <row r="170" spans="1:7" ht="15.75" x14ac:dyDescent="0.25">
      <c r="A170" s="66">
        <f t="shared" si="41"/>
        <v>138</v>
      </c>
      <c r="B170" s="67" t="s">
        <v>386</v>
      </c>
      <c r="C170" s="74" t="s">
        <v>387</v>
      </c>
      <c r="D170" s="71">
        <v>50</v>
      </c>
      <c r="E170" s="179">
        <v>249</v>
      </c>
      <c r="F170" s="105">
        <f t="shared" si="40"/>
        <v>12450</v>
      </c>
      <c r="G170" s="105">
        <f t="shared" si="38"/>
        <v>14940</v>
      </c>
    </row>
    <row r="171" spans="1:7" ht="15.75" x14ac:dyDescent="0.25">
      <c r="A171" s="66">
        <f t="shared" si="41"/>
        <v>139</v>
      </c>
      <c r="B171" s="67" t="s">
        <v>388</v>
      </c>
      <c r="C171" s="74" t="s">
        <v>254</v>
      </c>
      <c r="D171" s="71">
        <v>75</v>
      </c>
      <c r="E171" s="179">
        <v>312</v>
      </c>
      <c r="F171" s="105">
        <f t="shared" si="40"/>
        <v>23400</v>
      </c>
      <c r="G171" s="105">
        <f t="shared" si="38"/>
        <v>28080</v>
      </c>
    </row>
    <row r="172" spans="1:7" ht="15.75" x14ac:dyDescent="0.25">
      <c r="A172" s="66">
        <f t="shared" si="41"/>
        <v>140</v>
      </c>
      <c r="B172" s="67" t="s">
        <v>389</v>
      </c>
      <c r="C172" s="74" t="s">
        <v>193</v>
      </c>
      <c r="D172" s="77">
        <f>3.5*1.015</f>
        <v>3.5524999999999998</v>
      </c>
      <c r="E172" s="179">
        <v>6114</v>
      </c>
      <c r="F172" s="105">
        <f t="shared" si="40"/>
        <v>21719.99</v>
      </c>
      <c r="G172" s="105">
        <f t="shared" si="38"/>
        <v>26063.99</v>
      </c>
    </row>
    <row r="173" spans="1:7" ht="15.75" x14ac:dyDescent="0.25">
      <c r="A173" s="66">
        <f t="shared" si="41"/>
        <v>141</v>
      </c>
      <c r="B173" s="67" t="s">
        <v>390</v>
      </c>
      <c r="C173" s="74" t="s">
        <v>193</v>
      </c>
      <c r="D173" s="72">
        <f>12*1.1</f>
        <v>13.200000000000001</v>
      </c>
      <c r="E173" s="179">
        <v>1265</v>
      </c>
      <c r="F173" s="105">
        <f t="shared" si="40"/>
        <v>16698</v>
      </c>
      <c r="G173" s="105">
        <f t="shared" si="38"/>
        <v>20037.599999999999</v>
      </c>
    </row>
    <row r="174" spans="1:7" ht="15.75" x14ac:dyDescent="0.25">
      <c r="A174" s="66">
        <f t="shared" si="41"/>
        <v>142</v>
      </c>
      <c r="B174" s="67" t="s">
        <v>391</v>
      </c>
      <c r="C174" s="74" t="s">
        <v>193</v>
      </c>
      <c r="D174" s="72">
        <f>0.8*1.2</f>
        <v>0.96</v>
      </c>
      <c r="E174" s="179">
        <v>1368</v>
      </c>
      <c r="F174" s="105">
        <f t="shared" si="40"/>
        <v>1313.28</v>
      </c>
      <c r="G174" s="105">
        <f t="shared" si="38"/>
        <v>1575.94</v>
      </c>
    </row>
    <row r="175" spans="1:7" ht="15.75" x14ac:dyDescent="0.25">
      <c r="A175" s="66">
        <f t="shared" si="41"/>
        <v>143</v>
      </c>
      <c r="B175" s="67" t="s">
        <v>392</v>
      </c>
      <c r="C175" s="74" t="s">
        <v>254</v>
      </c>
      <c r="D175" s="71">
        <v>17</v>
      </c>
      <c r="E175" s="179">
        <v>85</v>
      </c>
      <c r="F175" s="105">
        <f t="shared" si="40"/>
        <v>1445</v>
      </c>
      <c r="G175" s="105">
        <f t="shared" si="38"/>
        <v>1734</v>
      </c>
    </row>
    <row r="176" spans="1:7" ht="15.75" x14ac:dyDescent="0.25">
      <c r="A176" s="66">
        <f t="shared" si="41"/>
        <v>144</v>
      </c>
      <c r="B176" s="67" t="s">
        <v>393</v>
      </c>
      <c r="C176" s="74" t="s">
        <v>254</v>
      </c>
      <c r="D176" s="71">
        <v>4</v>
      </c>
      <c r="E176" s="179">
        <v>85</v>
      </c>
      <c r="F176" s="105">
        <f t="shared" si="40"/>
        <v>340</v>
      </c>
      <c r="G176" s="105">
        <f t="shared" si="38"/>
        <v>408</v>
      </c>
    </row>
    <row r="177" spans="1:10" ht="15.75" x14ac:dyDescent="0.25">
      <c r="A177" s="66">
        <f t="shared" si="41"/>
        <v>145</v>
      </c>
      <c r="B177" s="67" t="s">
        <v>394</v>
      </c>
      <c r="C177" s="74" t="s">
        <v>254</v>
      </c>
      <c r="D177" s="72">
        <v>4.5999999999999996</v>
      </c>
      <c r="E177" s="179">
        <v>104</v>
      </c>
      <c r="F177" s="105">
        <f t="shared" si="40"/>
        <v>478.4</v>
      </c>
      <c r="G177" s="105">
        <f t="shared" si="38"/>
        <v>574.08000000000004</v>
      </c>
    </row>
    <row r="178" spans="1:10" ht="15.75" x14ac:dyDescent="0.25">
      <c r="A178" s="66">
        <f t="shared" si="41"/>
        <v>146</v>
      </c>
      <c r="B178" s="67" t="s">
        <v>395</v>
      </c>
      <c r="C178" s="74" t="s">
        <v>254</v>
      </c>
      <c r="D178" s="68">
        <v>2.82</v>
      </c>
      <c r="E178" s="179">
        <v>95</v>
      </c>
      <c r="F178" s="105">
        <f t="shared" si="40"/>
        <v>267.89999999999998</v>
      </c>
      <c r="G178" s="105">
        <f t="shared" si="38"/>
        <v>321.48</v>
      </c>
    </row>
    <row r="179" spans="1:10" ht="15.75" x14ac:dyDescent="0.25">
      <c r="A179" s="66">
        <f t="shared" si="41"/>
        <v>147</v>
      </c>
      <c r="B179" s="67" t="s">
        <v>241</v>
      </c>
      <c r="C179" s="74" t="s">
        <v>193</v>
      </c>
      <c r="D179" s="68">
        <v>1.85</v>
      </c>
      <c r="E179" s="179">
        <v>6072.0000000000009</v>
      </c>
      <c r="F179" s="105">
        <f t="shared" si="40"/>
        <v>11233.2</v>
      </c>
      <c r="G179" s="105">
        <f t="shared" si="38"/>
        <v>13479.84</v>
      </c>
    </row>
    <row r="180" spans="1:10" ht="15.75" x14ac:dyDescent="0.25">
      <c r="A180" s="66">
        <f t="shared" si="41"/>
        <v>148</v>
      </c>
      <c r="B180" s="67" t="s">
        <v>396</v>
      </c>
      <c r="C180" s="74" t="s">
        <v>193</v>
      </c>
      <c r="D180" s="68">
        <v>0.28999999999999998</v>
      </c>
      <c r="E180" s="179">
        <v>5313</v>
      </c>
      <c r="F180" s="105">
        <f t="shared" si="40"/>
        <v>1540.77</v>
      </c>
      <c r="G180" s="105">
        <f t="shared" si="38"/>
        <v>1848.92</v>
      </c>
    </row>
    <row r="181" spans="1:10" ht="15.75" x14ac:dyDescent="0.25">
      <c r="A181" s="66">
        <f t="shared" si="41"/>
        <v>149</v>
      </c>
      <c r="B181" s="67" t="s">
        <v>397</v>
      </c>
      <c r="C181" s="74" t="s">
        <v>193</v>
      </c>
      <c r="D181" s="68">
        <v>0.22</v>
      </c>
      <c r="E181" s="179">
        <v>2425</v>
      </c>
      <c r="F181" s="105">
        <f t="shared" si="40"/>
        <v>533.5</v>
      </c>
      <c r="G181" s="105">
        <f t="shared" si="38"/>
        <v>640.20000000000005</v>
      </c>
    </row>
    <row r="182" spans="1:10" ht="30" x14ac:dyDescent="0.25">
      <c r="A182" s="66">
        <f t="shared" si="41"/>
        <v>150</v>
      </c>
      <c r="B182" s="67" t="s">
        <v>398</v>
      </c>
      <c r="C182" s="66" t="s">
        <v>243</v>
      </c>
      <c r="D182" s="71">
        <v>1</v>
      </c>
      <c r="E182" s="179">
        <v>55000.000000000007</v>
      </c>
      <c r="F182" s="105">
        <f t="shared" si="40"/>
        <v>55000</v>
      </c>
      <c r="G182" s="105">
        <f t="shared" si="38"/>
        <v>66000</v>
      </c>
    </row>
    <row r="183" spans="1:10" ht="21.75" customHeight="1" x14ac:dyDescent="0.25">
      <c r="A183" s="181"/>
      <c r="B183" s="414" t="s">
        <v>399</v>
      </c>
      <c r="C183" s="436"/>
      <c r="D183" s="436"/>
      <c r="E183" s="182"/>
      <c r="F183" s="183"/>
      <c r="G183" s="184">
        <f>SUM(G185:G300)</f>
        <v>2860613.21</v>
      </c>
    </row>
    <row r="184" spans="1:10" x14ac:dyDescent="0.25">
      <c r="A184" s="66"/>
      <c r="B184" s="73" t="s">
        <v>1067</v>
      </c>
      <c r="C184" s="66"/>
      <c r="D184" s="82"/>
      <c r="E184" s="89"/>
      <c r="F184" s="70"/>
      <c r="G184" s="55"/>
    </row>
    <row r="185" spans="1:10" ht="15.75" x14ac:dyDescent="0.25">
      <c r="A185" s="66">
        <f>A182+1</f>
        <v>151</v>
      </c>
      <c r="B185" s="67" t="s">
        <v>400</v>
      </c>
      <c r="C185" s="66" t="s">
        <v>220</v>
      </c>
      <c r="D185" s="247">
        <v>11</v>
      </c>
      <c r="E185" s="179">
        <v>17695</v>
      </c>
      <c r="F185" s="105">
        <f t="shared" ref="F185:F191" si="42">ROUND(E185*D185,2)</f>
        <v>194645</v>
      </c>
      <c r="G185" s="105">
        <f t="shared" ref="G185:G191" si="43">ROUND(F185*1.2,2)</f>
        <v>233574</v>
      </c>
      <c r="I185" s="245"/>
      <c r="J185" s="248"/>
    </row>
    <row r="186" spans="1:10" ht="15.75" x14ac:dyDescent="0.25">
      <c r="A186" s="66">
        <f>A185+1</f>
        <v>152</v>
      </c>
      <c r="B186" s="67" t="s">
        <v>987</v>
      </c>
      <c r="C186" s="66" t="s">
        <v>220</v>
      </c>
      <c r="D186" s="247">
        <v>43</v>
      </c>
      <c r="E186" s="179">
        <v>5149</v>
      </c>
      <c r="F186" s="105">
        <f t="shared" si="42"/>
        <v>221407</v>
      </c>
      <c r="G186" s="105">
        <f t="shared" si="43"/>
        <v>265688.40000000002</v>
      </c>
      <c r="I186" s="245"/>
      <c r="J186" s="248"/>
    </row>
    <row r="187" spans="1:10" ht="19.5" customHeight="1" x14ac:dyDescent="0.25">
      <c r="A187" s="88">
        <f t="shared" ref="A187" si="44">A186+1</f>
        <v>153</v>
      </c>
      <c r="B187" s="67" t="s">
        <v>401</v>
      </c>
      <c r="C187" s="66" t="s">
        <v>220</v>
      </c>
      <c r="D187" s="71">
        <v>14</v>
      </c>
      <c r="E187" s="179">
        <v>2882</v>
      </c>
      <c r="F187" s="105">
        <f t="shared" si="42"/>
        <v>40348</v>
      </c>
      <c r="G187" s="105">
        <f t="shared" si="43"/>
        <v>48417.599999999999</v>
      </c>
      <c r="I187" s="245"/>
      <c r="J187" s="248"/>
    </row>
    <row r="188" spans="1:10" s="379" customFormat="1" ht="19.5" customHeight="1" x14ac:dyDescent="0.25">
      <c r="A188" s="311">
        <f>A187+1</f>
        <v>154</v>
      </c>
      <c r="B188" s="316" t="s">
        <v>1068</v>
      </c>
      <c r="C188" s="311" t="s">
        <v>193</v>
      </c>
      <c r="D188" s="326">
        <v>0.02</v>
      </c>
      <c r="E188" s="179">
        <v>5700</v>
      </c>
      <c r="F188" s="314">
        <f t="shared" si="42"/>
        <v>114</v>
      </c>
      <c r="G188" s="314">
        <f t="shared" si="43"/>
        <v>136.80000000000001</v>
      </c>
      <c r="I188" s="489"/>
      <c r="J188" s="490"/>
    </row>
    <row r="189" spans="1:10" ht="19.5" customHeight="1" x14ac:dyDescent="0.25">
      <c r="A189" s="88">
        <f>A188+1</f>
        <v>155</v>
      </c>
      <c r="B189" s="253" t="s">
        <v>391</v>
      </c>
      <c r="C189" s="88" t="s">
        <v>193</v>
      </c>
      <c r="D189" s="269">
        <v>5.63</v>
      </c>
      <c r="E189" s="178">
        <v>1368</v>
      </c>
      <c r="F189" s="107">
        <f t="shared" si="42"/>
        <v>7701.84</v>
      </c>
      <c r="G189" s="107">
        <f t="shared" si="43"/>
        <v>9242.2099999999991</v>
      </c>
      <c r="I189" s="242"/>
      <c r="J189" s="248"/>
    </row>
    <row r="190" spans="1:10" ht="19.5" customHeight="1" x14ac:dyDescent="0.25">
      <c r="A190" s="88">
        <f t="shared" ref="A190:A191" si="45">A189+1</f>
        <v>156</v>
      </c>
      <c r="B190" s="253" t="s">
        <v>1070</v>
      </c>
      <c r="C190" s="88" t="s">
        <v>387</v>
      </c>
      <c r="D190" s="247">
        <f>43*20/16</f>
        <v>53.75</v>
      </c>
      <c r="E190" s="178">
        <v>250</v>
      </c>
      <c r="F190" s="107">
        <f t="shared" si="42"/>
        <v>13437.5</v>
      </c>
      <c r="G190" s="107">
        <f t="shared" si="43"/>
        <v>16125</v>
      </c>
      <c r="I190" s="242"/>
      <c r="J190" s="248"/>
    </row>
    <row r="191" spans="1:10" ht="19.5" customHeight="1" x14ac:dyDescent="0.25">
      <c r="A191" s="88">
        <f t="shared" si="45"/>
        <v>157</v>
      </c>
      <c r="B191" s="253" t="s">
        <v>1069</v>
      </c>
      <c r="C191" s="88" t="s">
        <v>254</v>
      </c>
      <c r="D191" s="269">
        <v>120.15</v>
      </c>
      <c r="E191" s="178">
        <v>312</v>
      </c>
      <c r="F191" s="107">
        <f t="shared" si="42"/>
        <v>37486.800000000003</v>
      </c>
      <c r="G191" s="107">
        <f t="shared" si="43"/>
        <v>44984.160000000003</v>
      </c>
      <c r="I191" s="242"/>
      <c r="J191" s="248"/>
    </row>
    <row r="192" spans="1:10" ht="19.5" customHeight="1" x14ac:dyDescent="0.25">
      <c r="A192" s="88"/>
      <c r="B192" s="270" t="s">
        <v>1017</v>
      </c>
      <c r="C192" s="88"/>
      <c r="D192" s="271"/>
      <c r="E192" s="178"/>
      <c r="F192" s="107"/>
      <c r="G192" s="107"/>
      <c r="I192" s="242"/>
    </row>
    <row r="193" spans="1:9" ht="19.5" customHeight="1" x14ac:dyDescent="0.25">
      <c r="A193" s="311">
        <f>A191+1</f>
        <v>158</v>
      </c>
      <c r="B193" s="316" t="s">
        <v>1005</v>
      </c>
      <c r="C193" s="311" t="s">
        <v>193</v>
      </c>
      <c r="D193" s="326">
        <v>0.62</v>
      </c>
      <c r="E193" s="179">
        <v>5470</v>
      </c>
      <c r="F193" s="314">
        <f t="shared" ref="F193:F196" si="46">ROUND(E193*D193,2)</f>
        <v>3391.4</v>
      </c>
      <c r="G193" s="314">
        <f t="shared" ref="G193:G196" si="47">ROUND(F193*1.2,2)</f>
        <v>4069.68</v>
      </c>
      <c r="I193" s="242"/>
    </row>
    <row r="194" spans="1:9" ht="19.5" customHeight="1" x14ac:dyDescent="0.25">
      <c r="A194" s="88">
        <f>A193+1</f>
        <v>159</v>
      </c>
      <c r="B194" s="253" t="s">
        <v>1020</v>
      </c>
      <c r="C194" s="88" t="s">
        <v>254</v>
      </c>
      <c r="D194" s="272">
        <v>53</v>
      </c>
      <c r="E194" s="178">
        <v>85</v>
      </c>
      <c r="F194" s="107">
        <f t="shared" si="46"/>
        <v>4505</v>
      </c>
      <c r="G194" s="107">
        <f t="shared" si="47"/>
        <v>5406</v>
      </c>
      <c r="I194" s="242"/>
    </row>
    <row r="195" spans="1:9" ht="19.5" customHeight="1" x14ac:dyDescent="0.25">
      <c r="A195" s="88">
        <f t="shared" ref="A195:A196" si="48">A194+1</f>
        <v>160</v>
      </c>
      <c r="B195" s="253" t="s">
        <v>1070</v>
      </c>
      <c r="C195" s="88" t="s">
        <v>387</v>
      </c>
      <c r="D195" s="269">
        <f>0.95*20/16</f>
        <v>1.1875</v>
      </c>
      <c r="E195" s="178">
        <v>250</v>
      </c>
      <c r="F195" s="107">
        <f t="shared" si="46"/>
        <v>296.88</v>
      </c>
      <c r="G195" s="107">
        <f t="shared" si="47"/>
        <v>356.26</v>
      </c>
      <c r="I195" s="242"/>
    </row>
    <row r="196" spans="1:9" ht="19.5" customHeight="1" x14ac:dyDescent="0.25">
      <c r="A196" s="88">
        <f t="shared" si="48"/>
        <v>161</v>
      </c>
      <c r="B196" s="253" t="s">
        <v>1069</v>
      </c>
      <c r="C196" s="88" t="s">
        <v>254</v>
      </c>
      <c r="D196" s="269">
        <v>2.7</v>
      </c>
      <c r="E196" s="178">
        <v>312</v>
      </c>
      <c r="F196" s="107">
        <f t="shared" si="46"/>
        <v>842.4</v>
      </c>
      <c r="G196" s="107">
        <f t="shared" si="47"/>
        <v>1010.88</v>
      </c>
      <c r="I196" s="242"/>
    </row>
    <row r="197" spans="1:9" ht="19.5" customHeight="1" x14ac:dyDescent="0.25">
      <c r="A197" s="88"/>
      <c r="B197" s="270" t="s">
        <v>1072</v>
      </c>
      <c r="C197" s="88"/>
      <c r="D197" s="269"/>
      <c r="E197" s="178"/>
      <c r="F197" s="107"/>
      <c r="G197" s="107"/>
      <c r="I197" s="242"/>
    </row>
    <row r="198" spans="1:9" ht="19.5" customHeight="1" x14ac:dyDescent="0.25">
      <c r="A198" s="88">
        <f>A196+1</f>
        <v>162</v>
      </c>
      <c r="B198" s="253" t="s">
        <v>1073</v>
      </c>
      <c r="C198" s="88" t="s">
        <v>193</v>
      </c>
      <c r="D198" s="269">
        <v>1.5</v>
      </c>
      <c r="E198" s="178">
        <v>1368</v>
      </c>
      <c r="F198" s="107">
        <f t="shared" ref="F198:F207" si="49">ROUND(E198*D198,2)</f>
        <v>2052</v>
      </c>
      <c r="G198" s="107">
        <f t="shared" ref="G198:G207" si="50">ROUND(F198*1.2,2)</f>
        <v>2462.4</v>
      </c>
      <c r="I198" s="242"/>
    </row>
    <row r="199" spans="1:9" ht="19.5" customHeight="1" x14ac:dyDescent="0.25">
      <c r="A199" s="311">
        <f>A198+1</f>
        <v>163</v>
      </c>
      <c r="B199" s="316" t="s">
        <v>1074</v>
      </c>
      <c r="C199" s="311" t="s">
        <v>193</v>
      </c>
      <c r="D199" s="326">
        <f>0.16+0.6</f>
        <v>0.76</v>
      </c>
      <c r="E199" s="179">
        <v>5271</v>
      </c>
      <c r="F199" s="314">
        <f t="shared" si="49"/>
        <v>4005.96</v>
      </c>
      <c r="G199" s="314">
        <f t="shared" si="50"/>
        <v>4807.1499999999996</v>
      </c>
      <c r="I199" s="242"/>
    </row>
    <row r="200" spans="1:9" ht="19.5" customHeight="1" x14ac:dyDescent="0.25">
      <c r="A200" s="88">
        <f t="shared" ref="A200:A207" si="51">A199+1</f>
        <v>164</v>
      </c>
      <c r="B200" s="253" t="s">
        <v>1075</v>
      </c>
      <c r="C200" s="88" t="s">
        <v>254</v>
      </c>
      <c r="D200" s="247">
        <v>31</v>
      </c>
      <c r="E200" s="178">
        <v>85</v>
      </c>
      <c r="F200" s="107">
        <f t="shared" si="49"/>
        <v>2635</v>
      </c>
      <c r="G200" s="107">
        <f t="shared" si="50"/>
        <v>3162</v>
      </c>
      <c r="I200" s="242"/>
    </row>
    <row r="201" spans="1:9" ht="19.5" customHeight="1" x14ac:dyDescent="0.25">
      <c r="A201" s="88">
        <f t="shared" si="51"/>
        <v>165</v>
      </c>
      <c r="B201" s="253" t="s">
        <v>1076</v>
      </c>
      <c r="C201" s="88" t="s">
        <v>254</v>
      </c>
      <c r="D201" s="272">
        <v>5.0999999999999996</v>
      </c>
      <c r="E201" s="178">
        <v>85</v>
      </c>
      <c r="F201" s="107">
        <f t="shared" si="49"/>
        <v>433.5</v>
      </c>
      <c r="G201" s="107">
        <f t="shared" si="50"/>
        <v>520.20000000000005</v>
      </c>
      <c r="I201" s="242"/>
    </row>
    <row r="202" spans="1:9" ht="19.5" customHeight="1" x14ac:dyDescent="0.25">
      <c r="A202" s="88">
        <f t="shared" si="51"/>
        <v>166</v>
      </c>
      <c r="B202" s="253" t="s">
        <v>1070</v>
      </c>
      <c r="C202" s="88" t="s">
        <v>387</v>
      </c>
      <c r="D202" s="269">
        <f>1.13*20/16</f>
        <v>1.4124999999999999</v>
      </c>
      <c r="E202" s="178">
        <v>250</v>
      </c>
      <c r="F202" s="107">
        <f t="shared" si="49"/>
        <v>353.13</v>
      </c>
      <c r="G202" s="107">
        <f t="shared" si="50"/>
        <v>423.76</v>
      </c>
      <c r="I202" s="242"/>
    </row>
    <row r="203" spans="1:9" ht="19.5" customHeight="1" x14ac:dyDescent="0.25">
      <c r="A203" s="88">
        <f t="shared" si="51"/>
        <v>167</v>
      </c>
      <c r="B203" s="253" t="s">
        <v>1069</v>
      </c>
      <c r="C203" s="88" t="s">
        <v>254</v>
      </c>
      <c r="D203" s="269">
        <v>3.2</v>
      </c>
      <c r="E203" s="178">
        <v>312</v>
      </c>
      <c r="F203" s="107">
        <f t="shared" si="49"/>
        <v>998.4</v>
      </c>
      <c r="G203" s="107">
        <f t="shared" si="50"/>
        <v>1198.08</v>
      </c>
      <c r="I203" s="242"/>
    </row>
    <row r="204" spans="1:9" ht="15.75" customHeight="1" x14ac:dyDescent="0.25">
      <c r="A204" s="311">
        <f t="shared" si="51"/>
        <v>168</v>
      </c>
      <c r="B204" s="316" t="s">
        <v>1077</v>
      </c>
      <c r="C204" s="311" t="s">
        <v>193</v>
      </c>
      <c r="D204" s="326">
        <v>0.08</v>
      </c>
      <c r="E204" s="179">
        <v>12000</v>
      </c>
      <c r="F204" s="314">
        <f t="shared" si="49"/>
        <v>960</v>
      </c>
      <c r="G204" s="314">
        <f t="shared" si="50"/>
        <v>1152</v>
      </c>
      <c r="I204" s="242"/>
    </row>
    <row r="205" spans="1:9" ht="15.75" customHeight="1" x14ac:dyDescent="0.25">
      <c r="A205" s="311">
        <f t="shared" si="51"/>
        <v>169</v>
      </c>
      <c r="B205" s="316" t="s">
        <v>941</v>
      </c>
      <c r="C205" s="311" t="s">
        <v>220</v>
      </c>
      <c r="D205" s="322">
        <v>1</v>
      </c>
      <c r="E205" s="179">
        <v>17630</v>
      </c>
      <c r="F205" s="314">
        <f t="shared" si="49"/>
        <v>17630</v>
      </c>
      <c r="G205" s="314">
        <f t="shared" si="50"/>
        <v>21156</v>
      </c>
      <c r="I205" s="242"/>
    </row>
    <row r="206" spans="1:9" ht="15.75" customHeight="1" x14ac:dyDescent="0.25">
      <c r="A206" s="311">
        <f t="shared" si="51"/>
        <v>170</v>
      </c>
      <c r="B206" s="316" t="s">
        <v>942</v>
      </c>
      <c r="C206" s="311" t="s">
        <v>254</v>
      </c>
      <c r="D206" s="326">
        <v>138.83000000000001</v>
      </c>
      <c r="E206" s="179">
        <v>178</v>
      </c>
      <c r="F206" s="314">
        <f t="shared" si="49"/>
        <v>24711.74</v>
      </c>
      <c r="G206" s="314">
        <f t="shared" si="50"/>
        <v>29654.09</v>
      </c>
      <c r="I206" s="242"/>
    </row>
    <row r="207" spans="1:9" ht="15.75" customHeight="1" x14ac:dyDescent="0.25">
      <c r="A207" s="311">
        <f t="shared" si="51"/>
        <v>171</v>
      </c>
      <c r="B207" s="316" t="s">
        <v>1078</v>
      </c>
      <c r="C207" s="311" t="s">
        <v>254</v>
      </c>
      <c r="D207" s="322">
        <v>45</v>
      </c>
      <c r="E207" s="179">
        <v>216</v>
      </c>
      <c r="F207" s="314">
        <f t="shared" si="49"/>
        <v>9720</v>
      </c>
      <c r="G207" s="314">
        <f t="shared" si="50"/>
        <v>11664</v>
      </c>
      <c r="I207" s="242"/>
    </row>
    <row r="208" spans="1:9" ht="19.5" customHeight="1" x14ac:dyDescent="0.25">
      <c r="A208" s="88"/>
      <c r="B208" s="235" t="s">
        <v>1007</v>
      </c>
      <c r="C208" s="88"/>
      <c r="D208" s="271"/>
      <c r="E208" s="178"/>
      <c r="F208" s="107"/>
      <c r="G208" s="107"/>
      <c r="I208" s="245"/>
    </row>
    <row r="209" spans="1:9" s="379" customFormat="1" ht="19.5" customHeight="1" x14ac:dyDescent="0.25">
      <c r="A209" s="311">
        <f>A188+1</f>
        <v>155</v>
      </c>
      <c r="B209" s="316" t="s">
        <v>1008</v>
      </c>
      <c r="C209" s="311" t="s">
        <v>220</v>
      </c>
      <c r="D209" s="322">
        <v>2</v>
      </c>
      <c r="E209" s="179">
        <v>2850</v>
      </c>
      <c r="F209" s="314">
        <f t="shared" ref="F209:F214" si="52">ROUND(E209*D209,2)</f>
        <v>5700</v>
      </c>
      <c r="G209" s="314">
        <f t="shared" ref="G209:G214" si="53">ROUND(F209*1.2,2)</f>
        <v>6840</v>
      </c>
      <c r="I209" s="491"/>
    </row>
    <row r="210" spans="1:9" ht="19.5" customHeight="1" x14ac:dyDescent="0.25">
      <c r="A210" s="88">
        <f>A209+1</f>
        <v>156</v>
      </c>
      <c r="B210" s="253" t="s">
        <v>1009</v>
      </c>
      <c r="C210" s="88" t="s">
        <v>220</v>
      </c>
      <c r="D210" s="256" t="s">
        <v>765</v>
      </c>
      <c r="E210" s="255">
        <v>15180.000000000002</v>
      </c>
      <c r="F210" s="107">
        <f t="shared" si="52"/>
        <v>30360</v>
      </c>
      <c r="G210" s="107">
        <f t="shared" si="53"/>
        <v>36432</v>
      </c>
      <c r="I210" s="245"/>
    </row>
    <row r="211" spans="1:9" ht="19.5" customHeight="1" x14ac:dyDescent="0.25">
      <c r="A211" s="311">
        <f>A210+1</f>
        <v>157</v>
      </c>
      <c r="B211" s="316" t="s">
        <v>1010</v>
      </c>
      <c r="C211" s="311" t="s">
        <v>220</v>
      </c>
      <c r="D211" s="492" t="s">
        <v>765</v>
      </c>
      <c r="E211" s="179">
        <v>2650</v>
      </c>
      <c r="F211" s="314">
        <f t="shared" si="52"/>
        <v>5300</v>
      </c>
      <c r="G211" s="314">
        <f t="shared" si="53"/>
        <v>6360</v>
      </c>
      <c r="I211" s="245"/>
    </row>
    <row r="212" spans="1:9" s="379" customFormat="1" ht="19.5" customHeight="1" x14ac:dyDescent="0.25">
      <c r="A212" s="311">
        <f>A211+1</f>
        <v>158</v>
      </c>
      <c r="B212" s="316" t="s">
        <v>1011</v>
      </c>
      <c r="C212" s="311" t="s">
        <v>220</v>
      </c>
      <c r="D212" s="492" t="s">
        <v>765</v>
      </c>
      <c r="E212" s="179">
        <v>5830</v>
      </c>
      <c r="F212" s="314">
        <f t="shared" si="52"/>
        <v>11660</v>
      </c>
      <c r="G212" s="314">
        <f t="shared" si="53"/>
        <v>13992</v>
      </c>
      <c r="I212" s="491"/>
    </row>
    <row r="213" spans="1:9" ht="20.100000000000001" customHeight="1" x14ac:dyDescent="0.25">
      <c r="A213" s="311">
        <f>A212+1</f>
        <v>159</v>
      </c>
      <c r="B213" s="316" t="s">
        <v>1012</v>
      </c>
      <c r="C213" s="311" t="s">
        <v>220</v>
      </c>
      <c r="D213" s="492" t="s">
        <v>765</v>
      </c>
      <c r="E213" s="179">
        <v>21000</v>
      </c>
      <c r="F213" s="314">
        <f t="shared" si="52"/>
        <v>42000</v>
      </c>
      <c r="G213" s="314">
        <f t="shared" si="53"/>
        <v>50400</v>
      </c>
      <c r="I213" s="245"/>
    </row>
    <row r="214" spans="1:9" ht="19.5" customHeight="1" x14ac:dyDescent="0.25">
      <c r="A214" s="311">
        <f>A213+1</f>
        <v>160</v>
      </c>
      <c r="B214" s="316" t="s">
        <v>1013</v>
      </c>
      <c r="C214" s="311" t="s">
        <v>220</v>
      </c>
      <c r="D214" s="492" t="s">
        <v>762</v>
      </c>
      <c r="E214" s="179">
        <v>12600</v>
      </c>
      <c r="F214" s="314">
        <f t="shared" si="52"/>
        <v>12600</v>
      </c>
      <c r="G214" s="314">
        <f t="shared" si="53"/>
        <v>15120</v>
      </c>
      <c r="I214" s="245"/>
    </row>
    <row r="215" spans="1:9" ht="19.5" customHeight="1" x14ac:dyDescent="0.25">
      <c r="A215" s="88"/>
      <c r="B215" s="270" t="s">
        <v>1016</v>
      </c>
      <c r="C215" s="88"/>
      <c r="D215" s="271"/>
      <c r="E215" s="178"/>
      <c r="F215" s="107"/>
      <c r="G215" s="107"/>
      <c r="H215" s="218"/>
      <c r="I215" s="242"/>
    </row>
    <row r="216" spans="1:9" s="379" customFormat="1" ht="19.5" customHeight="1" x14ac:dyDescent="0.25">
      <c r="A216" s="311">
        <f>A214+1</f>
        <v>161</v>
      </c>
      <c r="B216" s="316" t="s">
        <v>1005</v>
      </c>
      <c r="C216" s="311" t="s">
        <v>193</v>
      </c>
      <c r="D216" s="326">
        <v>0.34</v>
      </c>
      <c r="E216" s="179">
        <v>5470</v>
      </c>
      <c r="F216" s="314">
        <f t="shared" ref="F216:F223" si="54">ROUND(E216*D216,2)</f>
        <v>1859.8</v>
      </c>
      <c r="G216" s="314">
        <f t="shared" ref="G216:G223" si="55">ROUND(F216*1.2,2)</f>
        <v>2231.7600000000002</v>
      </c>
      <c r="I216" s="489"/>
    </row>
    <row r="217" spans="1:9" ht="19.5" customHeight="1" x14ac:dyDescent="0.25">
      <c r="A217" s="88">
        <f>A216+1</f>
        <v>162</v>
      </c>
      <c r="B217" s="253" t="s">
        <v>1020</v>
      </c>
      <c r="C217" s="88" t="s">
        <v>254</v>
      </c>
      <c r="D217" s="269">
        <v>30.1</v>
      </c>
      <c r="E217" s="178">
        <v>85</v>
      </c>
      <c r="F217" s="107">
        <f t="shared" si="54"/>
        <v>2558.5</v>
      </c>
      <c r="G217" s="107">
        <f t="shared" si="55"/>
        <v>3070.2</v>
      </c>
      <c r="I217" s="242"/>
    </row>
    <row r="218" spans="1:9" s="379" customFormat="1" ht="19.5" customHeight="1" x14ac:dyDescent="0.25">
      <c r="A218" s="311">
        <f>A217+1</f>
        <v>163</v>
      </c>
      <c r="B218" s="316" t="s">
        <v>1015</v>
      </c>
      <c r="C218" s="389" t="s">
        <v>254</v>
      </c>
      <c r="D218" s="492" t="s">
        <v>1014</v>
      </c>
      <c r="E218" s="179">
        <v>180</v>
      </c>
      <c r="F218" s="314">
        <f t="shared" si="54"/>
        <v>14130</v>
      </c>
      <c r="G218" s="314">
        <f t="shared" si="55"/>
        <v>16956</v>
      </c>
      <c r="I218" s="491"/>
    </row>
    <row r="219" spans="1:9" ht="19.5" customHeight="1" x14ac:dyDescent="0.25">
      <c r="A219" s="88">
        <f>A217+1</f>
        <v>163</v>
      </c>
      <c r="B219" s="253" t="s">
        <v>1070</v>
      </c>
      <c r="C219" s="88" t="s">
        <v>387</v>
      </c>
      <c r="D219" s="269">
        <f>54.1*0.25</f>
        <v>13.525</v>
      </c>
      <c r="E219" s="178">
        <v>250</v>
      </c>
      <c r="F219" s="107">
        <f t="shared" si="54"/>
        <v>3381.25</v>
      </c>
      <c r="G219" s="107">
        <f t="shared" si="55"/>
        <v>4057.5</v>
      </c>
      <c r="H219" s="218"/>
      <c r="I219" s="242"/>
    </row>
    <row r="220" spans="1:9" ht="19.5" customHeight="1" x14ac:dyDescent="0.25">
      <c r="A220" s="88">
        <f t="shared" ref="A220:A223" si="56">A219+1</f>
        <v>164</v>
      </c>
      <c r="B220" s="253" t="s">
        <v>1069</v>
      </c>
      <c r="C220" s="88" t="s">
        <v>254</v>
      </c>
      <c r="D220" s="269">
        <f>0.7*54.1*2</f>
        <v>75.739999999999995</v>
      </c>
      <c r="E220" s="178">
        <v>312</v>
      </c>
      <c r="F220" s="107">
        <f t="shared" si="54"/>
        <v>23630.880000000001</v>
      </c>
      <c r="G220" s="107">
        <f t="shared" si="55"/>
        <v>28357.06</v>
      </c>
      <c r="I220" s="242"/>
    </row>
    <row r="221" spans="1:9" ht="15.75" x14ac:dyDescent="0.25">
      <c r="A221" s="88">
        <f t="shared" si="56"/>
        <v>165</v>
      </c>
      <c r="B221" s="253" t="s">
        <v>402</v>
      </c>
      <c r="C221" s="88" t="s">
        <v>254</v>
      </c>
      <c r="D221" s="160">
        <v>40</v>
      </c>
      <c r="E221" s="178">
        <v>1376</v>
      </c>
      <c r="F221" s="107">
        <f t="shared" si="54"/>
        <v>55040</v>
      </c>
      <c r="G221" s="107">
        <f t="shared" si="55"/>
        <v>66048</v>
      </c>
    </row>
    <row r="222" spans="1:9" ht="15.75" x14ac:dyDescent="0.25">
      <c r="A222" s="88">
        <f t="shared" si="56"/>
        <v>166</v>
      </c>
      <c r="B222" s="253" t="s">
        <v>403</v>
      </c>
      <c r="C222" s="88" t="s">
        <v>254</v>
      </c>
      <c r="D222" s="160">
        <v>80</v>
      </c>
      <c r="E222" s="178">
        <v>1518.0000000000002</v>
      </c>
      <c r="F222" s="107">
        <f t="shared" si="54"/>
        <v>121440</v>
      </c>
      <c r="G222" s="107">
        <f t="shared" si="55"/>
        <v>145728</v>
      </c>
    </row>
    <row r="223" spans="1:9" ht="15.75" x14ac:dyDescent="0.25">
      <c r="A223" s="88">
        <f t="shared" si="56"/>
        <v>167</v>
      </c>
      <c r="B223" s="253" t="s">
        <v>1079</v>
      </c>
      <c r="C223" s="88" t="s">
        <v>193</v>
      </c>
      <c r="D223" s="237">
        <v>0.2</v>
      </c>
      <c r="E223" s="178">
        <v>4600</v>
      </c>
      <c r="F223" s="107">
        <f t="shared" si="54"/>
        <v>920</v>
      </c>
      <c r="G223" s="107">
        <f t="shared" si="55"/>
        <v>1104</v>
      </c>
    </row>
    <row r="224" spans="1:9" ht="19.5" customHeight="1" x14ac:dyDescent="0.25">
      <c r="A224" s="88"/>
      <c r="B224" s="270" t="s">
        <v>988</v>
      </c>
      <c r="C224" s="88"/>
      <c r="D224" s="271"/>
      <c r="E224" s="178"/>
      <c r="F224" s="107"/>
      <c r="G224" s="107"/>
      <c r="I224" s="242"/>
    </row>
    <row r="225" spans="1:9" ht="19.5" customHeight="1" x14ac:dyDescent="0.25">
      <c r="A225" s="88">
        <f>A188+1</f>
        <v>155</v>
      </c>
      <c r="B225" s="253" t="s">
        <v>1005</v>
      </c>
      <c r="C225" s="88" t="s">
        <v>193</v>
      </c>
      <c r="D225" s="269">
        <v>9.9</v>
      </c>
      <c r="E225" s="178">
        <v>5470</v>
      </c>
      <c r="F225" s="107">
        <f t="shared" ref="F225:F241" si="57">ROUND(E225*D225,2)</f>
        <v>54153</v>
      </c>
      <c r="G225" s="107">
        <f t="shared" ref="G225:G241" si="58">ROUND(F225*1.2,2)</f>
        <v>64983.6</v>
      </c>
      <c r="I225" s="245"/>
    </row>
    <row r="226" spans="1:9" ht="19.5" customHeight="1" x14ac:dyDescent="0.25">
      <c r="A226" s="88">
        <f>A225+1</f>
        <v>156</v>
      </c>
      <c r="B226" s="253" t="s">
        <v>1006</v>
      </c>
      <c r="C226" s="88" t="s">
        <v>193</v>
      </c>
      <c r="D226" s="269">
        <v>1.7</v>
      </c>
      <c r="E226" s="178">
        <v>4600</v>
      </c>
      <c r="F226" s="107">
        <f t="shared" si="57"/>
        <v>7820</v>
      </c>
      <c r="G226" s="107">
        <f t="shared" si="58"/>
        <v>9384</v>
      </c>
      <c r="I226" s="245"/>
    </row>
    <row r="227" spans="1:9" ht="19.5" customHeight="1" x14ac:dyDescent="0.25">
      <c r="A227" s="88">
        <f t="shared" ref="A227:A241" si="59">A226+1</f>
        <v>157</v>
      </c>
      <c r="B227" s="253" t="s">
        <v>989</v>
      </c>
      <c r="C227" s="88" t="s">
        <v>254</v>
      </c>
      <c r="D227" s="269">
        <f>5.8*62</f>
        <v>359.59999999999997</v>
      </c>
      <c r="E227" s="178">
        <v>85</v>
      </c>
      <c r="F227" s="107">
        <f t="shared" si="57"/>
        <v>30566</v>
      </c>
      <c r="G227" s="107">
        <f t="shared" si="58"/>
        <v>36679.199999999997</v>
      </c>
      <c r="I227" s="245"/>
    </row>
    <row r="228" spans="1:9" ht="19.5" customHeight="1" x14ac:dyDescent="0.25">
      <c r="A228" s="88">
        <f t="shared" si="59"/>
        <v>158</v>
      </c>
      <c r="B228" s="253" t="s">
        <v>990</v>
      </c>
      <c r="C228" s="88" t="s">
        <v>254</v>
      </c>
      <c r="D228" s="269">
        <f>24*2.9</f>
        <v>69.599999999999994</v>
      </c>
      <c r="E228" s="178">
        <v>85</v>
      </c>
      <c r="F228" s="107">
        <f t="shared" si="57"/>
        <v>5916</v>
      </c>
      <c r="G228" s="107">
        <f t="shared" si="58"/>
        <v>7099.2</v>
      </c>
      <c r="I228" s="245"/>
    </row>
    <row r="229" spans="1:9" ht="19.5" customHeight="1" x14ac:dyDescent="0.25">
      <c r="A229" s="88">
        <f t="shared" si="59"/>
        <v>159</v>
      </c>
      <c r="B229" s="253" t="s">
        <v>991</v>
      </c>
      <c r="C229" s="88" t="s">
        <v>254</v>
      </c>
      <c r="D229" s="269">
        <f>144*2.1</f>
        <v>302.40000000000003</v>
      </c>
      <c r="E229" s="178">
        <v>85</v>
      </c>
      <c r="F229" s="107">
        <f t="shared" si="57"/>
        <v>25704</v>
      </c>
      <c r="G229" s="107">
        <f t="shared" si="58"/>
        <v>30844.799999999999</v>
      </c>
      <c r="I229" s="245"/>
    </row>
    <row r="230" spans="1:9" ht="19.5" customHeight="1" x14ac:dyDescent="0.25">
      <c r="A230" s="88">
        <f t="shared" si="59"/>
        <v>160</v>
      </c>
      <c r="B230" s="253" t="s">
        <v>992</v>
      </c>
      <c r="C230" s="88" t="s">
        <v>254</v>
      </c>
      <c r="D230" s="269">
        <f>48*2.3</f>
        <v>110.39999999999999</v>
      </c>
      <c r="E230" s="178">
        <v>85</v>
      </c>
      <c r="F230" s="107">
        <f t="shared" si="57"/>
        <v>9384</v>
      </c>
      <c r="G230" s="107">
        <f t="shared" si="58"/>
        <v>11260.8</v>
      </c>
      <c r="I230" s="245"/>
    </row>
    <row r="231" spans="1:9" ht="19.5" customHeight="1" x14ac:dyDescent="0.25">
      <c r="A231" s="88">
        <f t="shared" si="59"/>
        <v>161</v>
      </c>
      <c r="B231" s="253" t="s">
        <v>993</v>
      </c>
      <c r="C231" s="88" t="s">
        <v>254</v>
      </c>
      <c r="D231" s="269">
        <f>36*0.5</f>
        <v>18</v>
      </c>
      <c r="E231" s="178">
        <v>85</v>
      </c>
      <c r="F231" s="107">
        <f t="shared" si="57"/>
        <v>1530</v>
      </c>
      <c r="G231" s="107">
        <f t="shared" si="58"/>
        <v>1836</v>
      </c>
      <c r="I231" s="245"/>
    </row>
    <row r="232" spans="1:9" ht="19.5" customHeight="1" x14ac:dyDescent="0.25">
      <c r="A232" s="88">
        <f t="shared" si="59"/>
        <v>162</v>
      </c>
      <c r="B232" s="253" t="s">
        <v>994</v>
      </c>
      <c r="C232" s="88" t="s">
        <v>254</v>
      </c>
      <c r="D232" s="269">
        <f>48*1.2</f>
        <v>57.599999999999994</v>
      </c>
      <c r="E232" s="178">
        <v>85</v>
      </c>
      <c r="F232" s="107">
        <f t="shared" si="57"/>
        <v>4896</v>
      </c>
      <c r="G232" s="107">
        <f t="shared" si="58"/>
        <v>5875.2</v>
      </c>
      <c r="I232" s="245"/>
    </row>
    <row r="233" spans="1:9" ht="19.5" customHeight="1" x14ac:dyDescent="0.25">
      <c r="A233" s="88">
        <f t="shared" si="59"/>
        <v>163</v>
      </c>
      <c r="B233" s="253" t="s">
        <v>995</v>
      </c>
      <c r="C233" s="88" t="s">
        <v>254</v>
      </c>
      <c r="D233" s="269">
        <f>144*1.8</f>
        <v>259.2</v>
      </c>
      <c r="E233" s="178">
        <v>85</v>
      </c>
      <c r="F233" s="107">
        <f t="shared" si="57"/>
        <v>22032</v>
      </c>
      <c r="G233" s="107">
        <f t="shared" si="58"/>
        <v>26438.400000000001</v>
      </c>
      <c r="I233" s="245"/>
    </row>
    <row r="234" spans="1:9" ht="19.5" customHeight="1" x14ac:dyDescent="0.25">
      <c r="A234" s="88">
        <f t="shared" si="59"/>
        <v>164</v>
      </c>
      <c r="B234" s="253" t="s">
        <v>996</v>
      </c>
      <c r="C234" s="88" t="s">
        <v>254</v>
      </c>
      <c r="D234" s="269">
        <f>48*1.2</f>
        <v>57.599999999999994</v>
      </c>
      <c r="E234" s="178">
        <v>85</v>
      </c>
      <c r="F234" s="107">
        <f t="shared" si="57"/>
        <v>4896</v>
      </c>
      <c r="G234" s="107">
        <f t="shared" si="58"/>
        <v>5875.2</v>
      </c>
      <c r="I234" s="245"/>
    </row>
    <row r="235" spans="1:9" ht="19.5" customHeight="1" x14ac:dyDescent="0.25">
      <c r="A235" s="88">
        <f t="shared" si="59"/>
        <v>165</v>
      </c>
      <c r="B235" s="253" t="s">
        <v>997</v>
      </c>
      <c r="C235" s="88" t="s">
        <v>254</v>
      </c>
      <c r="D235" s="269">
        <f>186*0.09</f>
        <v>16.739999999999998</v>
      </c>
      <c r="E235" s="178">
        <v>85</v>
      </c>
      <c r="F235" s="107">
        <f t="shared" si="57"/>
        <v>1422.9</v>
      </c>
      <c r="G235" s="107">
        <f t="shared" si="58"/>
        <v>1707.48</v>
      </c>
      <c r="I235" s="245"/>
    </row>
    <row r="236" spans="1:9" ht="19.5" customHeight="1" x14ac:dyDescent="0.25">
      <c r="A236" s="88">
        <f t="shared" si="59"/>
        <v>166</v>
      </c>
      <c r="B236" s="253" t="s">
        <v>998</v>
      </c>
      <c r="C236" s="88" t="s">
        <v>254</v>
      </c>
      <c r="D236" s="269">
        <f>80*3.8</f>
        <v>304</v>
      </c>
      <c r="E236" s="178">
        <v>85</v>
      </c>
      <c r="F236" s="107">
        <f t="shared" si="57"/>
        <v>25840</v>
      </c>
      <c r="G236" s="107">
        <f t="shared" si="58"/>
        <v>31008</v>
      </c>
      <c r="I236" s="245"/>
    </row>
    <row r="237" spans="1:9" ht="19.5" customHeight="1" x14ac:dyDescent="0.25">
      <c r="A237" s="88">
        <f t="shared" si="59"/>
        <v>167</v>
      </c>
      <c r="B237" s="253" t="s">
        <v>999</v>
      </c>
      <c r="C237" s="88" t="s">
        <v>254</v>
      </c>
      <c r="D237" s="269">
        <f>12*3.8</f>
        <v>45.599999999999994</v>
      </c>
      <c r="E237" s="178">
        <v>85</v>
      </c>
      <c r="F237" s="107">
        <f t="shared" si="57"/>
        <v>3876</v>
      </c>
      <c r="G237" s="107">
        <f t="shared" si="58"/>
        <v>4651.2</v>
      </c>
      <c r="I237" s="245"/>
    </row>
    <row r="238" spans="1:9" ht="19.5" customHeight="1" x14ac:dyDescent="0.25">
      <c r="A238" s="88">
        <f t="shared" si="59"/>
        <v>168</v>
      </c>
      <c r="B238" s="253" t="s">
        <v>1000</v>
      </c>
      <c r="C238" s="88" t="s">
        <v>254</v>
      </c>
      <c r="D238" s="269">
        <f>12*1.3</f>
        <v>15.600000000000001</v>
      </c>
      <c r="E238" s="178">
        <v>85</v>
      </c>
      <c r="F238" s="107">
        <f t="shared" si="57"/>
        <v>1326</v>
      </c>
      <c r="G238" s="107">
        <f t="shared" si="58"/>
        <v>1591.2</v>
      </c>
      <c r="I238" s="245"/>
    </row>
    <row r="239" spans="1:9" ht="19.5" customHeight="1" x14ac:dyDescent="0.25">
      <c r="A239" s="88">
        <f t="shared" si="59"/>
        <v>169</v>
      </c>
      <c r="B239" s="253" t="s">
        <v>1002</v>
      </c>
      <c r="C239" s="88" t="s">
        <v>254</v>
      </c>
      <c r="D239" s="269">
        <f>10.4*3</f>
        <v>31.200000000000003</v>
      </c>
      <c r="E239" s="178">
        <v>90</v>
      </c>
      <c r="F239" s="107">
        <f t="shared" si="57"/>
        <v>2808</v>
      </c>
      <c r="G239" s="107">
        <f t="shared" si="58"/>
        <v>3369.6</v>
      </c>
      <c r="I239" s="245"/>
    </row>
    <row r="240" spans="1:9" ht="19.5" customHeight="1" x14ac:dyDescent="0.25">
      <c r="A240" s="88">
        <f t="shared" si="59"/>
        <v>170</v>
      </c>
      <c r="B240" s="253" t="s">
        <v>1003</v>
      </c>
      <c r="C240" s="88" t="s">
        <v>254</v>
      </c>
      <c r="D240" s="269">
        <f>2.9*2</f>
        <v>5.8</v>
      </c>
      <c r="E240" s="178">
        <v>90</v>
      </c>
      <c r="F240" s="107">
        <f t="shared" si="57"/>
        <v>522</v>
      </c>
      <c r="G240" s="107">
        <f t="shared" si="58"/>
        <v>626.4</v>
      </c>
      <c r="I240" s="242"/>
    </row>
    <row r="241" spans="1:9" ht="19.5" customHeight="1" x14ac:dyDescent="0.25">
      <c r="A241" s="88">
        <f t="shared" si="59"/>
        <v>171</v>
      </c>
      <c r="B241" s="253" t="s">
        <v>1004</v>
      </c>
      <c r="C241" s="88" t="s">
        <v>254</v>
      </c>
      <c r="D241" s="269">
        <v>1.6</v>
      </c>
      <c r="E241" s="178">
        <v>90</v>
      </c>
      <c r="F241" s="107">
        <f t="shared" si="57"/>
        <v>144</v>
      </c>
      <c r="G241" s="107">
        <f t="shared" si="58"/>
        <v>172.8</v>
      </c>
      <c r="I241" s="242"/>
    </row>
    <row r="242" spans="1:9" ht="19.5" customHeight="1" x14ac:dyDescent="0.25">
      <c r="A242" s="88"/>
      <c r="B242" s="270" t="s">
        <v>1001</v>
      </c>
      <c r="C242" s="88"/>
      <c r="D242" s="271"/>
      <c r="E242" s="178"/>
      <c r="F242" s="107"/>
      <c r="G242" s="107"/>
      <c r="I242" s="245"/>
    </row>
    <row r="243" spans="1:9" ht="19.5" customHeight="1" x14ac:dyDescent="0.25">
      <c r="A243" s="88">
        <f>A241+1</f>
        <v>172</v>
      </c>
      <c r="B243" s="253" t="s">
        <v>1018</v>
      </c>
      <c r="C243" s="88" t="s">
        <v>254</v>
      </c>
      <c r="D243" s="269">
        <f>1.22*3</f>
        <v>3.66</v>
      </c>
      <c r="E243" s="178">
        <v>85</v>
      </c>
      <c r="F243" s="107">
        <f t="shared" ref="F243:F244" si="60">ROUND(E243*D243,2)</f>
        <v>311.10000000000002</v>
      </c>
      <c r="G243" s="107">
        <f t="shared" ref="G243:G244" si="61">ROUND(F243*1.2,2)</f>
        <v>373.32</v>
      </c>
      <c r="I243" s="245"/>
    </row>
    <row r="244" spans="1:9" ht="19.5" customHeight="1" x14ac:dyDescent="0.25">
      <c r="A244" s="88">
        <f>A243+1</f>
        <v>173</v>
      </c>
      <c r="B244" s="253" t="s">
        <v>1019</v>
      </c>
      <c r="C244" s="88" t="s">
        <v>254</v>
      </c>
      <c r="D244" s="269">
        <f>0.27*16</f>
        <v>4.32</v>
      </c>
      <c r="E244" s="178">
        <v>85</v>
      </c>
      <c r="F244" s="107">
        <f t="shared" si="60"/>
        <v>367.2</v>
      </c>
      <c r="G244" s="107">
        <f t="shared" si="61"/>
        <v>440.64</v>
      </c>
      <c r="I244" s="245"/>
    </row>
    <row r="245" spans="1:9" ht="19.5" customHeight="1" x14ac:dyDescent="0.25">
      <c r="A245" s="88"/>
      <c r="B245" s="270" t="s">
        <v>1021</v>
      </c>
      <c r="C245" s="88"/>
      <c r="D245" s="271"/>
      <c r="E245" s="178"/>
      <c r="F245" s="107"/>
      <c r="G245" s="107"/>
      <c r="I245" s="242"/>
    </row>
    <row r="246" spans="1:9" s="379" customFormat="1" ht="19.5" customHeight="1" x14ac:dyDescent="0.25">
      <c r="A246" s="311">
        <f>A244+1</f>
        <v>174</v>
      </c>
      <c r="B246" s="316" t="s">
        <v>1022</v>
      </c>
      <c r="C246" s="311" t="s">
        <v>194</v>
      </c>
      <c r="D246" s="326">
        <v>23.55</v>
      </c>
      <c r="E246" s="179">
        <v>26</v>
      </c>
      <c r="F246" s="314">
        <f t="shared" ref="F246:F248" si="62">ROUND(E246*D246,2)</f>
        <v>612.29999999999995</v>
      </c>
      <c r="G246" s="314">
        <f t="shared" ref="G246:G248" si="63">ROUND(F246*1.2,2)</f>
        <v>734.76</v>
      </c>
      <c r="I246" s="489"/>
    </row>
    <row r="247" spans="1:9" ht="19.5" customHeight="1" x14ac:dyDescent="0.25">
      <c r="A247" s="88">
        <f>A246+1</f>
        <v>175</v>
      </c>
      <c r="B247" s="253" t="s">
        <v>1023</v>
      </c>
      <c r="C247" s="88" t="s">
        <v>193</v>
      </c>
      <c r="D247" s="273">
        <v>0.621</v>
      </c>
      <c r="E247" s="178">
        <v>5060</v>
      </c>
      <c r="F247" s="107">
        <f t="shared" si="62"/>
        <v>3142.26</v>
      </c>
      <c r="G247" s="107">
        <f t="shared" si="63"/>
        <v>3770.71</v>
      </c>
      <c r="I247" s="242"/>
    </row>
    <row r="248" spans="1:9" ht="19.5" customHeight="1" x14ac:dyDescent="0.25">
      <c r="A248" s="88">
        <f>A247+1</f>
        <v>176</v>
      </c>
      <c r="B248" s="253" t="s">
        <v>1024</v>
      </c>
      <c r="C248" s="328" t="s">
        <v>254</v>
      </c>
      <c r="D248" s="269">
        <f>0.3</f>
        <v>0.3</v>
      </c>
      <c r="E248" s="178">
        <v>60</v>
      </c>
      <c r="F248" s="107">
        <f t="shared" si="62"/>
        <v>18</v>
      </c>
      <c r="G248" s="107">
        <f t="shared" si="63"/>
        <v>21.6</v>
      </c>
      <c r="I248" s="242"/>
    </row>
    <row r="249" spans="1:9" ht="19.5" customHeight="1" x14ac:dyDescent="0.25">
      <c r="A249" s="88"/>
      <c r="B249" s="235" t="s">
        <v>1025</v>
      </c>
      <c r="C249" s="88"/>
      <c r="D249" s="271"/>
      <c r="E249" s="178"/>
      <c r="F249" s="107"/>
      <c r="G249" s="107"/>
      <c r="I249" s="242"/>
    </row>
    <row r="250" spans="1:9" s="379" customFormat="1" ht="19.5" customHeight="1" x14ac:dyDescent="0.25">
      <c r="A250" s="311">
        <f>A248+1</f>
        <v>177</v>
      </c>
      <c r="B250" s="316" t="s">
        <v>1008</v>
      </c>
      <c r="C250" s="311" t="s">
        <v>220</v>
      </c>
      <c r="D250" s="322">
        <v>1</v>
      </c>
      <c r="E250" s="179">
        <v>2850</v>
      </c>
      <c r="F250" s="314">
        <f t="shared" ref="F250:F266" si="64">ROUND(E250*D250,2)</f>
        <v>2850</v>
      </c>
      <c r="G250" s="314">
        <f t="shared" ref="G250:G266" si="65">ROUND(F250*1.2,2)</f>
        <v>3420</v>
      </c>
      <c r="I250" s="489"/>
    </row>
    <row r="251" spans="1:9" ht="19.5" customHeight="1" x14ac:dyDescent="0.25">
      <c r="A251" s="88">
        <f t="shared" ref="A251:A266" si="66">A250+1</f>
        <v>178</v>
      </c>
      <c r="B251" s="253" t="s">
        <v>1026</v>
      </c>
      <c r="C251" s="88" t="s">
        <v>220</v>
      </c>
      <c r="D251" s="247">
        <v>1</v>
      </c>
      <c r="E251" s="178">
        <v>2980</v>
      </c>
      <c r="F251" s="107">
        <f t="shared" si="64"/>
        <v>2980</v>
      </c>
      <c r="G251" s="107">
        <f t="shared" si="65"/>
        <v>3576</v>
      </c>
      <c r="I251" s="242"/>
    </row>
    <row r="252" spans="1:9" ht="19.5" customHeight="1" x14ac:dyDescent="0.25">
      <c r="A252" s="88">
        <f t="shared" si="66"/>
        <v>179</v>
      </c>
      <c r="B252" s="253" t="s">
        <v>1027</v>
      </c>
      <c r="C252" s="88" t="s">
        <v>220</v>
      </c>
      <c r="D252" s="247">
        <v>1</v>
      </c>
      <c r="E252" s="178">
        <v>5450</v>
      </c>
      <c r="F252" s="107">
        <f t="shared" si="64"/>
        <v>5450</v>
      </c>
      <c r="G252" s="107">
        <f t="shared" si="65"/>
        <v>6540</v>
      </c>
      <c r="I252" s="242"/>
    </row>
    <row r="253" spans="1:9" s="493" customFormat="1" ht="19.5" customHeight="1" x14ac:dyDescent="0.25">
      <c r="A253" s="311">
        <f t="shared" si="66"/>
        <v>180</v>
      </c>
      <c r="B253" s="316" t="s">
        <v>1011</v>
      </c>
      <c r="C253" s="311" t="s">
        <v>220</v>
      </c>
      <c r="D253" s="322">
        <v>1</v>
      </c>
      <c r="E253" s="179">
        <v>5830</v>
      </c>
      <c r="F253" s="314">
        <f t="shared" si="64"/>
        <v>5830</v>
      </c>
      <c r="G253" s="314">
        <f t="shared" si="65"/>
        <v>6996</v>
      </c>
      <c r="I253" s="494"/>
    </row>
    <row r="254" spans="1:9" ht="19.5" customHeight="1" x14ac:dyDescent="0.25">
      <c r="A254" s="470">
        <f t="shared" si="66"/>
        <v>181</v>
      </c>
      <c r="B254" s="495" t="s">
        <v>1009</v>
      </c>
      <c r="C254" s="470" t="s">
        <v>220</v>
      </c>
      <c r="D254" s="496">
        <v>1</v>
      </c>
      <c r="E254" s="497">
        <v>15180.000000000002</v>
      </c>
      <c r="F254" s="498">
        <f t="shared" si="64"/>
        <v>15180</v>
      </c>
      <c r="G254" s="498">
        <f t="shared" si="65"/>
        <v>18216</v>
      </c>
      <c r="I254" s="242"/>
    </row>
    <row r="255" spans="1:9" ht="19.5" customHeight="1" x14ac:dyDescent="0.25">
      <c r="A255" s="311">
        <f t="shared" si="66"/>
        <v>182</v>
      </c>
      <c r="B255" s="316" t="s">
        <v>1010</v>
      </c>
      <c r="C255" s="311" t="s">
        <v>220</v>
      </c>
      <c r="D255" s="322">
        <v>1</v>
      </c>
      <c r="E255" s="179">
        <v>2650</v>
      </c>
      <c r="F255" s="314">
        <f t="shared" si="64"/>
        <v>2650</v>
      </c>
      <c r="G255" s="314">
        <f t="shared" si="65"/>
        <v>3180</v>
      </c>
      <c r="I255" s="242"/>
    </row>
    <row r="256" spans="1:9" ht="19.5" customHeight="1" x14ac:dyDescent="0.25">
      <c r="A256" s="311">
        <f t="shared" si="66"/>
        <v>183</v>
      </c>
      <c r="B256" s="316" t="s">
        <v>1028</v>
      </c>
      <c r="C256" s="311" t="s">
        <v>254</v>
      </c>
      <c r="D256" s="322">
        <v>45</v>
      </c>
      <c r="E256" s="179">
        <v>5480</v>
      </c>
      <c r="F256" s="314">
        <f t="shared" si="64"/>
        <v>246600</v>
      </c>
      <c r="G256" s="314">
        <f t="shared" si="65"/>
        <v>295920</v>
      </c>
      <c r="I256" s="242"/>
    </row>
    <row r="257" spans="1:9" ht="19.5" customHeight="1" x14ac:dyDescent="0.25">
      <c r="A257" s="311">
        <f t="shared" si="66"/>
        <v>184</v>
      </c>
      <c r="B257" s="316" t="s">
        <v>1029</v>
      </c>
      <c r="C257" s="311" t="s">
        <v>220</v>
      </c>
      <c r="D257" s="322">
        <v>3</v>
      </c>
      <c r="E257" s="179">
        <v>640</v>
      </c>
      <c r="F257" s="314">
        <f t="shared" si="64"/>
        <v>1920</v>
      </c>
      <c r="G257" s="314">
        <f t="shared" si="65"/>
        <v>2304</v>
      </c>
      <c r="I257" s="242"/>
    </row>
    <row r="258" spans="1:9" ht="19.5" customHeight="1" x14ac:dyDescent="0.25">
      <c r="A258" s="311">
        <f t="shared" si="66"/>
        <v>185</v>
      </c>
      <c r="B258" s="316" t="s">
        <v>975</v>
      </c>
      <c r="C258" s="311" t="s">
        <v>220</v>
      </c>
      <c r="D258" s="322">
        <v>4</v>
      </c>
      <c r="E258" s="179">
        <v>2280</v>
      </c>
      <c r="F258" s="314">
        <f t="shared" si="64"/>
        <v>9120</v>
      </c>
      <c r="G258" s="314">
        <f t="shared" si="65"/>
        <v>10944</v>
      </c>
      <c r="I258" s="242"/>
    </row>
    <row r="259" spans="1:9" ht="19.5" customHeight="1" x14ac:dyDescent="0.25">
      <c r="A259" s="311">
        <f t="shared" si="66"/>
        <v>186</v>
      </c>
      <c r="B259" s="316" t="s">
        <v>1030</v>
      </c>
      <c r="C259" s="311" t="s">
        <v>193</v>
      </c>
      <c r="D259" s="326">
        <v>0.28000000000000003</v>
      </c>
      <c r="E259" s="179">
        <v>5800</v>
      </c>
      <c r="F259" s="314">
        <f t="shared" si="64"/>
        <v>1624</v>
      </c>
      <c r="G259" s="314">
        <f t="shared" si="65"/>
        <v>1948.8</v>
      </c>
      <c r="I259" s="242"/>
    </row>
    <row r="260" spans="1:9" ht="19.5" customHeight="1" x14ac:dyDescent="0.25">
      <c r="A260" s="88">
        <f t="shared" si="66"/>
        <v>187</v>
      </c>
      <c r="B260" s="253" t="s">
        <v>1031</v>
      </c>
      <c r="C260" s="88" t="s">
        <v>193</v>
      </c>
      <c r="D260" s="269">
        <v>0.05</v>
      </c>
      <c r="E260" s="178">
        <v>6072</v>
      </c>
      <c r="F260" s="107">
        <f t="shared" si="64"/>
        <v>303.60000000000002</v>
      </c>
      <c r="G260" s="107">
        <f t="shared" si="65"/>
        <v>364.32</v>
      </c>
      <c r="I260" s="242"/>
    </row>
    <row r="261" spans="1:9" ht="19.5" customHeight="1" x14ac:dyDescent="0.25">
      <c r="A261" s="88">
        <f t="shared" si="66"/>
        <v>188</v>
      </c>
      <c r="B261" s="253" t="s">
        <v>161</v>
      </c>
      <c r="C261" s="88" t="s">
        <v>193</v>
      </c>
      <c r="D261" s="272">
        <v>0.3</v>
      </c>
      <c r="E261" s="178">
        <v>1320</v>
      </c>
      <c r="F261" s="107">
        <f t="shared" si="64"/>
        <v>396</v>
      </c>
      <c r="G261" s="107">
        <f t="shared" si="65"/>
        <v>475.2</v>
      </c>
      <c r="I261" s="242"/>
    </row>
    <row r="262" spans="1:9" ht="19.5" customHeight="1" x14ac:dyDescent="0.25">
      <c r="A262" s="311">
        <f t="shared" si="66"/>
        <v>189</v>
      </c>
      <c r="B262" s="316" t="s">
        <v>976</v>
      </c>
      <c r="C262" s="311" t="s">
        <v>254</v>
      </c>
      <c r="D262" s="325">
        <v>122.7</v>
      </c>
      <c r="E262" s="179">
        <v>180</v>
      </c>
      <c r="F262" s="314">
        <f t="shared" si="64"/>
        <v>22086</v>
      </c>
      <c r="G262" s="314">
        <f t="shared" si="65"/>
        <v>26503.200000000001</v>
      </c>
      <c r="I262" s="242"/>
    </row>
    <row r="263" spans="1:9" ht="19.5" customHeight="1" x14ac:dyDescent="0.25">
      <c r="A263" s="311">
        <f t="shared" si="66"/>
        <v>190</v>
      </c>
      <c r="B263" s="316" t="s">
        <v>1032</v>
      </c>
      <c r="C263" s="311" t="s">
        <v>220</v>
      </c>
      <c r="D263" s="322">
        <v>1</v>
      </c>
      <c r="E263" s="179">
        <v>14960</v>
      </c>
      <c r="F263" s="314">
        <f t="shared" si="64"/>
        <v>14960</v>
      </c>
      <c r="G263" s="314">
        <f t="shared" si="65"/>
        <v>17952</v>
      </c>
      <c r="I263" s="242"/>
    </row>
    <row r="264" spans="1:9" ht="19.5" customHeight="1" x14ac:dyDescent="0.25">
      <c r="A264" s="88">
        <f t="shared" si="66"/>
        <v>191</v>
      </c>
      <c r="B264" s="253" t="s">
        <v>1070</v>
      </c>
      <c r="C264" s="88" t="s">
        <v>387</v>
      </c>
      <c r="D264" s="269">
        <f>41.6*0.25</f>
        <v>10.4</v>
      </c>
      <c r="E264" s="178">
        <v>250</v>
      </c>
      <c r="F264" s="107">
        <f t="shared" si="64"/>
        <v>2600</v>
      </c>
      <c r="G264" s="107">
        <f t="shared" si="65"/>
        <v>3120</v>
      </c>
      <c r="I264" s="242"/>
    </row>
    <row r="265" spans="1:9" ht="19.5" customHeight="1" x14ac:dyDescent="0.25">
      <c r="A265" s="88">
        <f t="shared" si="66"/>
        <v>192</v>
      </c>
      <c r="B265" s="253" t="s">
        <v>1069</v>
      </c>
      <c r="C265" s="88" t="s">
        <v>254</v>
      </c>
      <c r="D265" s="269">
        <f>0.7*41.6*2</f>
        <v>58.239999999999995</v>
      </c>
      <c r="E265" s="178">
        <v>312</v>
      </c>
      <c r="F265" s="107">
        <f t="shared" si="64"/>
        <v>18170.88</v>
      </c>
      <c r="G265" s="107">
        <f t="shared" si="65"/>
        <v>21805.06</v>
      </c>
      <c r="I265" s="242"/>
    </row>
    <row r="266" spans="1:9" s="379" customFormat="1" ht="19.5" customHeight="1" x14ac:dyDescent="0.25">
      <c r="A266" s="311">
        <f t="shared" si="66"/>
        <v>193</v>
      </c>
      <c r="B266" s="316" t="s">
        <v>977</v>
      </c>
      <c r="C266" s="311" t="s">
        <v>254</v>
      </c>
      <c r="D266" s="322">
        <v>133</v>
      </c>
      <c r="E266" s="179">
        <v>180</v>
      </c>
      <c r="F266" s="314">
        <f t="shared" si="64"/>
        <v>23940</v>
      </c>
      <c r="G266" s="314">
        <f t="shared" si="65"/>
        <v>28728</v>
      </c>
      <c r="I266" s="489"/>
    </row>
    <row r="267" spans="1:9" ht="19.5" customHeight="1" x14ac:dyDescent="0.25">
      <c r="A267" s="88"/>
      <c r="B267" s="235" t="s">
        <v>1059</v>
      </c>
      <c r="C267" s="88"/>
      <c r="D267" s="272"/>
      <c r="E267" s="178"/>
      <c r="F267" s="107"/>
      <c r="G267" s="107"/>
      <c r="I267" s="242"/>
    </row>
    <row r="268" spans="1:9" ht="19.5" customHeight="1" x14ac:dyDescent="0.25">
      <c r="A268" s="311">
        <f>A263+1</f>
        <v>191</v>
      </c>
      <c r="B268" s="316" t="s">
        <v>1033</v>
      </c>
      <c r="C268" s="311" t="s">
        <v>220</v>
      </c>
      <c r="D268" s="322">
        <f>1*4</f>
        <v>4</v>
      </c>
      <c r="E268" s="179">
        <v>1600</v>
      </c>
      <c r="F268" s="314">
        <f t="shared" ref="F268:F275" si="67">ROUND(E268*D268,2)</f>
        <v>6400</v>
      </c>
      <c r="G268" s="314">
        <f t="shared" ref="G268:G275" si="68">ROUND(F268*1.2,2)</f>
        <v>7680</v>
      </c>
      <c r="I268" s="242"/>
    </row>
    <row r="269" spans="1:9" ht="19.5" customHeight="1" x14ac:dyDescent="0.25">
      <c r="A269" s="311">
        <f>A268+1</f>
        <v>192</v>
      </c>
      <c r="B269" s="316" t="s">
        <v>1034</v>
      </c>
      <c r="C269" s="311" t="s">
        <v>254</v>
      </c>
      <c r="D269" s="326">
        <f>0.66*4</f>
        <v>2.64</v>
      </c>
      <c r="E269" s="179">
        <v>126</v>
      </c>
      <c r="F269" s="314">
        <f t="shared" si="67"/>
        <v>332.64</v>
      </c>
      <c r="G269" s="314">
        <f t="shared" si="68"/>
        <v>399.17</v>
      </c>
      <c r="H269" s="499"/>
      <c r="I269" s="242"/>
    </row>
    <row r="270" spans="1:9" s="379" customFormat="1" ht="19.5" customHeight="1" x14ac:dyDescent="0.25">
      <c r="A270" s="311">
        <f>A269+1</f>
        <v>193</v>
      </c>
      <c r="B270" s="316" t="s">
        <v>1035</v>
      </c>
      <c r="C270" s="311" t="s">
        <v>220</v>
      </c>
      <c r="D270" s="322">
        <f>1*4</f>
        <v>4</v>
      </c>
      <c r="E270" s="500">
        <v>1614</v>
      </c>
      <c r="F270" s="314">
        <f t="shared" si="67"/>
        <v>6456</v>
      </c>
      <c r="G270" s="314">
        <f t="shared" si="68"/>
        <v>7747.2</v>
      </c>
      <c r="I270" s="489"/>
    </row>
    <row r="271" spans="1:9" s="379" customFormat="1" ht="19.5" customHeight="1" x14ac:dyDescent="0.25">
      <c r="A271" s="311">
        <f>A270+1</f>
        <v>194</v>
      </c>
      <c r="B271" s="316" t="s">
        <v>1036</v>
      </c>
      <c r="C271" s="311" t="s">
        <v>194</v>
      </c>
      <c r="D271" s="325">
        <f>0.2*4</f>
        <v>0.8</v>
      </c>
      <c r="E271" s="179">
        <v>480</v>
      </c>
      <c r="F271" s="314">
        <f t="shared" si="67"/>
        <v>384</v>
      </c>
      <c r="G271" s="314">
        <f t="shared" si="68"/>
        <v>460.8</v>
      </c>
      <c r="I271" s="489"/>
    </row>
    <row r="272" spans="1:9" ht="19.5" customHeight="1" x14ac:dyDescent="0.25">
      <c r="A272" s="88">
        <f t="shared" ref="A272:A275" si="69">A271+1</f>
        <v>195</v>
      </c>
      <c r="B272" s="253" t="s">
        <v>1037</v>
      </c>
      <c r="C272" s="88" t="s">
        <v>254</v>
      </c>
      <c r="D272" s="273">
        <f>0.032*2*4</f>
        <v>0.25600000000000001</v>
      </c>
      <c r="E272" s="178">
        <v>127</v>
      </c>
      <c r="F272" s="107">
        <f t="shared" si="67"/>
        <v>32.51</v>
      </c>
      <c r="G272" s="107">
        <f t="shared" si="68"/>
        <v>39.01</v>
      </c>
      <c r="I272" s="242"/>
    </row>
    <row r="273" spans="1:9" ht="19.5" customHeight="1" x14ac:dyDescent="0.25">
      <c r="A273" s="88">
        <f t="shared" si="69"/>
        <v>196</v>
      </c>
      <c r="B273" s="253" t="s">
        <v>1038</v>
      </c>
      <c r="C273" s="88" t="s">
        <v>254</v>
      </c>
      <c r="D273" s="273">
        <f>0.012*2*4</f>
        <v>9.6000000000000002E-2</v>
      </c>
      <c r="E273" s="178">
        <v>147</v>
      </c>
      <c r="F273" s="107">
        <f t="shared" si="67"/>
        <v>14.11</v>
      </c>
      <c r="G273" s="107">
        <f t="shared" si="68"/>
        <v>16.93</v>
      </c>
      <c r="I273" s="242"/>
    </row>
    <row r="274" spans="1:9" ht="19.5" customHeight="1" x14ac:dyDescent="0.25">
      <c r="A274" s="88">
        <f t="shared" si="69"/>
        <v>197</v>
      </c>
      <c r="B274" s="253" t="s">
        <v>1039</v>
      </c>
      <c r="C274" s="88" t="s">
        <v>254</v>
      </c>
      <c r="D274" s="273">
        <f>0.002*2*4</f>
        <v>1.6E-2</v>
      </c>
      <c r="E274" s="178">
        <v>197</v>
      </c>
      <c r="F274" s="107">
        <f t="shared" si="67"/>
        <v>3.15</v>
      </c>
      <c r="G274" s="107">
        <f t="shared" si="68"/>
        <v>3.78</v>
      </c>
      <c r="I274" s="242"/>
    </row>
    <row r="275" spans="1:9" ht="19.5" customHeight="1" x14ac:dyDescent="0.25">
      <c r="A275" s="88">
        <f t="shared" si="69"/>
        <v>198</v>
      </c>
      <c r="B275" s="253" t="s">
        <v>1040</v>
      </c>
      <c r="C275" s="88" t="s">
        <v>254</v>
      </c>
      <c r="D275" s="273">
        <f>0.004*2*4</f>
        <v>3.2000000000000001E-2</v>
      </c>
      <c r="E275" s="178">
        <v>197</v>
      </c>
      <c r="F275" s="107">
        <f t="shared" si="67"/>
        <v>6.3</v>
      </c>
      <c r="G275" s="107">
        <f t="shared" si="68"/>
        <v>7.56</v>
      </c>
      <c r="I275" s="242"/>
    </row>
    <row r="276" spans="1:9" ht="19.5" customHeight="1" x14ac:dyDescent="0.25">
      <c r="A276" s="88"/>
      <c r="B276" s="235" t="s">
        <v>404</v>
      </c>
      <c r="C276" s="88"/>
      <c r="D276" s="271"/>
      <c r="E276" s="178"/>
      <c r="F276" s="107"/>
      <c r="G276" s="107"/>
      <c r="I276" s="242"/>
    </row>
    <row r="277" spans="1:9" s="379" customFormat="1" ht="24.75" customHeight="1" x14ac:dyDescent="0.25">
      <c r="A277" s="311">
        <f>A275+1</f>
        <v>199</v>
      </c>
      <c r="B277" s="316" t="s">
        <v>1051</v>
      </c>
      <c r="C277" s="311" t="s">
        <v>194</v>
      </c>
      <c r="D277" s="322">
        <v>115</v>
      </c>
      <c r="E277" s="179">
        <v>1455</v>
      </c>
      <c r="F277" s="314">
        <f t="shared" ref="F277:F300" si="70">ROUND(E277*D277,2)</f>
        <v>167325</v>
      </c>
      <c r="G277" s="314">
        <f t="shared" ref="G277:G300" si="71">ROUND(F277*1.2,2)</f>
        <v>200790</v>
      </c>
      <c r="H277" s="501" t="s">
        <v>1206</v>
      </c>
      <c r="I277" s="489"/>
    </row>
    <row r="278" spans="1:9" ht="19.5" customHeight="1" x14ac:dyDescent="0.25">
      <c r="A278" s="328">
        <f>A277+1</f>
        <v>200</v>
      </c>
      <c r="B278" s="331" t="s">
        <v>1042</v>
      </c>
      <c r="C278" s="328" t="s">
        <v>194</v>
      </c>
      <c r="D278" s="502">
        <v>20</v>
      </c>
      <c r="E278" s="329">
        <v>0</v>
      </c>
      <c r="F278" s="330">
        <f t="shared" si="70"/>
        <v>0</v>
      </c>
      <c r="G278" s="330">
        <f t="shared" si="71"/>
        <v>0</v>
      </c>
      <c r="I278" s="242"/>
    </row>
    <row r="279" spans="1:9" ht="19.5" customHeight="1" x14ac:dyDescent="0.25">
      <c r="A279" s="328">
        <f t="shared" ref="A279:A300" si="72">A278+1</f>
        <v>201</v>
      </c>
      <c r="B279" s="331" t="s">
        <v>1054</v>
      </c>
      <c r="C279" s="328" t="s">
        <v>194</v>
      </c>
      <c r="D279" s="502">
        <v>24</v>
      </c>
      <c r="E279" s="329">
        <v>0</v>
      </c>
      <c r="F279" s="330">
        <f t="shared" si="70"/>
        <v>0</v>
      </c>
      <c r="G279" s="330">
        <f t="shared" si="71"/>
        <v>0</v>
      </c>
      <c r="I279" s="242"/>
    </row>
    <row r="280" spans="1:9" s="379" customFormat="1" ht="19.5" customHeight="1" x14ac:dyDescent="0.25">
      <c r="A280" s="311">
        <f t="shared" si="72"/>
        <v>202</v>
      </c>
      <c r="B280" s="316" t="s">
        <v>1052</v>
      </c>
      <c r="C280" s="311" t="s">
        <v>194</v>
      </c>
      <c r="D280" s="322">
        <v>11</v>
      </c>
      <c r="E280" s="179">
        <v>780</v>
      </c>
      <c r="F280" s="314">
        <f t="shared" si="70"/>
        <v>8580</v>
      </c>
      <c r="G280" s="314">
        <f t="shared" si="71"/>
        <v>10296</v>
      </c>
      <c r="I280" s="489"/>
    </row>
    <row r="281" spans="1:9" s="379" customFormat="1" ht="19.5" customHeight="1" x14ac:dyDescent="0.25">
      <c r="A281" s="311">
        <f t="shared" si="72"/>
        <v>203</v>
      </c>
      <c r="B281" s="316" t="s">
        <v>1053</v>
      </c>
      <c r="C281" s="311" t="s">
        <v>194</v>
      </c>
      <c r="D281" s="325">
        <v>10.5</v>
      </c>
      <c r="E281" s="179">
        <v>518</v>
      </c>
      <c r="F281" s="314">
        <f t="shared" si="70"/>
        <v>5439</v>
      </c>
      <c r="G281" s="314">
        <f t="shared" si="71"/>
        <v>6526.8</v>
      </c>
      <c r="H281" s="380"/>
      <c r="I281" s="489"/>
    </row>
    <row r="282" spans="1:9" s="379" customFormat="1" ht="19.5" customHeight="1" x14ac:dyDescent="0.25">
      <c r="A282" s="311">
        <f t="shared" si="72"/>
        <v>204</v>
      </c>
      <c r="B282" s="316" t="s">
        <v>1055</v>
      </c>
      <c r="C282" s="311" t="s">
        <v>194</v>
      </c>
      <c r="D282" s="325">
        <v>2</v>
      </c>
      <c r="E282" s="179">
        <v>3300</v>
      </c>
      <c r="F282" s="314">
        <f t="shared" si="70"/>
        <v>6600</v>
      </c>
      <c r="G282" s="314">
        <f t="shared" si="71"/>
        <v>7920</v>
      </c>
      <c r="H282" s="380"/>
      <c r="I282" s="489"/>
    </row>
    <row r="283" spans="1:9" s="379" customFormat="1" ht="19.5" customHeight="1" x14ac:dyDescent="0.25">
      <c r="A283" s="311">
        <f t="shared" si="72"/>
        <v>205</v>
      </c>
      <c r="B283" s="316" t="s">
        <v>1043</v>
      </c>
      <c r="C283" s="311" t="s">
        <v>220</v>
      </c>
      <c r="D283" s="322">
        <f>4+12</f>
        <v>16</v>
      </c>
      <c r="E283" s="179">
        <v>3900</v>
      </c>
      <c r="F283" s="314">
        <f t="shared" si="70"/>
        <v>62400</v>
      </c>
      <c r="G283" s="314">
        <f t="shared" si="71"/>
        <v>74880</v>
      </c>
      <c r="H283" s="380"/>
      <c r="I283" s="489"/>
    </row>
    <row r="284" spans="1:9" s="379" customFormat="1" ht="19.5" customHeight="1" x14ac:dyDescent="0.25">
      <c r="A284" s="311">
        <f t="shared" si="72"/>
        <v>206</v>
      </c>
      <c r="B284" s="316" t="s">
        <v>1056</v>
      </c>
      <c r="C284" s="311" t="s">
        <v>220</v>
      </c>
      <c r="D284" s="322">
        <v>6</v>
      </c>
      <c r="E284" s="179">
        <v>600</v>
      </c>
      <c r="F284" s="314">
        <f t="shared" si="70"/>
        <v>3600</v>
      </c>
      <c r="G284" s="314">
        <f t="shared" si="71"/>
        <v>4320</v>
      </c>
      <c r="H284" s="380"/>
      <c r="I284" s="489"/>
    </row>
    <row r="285" spans="1:9" s="379" customFormat="1" ht="19.5" customHeight="1" x14ac:dyDescent="0.25">
      <c r="A285" s="311">
        <f t="shared" si="72"/>
        <v>207</v>
      </c>
      <c r="B285" s="316" t="s">
        <v>1044</v>
      </c>
      <c r="C285" s="311" t="s">
        <v>220</v>
      </c>
      <c r="D285" s="322">
        <f>4+4</f>
        <v>8</v>
      </c>
      <c r="E285" s="179">
        <v>165</v>
      </c>
      <c r="F285" s="314">
        <f t="shared" si="70"/>
        <v>1320</v>
      </c>
      <c r="G285" s="314">
        <f t="shared" si="71"/>
        <v>1584</v>
      </c>
      <c r="H285" s="380"/>
      <c r="I285" s="489"/>
    </row>
    <row r="286" spans="1:9" s="379" customFormat="1" ht="33" customHeight="1" x14ac:dyDescent="0.25">
      <c r="A286" s="311">
        <f t="shared" si="72"/>
        <v>208</v>
      </c>
      <c r="B286" s="316" t="s">
        <v>1045</v>
      </c>
      <c r="C286" s="311" t="s">
        <v>220</v>
      </c>
      <c r="D286" s="322">
        <f>2+2</f>
        <v>4</v>
      </c>
      <c r="E286" s="179">
        <v>48390</v>
      </c>
      <c r="F286" s="314">
        <f t="shared" si="70"/>
        <v>193560</v>
      </c>
      <c r="G286" s="314">
        <f t="shared" si="71"/>
        <v>232272</v>
      </c>
      <c r="I286" s="489"/>
    </row>
    <row r="287" spans="1:9" s="379" customFormat="1" ht="33" customHeight="1" x14ac:dyDescent="0.25">
      <c r="A287" s="311">
        <f t="shared" si="72"/>
        <v>209</v>
      </c>
      <c r="B287" s="316" t="s">
        <v>1057</v>
      </c>
      <c r="C287" s="311" t="s">
        <v>220</v>
      </c>
      <c r="D287" s="322">
        <v>2</v>
      </c>
      <c r="E287" s="179">
        <v>9400</v>
      </c>
      <c r="F287" s="314">
        <f t="shared" si="70"/>
        <v>18800</v>
      </c>
      <c r="G287" s="314">
        <f t="shared" si="71"/>
        <v>22560</v>
      </c>
      <c r="I287" s="489"/>
    </row>
    <row r="288" spans="1:9" s="379" customFormat="1" ht="30" customHeight="1" x14ac:dyDescent="0.25">
      <c r="A288" s="311">
        <f t="shared" si="72"/>
        <v>210</v>
      </c>
      <c r="B288" s="316" t="s">
        <v>1046</v>
      </c>
      <c r="C288" s="311" t="s">
        <v>220</v>
      </c>
      <c r="D288" s="322">
        <f>2+2</f>
        <v>4</v>
      </c>
      <c r="E288" s="179">
        <v>4100</v>
      </c>
      <c r="F288" s="314">
        <f t="shared" si="70"/>
        <v>16400</v>
      </c>
      <c r="G288" s="314">
        <f t="shared" si="71"/>
        <v>19680</v>
      </c>
      <c r="I288" s="489"/>
    </row>
    <row r="289" spans="1:9" s="379" customFormat="1" ht="15.75" customHeight="1" x14ac:dyDescent="0.25">
      <c r="A289" s="311">
        <f t="shared" si="72"/>
        <v>211</v>
      </c>
      <c r="B289" s="316" t="s">
        <v>1047</v>
      </c>
      <c r="C289" s="311" t="s">
        <v>220</v>
      </c>
      <c r="D289" s="322">
        <v>24</v>
      </c>
      <c r="E289" s="179">
        <v>5630</v>
      </c>
      <c r="F289" s="314">
        <f t="shared" si="70"/>
        <v>135120</v>
      </c>
      <c r="G289" s="314">
        <f t="shared" si="71"/>
        <v>162144</v>
      </c>
      <c r="H289" s="380"/>
      <c r="I289" s="489"/>
    </row>
    <row r="290" spans="1:9" s="379" customFormat="1" ht="15.75" customHeight="1" x14ac:dyDescent="0.25">
      <c r="A290" s="311">
        <f t="shared" si="72"/>
        <v>212</v>
      </c>
      <c r="B290" s="316" t="s">
        <v>1058</v>
      </c>
      <c r="C290" s="311" t="s">
        <v>220</v>
      </c>
      <c r="D290" s="322">
        <v>2</v>
      </c>
      <c r="E290" s="179">
        <v>1890</v>
      </c>
      <c r="F290" s="314">
        <f t="shared" si="70"/>
        <v>3780</v>
      </c>
      <c r="G290" s="314">
        <f t="shared" si="71"/>
        <v>4536</v>
      </c>
      <c r="I290" s="489"/>
    </row>
    <row r="291" spans="1:9" s="379" customFormat="1" ht="15.75" customHeight="1" x14ac:dyDescent="0.25">
      <c r="A291" s="311">
        <f t="shared" si="72"/>
        <v>213</v>
      </c>
      <c r="B291" s="316" t="s">
        <v>1060</v>
      </c>
      <c r="C291" s="311" t="s">
        <v>220</v>
      </c>
      <c r="D291" s="322">
        <v>2</v>
      </c>
      <c r="E291" s="179">
        <v>1920</v>
      </c>
      <c r="F291" s="314">
        <f t="shared" si="70"/>
        <v>3840</v>
      </c>
      <c r="G291" s="314">
        <f t="shared" si="71"/>
        <v>4608</v>
      </c>
      <c r="H291" s="380"/>
      <c r="I291" s="489"/>
    </row>
    <row r="292" spans="1:9" s="379" customFormat="1" ht="15.75" customHeight="1" x14ac:dyDescent="0.25">
      <c r="A292" s="311">
        <f t="shared" si="72"/>
        <v>214</v>
      </c>
      <c r="B292" s="316" t="s">
        <v>1049</v>
      </c>
      <c r="C292" s="311" t="s">
        <v>220</v>
      </c>
      <c r="D292" s="322">
        <v>4</v>
      </c>
      <c r="E292" s="500">
        <v>12000</v>
      </c>
      <c r="F292" s="314">
        <f t="shared" si="70"/>
        <v>48000</v>
      </c>
      <c r="G292" s="314">
        <f t="shared" si="71"/>
        <v>57600</v>
      </c>
      <c r="I292" s="489"/>
    </row>
    <row r="293" spans="1:9" s="379" customFormat="1" ht="15.75" customHeight="1" x14ac:dyDescent="0.25">
      <c r="A293" s="311">
        <f t="shared" si="72"/>
        <v>215</v>
      </c>
      <c r="B293" s="316" t="s">
        <v>1050</v>
      </c>
      <c r="C293" s="311" t="s">
        <v>220</v>
      </c>
      <c r="D293" s="322">
        <v>1</v>
      </c>
      <c r="E293" s="179">
        <v>11775</v>
      </c>
      <c r="F293" s="314">
        <f t="shared" si="70"/>
        <v>11775</v>
      </c>
      <c r="G293" s="314">
        <f t="shared" si="71"/>
        <v>14130</v>
      </c>
      <c r="I293" s="489"/>
    </row>
    <row r="294" spans="1:9" s="379" customFormat="1" ht="15.75" customHeight="1" x14ac:dyDescent="0.25">
      <c r="A294" s="311">
        <f t="shared" si="72"/>
        <v>216</v>
      </c>
      <c r="B294" s="316" t="s">
        <v>1061</v>
      </c>
      <c r="C294" s="311" t="s">
        <v>194</v>
      </c>
      <c r="D294" s="325">
        <v>2.2999999999999998</v>
      </c>
      <c r="E294" s="179">
        <v>372</v>
      </c>
      <c r="F294" s="314">
        <f t="shared" si="70"/>
        <v>855.6</v>
      </c>
      <c r="G294" s="314">
        <f t="shared" si="71"/>
        <v>1026.72</v>
      </c>
      <c r="I294" s="489"/>
    </row>
    <row r="295" spans="1:9" s="379" customFormat="1" ht="20.100000000000001" customHeight="1" x14ac:dyDescent="0.25">
      <c r="A295" s="311">
        <f t="shared" si="72"/>
        <v>217</v>
      </c>
      <c r="B295" s="316" t="s">
        <v>1062</v>
      </c>
      <c r="C295" s="311" t="s">
        <v>254</v>
      </c>
      <c r="D295" s="325">
        <v>3.5</v>
      </c>
      <c r="E295" s="500">
        <v>1900</v>
      </c>
      <c r="F295" s="314">
        <f t="shared" si="70"/>
        <v>6650</v>
      </c>
      <c r="G295" s="314">
        <f t="shared" si="71"/>
        <v>7980</v>
      </c>
      <c r="I295" s="489"/>
    </row>
    <row r="296" spans="1:9" s="379" customFormat="1" ht="15.75" customHeight="1" x14ac:dyDescent="0.25">
      <c r="A296" s="311">
        <f t="shared" si="72"/>
        <v>218</v>
      </c>
      <c r="B296" s="316" t="s">
        <v>1063</v>
      </c>
      <c r="C296" s="311" t="s">
        <v>220</v>
      </c>
      <c r="D296" s="322">
        <v>1</v>
      </c>
      <c r="E296" s="179">
        <v>6500</v>
      </c>
      <c r="F296" s="314">
        <f t="shared" si="70"/>
        <v>6500</v>
      </c>
      <c r="G296" s="314">
        <f t="shared" si="71"/>
        <v>7800</v>
      </c>
      <c r="I296" s="489"/>
    </row>
    <row r="297" spans="1:9" s="379" customFormat="1" ht="15.75" customHeight="1" x14ac:dyDescent="0.25">
      <c r="A297" s="311">
        <f t="shared" si="72"/>
        <v>219</v>
      </c>
      <c r="B297" s="316" t="s">
        <v>1064</v>
      </c>
      <c r="C297" s="311" t="s">
        <v>220</v>
      </c>
      <c r="D297" s="322">
        <v>4</v>
      </c>
      <c r="E297" s="179">
        <v>2040</v>
      </c>
      <c r="F297" s="314">
        <f t="shared" si="70"/>
        <v>8160</v>
      </c>
      <c r="G297" s="314">
        <f t="shared" si="71"/>
        <v>9792</v>
      </c>
      <c r="I297" s="489"/>
    </row>
    <row r="298" spans="1:9" ht="15.75" customHeight="1" x14ac:dyDescent="0.25">
      <c r="A298" s="311">
        <f t="shared" si="72"/>
        <v>220</v>
      </c>
      <c r="B298" s="316" t="s">
        <v>1065</v>
      </c>
      <c r="C298" s="328" t="s">
        <v>254</v>
      </c>
      <c r="D298" s="326">
        <v>1.71</v>
      </c>
      <c r="E298" s="179">
        <v>180</v>
      </c>
      <c r="F298" s="314">
        <f t="shared" si="70"/>
        <v>307.8</v>
      </c>
      <c r="G298" s="314">
        <f t="shared" si="71"/>
        <v>369.36</v>
      </c>
      <c r="I298" s="242"/>
    </row>
    <row r="299" spans="1:9" s="379" customFormat="1" ht="15.75" customHeight="1" x14ac:dyDescent="0.25">
      <c r="A299" s="311">
        <f t="shared" si="72"/>
        <v>221</v>
      </c>
      <c r="B299" s="316" t="s">
        <v>1066</v>
      </c>
      <c r="C299" s="311" t="s">
        <v>220</v>
      </c>
      <c r="D299" s="322">
        <v>1</v>
      </c>
      <c r="E299" s="179">
        <v>9000</v>
      </c>
      <c r="F299" s="314">
        <f t="shared" si="70"/>
        <v>9000</v>
      </c>
      <c r="G299" s="314">
        <f t="shared" si="71"/>
        <v>10800</v>
      </c>
      <c r="I299" s="489"/>
    </row>
    <row r="300" spans="1:9" ht="30" x14ac:dyDescent="0.25">
      <c r="A300" s="66">
        <f t="shared" si="72"/>
        <v>222</v>
      </c>
      <c r="B300" s="67" t="s">
        <v>407</v>
      </c>
      <c r="C300" s="66" t="s">
        <v>243</v>
      </c>
      <c r="D300" s="71">
        <v>1</v>
      </c>
      <c r="E300" s="223">
        <v>150000</v>
      </c>
      <c r="F300" s="105">
        <f t="shared" si="70"/>
        <v>150000</v>
      </c>
      <c r="G300" s="105">
        <f t="shared" si="71"/>
        <v>180000</v>
      </c>
    </row>
    <row r="301" spans="1:9" ht="22.5" customHeight="1" x14ac:dyDescent="0.25">
      <c r="A301" s="467" t="s">
        <v>408</v>
      </c>
      <c r="B301" s="467"/>
      <c r="C301" s="467"/>
      <c r="D301" s="467"/>
      <c r="E301" s="467"/>
      <c r="F301" s="83">
        <f>SUM(F6:F300)</f>
        <v>14525677.600000001</v>
      </c>
      <c r="G301" s="83">
        <f>SUM(G6:G300)</f>
        <v>24463864.980000012</v>
      </c>
    </row>
  </sheetData>
  <mergeCells count="11">
    <mergeCell ref="B115:D115"/>
    <mergeCell ref="B144:D144"/>
    <mergeCell ref="B159:D159"/>
    <mergeCell ref="B183:D183"/>
    <mergeCell ref="A301:E301"/>
    <mergeCell ref="A1:A3"/>
    <mergeCell ref="B1:B3"/>
    <mergeCell ref="C1:C3"/>
    <mergeCell ref="D1:D3"/>
    <mergeCell ref="E1:G2"/>
    <mergeCell ref="B5:D5"/>
  </mergeCells>
  <pageMargins left="0.7" right="0.7" top="0.75" bottom="0.75" header="0.3" footer="0.3"/>
  <pageSetup paperSize="9" scale="63" orientation="portrait" r:id="rId1"/>
  <rowBreaks count="1" manualBreakCount="1">
    <brk id="267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view="pageBreakPreview" zoomScale="70" zoomScaleNormal="100" zoomScaleSheetLayoutView="70" workbookViewId="0">
      <selection activeCell="F20" sqref="F20"/>
    </sheetView>
  </sheetViews>
  <sheetFormatPr defaultRowHeight="15" x14ac:dyDescent="0.25"/>
  <cols>
    <col min="1" max="1" width="6.5703125" customWidth="1"/>
    <col min="2" max="2" width="30.7109375" customWidth="1"/>
    <col min="3" max="3" width="17.5703125" customWidth="1"/>
    <col min="4" max="4" width="18.7109375" customWidth="1"/>
    <col min="5" max="5" width="20.14062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11" x14ac:dyDescent="0.25">
      <c r="A1" s="405" t="s">
        <v>226</v>
      </c>
      <c r="B1" s="405" t="s">
        <v>724</v>
      </c>
      <c r="C1" s="404" t="s">
        <v>732</v>
      </c>
      <c r="D1" s="404"/>
      <c r="E1" s="404"/>
      <c r="F1" s="406" t="s">
        <v>733</v>
      </c>
      <c r="G1" s="406"/>
      <c r="H1" s="406"/>
    </row>
    <row r="2" spans="1:11" ht="28.5" x14ac:dyDescent="0.25">
      <c r="A2" s="405"/>
      <c r="B2" s="405"/>
      <c r="C2" s="196" t="s">
        <v>725</v>
      </c>
      <c r="D2" s="197" t="s">
        <v>726</v>
      </c>
      <c r="E2" s="197" t="s">
        <v>727</v>
      </c>
      <c r="F2" s="198" t="s">
        <v>725</v>
      </c>
      <c r="G2" s="199" t="s">
        <v>726</v>
      </c>
      <c r="H2" s="199" t="s">
        <v>727</v>
      </c>
    </row>
    <row r="3" spans="1:11" x14ac:dyDescent="0.25">
      <c r="A3" s="110">
        <v>1</v>
      </c>
      <c r="B3" s="97" t="s">
        <v>176</v>
      </c>
      <c r="C3" s="200">
        <f>'СМР 417 путь'!F37</f>
        <v>61287186.970000006</v>
      </c>
      <c r="D3" s="202">
        <f>'мат 417 путь'!F30</f>
        <v>121856658.65000001</v>
      </c>
      <c r="E3" s="203">
        <f>C3+D3</f>
        <v>183143845.62</v>
      </c>
      <c r="F3" s="204">
        <f>'СМР 417 путь'!G37</f>
        <v>73544624.369999975</v>
      </c>
      <c r="G3" s="205">
        <f>'мат 417 путь'!G30</f>
        <v>146227990.36999997</v>
      </c>
      <c r="H3" s="206">
        <f>F3+G3</f>
        <v>219772614.73999995</v>
      </c>
      <c r="I3" s="30"/>
    </row>
    <row r="4" spans="1:11" hidden="1" x14ac:dyDescent="0.25">
      <c r="A4" s="110">
        <f>A3+1</f>
        <v>2</v>
      </c>
      <c r="B4" s="97" t="s">
        <v>177</v>
      </c>
      <c r="C4" s="200"/>
      <c r="D4" s="202"/>
      <c r="E4" s="203"/>
      <c r="F4" s="204"/>
      <c r="G4" s="205"/>
      <c r="H4" s="206"/>
      <c r="I4" s="30"/>
    </row>
    <row r="5" spans="1:11" x14ac:dyDescent="0.25">
      <c r="A5" s="110">
        <v>2</v>
      </c>
      <c r="B5" s="97" t="s">
        <v>731</v>
      </c>
      <c r="C5" s="200">
        <f>'СМР комм-ции 417'!F389</f>
        <v>86101286.749999955</v>
      </c>
      <c r="D5" s="202">
        <f>'мат комм-ции 417'!F280</f>
        <v>43007860.609999999</v>
      </c>
      <c r="E5" s="203">
        <f t="shared" ref="E5:E12" si="0">C5+D5</f>
        <v>129109147.35999995</v>
      </c>
      <c r="F5" s="204">
        <f>'СМР комм-ции 417'!G389</f>
        <v>221447155.92999998</v>
      </c>
      <c r="G5" s="205">
        <f>'мат комм-ции 417'!G280</f>
        <v>51609432.74000001</v>
      </c>
      <c r="H5" s="206">
        <f t="shared" ref="H5:H12" si="1">F5+G5</f>
        <v>273056588.66999996</v>
      </c>
      <c r="I5" s="30"/>
    </row>
    <row r="6" spans="1:11" hidden="1" x14ac:dyDescent="0.25">
      <c r="A6" s="110">
        <f t="shared" ref="A6:A12" si="2">A5+1</f>
        <v>3</v>
      </c>
      <c r="B6" s="208" t="s">
        <v>736</v>
      </c>
      <c r="C6" s="200"/>
      <c r="D6" s="202"/>
      <c r="E6" s="203"/>
      <c r="F6" s="204"/>
      <c r="G6" s="205"/>
      <c r="H6" s="206"/>
      <c r="I6" s="30"/>
      <c r="J6" s="30"/>
      <c r="K6" s="30"/>
    </row>
    <row r="7" spans="1:11" hidden="1" x14ac:dyDescent="0.25">
      <c r="A7" s="110">
        <f t="shared" si="2"/>
        <v>4</v>
      </c>
      <c r="B7" s="97" t="s">
        <v>729</v>
      </c>
      <c r="C7" s="200"/>
      <c r="D7" s="202"/>
      <c r="E7" s="203"/>
      <c r="F7" s="204"/>
      <c r="G7" s="205"/>
      <c r="H7" s="206"/>
      <c r="I7" s="30"/>
    </row>
    <row r="8" spans="1:11" hidden="1" x14ac:dyDescent="0.25">
      <c r="A8" s="110">
        <v>3</v>
      </c>
      <c r="B8" s="97" t="s">
        <v>730</v>
      </c>
      <c r="C8" s="200"/>
      <c r="D8" s="202"/>
      <c r="E8" s="203"/>
      <c r="F8" s="204"/>
      <c r="G8" s="205"/>
      <c r="H8" s="206"/>
      <c r="I8" s="30"/>
    </row>
    <row r="9" spans="1:11" x14ac:dyDescent="0.25">
      <c r="A9" s="110">
        <v>3</v>
      </c>
      <c r="B9" s="97" t="s">
        <v>1347</v>
      </c>
      <c r="C9" s="200">
        <f>'СМР ГСН'!F45</f>
        <v>2721657.03</v>
      </c>
      <c r="D9" s="202">
        <f>'мат ГСН'!F32</f>
        <v>1893181.8699999999</v>
      </c>
      <c r="E9" s="203">
        <f t="shared" si="0"/>
        <v>4614838.8999999994</v>
      </c>
      <c r="F9" s="204">
        <f>'СМР ГСН'!G45</f>
        <v>3265988.4400000004</v>
      </c>
      <c r="G9" s="205">
        <f>'мат ГСН'!G32</f>
        <v>2271818.2400000002</v>
      </c>
      <c r="H9" s="206">
        <f t="shared" si="1"/>
        <v>5537806.6800000006</v>
      </c>
      <c r="I9" s="30"/>
    </row>
    <row r="10" spans="1:11" x14ac:dyDescent="0.25">
      <c r="A10" s="110">
        <v>4</v>
      </c>
      <c r="B10" s="97" t="s">
        <v>1601</v>
      </c>
      <c r="C10" s="200">
        <f>'СМР эстакада'!F102</f>
        <v>6405141.8099999996</v>
      </c>
      <c r="D10" s="202">
        <f>'мат эстакада'!F87</f>
        <v>2246729.7199999997</v>
      </c>
      <c r="E10" s="203">
        <f t="shared" si="0"/>
        <v>8651871.5299999993</v>
      </c>
      <c r="F10" s="204">
        <f>'СМР эстакада'!G102</f>
        <v>7686170.1699999962</v>
      </c>
      <c r="G10" s="205">
        <f>'мат эстакада'!G87</f>
        <v>2696075.69</v>
      </c>
      <c r="H10" s="206">
        <f t="shared" si="1"/>
        <v>10382245.859999996</v>
      </c>
      <c r="I10" s="30"/>
    </row>
    <row r="11" spans="1:11" x14ac:dyDescent="0.25">
      <c r="A11" s="110">
        <f t="shared" si="2"/>
        <v>5</v>
      </c>
      <c r="B11" s="97" t="s">
        <v>1348</v>
      </c>
      <c r="C11" s="200">
        <f>'СМР ТС2'!F91</f>
        <v>1780862.4899999998</v>
      </c>
      <c r="D11" s="202">
        <f>'мат ТС2'!F99</f>
        <v>1032481.5499999999</v>
      </c>
      <c r="E11" s="203">
        <f t="shared" si="0"/>
        <v>2813344.0399999996</v>
      </c>
      <c r="F11" s="204">
        <f>'СМР ТС2'!G91</f>
        <v>2137034.9900000007</v>
      </c>
      <c r="G11" s="205">
        <f>'мат ТС2'!G99</f>
        <v>1238977.8500000001</v>
      </c>
      <c r="H11" s="206">
        <f t="shared" si="1"/>
        <v>3376012.8400000008</v>
      </c>
      <c r="I11" s="30"/>
    </row>
    <row r="12" spans="1:11" x14ac:dyDescent="0.25">
      <c r="A12" s="110">
        <f t="shared" si="2"/>
        <v>6</v>
      </c>
      <c r="B12" s="97" t="s">
        <v>1349</v>
      </c>
      <c r="C12" s="200">
        <f>'СМР ТС3'!F105</f>
        <v>3806960.9499999997</v>
      </c>
      <c r="D12" s="202">
        <f>'мат ТС3'!F93</f>
        <v>1634514.3399999999</v>
      </c>
      <c r="E12" s="203">
        <f t="shared" si="0"/>
        <v>5441475.2899999991</v>
      </c>
      <c r="F12" s="204">
        <f>'СМР ТС3'!G105</f>
        <v>4568353.16</v>
      </c>
      <c r="G12" s="205">
        <f>'мат ТС3'!G93</f>
        <v>1961417.1899999997</v>
      </c>
      <c r="H12" s="206">
        <f t="shared" si="1"/>
        <v>6529770.3499999996</v>
      </c>
      <c r="I12" s="30"/>
    </row>
    <row r="13" spans="1:11" x14ac:dyDescent="0.25">
      <c r="A13" s="110"/>
      <c r="B13" s="97"/>
      <c r="C13" s="200"/>
      <c r="D13" s="202"/>
      <c r="E13" s="203"/>
      <c r="F13" s="204"/>
      <c r="G13" s="205"/>
      <c r="H13" s="206"/>
      <c r="I13" s="30"/>
    </row>
    <row r="14" spans="1:11" x14ac:dyDescent="0.25">
      <c r="A14" s="130"/>
      <c r="B14" s="95" t="s">
        <v>728</v>
      </c>
      <c r="C14" s="201">
        <f t="shared" ref="C14:H14" si="3">SUM(C3:C12)</f>
        <v>162103095.99999997</v>
      </c>
      <c r="D14" s="201">
        <f t="shared" si="3"/>
        <v>171671426.74000001</v>
      </c>
      <c r="E14" s="201">
        <f t="shared" si="3"/>
        <v>333774522.73999995</v>
      </c>
      <c r="F14" s="207">
        <f t="shared" si="3"/>
        <v>312649327.06</v>
      </c>
      <c r="G14" s="207">
        <f t="shared" si="3"/>
        <v>206005712.07999998</v>
      </c>
      <c r="H14" s="207">
        <f t="shared" si="3"/>
        <v>518655039.13999993</v>
      </c>
      <c r="I14" s="30"/>
    </row>
    <row r="15" spans="1:11" x14ac:dyDescent="0.25">
      <c r="A15" s="156"/>
      <c r="B15" s="156"/>
      <c r="C15" s="156"/>
      <c r="D15" s="156"/>
      <c r="E15" s="156"/>
      <c r="I15" s="30"/>
    </row>
    <row r="16" spans="1:11" x14ac:dyDescent="0.25">
      <c r="A16" s="156"/>
      <c r="B16" s="156"/>
      <c r="C16" s="156"/>
      <c r="D16" s="156"/>
      <c r="E16" s="156"/>
    </row>
    <row r="17" spans="1:5" x14ac:dyDescent="0.25">
      <c r="A17" s="156"/>
      <c r="B17" s="156"/>
      <c r="C17" s="156"/>
      <c r="D17" s="156"/>
      <c r="E17" s="156"/>
    </row>
    <row r="18" spans="1:5" x14ac:dyDescent="0.25">
      <c r="A18" s="156"/>
      <c r="B18" s="156"/>
      <c r="C18" s="156"/>
      <c r="D18" s="156"/>
      <c r="E18" s="156"/>
    </row>
    <row r="19" spans="1:5" x14ac:dyDescent="0.25">
      <c r="A19" s="156"/>
      <c r="B19" s="156"/>
      <c r="C19" s="156"/>
      <c r="D19" s="156"/>
      <c r="E19" s="156"/>
    </row>
    <row r="20" spans="1:5" x14ac:dyDescent="0.25">
      <c r="A20" s="156"/>
      <c r="B20" s="156"/>
      <c r="C20" s="156"/>
      <c r="D20" s="156"/>
      <c r="E20" s="156"/>
    </row>
    <row r="21" spans="1:5" x14ac:dyDescent="0.25">
      <c r="A21" s="156"/>
      <c r="B21" s="156"/>
      <c r="C21" s="156"/>
      <c r="D21" s="156"/>
      <c r="E21" s="156"/>
    </row>
    <row r="22" spans="1:5" x14ac:dyDescent="0.25">
      <c r="A22" s="156"/>
      <c r="B22" s="156"/>
      <c r="C22" s="156"/>
      <c r="D22" s="156"/>
      <c r="E22" s="156"/>
    </row>
  </sheetData>
  <mergeCells count="4">
    <mergeCell ref="C1:E1"/>
    <mergeCell ref="B1:B2"/>
    <mergeCell ref="A1:A2"/>
    <mergeCell ref="F1:H1"/>
  </mergeCells>
  <pageMargins left="0.7" right="0.7" top="0.75" bottom="0.75" header="0.3" footer="0.3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zoomScaleNormal="100" zoomScaleSheetLayoutView="100" workbookViewId="0">
      <pane ySplit="2" topLeftCell="A3" activePane="bottomLeft" state="frozen"/>
      <selection pane="bottomLeft" activeCell="G9" sqref="G9"/>
    </sheetView>
  </sheetViews>
  <sheetFormatPr defaultRowHeight="15" x14ac:dyDescent="0.25"/>
  <cols>
    <col min="1" max="1" width="7.140625" customWidth="1"/>
    <col min="2" max="2" width="61.28515625" customWidth="1"/>
    <col min="3" max="3" width="10.7109375" customWidth="1"/>
    <col min="4" max="4" width="11" customWidth="1"/>
    <col min="5" max="5" width="12.85546875" customWidth="1"/>
    <col min="6" max="6" width="16.5703125" style="84" customWidth="1"/>
    <col min="7" max="7" width="18.5703125" style="29" customWidth="1"/>
    <col min="8" max="8" width="76.42578125" customWidth="1"/>
  </cols>
  <sheetData>
    <row r="1" spans="1:8" s="1" customFormat="1" ht="21.75" customHeight="1" x14ac:dyDescent="0.25">
      <c r="A1" s="416" t="s">
        <v>200</v>
      </c>
      <c r="B1" s="416" t="s">
        <v>227</v>
      </c>
      <c r="C1" s="416" t="s">
        <v>411</v>
      </c>
      <c r="D1" s="416" t="s">
        <v>202</v>
      </c>
      <c r="E1" s="405" t="s">
        <v>703</v>
      </c>
      <c r="F1" s="405"/>
      <c r="G1" s="405"/>
    </row>
    <row r="2" spans="1:8" ht="36" customHeight="1" x14ac:dyDescent="0.25">
      <c r="A2" s="416"/>
      <c r="B2" s="416"/>
      <c r="C2" s="416"/>
      <c r="D2" s="416"/>
      <c r="E2" s="145" t="s">
        <v>412</v>
      </c>
      <c r="F2" s="61" t="s">
        <v>438</v>
      </c>
      <c r="G2" s="145" t="s">
        <v>409</v>
      </c>
    </row>
    <row r="3" spans="1:8" ht="12.75" customHeight="1" x14ac:dyDescent="0.25">
      <c r="A3" s="154">
        <v>1</v>
      </c>
      <c r="B3" s="155">
        <v>2</v>
      </c>
      <c r="C3" s="155">
        <v>3</v>
      </c>
      <c r="D3" s="155">
        <v>4</v>
      </c>
      <c r="E3" s="155">
        <v>5</v>
      </c>
      <c r="F3" s="155">
        <v>6</v>
      </c>
      <c r="G3" s="155">
        <v>7</v>
      </c>
    </row>
    <row r="4" spans="1:8" ht="14.45" customHeight="1" x14ac:dyDescent="0.25">
      <c r="A4" s="414" t="s">
        <v>207</v>
      </c>
      <c r="B4" s="415"/>
      <c r="C4" s="125"/>
      <c r="D4" s="125"/>
      <c r="E4" s="126"/>
      <c r="F4" s="125"/>
      <c r="G4" s="125"/>
    </row>
    <row r="5" spans="1:8" ht="30" x14ac:dyDescent="0.25">
      <c r="A5" s="111">
        <v>1</v>
      </c>
      <c r="B5" s="96" t="s">
        <v>429</v>
      </c>
      <c r="C5" s="111" t="s">
        <v>193</v>
      </c>
      <c r="D5" s="115">
        <v>7955.76</v>
      </c>
      <c r="E5" s="115">
        <f>ROUND(5165*0.9,2)</f>
        <v>4648.5</v>
      </c>
      <c r="F5" s="105">
        <f>ROUND(E5*D5,2)</f>
        <v>36982350.359999999</v>
      </c>
      <c r="G5" s="105">
        <f>ROUND(F5*1.2,2)</f>
        <v>44378820.43</v>
      </c>
    </row>
    <row r="6" spans="1:8" x14ac:dyDescent="0.25">
      <c r="A6" s="111">
        <f>A5+1</f>
        <v>2</v>
      </c>
      <c r="B6" s="96" t="s">
        <v>428</v>
      </c>
      <c r="C6" s="111" t="s">
        <v>193</v>
      </c>
      <c r="D6" s="115">
        <v>598.14</v>
      </c>
      <c r="E6" s="115">
        <v>1242</v>
      </c>
      <c r="F6" s="105">
        <f t="shared" ref="F6:F8" si="0">ROUND(E6*D6,2)</f>
        <v>742889.88</v>
      </c>
      <c r="G6" s="105">
        <f t="shared" ref="G6:G8" si="1">ROUND(F6*1.2,2)</f>
        <v>891467.86</v>
      </c>
    </row>
    <row r="7" spans="1:8" x14ac:dyDescent="0.25">
      <c r="A7" s="111">
        <f>A6+1</f>
        <v>3</v>
      </c>
      <c r="B7" s="96" t="s">
        <v>430</v>
      </c>
      <c r="C7" s="111" t="s">
        <v>431</v>
      </c>
      <c r="D7" s="115">
        <v>762.75</v>
      </c>
      <c r="E7" s="115">
        <f>ROUND(325*0.9,2)</f>
        <v>292.5</v>
      </c>
      <c r="F7" s="105">
        <f t="shared" si="0"/>
        <v>223104.38</v>
      </c>
      <c r="G7" s="105">
        <f t="shared" si="1"/>
        <v>267725.26</v>
      </c>
    </row>
    <row r="8" spans="1:8" x14ac:dyDescent="0.25">
      <c r="A8" s="111">
        <f>A7+1</f>
        <v>4</v>
      </c>
      <c r="B8" s="96" t="s">
        <v>712</v>
      </c>
      <c r="C8" s="111" t="s">
        <v>431</v>
      </c>
      <c r="D8" s="115">
        <v>12970.93</v>
      </c>
      <c r="E8" s="115">
        <f>ROUND(325*0.9,2)</f>
        <v>292.5</v>
      </c>
      <c r="F8" s="105">
        <f t="shared" si="0"/>
        <v>3793997.03</v>
      </c>
      <c r="G8" s="105">
        <f t="shared" si="1"/>
        <v>4552796.4400000004</v>
      </c>
    </row>
    <row r="9" spans="1:8" x14ac:dyDescent="0.25">
      <c r="A9" s="414" t="s">
        <v>713</v>
      </c>
      <c r="B9" s="415"/>
      <c r="C9" s="125"/>
      <c r="D9" s="125"/>
      <c r="E9" s="126"/>
      <c r="F9" s="125"/>
      <c r="G9" s="125"/>
    </row>
    <row r="10" spans="1:8" x14ac:dyDescent="0.25">
      <c r="A10" s="111">
        <f>A8+1</f>
        <v>5</v>
      </c>
      <c r="B10" s="112" t="s">
        <v>425</v>
      </c>
      <c r="C10" s="111" t="s">
        <v>178</v>
      </c>
      <c r="D10" s="114">
        <v>1</v>
      </c>
      <c r="E10" s="115">
        <v>109572</v>
      </c>
      <c r="F10" s="105">
        <f t="shared" ref="F10:F13" si="2">ROUND(E10*D10,2)</f>
        <v>109572</v>
      </c>
      <c r="G10" s="105">
        <f t="shared" ref="G10:G13" si="3">ROUND(F10*1.2,2)</f>
        <v>131486.39999999999</v>
      </c>
    </row>
    <row r="11" spans="1:8" x14ac:dyDescent="0.25">
      <c r="A11" s="111">
        <f>A10+1</f>
        <v>6</v>
      </c>
      <c r="B11" s="112" t="s">
        <v>424</v>
      </c>
      <c r="C11" s="111" t="s">
        <v>194</v>
      </c>
      <c r="D11" s="114">
        <v>809</v>
      </c>
      <c r="E11" s="115">
        <v>2084</v>
      </c>
      <c r="F11" s="105">
        <f t="shared" si="2"/>
        <v>1685956</v>
      </c>
      <c r="G11" s="105">
        <f t="shared" si="3"/>
        <v>2023147.2</v>
      </c>
    </row>
    <row r="12" spans="1:8" x14ac:dyDescent="0.25">
      <c r="A12" s="389">
        <f>A11+1</f>
        <v>7</v>
      </c>
      <c r="B12" s="390" t="s">
        <v>424</v>
      </c>
      <c r="C12" s="389" t="s">
        <v>194</v>
      </c>
      <c r="D12" s="396">
        <v>6</v>
      </c>
      <c r="E12" s="392">
        <v>2084</v>
      </c>
      <c r="F12" s="330">
        <f t="shared" ref="F12" si="4">ROUND(E12*D12,2)</f>
        <v>12504</v>
      </c>
      <c r="G12" s="330">
        <f t="shared" ref="G12" si="5">ROUND(F12*1.2,2)</f>
        <v>15004.8</v>
      </c>
      <c r="H12" t="s">
        <v>1334</v>
      </c>
    </row>
    <row r="13" spans="1:8" ht="30" x14ac:dyDescent="0.25">
      <c r="A13" s="111">
        <f>A12+1</f>
        <v>8</v>
      </c>
      <c r="B13" s="112" t="s">
        <v>426</v>
      </c>
      <c r="C13" s="111" t="s">
        <v>178</v>
      </c>
      <c r="D13" s="114">
        <v>3</v>
      </c>
      <c r="E13" s="115">
        <v>86850</v>
      </c>
      <c r="F13" s="105">
        <f t="shared" si="2"/>
        <v>260550</v>
      </c>
      <c r="G13" s="105">
        <f t="shared" si="3"/>
        <v>312660</v>
      </c>
    </row>
    <row r="14" spans="1:8" ht="30" x14ac:dyDescent="0.25">
      <c r="A14" s="395">
        <f>A13+1</f>
        <v>9</v>
      </c>
      <c r="B14" s="390" t="s">
        <v>1325</v>
      </c>
      <c r="C14" s="389" t="s">
        <v>178</v>
      </c>
      <c r="D14" s="396">
        <v>1</v>
      </c>
      <c r="E14" s="392">
        <v>86850</v>
      </c>
      <c r="F14" s="330">
        <f t="shared" ref="F14" si="6">ROUND(E14*D14,2)</f>
        <v>86850</v>
      </c>
      <c r="G14" s="330">
        <f t="shared" ref="G14" si="7">ROUND(F14*1.2,2)</f>
        <v>104220</v>
      </c>
      <c r="H14" s="219" t="s">
        <v>1326</v>
      </c>
    </row>
    <row r="15" spans="1:8" ht="14.45" customHeight="1" x14ac:dyDescent="0.25">
      <c r="A15" s="414" t="s">
        <v>413</v>
      </c>
      <c r="B15" s="415"/>
      <c r="C15" s="125"/>
      <c r="D15" s="125"/>
      <c r="E15" s="125"/>
      <c r="F15" s="125"/>
      <c r="G15" s="125"/>
      <c r="H15" s="218"/>
    </row>
    <row r="16" spans="1:8" x14ac:dyDescent="0.25">
      <c r="A16" s="111">
        <f>A14+1</f>
        <v>10</v>
      </c>
      <c r="B16" s="112" t="s">
        <v>710</v>
      </c>
      <c r="C16" s="111" t="s">
        <v>193</v>
      </c>
      <c r="D16" s="115">
        <v>5327.17</v>
      </c>
      <c r="E16" s="115">
        <f>ROUND(1662*0.9,2)</f>
        <v>1495.8</v>
      </c>
      <c r="F16" s="105">
        <f t="shared" ref="F16:F34" si="8">ROUND(E16*D16,2)</f>
        <v>7968380.8899999997</v>
      </c>
      <c r="G16" s="105">
        <f t="shared" ref="G16:G34" si="9">ROUND(F16*1.2,2)</f>
        <v>9562057.0700000003</v>
      </c>
    </row>
    <row r="17" spans="1:8" ht="30" x14ac:dyDescent="0.25">
      <c r="A17" s="111">
        <f>A16+1</f>
        <v>11</v>
      </c>
      <c r="B17" s="112" t="s">
        <v>711</v>
      </c>
      <c r="C17" s="111" t="s">
        <v>193</v>
      </c>
      <c r="D17" s="115">
        <v>437.94</v>
      </c>
      <c r="E17" s="115">
        <f>ROUND(1611*0.9,2)</f>
        <v>1449.9</v>
      </c>
      <c r="F17" s="105">
        <f t="shared" si="8"/>
        <v>634969.21</v>
      </c>
      <c r="G17" s="105">
        <f t="shared" si="9"/>
        <v>761963.05</v>
      </c>
    </row>
    <row r="18" spans="1:8" ht="45" x14ac:dyDescent="0.25">
      <c r="A18" s="111">
        <f t="shared" ref="A18:A34" si="10">A17+1</f>
        <v>12</v>
      </c>
      <c r="B18" s="283" t="s">
        <v>414</v>
      </c>
      <c r="C18" s="66" t="s">
        <v>194</v>
      </c>
      <c r="D18" s="284">
        <v>1211</v>
      </c>
      <c r="E18" s="115">
        <v>2348</v>
      </c>
      <c r="F18" s="105">
        <f t="shared" si="8"/>
        <v>2843428</v>
      </c>
      <c r="G18" s="105">
        <f t="shared" si="9"/>
        <v>3412113.6</v>
      </c>
      <c r="H18" s="407"/>
    </row>
    <row r="19" spans="1:8" ht="45" x14ac:dyDescent="0.25">
      <c r="A19" s="111">
        <f t="shared" si="10"/>
        <v>13</v>
      </c>
      <c r="B19" s="283" t="s">
        <v>415</v>
      </c>
      <c r="C19" s="66" t="s">
        <v>194</v>
      </c>
      <c r="D19" s="285">
        <v>688</v>
      </c>
      <c r="E19" s="115">
        <v>1587</v>
      </c>
      <c r="F19" s="105">
        <f t="shared" si="8"/>
        <v>1091856</v>
      </c>
      <c r="G19" s="105">
        <f t="shared" si="9"/>
        <v>1310227.2</v>
      </c>
      <c r="H19" s="407"/>
    </row>
    <row r="20" spans="1:8" ht="24.75" customHeight="1" x14ac:dyDescent="0.25">
      <c r="A20" s="389">
        <f>A19+1</f>
        <v>14</v>
      </c>
      <c r="B20" s="394" t="s">
        <v>1324</v>
      </c>
      <c r="C20" s="328" t="s">
        <v>220</v>
      </c>
      <c r="D20" s="393">
        <f>266*3</f>
        <v>798</v>
      </c>
      <c r="E20" s="392">
        <f>350/1.2</f>
        <v>291.66666666666669</v>
      </c>
      <c r="F20" s="330">
        <f t="shared" ref="F20" si="11">ROUND(E20*D20,2)</f>
        <v>232750</v>
      </c>
      <c r="G20" s="330">
        <f t="shared" ref="G20" si="12">ROUND(F20*1.2,2)</f>
        <v>279300</v>
      </c>
      <c r="H20" s="287" t="s">
        <v>1331</v>
      </c>
    </row>
    <row r="21" spans="1:8" ht="45" x14ac:dyDescent="0.25">
      <c r="A21" s="111">
        <f>A20+1</f>
        <v>15</v>
      </c>
      <c r="B21" s="283" t="s">
        <v>416</v>
      </c>
      <c r="C21" s="66" t="s">
        <v>194</v>
      </c>
      <c r="D21" s="286">
        <v>31.12</v>
      </c>
      <c r="E21" s="115">
        <v>2348</v>
      </c>
      <c r="F21" s="105">
        <f t="shared" si="8"/>
        <v>73069.759999999995</v>
      </c>
      <c r="G21" s="105">
        <f t="shared" si="9"/>
        <v>87683.71</v>
      </c>
      <c r="H21" s="259"/>
    </row>
    <row r="22" spans="1:8" ht="45" x14ac:dyDescent="0.25">
      <c r="A22" s="389">
        <f>A21+1</f>
        <v>16</v>
      </c>
      <c r="B22" s="390" t="s">
        <v>416</v>
      </c>
      <c r="C22" s="328" t="s">
        <v>194</v>
      </c>
      <c r="D22" s="391">
        <v>31.12</v>
      </c>
      <c r="E22" s="392">
        <v>2348</v>
      </c>
      <c r="F22" s="330">
        <f t="shared" ref="F22:F23" si="13">ROUND(E22*D22,2)</f>
        <v>73069.759999999995</v>
      </c>
      <c r="G22" s="330">
        <f t="shared" ref="G22:G23" si="14">ROUND(F22*1.2,2)</f>
        <v>87683.71</v>
      </c>
      <c r="H22" s="219" t="s">
        <v>1327</v>
      </c>
    </row>
    <row r="23" spans="1:8" ht="45" x14ac:dyDescent="0.25">
      <c r="A23" s="389">
        <f t="shared" si="10"/>
        <v>17</v>
      </c>
      <c r="B23" s="390" t="s">
        <v>415</v>
      </c>
      <c r="C23" s="328" t="s">
        <v>194</v>
      </c>
      <c r="D23" s="393">
        <v>25</v>
      </c>
      <c r="E23" s="392">
        <v>1587</v>
      </c>
      <c r="F23" s="330">
        <f t="shared" si="13"/>
        <v>39675</v>
      </c>
      <c r="G23" s="330">
        <f t="shared" si="14"/>
        <v>47610</v>
      </c>
      <c r="H23" s="219" t="s">
        <v>1332</v>
      </c>
    </row>
    <row r="24" spans="1:8" ht="45" x14ac:dyDescent="0.25">
      <c r="A24" s="389">
        <f t="shared" si="10"/>
        <v>18</v>
      </c>
      <c r="B24" s="390" t="s">
        <v>415</v>
      </c>
      <c r="C24" s="328" t="s">
        <v>194</v>
      </c>
      <c r="D24" s="393">
        <v>25</v>
      </c>
      <c r="E24" s="392">
        <v>1587</v>
      </c>
      <c r="F24" s="330">
        <f t="shared" ref="F24" si="15">ROUND(E24*D24,2)</f>
        <v>39675</v>
      </c>
      <c r="G24" s="330">
        <f t="shared" ref="G24" si="16">ROUND(F24*1.2,2)</f>
        <v>47610</v>
      </c>
      <c r="H24" s="219" t="s">
        <v>1335</v>
      </c>
    </row>
    <row r="25" spans="1:8" ht="30" x14ac:dyDescent="0.25">
      <c r="A25" s="111">
        <f>A21+1</f>
        <v>16</v>
      </c>
      <c r="B25" s="283" t="s">
        <v>417</v>
      </c>
      <c r="C25" s="111" t="s">
        <v>194</v>
      </c>
      <c r="D25" s="115">
        <f>9*4</f>
        <v>36</v>
      </c>
      <c r="E25" s="115">
        <v>1587</v>
      </c>
      <c r="F25" s="105">
        <f t="shared" si="8"/>
        <v>57132</v>
      </c>
      <c r="G25" s="105">
        <f t="shared" si="9"/>
        <v>68558.399999999994</v>
      </c>
      <c r="H25" s="218"/>
    </row>
    <row r="26" spans="1:8" ht="48" customHeight="1" x14ac:dyDescent="0.25">
      <c r="A26" s="111">
        <f t="shared" si="10"/>
        <v>17</v>
      </c>
      <c r="B26" s="112" t="s">
        <v>715</v>
      </c>
      <c r="C26" s="111" t="s">
        <v>195</v>
      </c>
      <c r="D26" s="114">
        <v>1</v>
      </c>
      <c r="E26" s="115">
        <v>189450</v>
      </c>
      <c r="F26" s="105">
        <f t="shared" si="8"/>
        <v>189450</v>
      </c>
      <c r="G26" s="105">
        <f t="shared" si="9"/>
        <v>227340</v>
      </c>
    </row>
    <row r="27" spans="1:8" ht="48" customHeight="1" x14ac:dyDescent="0.25">
      <c r="A27" s="111">
        <f t="shared" si="10"/>
        <v>18</v>
      </c>
      <c r="B27" s="112" t="s">
        <v>714</v>
      </c>
      <c r="C27" s="111" t="s">
        <v>193</v>
      </c>
      <c r="D27" s="114">
        <v>796</v>
      </c>
      <c r="E27" s="115">
        <f>ROUND(325*0.9,2)</f>
        <v>292.5</v>
      </c>
      <c r="F27" s="105">
        <f t="shared" si="8"/>
        <v>232830</v>
      </c>
      <c r="G27" s="105">
        <f t="shared" si="9"/>
        <v>279396</v>
      </c>
    </row>
    <row r="28" spans="1:8" ht="45" x14ac:dyDescent="0.25">
      <c r="A28" s="111">
        <f t="shared" si="10"/>
        <v>19</v>
      </c>
      <c r="B28" s="112" t="s">
        <v>418</v>
      </c>
      <c r="C28" s="111" t="s">
        <v>195</v>
      </c>
      <c r="D28" s="114">
        <v>2</v>
      </c>
      <c r="E28" s="115">
        <v>216000</v>
      </c>
      <c r="F28" s="105">
        <f t="shared" si="8"/>
        <v>432000</v>
      </c>
      <c r="G28" s="105">
        <f t="shared" si="9"/>
        <v>518400</v>
      </c>
    </row>
    <row r="29" spans="1:8" ht="45" x14ac:dyDescent="0.25">
      <c r="A29" s="111">
        <f t="shared" si="10"/>
        <v>20</v>
      </c>
      <c r="B29" s="112" t="s">
        <v>419</v>
      </c>
      <c r="C29" s="111" t="s">
        <v>195</v>
      </c>
      <c r="D29" s="114">
        <v>1</v>
      </c>
      <c r="E29" s="115">
        <v>216000</v>
      </c>
      <c r="F29" s="105">
        <f t="shared" si="8"/>
        <v>216000</v>
      </c>
      <c r="G29" s="105">
        <f t="shared" si="9"/>
        <v>259200</v>
      </c>
    </row>
    <row r="30" spans="1:8" ht="45" x14ac:dyDescent="0.25">
      <c r="A30" s="111">
        <f t="shared" si="10"/>
        <v>21</v>
      </c>
      <c r="B30" s="112" t="s">
        <v>420</v>
      </c>
      <c r="C30" s="111" t="s">
        <v>195</v>
      </c>
      <c r="D30" s="114">
        <v>2</v>
      </c>
      <c r="E30" s="115">
        <v>173744</v>
      </c>
      <c r="F30" s="105">
        <f t="shared" si="8"/>
        <v>347488</v>
      </c>
      <c r="G30" s="105">
        <f t="shared" si="9"/>
        <v>416985.59999999998</v>
      </c>
    </row>
    <row r="31" spans="1:8" ht="45" x14ac:dyDescent="0.25">
      <c r="A31" s="111">
        <f t="shared" si="10"/>
        <v>22</v>
      </c>
      <c r="B31" s="112" t="s">
        <v>421</v>
      </c>
      <c r="C31" s="111" t="s">
        <v>195</v>
      </c>
      <c r="D31" s="114">
        <v>1</v>
      </c>
      <c r="E31" s="115">
        <v>173744</v>
      </c>
      <c r="F31" s="105">
        <f t="shared" si="8"/>
        <v>173744</v>
      </c>
      <c r="G31" s="105">
        <f t="shared" si="9"/>
        <v>208492.79999999999</v>
      </c>
    </row>
    <row r="32" spans="1:8" ht="45" x14ac:dyDescent="0.25">
      <c r="A32" s="111">
        <f t="shared" si="10"/>
        <v>23</v>
      </c>
      <c r="B32" s="112" t="s">
        <v>422</v>
      </c>
      <c r="C32" s="111" t="s">
        <v>195</v>
      </c>
      <c r="D32" s="114">
        <v>3</v>
      </c>
      <c r="E32" s="115">
        <v>173744</v>
      </c>
      <c r="F32" s="105">
        <f t="shared" si="8"/>
        <v>521232</v>
      </c>
      <c r="G32" s="105">
        <f t="shared" si="9"/>
        <v>625478.40000000002</v>
      </c>
    </row>
    <row r="33" spans="1:8" x14ac:dyDescent="0.25">
      <c r="A33" s="111">
        <f>A32+1</f>
        <v>24</v>
      </c>
      <c r="B33" s="112" t="s">
        <v>124</v>
      </c>
      <c r="C33" s="111" t="s">
        <v>178</v>
      </c>
      <c r="D33" s="114">
        <v>4</v>
      </c>
      <c r="E33" s="115">
        <v>80000</v>
      </c>
      <c r="F33" s="105">
        <f t="shared" si="8"/>
        <v>320000</v>
      </c>
      <c r="G33" s="105">
        <f t="shared" si="9"/>
        <v>384000</v>
      </c>
    </row>
    <row r="34" spans="1:8" x14ac:dyDescent="0.25">
      <c r="A34" s="111">
        <f t="shared" si="10"/>
        <v>25</v>
      </c>
      <c r="B34" s="112" t="s">
        <v>423</v>
      </c>
      <c r="C34" s="111" t="s">
        <v>194</v>
      </c>
      <c r="D34" s="114">
        <v>28</v>
      </c>
      <c r="E34" s="115">
        <v>4200</v>
      </c>
      <c r="F34" s="105">
        <f t="shared" si="8"/>
        <v>117600</v>
      </c>
      <c r="G34" s="105">
        <f t="shared" si="9"/>
        <v>141120</v>
      </c>
    </row>
    <row r="35" spans="1:8" x14ac:dyDescent="0.25">
      <c r="A35" s="103"/>
      <c r="B35" s="408" t="s">
        <v>721</v>
      </c>
      <c r="C35" s="409"/>
      <c r="D35" s="409"/>
      <c r="E35" s="410"/>
      <c r="F35" s="116">
        <f>SUM(F5:F34)</f>
        <v>59502123.270000003</v>
      </c>
      <c r="G35" s="476">
        <f>SUM(G5:G34)</f>
        <v>71402547.929999977</v>
      </c>
    </row>
    <row r="36" spans="1:8" x14ac:dyDescent="0.25">
      <c r="A36" s="411" t="s">
        <v>722</v>
      </c>
      <c r="B36" s="412"/>
      <c r="C36" s="412"/>
      <c r="D36" s="412"/>
      <c r="E36" s="413"/>
      <c r="F36" s="220">
        <f>ROUND(F35*0.03,2)</f>
        <v>1785063.7</v>
      </c>
      <c r="G36" s="220">
        <f>ROUND(G35*0.03,2)</f>
        <v>2142076.44</v>
      </c>
      <c r="H36" s="52"/>
    </row>
    <row r="37" spans="1:8" x14ac:dyDescent="0.25">
      <c r="A37" s="411" t="s">
        <v>723</v>
      </c>
      <c r="B37" s="412"/>
      <c r="C37" s="412"/>
      <c r="D37" s="412"/>
      <c r="E37" s="413"/>
      <c r="F37" s="220">
        <f>F35+F36</f>
        <v>61287186.970000006</v>
      </c>
      <c r="G37" s="220">
        <f>G35+G36</f>
        <v>73544624.369999975</v>
      </c>
      <c r="H37" s="52"/>
    </row>
  </sheetData>
  <mergeCells count="12">
    <mergeCell ref="A4:B4"/>
    <mergeCell ref="A9:B9"/>
    <mergeCell ref="E1:G1"/>
    <mergeCell ref="A1:A2"/>
    <mergeCell ref="B1:B2"/>
    <mergeCell ref="C1:C2"/>
    <mergeCell ref="D1:D2"/>
    <mergeCell ref="H18:H19"/>
    <mergeCell ref="B35:E35"/>
    <mergeCell ref="A36:E36"/>
    <mergeCell ref="A37:E37"/>
    <mergeCell ref="A15:B15"/>
  </mergeCells>
  <pageMargins left="0.7" right="0.7" top="0.75" bottom="0.75" header="0.3" footer="0.3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view="pageBreakPreview" zoomScale="85" zoomScaleNormal="85" zoomScaleSheetLayoutView="85" workbookViewId="0">
      <pane ySplit="2" topLeftCell="A3" activePane="bottomLeft" state="frozen"/>
      <selection pane="bottomLeft" activeCell="E5" sqref="E5"/>
    </sheetView>
  </sheetViews>
  <sheetFormatPr defaultRowHeight="15" x14ac:dyDescent="0.25"/>
  <cols>
    <col min="1" max="1" width="4.28515625" customWidth="1"/>
    <col min="2" max="2" width="60.85546875" style="2" bestFit="1" customWidth="1"/>
    <col min="4" max="4" width="11.42578125" bestFit="1" customWidth="1"/>
    <col min="5" max="5" width="12.85546875" style="52" customWidth="1"/>
    <col min="6" max="6" width="16.28515625" customWidth="1"/>
    <col min="7" max="7" width="17" customWidth="1"/>
    <col min="8" max="8" width="66.28515625" customWidth="1"/>
  </cols>
  <sheetData>
    <row r="1" spans="1:8" ht="28.9" customHeight="1" x14ac:dyDescent="0.25">
      <c r="A1" s="418" t="s">
        <v>226</v>
      </c>
      <c r="B1" s="420" t="s">
        <v>201</v>
      </c>
      <c r="C1" s="422" t="s">
        <v>705</v>
      </c>
      <c r="D1" s="422" t="s">
        <v>202</v>
      </c>
      <c r="E1" s="417" t="s">
        <v>703</v>
      </c>
      <c r="F1" s="417"/>
      <c r="G1" s="417"/>
    </row>
    <row r="2" spans="1:8" s="54" customFormat="1" ht="57.6" customHeight="1" x14ac:dyDescent="0.25">
      <c r="A2" s="419"/>
      <c r="B2" s="421"/>
      <c r="C2" s="423"/>
      <c r="D2" s="423"/>
      <c r="E2" s="93" t="s">
        <v>704</v>
      </c>
      <c r="F2" s="94" t="s">
        <v>197</v>
      </c>
      <c r="G2" s="94" t="s">
        <v>199</v>
      </c>
    </row>
    <row r="3" spans="1:8" ht="12.75" customHeight="1" x14ac:dyDescent="0.25">
      <c r="A3" s="154">
        <v>1</v>
      </c>
      <c r="B3" s="155">
        <v>2</v>
      </c>
      <c r="C3" s="155">
        <v>3</v>
      </c>
      <c r="D3" s="155">
        <v>4</v>
      </c>
      <c r="E3" s="155">
        <v>5</v>
      </c>
      <c r="F3" s="155">
        <v>6</v>
      </c>
      <c r="G3" s="155">
        <v>7</v>
      </c>
    </row>
    <row r="4" spans="1:8" x14ac:dyDescent="0.25">
      <c r="A4" s="110">
        <v>1</v>
      </c>
      <c r="B4" s="96" t="s">
        <v>161</v>
      </c>
      <c r="C4" s="97" t="s">
        <v>193</v>
      </c>
      <c r="D4" s="97">
        <v>598.14</v>
      </c>
      <c r="E4" s="98">
        <f>ROUND(1300/1.2,2)</f>
        <v>1083.33</v>
      </c>
      <c r="F4" s="105">
        <f>ROUND(E4*D4,2)</f>
        <v>647983.01</v>
      </c>
      <c r="G4" s="105">
        <f>ROUND(F4*1.2,2)</f>
        <v>777579.61</v>
      </c>
    </row>
    <row r="5" spans="1:8" x14ac:dyDescent="0.25">
      <c r="A5" s="110">
        <f>A4+1</f>
        <v>2</v>
      </c>
      <c r="B5" s="96" t="s">
        <v>179</v>
      </c>
      <c r="C5" s="97" t="s">
        <v>193</v>
      </c>
      <c r="D5" s="106">
        <f>6232.7889+504.9</f>
        <v>6737.6888999999992</v>
      </c>
      <c r="E5" s="98">
        <f>ROUND(5300/1.2,2)</f>
        <v>4416.67</v>
      </c>
      <c r="F5" s="105">
        <f t="shared" ref="F5:F27" si="0">ROUND(E5*D5,2)</f>
        <v>29758148.43</v>
      </c>
      <c r="G5" s="105">
        <f t="shared" ref="G5:G27" si="1">ROUND(F5*1.2,2)</f>
        <v>35709778.119999997</v>
      </c>
    </row>
    <row r="6" spans="1:8" x14ac:dyDescent="0.25">
      <c r="A6" s="110">
        <f>A5+1</f>
        <v>3</v>
      </c>
      <c r="B6" s="96" t="s">
        <v>180</v>
      </c>
      <c r="C6" s="97" t="s">
        <v>431</v>
      </c>
      <c r="D6" s="99">
        <v>6000</v>
      </c>
      <c r="E6" s="98">
        <f>ROUND(184/1.2,2)</f>
        <v>153.33000000000001</v>
      </c>
      <c r="F6" s="105">
        <f t="shared" si="0"/>
        <v>919980</v>
      </c>
      <c r="G6" s="105">
        <f t="shared" si="1"/>
        <v>1103976</v>
      </c>
    </row>
    <row r="7" spans="1:8" x14ac:dyDescent="0.25">
      <c r="A7" s="110">
        <f t="shared" ref="A7:A29" si="2">A6+1</f>
        <v>4</v>
      </c>
      <c r="B7" s="144" t="s">
        <v>181</v>
      </c>
      <c r="C7" s="208" t="s">
        <v>194</v>
      </c>
      <c r="D7" s="210">
        <v>36</v>
      </c>
      <c r="E7" s="210">
        <f>ROUND(16500/1.2,2)</f>
        <v>13750</v>
      </c>
      <c r="F7" s="211">
        <f t="shared" si="0"/>
        <v>495000</v>
      </c>
      <c r="G7" s="211">
        <f t="shared" si="1"/>
        <v>594000</v>
      </c>
      <c r="H7" s="218"/>
    </row>
    <row r="8" spans="1:8" ht="30" x14ac:dyDescent="0.25">
      <c r="A8" s="110">
        <f>A7+1</f>
        <v>5</v>
      </c>
      <c r="B8" s="144" t="s">
        <v>182</v>
      </c>
      <c r="C8" s="208" t="s">
        <v>194</v>
      </c>
      <c r="D8" s="209">
        <v>1211</v>
      </c>
      <c r="E8" s="255">
        <f>ROUND(34100/1.2,2)*0.93</f>
        <v>26427.503099999998</v>
      </c>
      <c r="F8" s="105">
        <f t="shared" si="0"/>
        <v>32003706.25</v>
      </c>
      <c r="G8" s="105">
        <f t="shared" si="1"/>
        <v>38404447.5</v>
      </c>
      <c r="H8" s="407"/>
    </row>
    <row r="9" spans="1:8" ht="30" x14ac:dyDescent="0.25">
      <c r="A9" s="110">
        <f t="shared" si="2"/>
        <v>6</v>
      </c>
      <c r="B9" s="144" t="s">
        <v>183</v>
      </c>
      <c r="C9" s="208" t="s">
        <v>194</v>
      </c>
      <c r="D9" s="209">
        <v>688</v>
      </c>
      <c r="E9" s="255">
        <f>ROUND(38500/1.2,2)*0.93</f>
        <v>29837.496900000002</v>
      </c>
      <c r="F9" s="105">
        <f t="shared" si="0"/>
        <v>20528197.870000001</v>
      </c>
      <c r="G9" s="105">
        <f t="shared" si="1"/>
        <v>24633837.440000001</v>
      </c>
      <c r="H9" s="407"/>
    </row>
    <row r="10" spans="1:8" x14ac:dyDescent="0.25">
      <c r="A10" s="110">
        <f t="shared" si="2"/>
        <v>7</v>
      </c>
      <c r="B10" s="96" t="s">
        <v>706</v>
      </c>
      <c r="C10" s="97" t="s">
        <v>178</v>
      </c>
      <c r="D10" s="99">
        <f>620*6</f>
        <v>3720</v>
      </c>
      <c r="E10" s="98">
        <f>ROUND(200/1.2,2)</f>
        <v>166.67</v>
      </c>
      <c r="F10" s="105">
        <f t="shared" si="0"/>
        <v>620012.4</v>
      </c>
      <c r="G10" s="105">
        <f t="shared" si="1"/>
        <v>744014.88</v>
      </c>
    </row>
    <row r="11" spans="1:8" x14ac:dyDescent="0.25">
      <c r="A11" s="110">
        <f t="shared" si="2"/>
        <v>8</v>
      </c>
      <c r="B11" s="96" t="s">
        <v>707</v>
      </c>
      <c r="C11" s="97" t="s">
        <v>178</v>
      </c>
      <c r="D11" s="99">
        <v>620</v>
      </c>
      <c r="E11" s="98">
        <f>ROUND(5841/1.2,2)</f>
        <v>4867.5</v>
      </c>
      <c r="F11" s="105">
        <f t="shared" si="0"/>
        <v>3017850</v>
      </c>
      <c r="G11" s="105">
        <f t="shared" si="1"/>
        <v>3621420</v>
      </c>
      <c r="H11" s="218"/>
    </row>
    <row r="12" spans="1:8" ht="30" x14ac:dyDescent="0.25">
      <c r="A12" s="110">
        <f t="shared" si="2"/>
        <v>9</v>
      </c>
      <c r="B12" s="144" t="s">
        <v>184</v>
      </c>
      <c r="C12" s="208" t="s">
        <v>194</v>
      </c>
      <c r="D12" s="208">
        <f>6*12.5/2</f>
        <v>37.5</v>
      </c>
      <c r="E12" s="255">
        <f>ROUND(33000/1.2,2)*0.93</f>
        <v>25575</v>
      </c>
      <c r="F12" s="105">
        <f t="shared" si="0"/>
        <v>959062.5</v>
      </c>
      <c r="G12" s="105">
        <f t="shared" si="1"/>
        <v>1150875</v>
      </c>
      <c r="H12" s="259"/>
    </row>
    <row r="13" spans="1:8" ht="30" x14ac:dyDescent="0.25">
      <c r="A13" s="381">
        <f t="shared" si="2"/>
        <v>10</v>
      </c>
      <c r="B13" s="382" t="s">
        <v>184</v>
      </c>
      <c r="C13" s="383" t="s">
        <v>194</v>
      </c>
      <c r="D13" s="383">
        <f>6*12.5/2</f>
        <v>37.5</v>
      </c>
      <c r="E13" s="384">
        <f>ROUND(33000/1.2,2)*0.93</f>
        <v>25575</v>
      </c>
      <c r="F13" s="330">
        <f t="shared" ref="F13:F14" si="3">ROUND(E13*D13,2)</f>
        <v>959062.5</v>
      </c>
      <c r="G13" s="330">
        <f t="shared" ref="G13:G14" si="4">ROUND(F13*1.2,2)</f>
        <v>1150875</v>
      </c>
      <c r="H13" s="219" t="s">
        <v>1330</v>
      </c>
    </row>
    <row r="14" spans="1:8" ht="30" x14ac:dyDescent="0.25">
      <c r="A14" s="381">
        <f t="shared" si="2"/>
        <v>11</v>
      </c>
      <c r="B14" s="382" t="s">
        <v>183</v>
      </c>
      <c r="C14" s="383" t="s">
        <v>194</v>
      </c>
      <c r="D14" s="385">
        <v>25</v>
      </c>
      <c r="E14" s="384">
        <f>ROUND(38500/1.2,2)*0.93</f>
        <v>29837.496900000002</v>
      </c>
      <c r="F14" s="330">
        <f t="shared" si="3"/>
        <v>745937.42</v>
      </c>
      <c r="G14" s="330">
        <f t="shared" si="4"/>
        <v>895124.9</v>
      </c>
      <c r="H14" s="219" t="s">
        <v>1333</v>
      </c>
    </row>
    <row r="15" spans="1:8" x14ac:dyDescent="0.25">
      <c r="A15" s="110">
        <f>A12+1</f>
        <v>10</v>
      </c>
      <c r="B15" s="144" t="s">
        <v>708</v>
      </c>
      <c r="C15" s="97" t="s">
        <v>178</v>
      </c>
      <c r="D15" s="208">
        <f>14*6</f>
        <v>84</v>
      </c>
      <c r="E15" s="98">
        <f>ROUND(144/1.2,2)</f>
        <v>120</v>
      </c>
      <c r="F15" s="105">
        <f t="shared" si="0"/>
        <v>10080</v>
      </c>
      <c r="G15" s="105">
        <f t="shared" si="1"/>
        <v>12096</v>
      </c>
      <c r="H15" s="407"/>
    </row>
    <row r="16" spans="1:8" x14ac:dyDescent="0.25">
      <c r="A16" s="110">
        <f t="shared" si="2"/>
        <v>11</v>
      </c>
      <c r="B16" s="144" t="s">
        <v>709</v>
      </c>
      <c r="C16" s="97" t="s">
        <v>178</v>
      </c>
      <c r="D16" s="208">
        <v>14</v>
      </c>
      <c r="E16" s="98">
        <f>ROUND(5782/1.2,2)</f>
        <v>4818.33</v>
      </c>
      <c r="F16" s="105">
        <f t="shared" si="0"/>
        <v>67456.62</v>
      </c>
      <c r="G16" s="105">
        <f t="shared" si="1"/>
        <v>80947.94</v>
      </c>
      <c r="H16" s="407"/>
    </row>
    <row r="17" spans="1:8" ht="30" x14ac:dyDescent="0.25">
      <c r="A17" s="110">
        <f t="shared" si="2"/>
        <v>12</v>
      </c>
      <c r="B17" s="96" t="s">
        <v>185</v>
      </c>
      <c r="C17" s="97" t="s">
        <v>195</v>
      </c>
      <c r="D17" s="102">
        <v>1</v>
      </c>
      <c r="E17" s="98">
        <f>ROUND(1500000/1.2,2)</f>
        <v>1250000</v>
      </c>
      <c r="F17" s="105">
        <f t="shared" si="0"/>
        <v>1250000</v>
      </c>
      <c r="G17" s="105">
        <f t="shared" si="1"/>
        <v>1500000</v>
      </c>
    </row>
    <row r="18" spans="1:8" x14ac:dyDescent="0.25">
      <c r="A18" s="381">
        <f t="shared" si="2"/>
        <v>13</v>
      </c>
      <c r="B18" s="386" t="s">
        <v>1252</v>
      </c>
      <c r="C18" s="387" t="s">
        <v>178</v>
      </c>
      <c r="D18" s="388">
        <v>31</v>
      </c>
      <c r="E18" s="384">
        <v>0</v>
      </c>
      <c r="F18" s="330">
        <f t="shared" ref="F18:F19" si="5">ROUND(E18*D18,2)</f>
        <v>0</v>
      </c>
      <c r="G18" s="330">
        <f t="shared" ref="G18:G19" si="6">ROUND(F18*1.2,2)</f>
        <v>0</v>
      </c>
      <c r="H18" s="407" t="s">
        <v>1627</v>
      </c>
    </row>
    <row r="19" spans="1:8" x14ac:dyDescent="0.25">
      <c r="A19" s="381">
        <f t="shared" si="2"/>
        <v>14</v>
      </c>
      <c r="B19" s="386" t="s">
        <v>1253</v>
      </c>
      <c r="C19" s="387" t="s">
        <v>178</v>
      </c>
      <c r="D19" s="388">
        <v>89</v>
      </c>
      <c r="E19" s="384">
        <v>0</v>
      </c>
      <c r="F19" s="330">
        <f t="shared" si="5"/>
        <v>0</v>
      </c>
      <c r="G19" s="330">
        <f t="shared" si="6"/>
        <v>0</v>
      </c>
      <c r="H19" s="407"/>
    </row>
    <row r="20" spans="1:8" s="57" customFormat="1" ht="30" x14ac:dyDescent="0.25">
      <c r="A20" s="110">
        <f t="shared" si="2"/>
        <v>15</v>
      </c>
      <c r="B20" s="100" t="s">
        <v>186</v>
      </c>
      <c r="C20" s="101" t="s">
        <v>195</v>
      </c>
      <c r="D20" s="102">
        <v>2</v>
      </c>
      <c r="E20" s="255">
        <f>ROUND(5170000/1.2,2)*0.93</f>
        <v>4006749.9969000001</v>
      </c>
      <c r="F20" s="105">
        <f t="shared" si="0"/>
        <v>8013499.9900000002</v>
      </c>
      <c r="G20" s="105">
        <f t="shared" si="1"/>
        <v>9616199.9900000002</v>
      </c>
      <c r="H20" s="308"/>
    </row>
    <row r="21" spans="1:8" s="57" customFormat="1" ht="30" x14ac:dyDescent="0.25">
      <c r="A21" s="110">
        <f t="shared" si="2"/>
        <v>16</v>
      </c>
      <c r="B21" s="100" t="s">
        <v>187</v>
      </c>
      <c r="C21" s="101" t="s">
        <v>195</v>
      </c>
      <c r="D21" s="102">
        <v>1</v>
      </c>
      <c r="E21" s="255">
        <f>ROUND(5170000/1.2,2)*0.93</f>
        <v>4006749.9969000001</v>
      </c>
      <c r="F21" s="105">
        <f t="shared" si="0"/>
        <v>4006750</v>
      </c>
      <c r="G21" s="105">
        <f t="shared" si="1"/>
        <v>4808100</v>
      </c>
      <c r="H21" s="308"/>
    </row>
    <row r="22" spans="1:8" s="57" customFormat="1" ht="30" x14ac:dyDescent="0.25">
      <c r="A22" s="110">
        <f t="shared" si="2"/>
        <v>17</v>
      </c>
      <c r="B22" s="100" t="s">
        <v>189</v>
      </c>
      <c r="C22" s="101" t="s">
        <v>195</v>
      </c>
      <c r="D22" s="102">
        <v>2</v>
      </c>
      <c r="E22" s="255">
        <f>ROUND(4180000/1.2,2)*0.93</f>
        <v>3239499.9969000001</v>
      </c>
      <c r="F22" s="105">
        <f t="shared" si="0"/>
        <v>6478999.9900000002</v>
      </c>
      <c r="G22" s="107">
        <f t="shared" si="1"/>
        <v>7774799.9900000002</v>
      </c>
      <c r="H22" s="308"/>
    </row>
    <row r="23" spans="1:8" s="57" customFormat="1" ht="30" x14ac:dyDescent="0.25">
      <c r="A23" s="110">
        <f t="shared" si="2"/>
        <v>18</v>
      </c>
      <c r="B23" s="100" t="s">
        <v>188</v>
      </c>
      <c r="C23" s="101" t="s">
        <v>195</v>
      </c>
      <c r="D23" s="102">
        <v>1</v>
      </c>
      <c r="E23" s="255">
        <f>ROUND(4180000/1.2,2)*0.93</f>
        <v>3239499.9969000001</v>
      </c>
      <c r="F23" s="105">
        <f t="shared" si="0"/>
        <v>3239500</v>
      </c>
      <c r="G23" s="105">
        <f t="shared" si="1"/>
        <v>3887400</v>
      </c>
      <c r="H23" s="308"/>
    </row>
    <row r="24" spans="1:8" s="57" customFormat="1" ht="30" x14ac:dyDescent="0.25">
      <c r="A24" s="110">
        <f t="shared" si="2"/>
        <v>19</v>
      </c>
      <c r="B24" s="100" t="s">
        <v>190</v>
      </c>
      <c r="C24" s="101" t="s">
        <v>195</v>
      </c>
      <c r="D24" s="102">
        <v>3</v>
      </c>
      <c r="E24" s="255">
        <f>ROUND(2915000/1.2,2)*0.93</f>
        <v>2259125.0030999999</v>
      </c>
      <c r="F24" s="105">
        <f t="shared" si="0"/>
        <v>6777375.0099999998</v>
      </c>
      <c r="G24" s="105">
        <f t="shared" si="1"/>
        <v>8132850.0099999998</v>
      </c>
    </row>
    <row r="25" spans="1:8" s="57" customFormat="1" ht="19.5" customHeight="1" x14ac:dyDescent="0.25">
      <c r="A25" s="381">
        <f t="shared" si="2"/>
        <v>20</v>
      </c>
      <c r="B25" s="382" t="s">
        <v>1328</v>
      </c>
      <c r="C25" s="387" t="s">
        <v>178</v>
      </c>
      <c r="D25" s="388">
        <v>9</v>
      </c>
      <c r="E25" s="384">
        <v>49990</v>
      </c>
      <c r="F25" s="330">
        <f t="shared" si="0"/>
        <v>449910</v>
      </c>
      <c r="G25" s="330">
        <f t="shared" si="1"/>
        <v>539892</v>
      </c>
      <c r="H25" s="288" t="s">
        <v>1329</v>
      </c>
    </row>
    <row r="26" spans="1:8" x14ac:dyDescent="0.25">
      <c r="A26" s="110">
        <f t="shared" si="2"/>
        <v>21</v>
      </c>
      <c r="B26" s="96" t="s">
        <v>191</v>
      </c>
      <c r="C26" s="97" t="s">
        <v>178</v>
      </c>
      <c r="D26" s="102">
        <v>3</v>
      </c>
      <c r="E26" s="98">
        <f>ROUND(154000/1.2,2)</f>
        <v>128333.33</v>
      </c>
      <c r="F26" s="105">
        <f t="shared" si="0"/>
        <v>384999.99</v>
      </c>
      <c r="G26" s="105">
        <f t="shared" si="1"/>
        <v>461999.99</v>
      </c>
    </row>
    <row r="27" spans="1:8" x14ac:dyDescent="0.25">
      <c r="A27" s="110">
        <f t="shared" si="2"/>
        <v>22</v>
      </c>
      <c r="B27" s="96" t="s">
        <v>192</v>
      </c>
      <c r="C27" s="97" t="s">
        <v>178</v>
      </c>
      <c r="D27" s="102">
        <v>1</v>
      </c>
      <c r="E27" s="98">
        <f>ROUND(80000/1.2,2)</f>
        <v>66666.67</v>
      </c>
      <c r="F27" s="105">
        <f t="shared" si="0"/>
        <v>66666.67</v>
      </c>
      <c r="G27" s="105">
        <f t="shared" si="1"/>
        <v>80000</v>
      </c>
    </row>
    <row r="28" spans="1:8" x14ac:dyDescent="0.25">
      <c r="A28" s="110">
        <f t="shared" si="2"/>
        <v>23</v>
      </c>
      <c r="B28" s="96" t="s">
        <v>734</v>
      </c>
      <c r="C28" s="97" t="s">
        <v>193</v>
      </c>
      <c r="D28" s="99">
        <v>80</v>
      </c>
      <c r="E28" s="98">
        <v>1581</v>
      </c>
      <c r="F28" s="105">
        <f t="shared" ref="F28" si="7">ROUND(E28*D28,2)</f>
        <v>126480</v>
      </c>
      <c r="G28" s="105">
        <f t="shared" ref="G28" si="8">ROUND(F28*1.2,2)</f>
        <v>151776</v>
      </c>
    </row>
    <row r="29" spans="1:8" x14ac:dyDescent="0.25">
      <c r="A29" s="221">
        <f t="shared" si="2"/>
        <v>24</v>
      </c>
      <c r="B29" s="144" t="s">
        <v>719</v>
      </c>
      <c r="C29" s="208" t="s">
        <v>735</v>
      </c>
      <c r="D29" s="209">
        <v>1</v>
      </c>
      <c r="E29" s="210">
        <v>330000</v>
      </c>
      <c r="F29" s="211">
        <f t="shared" ref="F29" si="9">ROUND(E29*D29,2)</f>
        <v>330000</v>
      </c>
      <c r="G29" s="211">
        <f t="shared" ref="G29" si="10">ROUND(F29*1.2,2)</f>
        <v>396000</v>
      </c>
    </row>
    <row r="30" spans="1:8" s="1" customFormat="1" x14ac:dyDescent="0.25">
      <c r="A30" s="95"/>
      <c r="B30" s="408" t="s">
        <v>721</v>
      </c>
      <c r="C30" s="409"/>
      <c r="D30" s="409"/>
      <c r="E30" s="410"/>
      <c r="F30" s="116">
        <f>SUM(F4:F29)</f>
        <v>121856658.65000001</v>
      </c>
      <c r="G30" s="116">
        <f>SUM(G4:G29)</f>
        <v>146227990.36999997</v>
      </c>
    </row>
    <row r="33" spans="2:7" x14ac:dyDescent="0.25">
      <c r="B33" s="56"/>
      <c r="G33" s="26"/>
    </row>
  </sheetData>
  <mergeCells count="9">
    <mergeCell ref="H15:H16"/>
    <mergeCell ref="H8:H9"/>
    <mergeCell ref="B30:E30"/>
    <mergeCell ref="E1:G1"/>
    <mergeCell ref="A1:A2"/>
    <mergeCell ref="B1:B2"/>
    <mergeCell ref="C1:C2"/>
    <mergeCell ref="D1:D2"/>
    <mergeCell ref="H18:H19"/>
  </mergeCells>
  <pageMargins left="0.7" right="0.7" top="0.75" bottom="0.75" header="0.3" footer="0.3"/>
  <pageSetup paperSize="9" scale="6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view="pageBreakPreview" zoomScale="90" zoomScaleNormal="100" zoomScaleSheetLayoutView="90" workbookViewId="0">
      <selection activeCell="A20" sqref="A20:G21"/>
    </sheetView>
  </sheetViews>
  <sheetFormatPr defaultRowHeight="15" x14ac:dyDescent="0.25"/>
  <cols>
    <col min="1" max="1" width="6.140625" customWidth="1"/>
    <col min="2" max="2" width="61.5703125" customWidth="1"/>
    <col min="5" max="5" width="11.28515625" bestFit="1" customWidth="1"/>
    <col min="6" max="6" width="14" style="15" customWidth="1"/>
    <col min="7" max="7" width="13.7109375" style="15" customWidth="1"/>
    <col min="8" max="8" width="14.28515625" bestFit="1" customWidth="1"/>
  </cols>
  <sheetData>
    <row r="1" spans="1:7" s="1" customFormat="1" x14ac:dyDescent="0.25">
      <c r="A1" s="426" t="s">
        <v>200</v>
      </c>
      <c r="B1" s="426" t="s">
        <v>227</v>
      </c>
      <c r="C1" s="426" t="s">
        <v>411</v>
      </c>
      <c r="D1" s="426" t="s">
        <v>202</v>
      </c>
      <c r="E1" s="405" t="s">
        <v>703</v>
      </c>
      <c r="F1" s="405"/>
      <c r="G1" s="405"/>
    </row>
    <row r="2" spans="1:7" ht="25.5" x14ac:dyDescent="0.25">
      <c r="A2" s="426"/>
      <c r="B2" s="426"/>
      <c r="C2" s="426"/>
      <c r="D2" s="426"/>
      <c r="E2" s="92" t="s">
        <v>412</v>
      </c>
      <c r="F2" s="117" t="s">
        <v>438</v>
      </c>
      <c r="G2" s="118" t="s">
        <v>409</v>
      </c>
    </row>
    <row r="3" spans="1:7" ht="12.75" customHeight="1" x14ac:dyDescent="0.25">
      <c r="A3" s="154">
        <v>1</v>
      </c>
      <c r="B3" s="155">
        <v>2</v>
      </c>
      <c r="C3" s="155">
        <v>3</v>
      </c>
      <c r="D3" s="155">
        <v>4</v>
      </c>
      <c r="E3" s="155">
        <v>5</v>
      </c>
      <c r="F3" s="155">
        <v>6</v>
      </c>
      <c r="G3" s="155">
        <v>7</v>
      </c>
    </row>
    <row r="4" spans="1:7" ht="14.45" customHeight="1" x14ac:dyDescent="0.25">
      <c r="A4" s="424" t="s">
        <v>713</v>
      </c>
      <c r="B4" s="425"/>
      <c r="C4" s="125"/>
      <c r="D4" s="127"/>
      <c r="E4" s="125"/>
      <c r="F4" s="125"/>
      <c r="G4" s="128"/>
    </row>
    <row r="5" spans="1:7" x14ac:dyDescent="0.25">
      <c r="A5" s="111">
        <v>1</v>
      </c>
      <c r="B5" s="112" t="s">
        <v>425</v>
      </c>
      <c r="C5" s="112" t="s">
        <v>178</v>
      </c>
      <c r="D5" s="123">
        <v>2</v>
      </c>
      <c r="E5" s="98">
        <v>109572</v>
      </c>
      <c r="F5" s="105">
        <f>ROUND(E5*D5,2)</f>
        <v>219144</v>
      </c>
      <c r="G5" s="105">
        <f>ROUND(F5*1.2,2)</f>
        <v>262972.79999999999</v>
      </c>
    </row>
    <row r="6" spans="1:7" x14ac:dyDescent="0.25">
      <c r="A6" s="111">
        <f>A5+1</f>
        <v>2</v>
      </c>
      <c r="B6" s="112" t="s">
        <v>435</v>
      </c>
      <c r="C6" s="112" t="s">
        <v>194</v>
      </c>
      <c r="D6" s="122">
        <v>8.5</v>
      </c>
      <c r="E6" s="98">
        <v>4200</v>
      </c>
      <c r="F6" s="105">
        <f>ROUND(E6*D6,2)</f>
        <v>35700</v>
      </c>
      <c r="G6" s="105">
        <f>ROUND(F6*1.2,2)</f>
        <v>42840</v>
      </c>
    </row>
    <row r="7" spans="1:7" x14ac:dyDescent="0.25">
      <c r="A7" s="111">
        <f>A6+1</f>
        <v>3</v>
      </c>
      <c r="B7" s="112" t="s">
        <v>424</v>
      </c>
      <c r="C7" s="112" t="s">
        <v>194</v>
      </c>
      <c r="D7" s="123">
        <v>110</v>
      </c>
      <c r="E7" s="98">
        <f>ROUND(2315*0.9,2)</f>
        <v>2083.5</v>
      </c>
      <c r="F7" s="105">
        <f>ROUND(E7*D7,2)</f>
        <v>229185</v>
      </c>
      <c r="G7" s="105">
        <f>ROUND(F7*1.2,2)</f>
        <v>275022</v>
      </c>
    </row>
    <row r="8" spans="1:7" ht="14.45" customHeight="1" x14ac:dyDescent="0.25">
      <c r="A8" s="424" t="s">
        <v>207</v>
      </c>
      <c r="B8" s="425"/>
      <c r="C8" s="125"/>
      <c r="D8" s="127"/>
      <c r="E8" s="125"/>
      <c r="F8" s="125"/>
      <c r="G8" s="128"/>
    </row>
    <row r="9" spans="1:7" x14ac:dyDescent="0.25">
      <c r="A9" s="111">
        <f>A7+1</f>
        <v>4</v>
      </c>
      <c r="B9" s="112" t="s">
        <v>428</v>
      </c>
      <c r="C9" s="112" t="s">
        <v>193</v>
      </c>
      <c r="D9" s="121">
        <v>146.52000000000001</v>
      </c>
      <c r="E9" s="98">
        <f>ROUND(1380*0.9,2)</f>
        <v>1242</v>
      </c>
      <c r="F9" s="105">
        <f t="shared" ref="F9:F14" si="0">ROUND(E9*D9,2)</f>
        <v>181977.84</v>
      </c>
      <c r="G9" s="105">
        <f t="shared" ref="G9:G14" si="1">ROUND(F9*1.2,2)</f>
        <v>218373.41</v>
      </c>
    </row>
    <row r="10" spans="1:7" ht="30" x14ac:dyDescent="0.25">
      <c r="A10" s="111">
        <f>A9+1</f>
        <v>5</v>
      </c>
      <c r="B10" s="112" t="s">
        <v>429</v>
      </c>
      <c r="C10" s="112" t="s">
        <v>193</v>
      </c>
      <c r="D10" s="121">
        <v>704.98</v>
      </c>
      <c r="E10" s="98">
        <f>ROUND(5165*0.9,2)</f>
        <v>4648.5</v>
      </c>
      <c r="F10" s="105">
        <f t="shared" si="0"/>
        <v>3277099.53</v>
      </c>
      <c r="G10" s="105">
        <f t="shared" si="1"/>
        <v>3932519.44</v>
      </c>
    </row>
    <row r="11" spans="1:7" x14ac:dyDescent="0.25">
      <c r="A11" s="111">
        <f t="shared" ref="A11:A14" si="2">A10+1</f>
        <v>6</v>
      </c>
      <c r="B11" s="112" t="s">
        <v>430</v>
      </c>
      <c r="C11" s="112" t="s">
        <v>431</v>
      </c>
      <c r="D11" s="121">
        <v>226</v>
      </c>
      <c r="E11" s="98">
        <f>ROUND(325*0.9,2)</f>
        <v>292.5</v>
      </c>
      <c r="F11" s="105">
        <f t="shared" si="0"/>
        <v>66105</v>
      </c>
      <c r="G11" s="105">
        <f t="shared" si="1"/>
        <v>79326</v>
      </c>
    </row>
    <row r="12" spans="1:7" x14ac:dyDescent="0.25">
      <c r="A12" s="111">
        <f t="shared" si="2"/>
        <v>7</v>
      </c>
      <c r="B12" s="112" t="s">
        <v>432</v>
      </c>
      <c r="C12" s="112" t="s">
        <v>431</v>
      </c>
      <c r="D12" s="121">
        <v>73.2</v>
      </c>
      <c r="E12" s="98">
        <f t="shared" ref="E12:E14" si="3">ROUND(325*0.9,2)</f>
        <v>292.5</v>
      </c>
      <c r="F12" s="105">
        <f t="shared" si="0"/>
        <v>21411</v>
      </c>
      <c r="G12" s="105">
        <f t="shared" si="1"/>
        <v>25693.200000000001</v>
      </c>
    </row>
    <row r="13" spans="1:7" x14ac:dyDescent="0.25">
      <c r="A13" s="111">
        <f t="shared" si="2"/>
        <v>8</v>
      </c>
      <c r="B13" s="112" t="s">
        <v>436</v>
      </c>
      <c r="C13" s="112" t="s">
        <v>431</v>
      </c>
      <c r="D13" s="121">
        <v>861.3</v>
      </c>
      <c r="E13" s="98">
        <f t="shared" si="3"/>
        <v>292.5</v>
      </c>
      <c r="F13" s="105">
        <f t="shared" si="0"/>
        <v>251930.25</v>
      </c>
      <c r="G13" s="105">
        <f t="shared" si="1"/>
        <v>302316.3</v>
      </c>
    </row>
    <row r="14" spans="1:7" x14ac:dyDescent="0.25">
      <c r="A14" s="111">
        <f t="shared" si="2"/>
        <v>9</v>
      </c>
      <c r="B14" s="112" t="s">
        <v>437</v>
      </c>
      <c r="C14" s="112" t="s">
        <v>431</v>
      </c>
      <c r="D14" s="121">
        <v>475.92</v>
      </c>
      <c r="E14" s="98">
        <f t="shared" si="3"/>
        <v>292.5</v>
      </c>
      <c r="F14" s="105">
        <f t="shared" si="0"/>
        <v>139206.6</v>
      </c>
      <c r="G14" s="105">
        <f t="shared" si="1"/>
        <v>167047.92000000001</v>
      </c>
    </row>
    <row r="15" spans="1:7" ht="14.45" customHeight="1" x14ac:dyDescent="0.25">
      <c r="A15" s="424" t="s">
        <v>413</v>
      </c>
      <c r="B15" s="425"/>
      <c r="C15" s="125"/>
      <c r="D15" s="127"/>
      <c r="E15" s="125"/>
      <c r="F15" s="125"/>
      <c r="G15" s="128"/>
    </row>
    <row r="16" spans="1:7" x14ac:dyDescent="0.25">
      <c r="A16" s="111">
        <f>A14+1</f>
        <v>10</v>
      </c>
      <c r="B16" s="112" t="s">
        <v>427</v>
      </c>
      <c r="C16" s="112" t="s">
        <v>193</v>
      </c>
      <c r="D16" s="121">
        <v>549.42999999999995</v>
      </c>
      <c r="E16" s="98">
        <f>ROUND(1610.8*0.9,2)</f>
        <v>1449.72</v>
      </c>
      <c r="F16" s="105">
        <f>ROUND(E16*D16,2)</f>
        <v>796519.66</v>
      </c>
      <c r="G16" s="105">
        <f>ROUND(F16*1.2,2)</f>
        <v>955823.59</v>
      </c>
    </row>
    <row r="17" spans="1:8" ht="45" x14ac:dyDescent="0.25">
      <c r="A17" s="111">
        <f>A16+1</f>
        <v>11</v>
      </c>
      <c r="B17" s="112" t="s">
        <v>414</v>
      </c>
      <c r="C17" s="112" t="s">
        <v>194</v>
      </c>
      <c r="D17" s="120">
        <v>284</v>
      </c>
      <c r="E17" s="98">
        <v>2348</v>
      </c>
      <c r="F17" s="105">
        <f>ROUND(E17*D17,2)</f>
        <v>666832</v>
      </c>
      <c r="G17" s="105">
        <f>ROUND(F17*1.2,2)</f>
        <v>800198.4</v>
      </c>
      <c r="H17" s="30"/>
    </row>
    <row r="18" spans="1:8" ht="45" x14ac:dyDescent="0.25">
      <c r="A18" s="111">
        <f>A17+1</f>
        <v>12</v>
      </c>
      <c r="B18" s="112" t="s">
        <v>434</v>
      </c>
      <c r="C18" s="112" t="s">
        <v>194</v>
      </c>
      <c r="D18" s="119">
        <v>145.63</v>
      </c>
      <c r="E18" s="98">
        <v>1587</v>
      </c>
      <c r="F18" s="105">
        <f>ROUND(E18*D18,2)</f>
        <v>231114.81</v>
      </c>
      <c r="G18" s="105">
        <f>ROUND(F18*1.2,2)</f>
        <v>277337.77</v>
      </c>
    </row>
    <row r="19" spans="1:8" s="1" customFormat="1" x14ac:dyDescent="0.25">
      <c r="A19" s="103"/>
      <c r="B19" s="408" t="s">
        <v>721</v>
      </c>
      <c r="C19" s="409"/>
      <c r="D19" s="409"/>
      <c r="E19" s="410"/>
      <c r="F19" s="116">
        <f>SUM(F5:F18)</f>
        <v>6116225.6899999985</v>
      </c>
      <c r="G19" s="116">
        <f>SUM(G5:G18)</f>
        <v>7339470.8300000001</v>
      </c>
    </row>
    <row r="20" spans="1:8" x14ac:dyDescent="0.25">
      <c r="A20" s="411" t="s">
        <v>722</v>
      </c>
      <c r="B20" s="412"/>
      <c r="C20" s="412"/>
      <c r="D20" s="412"/>
      <c r="E20" s="413"/>
      <c r="F20" s="220">
        <f>ROUND(F19*0.03,2)</f>
        <v>183486.77</v>
      </c>
      <c r="G20" s="220">
        <f>ROUND(G19*0.03,2)</f>
        <v>220184.12</v>
      </c>
      <c r="H20" s="52"/>
    </row>
    <row r="21" spans="1:8" x14ac:dyDescent="0.25">
      <c r="A21" s="411" t="s">
        <v>723</v>
      </c>
      <c r="B21" s="412"/>
      <c r="C21" s="412"/>
      <c r="D21" s="412"/>
      <c r="E21" s="413"/>
      <c r="F21" s="220">
        <f>F19+F20</f>
        <v>6299712.4599999981</v>
      </c>
      <c r="G21" s="220">
        <f>G19+G20</f>
        <v>7559654.9500000002</v>
      </c>
      <c r="H21" s="52"/>
    </row>
  </sheetData>
  <mergeCells count="11">
    <mergeCell ref="B19:E19"/>
    <mergeCell ref="A20:E20"/>
    <mergeCell ref="A21:E21"/>
    <mergeCell ref="A15:B15"/>
    <mergeCell ref="E1:G1"/>
    <mergeCell ref="A1:A2"/>
    <mergeCell ref="B1:B2"/>
    <mergeCell ref="C1:C2"/>
    <mergeCell ref="D1:D2"/>
    <mergeCell ref="A8:B8"/>
    <mergeCell ref="A4:B4"/>
  </mergeCells>
  <pageMargins left="0.7" right="0.7" top="0.75" bottom="0.75" header="0.3" footer="0.3"/>
  <pageSetup paperSize="9" scale="6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view="pageBreakPreview" zoomScale="90" zoomScaleNormal="100" zoomScaleSheetLayoutView="90" workbookViewId="0">
      <pane ySplit="2" topLeftCell="A3" activePane="bottomLeft" state="frozen"/>
      <selection pane="bottomLeft" activeCell="A11" sqref="A11:F11"/>
    </sheetView>
  </sheetViews>
  <sheetFormatPr defaultRowHeight="15" x14ac:dyDescent="0.25"/>
  <cols>
    <col min="1" max="1" width="5.7109375" customWidth="1"/>
    <col min="2" max="2" width="60.85546875" customWidth="1"/>
    <col min="3" max="3" width="10.140625" style="29" customWidth="1"/>
    <col min="4" max="4" width="8.85546875" style="29"/>
    <col min="5" max="5" width="11.28515625" style="29" customWidth="1"/>
    <col min="6" max="6" width="15" style="29" customWidth="1"/>
    <col min="7" max="7" width="15.42578125" style="29" customWidth="1"/>
  </cols>
  <sheetData>
    <row r="1" spans="1:7" x14ac:dyDescent="0.25">
      <c r="A1" s="426" t="s">
        <v>200</v>
      </c>
      <c r="B1" s="426" t="s">
        <v>201</v>
      </c>
      <c r="C1" s="428" t="s">
        <v>705</v>
      </c>
      <c r="D1" s="428" t="s">
        <v>202</v>
      </c>
      <c r="E1" s="427" t="s">
        <v>703</v>
      </c>
      <c r="F1" s="427"/>
      <c r="G1" s="427"/>
    </row>
    <row r="2" spans="1:7" ht="42.75" x14ac:dyDescent="0.25">
      <c r="A2" s="426"/>
      <c r="B2" s="426"/>
      <c r="C2" s="428"/>
      <c r="D2" s="428"/>
      <c r="E2" s="93" t="s">
        <v>196</v>
      </c>
      <c r="F2" s="94" t="s">
        <v>197</v>
      </c>
      <c r="G2" s="94" t="s">
        <v>199</v>
      </c>
    </row>
    <row r="3" spans="1:7" ht="12.75" customHeight="1" x14ac:dyDescent="0.25">
      <c r="A3" s="154">
        <v>1</v>
      </c>
      <c r="B3" s="155">
        <v>2</v>
      </c>
      <c r="C3" s="155">
        <v>3</v>
      </c>
      <c r="D3" s="155">
        <v>4</v>
      </c>
      <c r="E3" s="155">
        <v>5</v>
      </c>
      <c r="F3" s="155">
        <v>6</v>
      </c>
      <c r="G3" s="155">
        <v>7</v>
      </c>
    </row>
    <row r="4" spans="1:7" x14ac:dyDescent="0.25">
      <c r="A4" s="111">
        <v>1</v>
      </c>
      <c r="B4" s="96" t="s">
        <v>161</v>
      </c>
      <c r="C4" s="111" t="s">
        <v>193</v>
      </c>
      <c r="D4" s="111">
        <v>190.476</v>
      </c>
      <c r="E4" s="98">
        <f>ROUND(1584/1.2,2)</f>
        <v>1320</v>
      </c>
      <c r="F4" s="105">
        <f>ROUND(E4*D4,2)</f>
        <v>251428.32</v>
      </c>
      <c r="G4" s="105">
        <f>ROUND(F4*1.2,2)</f>
        <v>301713.98</v>
      </c>
    </row>
    <row r="5" spans="1:7" x14ac:dyDescent="0.25">
      <c r="A5" s="111">
        <f>A4+1</f>
        <v>2</v>
      </c>
      <c r="B5" s="96" t="s">
        <v>716</v>
      </c>
      <c r="C5" s="111" t="s">
        <v>193</v>
      </c>
      <c r="D5" s="111">
        <v>642.83000000000004</v>
      </c>
      <c r="E5" s="98">
        <f>ROUND(5300/1.2,2)</f>
        <v>4416.67</v>
      </c>
      <c r="F5" s="105">
        <f t="shared" ref="F5:F10" si="0">ROUND(E5*D5,2)</f>
        <v>2839167.98</v>
      </c>
      <c r="G5" s="105">
        <f t="shared" ref="G5:G10" si="1">ROUND(F5*1.2,2)</f>
        <v>3407001.58</v>
      </c>
    </row>
    <row r="6" spans="1:7" x14ac:dyDescent="0.25">
      <c r="A6" s="111">
        <f>A5+1</f>
        <v>3</v>
      </c>
      <c r="B6" s="96" t="s">
        <v>203</v>
      </c>
      <c r="C6" s="111" t="s">
        <v>431</v>
      </c>
      <c r="D6" s="113">
        <f>300*3</f>
        <v>900</v>
      </c>
      <c r="E6" s="98">
        <f>ROUND(184/1.2,2)</f>
        <v>153.33000000000001</v>
      </c>
      <c r="F6" s="105">
        <f t="shared" si="0"/>
        <v>137997</v>
      </c>
      <c r="G6" s="105">
        <f t="shared" si="1"/>
        <v>165596.4</v>
      </c>
    </row>
    <row r="7" spans="1:7" ht="20.25" customHeight="1" x14ac:dyDescent="0.25">
      <c r="A7" s="111">
        <f t="shared" ref="A7:A11" si="2">A6+1</f>
        <v>4</v>
      </c>
      <c r="B7" s="96" t="s">
        <v>204</v>
      </c>
      <c r="C7" s="111" t="s">
        <v>194</v>
      </c>
      <c r="D7" s="113">
        <v>145.63</v>
      </c>
      <c r="E7" s="98">
        <f>ROUND(16500/1.2,2)</f>
        <v>13750</v>
      </c>
      <c r="F7" s="105">
        <f t="shared" si="0"/>
        <v>2002412.5</v>
      </c>
      <c r="G7" s="105">
        <f t="shared" si="1"/>
        <v>2402895</v>
      </c>
    </row>
    <row r="8" spans="1:7" ht="39" customHeight="1" x14ac:dyDescent="0.25">
      <c r="A8" s="111">
        <f t="shared" si="2"/>
        <v>5</v>
      </c>
      <c r="B8" s="96" t="s">
        <v>205</v>
      </c>
      <c r="C8" s="111" t="s">
        <v>194</v>
      </c>
      <c r="D8" s="113">
        <v>284</v>
      </c>
      <c r="E8" s="98">
        <f>ROUND(34100/1.2,2)</f>
        <v>28416.67</v>
      </c>
      <c r="F8" s="105">
        <f t="shared" si="0"/>
        <v>8070334.2800000003</v>
      </c>
      <c r="G8" s="105">
        <f t="shared" si="1"/>
        <v>9684401.1400000006</v>
      </c>
    </row>
    <row r="9" spans="1:7" x14ac:dyDescent="0.25">
      <c r="A9" s="111">
        <f t="shared" si="2"/>
        <v>6</v>
      </c>
      <c r="B9" s="96" t="s">
        <v>706</v>
      </c>
      <c r="C9" s="97" t="s">
        <v>178</v>
      </c>
      <c r="D9" s="113">
        <v>276</v>
      </c>
      <c r="E9" s="98">
        <f>ROUND(200/1.2,2)</f>
        <v>166.67</v>
      </c>
      <c r="F9" s="105">
        <f t="shared" si="0"/>
        <v>46000.92</v>
      </c>
      <c r="G9" s="105">
        <f t="shared" si="1"/>
        <v>55201.1</v>
      </c>
    </row>
    <row r="10" spans="1:7" x14ac:dyDescent="0.25">
      <c r="A10" s="111">
        <f t="shared" si="2"/>
        <v>7</v>
      </c>
      <c r="B10" s="96" t="s">
        <v>707</v>
      </c>
      <c r="C10" s="97" t="s">
        <v>178</v>
      </c>
      <c r="D10" s="113">
        <v>92</v>
      </c>
      <c r="E10" s="98">
        <f>ROUND(5841/1.2,2)</f>
        <v>4867.5</v>
      </c>
      <c r="F10" s="105">
        <f t="shared" si="0"/>
        <v>447810</v>
      </c>
      <c r="G10" s="105">
        <f t="shared" si="1"/>
        <v>537372</v>
      </c>
    </row>
    <row r="11" spans="1:7" x14ac:dyDescent="0.25">
      <c r="A11" s="66">
        <f t="shared" si="2"/>
        <v>8</v>
      </c>
      <c r="B11" s="222" t="s">
        <v>719</v>
      </c>
      <c r="C11" s="208" t="s">
        <v>735</v>
      </c>
      <c r="D11" s="88">
        <v>1</v>
      </c>
      <c r="E11" s="210">
        <v>330000</v>
      </c>
      <c r="F11" s="211">
        <f t="shared" ref="F11" si="3">ROUND(E11*D11,2)</f>
        <v>330000</v>
      </c>
      <c r="G11" s="211">
        <f t="shared" ref="G11" si="4">ROUND(F11*1.2,2)</f>
        <v>396000</v>
      </c>
    </row>
    <row r="12" spans="1:7" s="1" customFormat="1" x14ac:dyDescent="0.25">
      <c r="A12" s="103"/>
      <c r="B12" s="408" t="s">
        <v>721</v>
      </c>
      <c r="C12" s="409"/>
      <c r="D12" s="409"/>
      <c r="E12" s="410"/>
      <c r="F12" s="116">
        <f>SUM(F4:F11)</f>
        <v>14125151</v>
      </c>
      <c r="G12" s="116">
        <f>SUM(G4:G11)</f>
        <v>16950181.200000003</v>
      </c>
    </row>
    <row r="15" spans="1:7" x14ac:dyDescent="0.25">
      <c r="B15" s="53"/>
      <c r="G15" s="58"/>
    </row>
  </sheetData>
  <mergeCells count="6">
    <mergeCell ref="B12:E12"/>
    <mergeCell ref="E1:G1"/>
    <mergeCell ref="A1:A2"/>
    <mergeCell ref="B1:B2"/>
    <mergeCell ref="C1:C2"/>
    <mergeCell ref="D1:D2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18</vt:i4>
      </vt:variant>
    </vt:vector>
  </HeadingPairs>
  <TitlesOfParts>
    <vt:vector size="43" baseType="lpstr">
      <vt:lpstr>Лист1</vt:lpstr>
      <vt:lpstr>Лист2</vt:lpstr>
      <vt:lpstr>СМР трнсбрдр (2)</vt:lpstr>
      <vt:lpstr>мат трнсбрдр (2)</vt:lpstr>
      <vt:lpstr>Свод</vt:lpstr>
      <vt:lpstr>СМР 417 путь</vt:lpstr>
      <vt:lpstr>мат 417 путь</vt:lpstr>
      <vt:lpstr>СМР 217 путь</vt:lpstr>
      <vt:lpstr>мат 217 путь</vt:lpstr>
      <vt:lpstr>СМР комм-ции 417</vt:lpstr>
      <vt:lpstr>мат комм-ции 417</vt:lpstr>
      <vt:lpstr>СМР комм-ции 217 </vt:lpstr>
      <vt:lpstr>мат комм-ции 217</vt:lpstr>
      <vt:lpstr>СМР жд 8 цех</vt:lpstr>
      <vt:lpstr>мат 8 цех</vt:lpstr>
      <vt:lpstr>СМР трнсбрдр</vt:lpstr>
      <vt:lpstr>мат трнсбрдр</vt:lpstr>
      <vt:lpstr>СМР ГСН</vt:lpstr>
      <vt:lpstr>мат ГСН</vt:lpstr>
      <vt:lpstr>СМР ТС2</vt:lpstr>
      <vt:lpstr>мат ТС2</vt:lpstr>
      <vt:lpstr>СМР ТС3</vt:lpstr>
      <vt:lpstr>мат ТС3</vt:lpstr>
      <vt:lpstr>СМР эстакада</vt:lpstr>
      <vt:lpstr>мат эстакада</vt:lpstr>
      <vt:lpstr>'мат 417 путь'!Область_печати</vt:lpstr>
      <vt:lpstr>'мат комм-ции 217'!Область_печати</vt:lpstr>
      <vt:lpstr>'мат комм-ции 417'!Область_печати</vt:lpstr>
      <vt:lpstr>'мат трнсбрдр'!Область_печати</vt:lpstr>
      <vt:lpstr>'мат трнсбрдр (2)'!Область_печати</vt:lpstr>
      <vt:lpstr>'мат ТС2'!Область_печати</vt:lpstr>
      <vt:lpstr>'мат ТС3'!Область_печати</vt:lpstr>
      <vt:lpstr>'мат эстакада'!Область_печати</vt:lpstr>
      <vt:lpstr>Свод!Область_печати</vt:lpstr>
      <vt:lpstr>'СМР 417 путь'!Область_печати</vt:lpstr>
      <vt:lpstr>'СМР ГСН'!Область_печати</vt:lpstr>
      <vt:lpstr>'СМР комм-ции 217 '!Область_печати</vt:lpstr>
      <vt:lpstr>'СМР комм-ции 417'!Область_печати</vt:lpstr>
      <vt:lpstr>'СМР трнсбрдр'!Область_печати</vt:lpstr>
      <vt:lpstr>'СМР трнсбрдр (2)'!Область_печати</vt:lpstr>
      <vt:lpstr>'СМР ТС2'!Область_печати</vt:lpstr>
      <vt:lpstr>'СМР ТС3'!Область_печати</vt:lpstr>
      <vt:lpstr>'СМР эстакада'!Область_печати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Kirill</cp:lastModifiedBy>
  <cp:lastPrinted>2023-05-18T12:01:53Z</cp:lastPrinted>
  <dcterms:created xsi:type="dcterms:W3CDTF">2023-03-21T11:58:40Z</dcterms:created>
  <dcterms:modified xsi:type="dcterms:W3CDTF">2023-06-11T16:55:11Z</dcterms:modified>
</cp:coreProperties>
</file>