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эндвич\"/>
    </mc:Choice>
  </mc:AlternateContent>
  <xr:revisionPtr revIDLastSave="0" documentId="13_ncr:1_{D8AE36E9-B647-41AA-8ED3-E444E7DD53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гкл по калькулятору кнауф" sheetId="3" r:id="rId1"/>
    <sheet name="блоки" sheetId="1" r:id="rId2"/>
    <sheet name="гкл-рыба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3" l="1"/>
  <c r="G33" i="3"/>
  <c r="F31" i="3"/>
  <c r="G31" i="3" s="1"/>
  <c r="F25" i="3"/>
  <c r="F23" i="3"/>
  <c r="F28" i="3"/>
  <c r="G28" i="3" s="1"/>
  <c r="F26" i="3"/>
  <c r="G26" i="3" s="1"/>
  <c r="F22" i="3"/>
  <c r="F21" i="3"/>
  <c r="G21" i="3" s="1"/>
  <c r="G22" i="3"/>
  <c r="G23" i="3"/>
  <c r="G24" i="3"/>
  <c r="G25" i="3"/>
  <c r="G27" i="3"/>
  <c r="G29" i="3"/>
  <c r="G30" i="3"/>
  <c r="G32" i="3"/>
  <c r="G20" i="3"/>
  <c r="C4" i="3"/>
  <c r="H3" i="2"/>
  <c r="C11" i="2"/>
  <c r="C15" i="2" s="1"/>
  <c r="D15" i="2" s="1"/>
  <c r="F15" i="2" s="1"/>
  <c r="C10" i="2"/>
  <c r="C7" i="2"/>
  <c r="E7" i="2" s="1"/>
  <c r="E3" i="2"/>
  <c r="D3" i="2"/>
  <c r="F3" i="2" s="1"/>
  <c r="G23" i="1"/>
  <c r="F23" i="1"/>
  <c r="C14" i="2" l="1"/>
  <c r="D14" i="2" s="1"/>
  <c r="F14" i="2" s="1"/>
  <c r="H19" i="1"/>
  <c r="H18" i="1"/>
  <c r="G19" i="1"/>
  <c r="G18" i="1"/>
  <c r="F19" i="1"/>
  <c r="G12" i="1"/>
  <c r="H12" i="1" s="1"/>
  <c r="G13" i="1"/>
  <c r="H13" i="1" s="1"/>
  <c r="G14" i="1"/>
  <c r="H14" i="1" s="1"/>
  <c r="G11" i="1"/>
  <c r="H11" i="1" s="1"/>
  <c r="F14" i="1"/>
  <c r="F13" i="1"/>
  <c r="F12" i="1"/>
  <c r="F11" i="1"/>
  <c r="F10" i="1"/>
  <c r="P24" i="1"/>
  <c r="K5" i="1"/>
  <c r="K6" i="1"/>
  <c r="K7" i="1"/>
  <c r="K4" i="1"/>
  <c r="J5" i="1"/>
  <c r="J6" i="1"/>
  <c r="J7" i="1"/>
  <c r="J4" i="1"/>
  <c r="I5" i="1"/>
  <c r="I6" i="1"/>
  <c r="I7" i="1"/>
  <c r="I4" i="1"/>
  <c r="G4" i="1"/>
  <c r="F4" i="1"/>
  <c r="F7" i="1" s="1"/>
  <c r="H4" i="1" l="1"/>
  <c r="F5" i="1"/>
  <c r="F6" i="1"/>
  <c r="G7" i="1" l="1"/>
  <c r="H7" i="1" s="1"/>
  <c r="G5" i="1"/>
  <c r="H5" i="1" s="1"/>
  <c r="G6" i="1"/>
  <c r="H6" i="1" s="1"/>
</calcChain>
</file>

<file path=xl/sharedStrings.xml><?xml version="1.0" encoding="utf-8"?>
<sst xmlns="http://schemas.openxmlformats.org/spreadsheetml/2006/main" count="101" uniqueCount="90">
  <si>
    <t>длин</t>
  </si>
  <si>
    <t>выс</t>
  </si>
  <si>
    <t>на поддоне</t>
  </si>
  <si>
    <t>м2 1 бл</t>
  </si>
  <si>
    <t>необх кол бл</t>
  </si>
  <si>
    <t xml:space="preserve"> </t>
  </si>
  <si>
    <t>поддонов</t>
  </si>
  <si>
    <t>2 ряда кол-во блоков</t>
  </si>
  <si>
    <t>кубов</t>
  </si>
  <si>
    <t xml:space="preserve">выс, м </t>
  </si>
  <si>
    <t>арматура, м</t>
  </si>
  <si>
    <t>8мм, тн</t>
  </si>
  <si>
    <t>6мм, тн</t>
  </si>
  <si>
    <t>10м, тн</t>
  </si>
  <si>
    <t>12мм, тн</t>
  </si>
  <si>
    <t>тонн</t>
  </si>
  <si>
    <t>стоим по 4200/куб, руб</t>
  </si>
  <si>
    <t>стоим по 52800/т, руб</t>
  </si>
  <si>
    <t>по рд, м2</t>
  </si>
  <si>
    <t>длин, м</t>
  </si>
  <si>
    <t>газобетон, толщ</t>
  </si>
  <si>
    <t>штукатурка</t>
  </si>
  <si>
    <t>расход при 10мм, кг</t>
  </si>
  <si>
    <t>расход при 5мм, кг</t>
  </si>
  <si>
    <t>кг на 2 стороны</t>
  </si>
  <si>
    <t>стоим по 11,5руб/кг</t>
  </si>
  <si>
    <t>краска</t>
  </si>
  <si>
    <t>расход 300гр/м2</t>
  </si>
  <si>
    <t>расход на всю площ, кг</t>
  </si>
  <si>
    <t>стоим по 198 р/кг</t>
  </si>
  <si>
    <t>расчеты грубо, цены рынок</t>
  </si>
  <si>
    <t>S перекр рд, м2</t>
  </si>
  <si>
    <t>S гкл по двг, м2</t>
  </si>
  <si>
    <t>S снд по двг, м2</t>
  </si>
  <si>
    <t>м2</t>
  </si>
  <si>
    <t>2 стор, м2</t>
  </si>
  <si>
    <t>стоим, м2</t>
  </si>
  <si>
    <t>сумма</t>
  </si>
  <si>
    <t>Мин вата, плиты</t>
  </si>
  <si>
    <t>высота стены, м</t>
  </si>
  <si>
    <t>длина стены, м</t>
  </si>
  <si>
    <t>стоечный профиль</t>
  </si>
  <si>
    <t>напр профиль</t>
  </si>
  <si>
    <t>м</t>
  </si>
  <si>
    <t>шт</t>
  </si>
  <si>
    <t>стоим, шт</t>
  </si>
  <si>
    <t>Длина стены, м</t>
  </si>
  <si>
    <t>Высота, м</t>
  </si>
  <si>
    <t>Площадь, м2</t>
  </si>
  <si>
    <t>Тип материалов</t>
  </si>
  <si>
    <t>Норма расхода на 1кв.м</t>
  </si>
  <si>
    <t>Расход материала по заданным размерам</t>
  </si>
  <si>
    <t>Ед.измерения</t>
  </si>
  <si>
    <t>1.   Лист гипсокартонный КНАУФ-ГКЛ(ГКЛВ* - влагостойкий, ГВЛВ* - гипсоволокно) описание подробно</t>
  </si>
  <si>
    <t>кв.м</t>
  </si>
  <si>
    <t>2.  Профиль направляющий ПН* 50/40 (75/40, 100/40)</t>
  </si>
  <si>
    <t>пог.м</t>
  </si>
  <si>
    <t>3.   Профиль стоечный ПС* 50/50 (75/50, 100/50) </t>
  </si>
  <si>
    <t>4а.  Шуруп самонарезающий TN25 </t>
  </si>
  <si>
    <t>шт.</t>
  </si>
  <si>
    <t>4б.  Шуруп самонарезающий TN35 </t>
  </si>
  <si>
    <t>5. Шпаклевка ("Унифлот")</t>
  </si>
  <si>
    <t>кг</t>
  </si>
  <si>
    <t>6.  Лента армирующая</t>
  </si>
  <si>
    <t>7.  Дюбель "К" 6/40</t>
  </si>
  <si>
    <t>8. Лента уплотнительная</t>
  </si>
  <si>
    <t>пог. м.</t>
  </si>
  <si>
    <t>9. Грунтовка глубокая универсальная КНАУФ-Тифенгрунд</t>
  </si>
  <si>
    <t>л</t>
  </si>
  <si>
    <t>10. Плита минераловатная</t>
  </si>
  <si>
    <t>Шпаклевка поверхности листов Мульти-финиш</t>
  </si>
  <si>
    <t>11. Профиль угловой обычная длина 3пог.метра при перевозке не сгибать!</t>
  </si>
  <si>
    <t>по потребности</t>
  </si>
  <si>
    <t>https://ksmshop.ru/gkl/gkl_raschet_materialov_peregorodka1.html</t>
  </si>
  <si>
    <t>Стоимость ед., руб</t>
  </si>
  <si>
    <t>Сумма, руб.</t>
  </si>
  <si>
    <t>Сумма</t>
  </si>
  <si>
    <t>https://leroymerlin.ru/product/gipsokarton-ognestoykiy-125-mm-knauf-2500x1200-mm-3-m-82276179/?utm_referrer=https%3A%2F%2Fleroymerlin.ru%2Fcatalogue%2Fgipsokarton%2Fognestoykiy%2F%3Futm_referrer%3Dhttps%253A%252F%252Fyandex.ru%252Fclck%252Fjsredir%253Ffrom%253Dyandex.ru%25253Bsearch%25252F%25253Bweb%25253B%25253B%2526text%253D%2526etext%253D2202.TIgQrVHF3C_UpE_9uCLs2GbfI0QuApkeP-luAGaXQjZXiZ9inJBeLrclOzPDRQ6T4r6BVjWOTC8qbxv1lBWAYXBpdXJ3Z2RvenVkZm5wbWM.f5c26c4d9e32e217986cfa7f0beca5a63569d1da%2526uuid%253D%2526state%253DRsWHKQP_fPE%252C%2526%2526cst%253DAxbTlK7nwx6hOtlFEVBANg1oAc457ASwC2v0TFLy99TPz2_l9e3jHs4eLid4mf5cuSyRlujFvj2PTHVmWtBfhw452_F1QaYq6KDF4v6YpTh75Mv0ju8WRbmtU_6sf0jv72ENGGId4tSMHg_vS_ijBALgjmZ-NCipIHoRVPjmEOdNWnFfYwrU0ivyGbcukziMwSjayMoNQVoQOB_i5f3Ou29ir2-5VLu8TDWjaUqQA1rgAERE6soalc-J4RdnGNw2S-v_k7F-cOaZsVbhBwMJ7_QWB8tNRInJgY0cyArc5TR-ON0XhAHd-tpwyrLOz0KEeDOLsyJ4ZsblrbFRY0OkF_bkeLZ26V3fIcbQEkumcSGpOTr99vC9rrEi970tzwi3GlPO1gbqYeg6ensUK71ncm1us4yCq47VSXofn_NZS3hPsLgJqRJWhY_pDsyH7T1Y27cI0Za6ygqLfsVsrNsHs26lsW6kXkcnBupXptgHxX5ZpaOiVfP48LEf3oGLEcwXbgdV3Ji7tvhXDI8Ykz8cg5ciji09GHJmC0oyKXiDAN_BKY1TcwEmwdY0OXB-ED2DR1cDtWB1iRJQXzr7sDPI--MuvfQAWPZ6AvblW4e9VGkkRMzfa361KQ7UWmpr6mLmyKtphvKMNzgqUmmdpRoqu0-1BZHw4-EFXMJ-GqitxWfMRjnwnpqbF0ZVjnlkTB51R-WRUAId3rGUCXTQz7QXFkIndOsM881_1jEvqare2wLtQNHKRPttoqzoNzaWPAhKeVdhuFrUm4GHJqvKZNFOk6L4fU422QPp_leVc09RWL-nSa1hhUMC9LWu9ERVUcyQqMblZMG92XITCBHY7BKq8Dne3ZrnlxI2k0KKXNLlJpayUZ_3-7Gji0DVpDfTWqj5nCTLRJfcQ2fofMXi26ilpG4F4q3O0MT8AS_8j_27UaeYWH5j2jkkneT1RJWRu0J8m0pzZQKf9-8liq2e0R_jfeUobNcgfipM-p_HJ64KFT2LThA4eoljtJHbwZla64BDKXQK9FdVXQqICwJFY0a19Sg4jU2ajKgSRAQa8yY3Psa7tCbG4jqsRpgSU6t9JlbBjQSW8v84ksSDWKwrswxRhvAaXVKwh_vj6rNa-w-f1V6P5FJ4uxNrE9X7n4-vbIhemMZDSEY8WtcU2Rm3Uam83oFnAKsCvVIgAnR2bcc_UhE5xdm-M91pbxixbDtjk01ZDyaZMC79Zhe22jHJYcLFQg%252C%252C%2526data%253DVzFITjJTUER3MkI4MEY5djBaZUVGLTV3ZmFCSXNfd0xremI0MjYxWXM2MmE1QTBleEJoa1EwVXgtZXhtamhZSVEwaHQ5ZFNMbXQwUFg3VE9VT2l1TjVac29iYlN5bkVEd3FSN0VKN1Q2UFlJSnFoRjRuaVlVb3FHck55QXdPVzkzN20wSEJ1WFVWSXA2bmI5WTNJRFpLRGFaLUZ4N2sxbA%252C%252C%2526sign%253D19b16ec9250c82122b417b8f40e43476%2526keyno%253DWEB_0%2526b64e%253D2%2526ref%253Dmag21uLwzH-iqa6a9U6fw6sBTXI61vrcLrAj4_J9mG6pp4hmuBD3b41r2Ught_IUiv_8orsMNSKOMcDFfKUMlu3V9zew8o2IhF6Gek9GzKl4mOtWWbZZMTJCzFq8VxrP456uDDHFaQ-gArO8UJORsozMASOtyB1zpvv3SEVpOICz4DJsKVdQ9x7P2H6SNezWODpoeHxjsSgv8Pv8iY-8q3UgkQf74ZeDgToZ5GNOjPyWDx4mqAFTlFnofOHgrydM1mD-42lhMKmzrwO6lLsullEKG7dknFh65XCeMgcWpxyAgkN2NmWkUQkZYTKss8gVtXQhGicqMIhmZSebbB7hqw%252C%252C%2526l10n%253Dru%2526cts%253D1693203389612%252540%252540events%25253D%25255B%25257B%252522event%252522%25253A%252522click%252522%25252C%252522id%252522%25253A%2525222_hlzdw03-00%252522%25252C%252522cts%252522%25253A1693203389612%25252C%252522fast%252522%25253A%25257B%252522organic%252522%25253A1%25257D%25252C%252522service%252522%25253A%252522web%252522%25252C%252522event-id%252522%25253A%252522lluhkwx8w9%252522%25257D%25255D%2526mc%253D3.3735572622751855%2526hdtime%253D10172.2</t>
  </si>
  <si>
    <t>https://tskdiplomat.ru/catalog/izolyatsionnye_materialy/heat_insulation/mineral_wool_on_the_basis_of_basalt_/isoroc-p-75-1000-600-70.html</t>
  </si>
  <si>
    <t>https://leroymerlin.ru/product/profil-napravlyayushchiy-pn-4-knauf-06-mm-75x40x3000-mm-12756964/</t>
  </si>
  <si>
    <t>https://leroymerlin.ru/product/profil-stoechnyy-ps-4-knauf-06-mm-75x50x3000-mm-12756999/</t>
  </si>
  <si>
    <t>https://leroymerlin.ru/product/lenta-armiruyushchaya-dlya-shvov-knauf-kurt-50-mm-h-25-m-82668641/</t>
  </si>
  <si>
    <t>https://leroymerlin.ru/product/lenta-uplotnitelnaya-knauf-dihtungsband-50-mm-x-30-m-13120976/</t>
  </si>
  <si>
    <t>https://leroymerlin.ru/product/shurup-fosfatirovannyy-korrozionnostoykiy-tn-35x25-mm-91165389/</t>
  </si>
  <si>
    <t>https://glavsnab.net/shpatlevka-polimernaya-starateli-finishnaya-plyus-20-kg.html?specification</t>
  </si>
  <si>
    <t>https://leroymerlin.ru/product/dyubel-s-shirokim-flancem-standers-pnd-6f-6x40-mm-83387801/</t>
  </si>
  <si>
    <t>https://ognezashchitnaya-kraska.ru/universalnaya-super-gruntovka-svatozar-sv94-leto-id736/</t>
  </si>
  <si>
    <t>https://glavsnab.net/shpaklevka-finishnaya-knauf-rasler-20-kg.html?specification</t>
  </si>
  <si>
    <t>Ссылка на материал</t>
  </si>
  <si>
    <t>ссылка на 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</si>
</sst>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rgb="FF9D004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C08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2" fillId="4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" fontId="4" fillId="0" borderId="1" xfId="1" applyNumberForma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right" vertical="center" wrapText="1"/>
    </xf>
    <xf numFmtId="4" fontId="1" fillId="0" borderId="0" xfId="0" applyNumberFormat="1" applyFont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4" fontId="4" fillId="0" borderId="1" xfId="1" applyNumberFormat="1" applyBorder="1" applyAlignment="1">
      <alignment horizontal="left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83127</xdr:colOff>
      <xdr:row>0</xdr:row>
      <xdr:rowOff>0</xdr:rowOff>
    </xdr:from>
    <xdr:to>
      <xdr:col>7</xdr:col>
      <xdr:colOff>63406</xdr:colOff>
      <xdr:row>13</xdr:row>
      <xdr:rowOff>136048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816707F-C779-4595-BF0C-9C06CC74E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5709" y="0"/>
          <a:ext cx="2955023" cy="2473656"/>
        </a:xfrm>
        <a:prstGeom prst="rect">
          <a:avLst/>
        </a:prstGeom>
      </xdr:spPr>
    </xdr:pic>
    <xdr:clientData/>
  </xdr:twoCellAnchor>
  <xdr:twoCellAnchor editAs="oneCell">
    <xdr:from>
      <xdr:col>7</xdr:col>
      <xdr:colOff>80357</xdr:colOff>
      <xdr:row>0</xdr:row>
      <xdr:rowOff>0</xdr:rowOff>
    </xdr:from>
    <xdr:to>
      <xdr:col>7</xdr:col>
      <xdr:colOff>6496158</xdr:colOff>
      <xdr:row>13</xdr:row>
      <xdr:rowOff>136832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D79DF7B-A3DA-4018-BB7E-E0AE0528F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3921" y="0"/>
          <a:ext cx="6419611" cy="2474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365760</xdr:colOff>
      <xdr:row>0</xdr:row>
      <xdr:rowOff>21647</xdr:rowOff>
    </xdr:from>
    <xdr:to>
      <xdr:col>21</xdr:col>
      <xdr:colOff>111902</xdr:colOff>
      <xdr:row>12</xdr:row>
      <xdr:rowOff>120939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7D1EE67-29AD-43D6-AD66-49C1E2DAF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5860" y="21647"/>
          <a:ext cx="4622942" cy="3025372"/>
        </a:xfrm>
        <a:prstGeom prst="rect">
          <a:avLst/>
        </a:prstGeom>
      </xdr:spPr>
    </xdr:pic>
    <xdr:clientData/>
  </xdr:twoCellAnchor>
  <xdr:twoCellAnchor editAs="oneCell">
    <xdr:from>
      <xdr:col>13</xdr:col>
      <xdr:colOff>320040</xdr:colOff>
      <xdr:row>12</xdr:row>
      <xdr:rowOff>175260</xdr:rowOff>
    </xdr:from>
    <xdr:to>
      <xdr:col>25</xdr:col>
      <xdr:colOff>121008</xdr:colOff>
      <xdr:row>21</xdr:row>
      <xdr:rowOff>371809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EE482D-CAE9-414A-B36C-41C1CD3D6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0140" y="3101340"/>
          <a:ext cx="7116168" cy="239110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25</xdr:col>
      <xdr:colOff>534410</xdr:colOff>
      <xdr:row>49</xdr:row>
      <xdr:rowOff>69202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4E66FDB-BBB8-4F64-A33D-482501CFB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29700" y="5852160"/>
          <a:ext cx="7240010" cy="445832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52</xdr:row>
      <xdr:rowOff>0</xdr:rowOff>
    </xdr:from>
    <xdr:to>
      <xdr:col>33</xdr:col>
      <xdr:colOff>487459</xdr:colOff>
      <xdr:row>69</xdr:row>
      <xdr:rowOff>177624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E9B871F-1351-4B5C-824A-3D2F4575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29700" y="11338560"/>
          <a:ext cx="12069859" cy="32865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561653</xdr:colOff>
      <xdr:row>0</xdr:row>
      <xdr:rowOff>0</xdr:rowOff>
    </xdr:from>
    <xdr:to>
      <xdr:col>18</xdr:col>
      <xdr:colOff>549071</xdr:colOff>
      <xdr:row>14</xdr:row>
      <xdr:rowOff>170323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9FA4769-86B2-4451-AFC8-406CE371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7173" y="0"/>
          <a:ext cx="1816218" cy="3279283"/>
        </a:xfrm>
        <a:prstGeom prst="rect">
          <a:avLst/>
        </a:prstGeom>
      </xdr:spPr>
    </xdr:pic>
    <xdr:clientData/>
  </xdr:twoCellAnchor>
  <xdr:twoCellAnchor editAs="oneCell">
    <xdr:from>
      <xdr:col>19</xdr:col>
      <xdr:colOff>83820</xdr:colOff>
      <xdr:row>0</xdr:row>
      <xdr:rowOff>0</xdr:rowOff>
    </xdr:from>
    <xdr:to>
      <xdr:col>35</xdr:col>
      <xdr:colOff>187253</xdr:colOff>
      <xdr:row>14</xdr:row>
      <xdr:rowOff>6860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D9A7F5C-0C67-45C2-99D9-066F1CA94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97740" y="0"/>
          <a:ext cx="9857033" cy="31158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76200</xdr:rowOff>
    </xdr:from>
    <xdr:to>
      <xdr:col>18</xdr:col>
      <xdr:colOff>232171</xdr:colOff>
      <xdr:row>40</xdr:row>
      <xdr:rowOff>172101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DA4B22D-1509-4C04-B7F0-A9C45DD73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68040"/>
          <a:ext cx="11936491" cy="4667901"/>
        </a:xfrm>
        <a:prstGeom prst="rect">
          <a:avLst/>
        </a:prstGeom>
      </xdr:spPr>
    </xdr:pic>
    <xdr:clientData/>
  </xdr:twoCellAnchor>
  <xdr:twoCellAnchor editAs="oneCell">
    <xdr:from>
      <xdr:col>19</xdr:col>
      <xdr:colOff>518295</xdr:colOff>
      <xdr:row>14</xdr:row>
      <xdr:rowOff>81644</xdr:rowOff>
    </xdr:from>
    <xdr:to>
      <xdr:col>27</xdr:col>
      <xdr:colOff>74980</xdr:colOff>
      <xdr:row>35</xdr:row>
      <xdr:rowOff>15784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D3DF22B-155D-47C7-A108-DCB163F76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830038" y="3227615"/>
          <a:ext cx="4433485" cy="3820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lavsnab.net/shpatlevka-polimernaya-starateli-finishnaya-plyus-20-kg.html?specification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leroymerlin.ru/product/profil-napravlyayushchiy-pn-4-knauf-06-mm-75x40x3000-mm-12756964/" TargetMode="External"/><Relationship Id="rId7" Type="http://schemas.openxmlformats.org/officeDocument/2006/relationships/hyperlink" Target="https://leroymerlin.ru/product/shurup-fosfatirovannyy-korrozionnostoykiy-tn-35x25-mm-91165389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skdiplomat.ru/catalog/izolyatsionnye_materialy/heat_insulation/mineral_wool_on_the_basis_of_basalt_/isoroc-p-75-1000-600-70.html" TargetMode="External"/><Relationship Id="rId1" Type="http://schemas.openxmlformats.org/officeDocument/2006/relationships/hyperlink" Target="https://ksmshop.ru/gkl/gkl_raschet_materialov_peregorodka1.html" TargetMode="External"/><Relationship Id="rId6" Type="http://schemas.openxmlformats.org/officeDocument/2006/relationships/hyperlink" Target="https://leroymerlin.ru/product/lenta-uplotnitelnaya-knauf-dihtungsband-50-mm-x-30-m-13120976/" TargetMode="External"/><Relationship Id="rId11" Type="http://schemas.openxmlformats.org/officeDocument/2006/relationships/hyperlink" Target="https://glavsnab.net/shpaklevka-finishnaya-knauf-rasler-20-kg.html?specification" TargetMode="External"/><Relationship Id="rId5" Type="http://schemas.openxmlformats.org/officeDocument/2006/relationships/hyperlink" Target="https://leroymerlin.ru/product/lenta-armiruyushchaya-dlya-shvov-knauf-kurt-50-mm-h-25-m-82668641/" TargetMode="External"/><Relationship Id="rId10" Type="http://schemas.openxmlformats.org/officeDocument/2006/relationships/hyperlink" Target="https://ognezashchitnaya-kraska.ru/universalnaya-super-gruntovka-svatozar-sv94-leto-id736/" TargetMode="External"/><Relationship Id="rId4" Type="http://schemas.openxmlformats.org/officeDocument/2006/relationships/hyperlink" Target="https://leroymerlin.ru/product/profil-stoechnyy-ps-4-knauf-06-mm-75x50x3000-mm-12756999/" TargetMode="External"/><Relationship Id="rId9" Type="http://schemas.openxmlformats.org/officeDocument/2006/relationships/hyperlink" Target="https://leroymerlin.ru/product/dyubel-s-shirokim-flancem-standers-pnd-6f-6x40-mm-83387801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A0E1-0876-4797-8BDA-9BB28ECB0856}">
  <sheetPr>
    <tabColor rgb="FFFFFF00"/>
  </sheetPr>
  <dimension ref="A1:K34"/>
  <sheetViews>
    <sheetView tabSelected="1" zoomScale="85" zoomScaleNormal="85" workbookViewId="0">
      <selection activeCell="F34" sqref="F34"/>
    </sheetView>
  </sheetViews>
  <sheetFormatPr defaultRowHeight="14.4" x14ac:dyDescent="0.3"/>
  <cols>
    <col min="1" max="1" width="8.88671875" style="4"/>
    <col min="2" max="2" width="44.77734375" style="15" customWidth="1"/>
    <col min="3" max="5" width="13" style="4" customWidth="1"/>
    <col min="6" max="7" width="15.109375" style="4" customWidth="1"/>
    <col min="8" max="8" width="201.5546875" style="14" customWidth="1"/>
    <col min="9" max="16384" width="8.88671875" style="4"/>
  </cols>
  <sheetData>
    <row r="1" spans="1:11" x14ac:dyDescent="0.3">
      <c r="A1" s="19"/>
      <c r="B1" s="20"/>
      <c r="C1" s="19"/>
      <c r="D1" s="19"/>
      <c r="E1" s="19"/>
      <c r="F1" s="19"/>
      <c r="G1" s="19"/>
      <c r="H1" s="32"/>
      <c r="I1" s="19"/>
      <c r="J1" s="19"/>
      <c r="K1" s="19"/>
    </row>
    <row r="2" spans="1:11" x14ac:dyDescent="0.3">
      <c r="A2" s="19"/>
      <c r="B2" s="21" t="s">
        <v>46</v>
      </c>
      <c r="C2" s="22">
        <v>192</v>
      </c>
      <c r="D2" s="19"/>
      <c r="E2" s="19"/>
      <c r="F2" s="19"/>
      <c r="G2" s="19"/>
      <c r="H2" s="32"/>
      <c r="I2" s="19"/>
      <c r="J2" s="19"/>
      <c r="K2" s="19"/>
    </row>
    <row r="3" spans="1:11" x14ac:dyDescent="0.3">
      <c r="A3" s="19"/>
      <c r="B3" s="21" t="s">
        <v>47</v>
      </c>
      <c r="C3" s="22">
        <v>6</v>
      </c>
      <c r="D3" s="19"/>
      <c r="E3" s="19"/>
      <c r="F3" s="19"/>
      <c r="G3" s="19"/>
      <c r="H3" s="32"/>
      <c r="I3" s="19"/>
      <c r="J3" s="19"/>
      <c r="K3" s="19"/>
    </row>
    <row r="4" spans="1:11" x14ac:dyDescent="0.3">
      <c r="A4" s="19"/>
      <c r="B4" s="21" t="s">
        <v>48</v>
      </c>
      <c r="C4" s="22">
        <f>C2*C3</f>
        <v>1152</v>
      </c>
      <c r="D4" s="19"/>
      <c r="E4" s="19"/>
      <c r="F4" s="19"/>
      <c r="G4" s="19"/>
      <c r="H4" s="32"/>
      <c r="I4" s="19"/>
      <c r="J4" s="19"/>
      <c r="K4" s="19"/>
    </row>
    <row r="5" spans="1:11" x14ac:dyDescent="0.3">
      <c r="A5" s="19"/>
      <c r="B5" s="20"/>
      <c r="C5" s="19"/>
      <c r="D5" s="19"/>
      <c r="E5" s="19"/>
      <c r="F5" s="19"/>
      <c r="G5" s="19"/>
      <c r="H5" s="32"/>
      <c r="I5" s="19"/>
      <c r="J5" s="19"/>
      <c r="K5" s="19"/>
    </row>
    <row r="6" spans="1:11" x14ac:dyDescent="0.3">
      <c r="A6" s="19"/>
      <c r="B6" s="20"/>
      <c r="C6" s="19"/>
      <c r="D6" s="19"/>
      <c r="E6" s="19"/>
      <c r="F6" s="19"/>
      <c r="G6" s="19"/>
      <c r="H6" s="32"/>
      <c r="I6" s="19"/>
      <c r="J6" s="19"/>
      <c r="K6" s="19"/>
    </row>
    <row r="7" spans="1:11" x14ac:dyDescent="0.3">
      <c r="A7" s="19"/>
      <c r="B7" s="20"/>
      <c r="C7" s="19"/>
      <c r="D7" s="19"/>
      <c r="E7" s="19"/>
      <c r="F7" s="19"/>
      <c r="G7" s="19"/>
      <c r="H7" s="32"/>
      <c r="I7" s="19"/>
      <c r="J7" s="19"/>
      <c r="K7" s="19"/>
    </row>
    <row r="8" spans="1:11" x14ac:dyDescent="0.3">
      <c r="A8" s="19"/>
      <c r="B8" s="20"/>
      <c r="C8" s="19"/>
      <c r="D8" s="19"/>
      <c r="E8" s="19"/>
      <c r="F8" s="19"/>
      <c r="G8" s="19"/>
      <c r="H8" s="32"/>
      <c r="I8" s="19"/>
      <c r="J8" s="19"/>
      <c r="K8" s="19"/>
    </row>
    <row r="9" spans="1:11" x14ac:dyDescent="0.3">
      <c r="A9" s="19"/>
      <c r="B9" s="20"/>
      <c r="C9" s="19"/>
      <c r="D9" s="19"/>
      <c r="E9" s="19"/>
      <c r="F9" s="19"/>
      <c r="G9" s="19"/>
      <c r="H9" s="32"/>
      <c r="I9" s="19"/>
      <c r="J9" s="19"/>
      <c r="K9" s="19"/>
    </row>
    <row r="10" spans="1:11" x14ac:dyDescent="0.3">
      <c r="A10" s="19"/>
      <c r="B10" s="20"/>
      <c r="C10" s="19"/>
      <c r="D10" s="19"/>
      <c r="E10" s="19"/>
      <c r="F10" s="19"/>
      <c r="G10" s="19"/>
      <c r="H10" s="32"/>
      <c r="I10" s="19"/>
      <c r="J10" s="19"/>
      <c r="K10" s="19"/>
    </row>
    <row r="11" spans="1:11" x14ac:dyDescent="0.3">
      <c r="A11" s="19"/>
      <c r="B11" s="20"/>
      <c r="C11" s="19"/>
      <c r="D11" s="19"/>
      <c r="E11" s="19"/>
      <c r="F11" s="19"/>
      <c r="G11" s="19"/>
      <c r="H11" s="32"/>
      <c r="I11" s="19"/>
      <c r="J11" s="19"/>
      <c r="K11" s="19"/>
    </row>
    <row r="12" spans="1:11" x14ac:dyDescent="0.3">
      <c r="A12" s="19"/>
      <c r="B12" s="20"/>
      <c r="C12" s="19"/>
      <c r="D12" s="19"/>
      <c r="E12" s="19"/>
      <c r="F12" s="19"/>
      <c r="G12" s="19"/>
      <c r="H12" s="32"/>
      <c r="I12" s="19"/>
      <c r="J12" s="19"/>
      <c r="K12" s="19"/>
    </row>
    <row r="13" spans="1:11" x14ac:dyDescent="0.3">
      <c r="A13" s="19"/>
      <c r="B13" s="20"/>
      <c r="C13" s="19"/>
      <c r="D13" s="19"/>
      <c r="E13" s="19"/>
      <c r="F13" s="19"/>
      <c r="G13" s="19"/>
      <c r="H13" s="32"/>
      <c r="I13" s="19"/>
      <c r="J13" s="19"/>
      <c r="K13" s="19"/>
    </row>
    <row r="14" spans="1:11" x14ac:dyDescent="0.3">
      <c r="A14" s="19"/>
      <c r="B14" s="20"/>
      <c r="C14" s="19"/>
      <c r="D14" s="19"/>
      <c r="E14" s="19"/>
      <c r="F14" s="19"/>
      <c r="G14" s="19"/>
      <c r="H14" s="32"/>
      <c r="I14" s="19"/>
      <c r="J14" s="19"/>
      <c r="K14" s="19"/>
    </row>
    <row r="15" spans="1:11" ht="28.8" x14ac:dyDescent="0.3">
      <c r="A15" s="19"/>
      <c r="B15" s="28" t="s">
        <v>73</v>
      </c>
      <c r="C15" s="22" t="s">
        <v>89</v>
      </c>
      <c r="D15" s="19"/>
      <c r="E15" s="19"/>
      <c r="F15" s="19"/>
      <c r="G15" s="19"/>
      <c r="H15" s="32"/>
      <c r="I15" s="19"/>
      <c r="J15" s="19"/>
      <c r="K15" s="19"/>
    </row>
    <row r="19" spans="2:8" ht="66" x14ac:dyDescent="0.3">
      <c r="B19" s="23" t="s">
        <v>49</v>
      </c>
      <c r="C19" s="23" t="s">
        <v>50</v>
      </c>
      <c r="D19" s="23" t="s">
        <v>51</v>
      </c>
      <c r="E19" s="23" t="s">
        <v>52</v>
      </c>
      <c r="F19" s="29" t="s">
        <v>74</v>
      </c>
      <c r="G19" s="29" t="s">
        <v>75</v>
      </c>
      <c r="H19" s="33" t="s">
        <v>88</v>
      </c>
    </row>
    <row r="20" spans="2:8" ht="43.2" x14ac:dyDescent="0.3">
      <c r="B20" s="26" t="s">
        <v>53</v>
      </c>
      <c r="C20" s="24">
        <v>2.1</v>
      </c>
      <c r="D20" s="37">
        <v>2419.1999999999998</v>
      </c>
      <c r="E20" s="24" t="s">
        <v>54</v>
      </c>
      <c r="F20" s="30">
        <v>209</v>
      </c>
      <c r="G20" s="30">
        <f>D20*F20</f>
        <v>505612.79999999999</v>
      </c>
      <c r="H20" s="34" t="s">
        <v>77</v>
      </c>
    </row>
    <row r="21" spans="2:8" ht="28.8" x14ac:dyDescent="0.3">
      <c r="B21" s="26" t="s">
        <v>55</v>
      </c>
      <c r="C21" s="24">
        <v>0.7</v>
      </c>
      <c r="D21" s="37">
        <v>806.4</v>
      </c>
      <c r="E21" s="24" t="s">
        <v>56</v>
      </c>
      <c r="F21" s="30">
        <f>350/3</f>
        <v>116.66666666666667</v>
      </c>
      <c r="G21" s="30">
        <f t="shared" ref="G21:G32" si="0">D21*F21</f>
        <v>94080</v>
      </c>
      <c r="H21" s="35" t="s">
        <v>79</v>
      </c>
    </row>
    <row r="22" spans="2:8" x14ac:dyDescent="0.25">
      <c r="B22" s="27" t="s">
        <v>57</v>
      </c>
      <c r="C22" s="24">
        <v>2</v>
      </c>
      <c r="D22" s="37">
        <v>2304</v>
      </c>
      <c r="E22" s="24" t="s">
        <v>56</v>
      </c>
      <c r="F22" s="30">
        <f>421.3</f>
        <v>421.3</v>
      </c>
      <c r="G22" s="30">
        <f t="shared" si="0"/>
        <v>970675.20000000007</v>
      </c>
      <c r="H22" s="35" t="s">
        <v>80</v>
      </c>
    </row>
    <row r="23" spans="2:8" x14ac:dyDescent="0.3">
      <c r="B23" s="25" t="s">
        <v>58</v>
      </c>
      <c r="C23" s="24">
        <v>34</v>
      </c>
      <c r="D23" s="37">
        <v>39168</v>
      </c>
      <c r="E23" s="24" t="s">
        <v>59</v>
      </c>
      <c r="F23" s="30">
        <f>1100/345</f>
        <v>3.1884057971014492</v>
      </c>
      <c r="G23" s="30">
        <f t="shared" si="0"/>
        <v>124883.47826086957</v>
      </c>
      <c r="H23" s="35" t="s">
        <v>83</v>
      </c>
    </row>
    <row r="24" spans="2:8" x14ac:dyDescent="0.3">
      <c r="B24" s="25" t="s">
        <v>60</v>
      </c>
      <c r="C24" s="24">
        <v>0.9</v>
      </c>
      <c r="D24" s="37"/>
      <c r="E24" s="24" t="s">
        <v>59</v>
      </c>
      <c r="F24" s="30"/>
      <c r="G24" s="30">
        <f t="shared" si="0"/>
        <v>0</v>
      </c>
      <c r="H24" s="34"/>
    </row>
    <row r="25" spans="2:8" x14ac:dyDescent="0.3">
      <c r="B25" s="25" t="s">
        <v>61</v>
      </c>
      <c r="C25" s="24">
        <v>1.5</v>
      </c>
      <c r="D25" s="37">
        <v>1036.8</v>
      </c>
      <c r="E25" s="24" t="s">
        <v>62</v>
      </c>
      <c r="F25" s="30">
        <f>563/20</f>
        <v>28.15</v>
      </c>
      <c r="G25" s="30">
        <f t="shared" si="0"/>
        <v>29185.919999999998</v>
      </c>
      <c r="H25" s="35" t="s">
        <v>84</v>
      </c>
    </row>
    <row r="26" spans="2:8" x14ac:dyDescent="0.3">
      <c r="B26" s="25" t="s">
        <v>63</v>
      </c>
      <c r="C26" s="24">
        <v>2.2000000000000002</v>
      </c>
      <c r="D26" s="37">
        <v>2534.4</v>
      </c>
      <c r="E26" s="24" t="s">
        <v>56</v>
      </c>
      <c r="F26" s="30">
        <f>480/25</f>
        <v>19.2</v>
      </c>
      <c r="G26" s="30">
        <f t="shared" si="0"/>
        <v>48660.480000000003</v>
      </c>
      <c r="H26" s="35" t="s">
        <v>81</v>
      </c>
    </row>
    <row r="27" spans="2:8" x14ac:dyDescent="0.3">
      <c r="B27" s="25" t="s">
        <v>64</v>
      </c>
      <c r="C27" s="24">
        <v>1.5</v>
      </c>
      <c r="D27" s="37">
        <v>1728</v>
      </c>
      <c r="E27" s="24" t="s">
        <v>59</v>
      </c>
      <c r="F27" s="30">
        <v>6.8</v>
      </c>
      <c r="G27" s="30">
        <f t="shared" si="0"/>
        <v>11750.4</v>
      </c>
      <c r="H27" s="35" t="s">
        <v>85</v>
      </c>
    </row>
    <row r="28" spans="2:8" x14ac:dyDescent="0.3">
      <c r="B28" s="25" t="s">
        <v>65</v>
      </c>
      <c r="C28" s="24">
        <v>1.2</v>
      </c>
      <c r="D28" s="37">
        <v>1382.4</v>
      </c>
      <c r="E28" s="24" t="s">
        <v>66</v>
      </c>
      <c r="F28" s="30">
        <f>324/30</f>
        <v>10.8</v>
      </c>
      <c r="G28" s="30">
        <f t="shared" si="0"/>
        <v>14929.920000000002</v>
      </c>
      <c r="H28" s="35" t="s">
        <v>82</v>
      </c>
    </row>
    <row r="29" spans="2:8" ht="26.4" x14ac:dyDescent="0.3">
      <c r="B29" s="25" t="s">
        <v>67</v>
      </c>
      <c r="C29" s="24">
        <v>0.2</v>
      </c>
      <c r="D29" s="37">
        <v>230.4</v>
      </c>
      <c r="E29" s="24" t="s">
        <v>68</v>
      </c>
      <c r="F29" s="30">
        <v>745</v>
      </c>
      <c r="G29" s="30">
        <f t="shared" si="0"/>
        <v>171648</v>
      </c>
      <c r="H29" s="35" t="s">
        <v>86</v>
      </c>
    </row>
    <row r="30" spans="2:8" x14ac:dyDescent="0.3">
      <c r="B30" s="25" t="s">
        <v>69</v>
      </c>
      <c r="C30" s="24">
        <v>1</v>
      </c>
      <c r="D30" s="37">
        <v>1152</v>
      </c>
      <c r="E30" s="24" t="s">
        <v>54</v>
      </c>
      <c r="F30" s="30">
        <v>478.3</v>
      </c>
      <c r="G30" s="30">
        <f t="shared" si="0"/>
        <v>551001.59999999998</v>
      </c>
      <c r="H30" s="35" t="s">
        <v>78</v>
      </c>
    </row>
    <row r="31" spans="2:8" x14ac:dyDescent="0.3">
      <c r="B31" s="25" t="s">
        <v>70</v>
      </c>
      <c r="C31" s="24">
        <v>1.2</v>
      </c>
      <c r="D31" s="37">
        <v>1382.4</v>
      </c>
      <c r="E31" s="24" t="s">
        <v>62</v>
      </c>
      <c r="F31" s="30">
        <f>1124/20</f>
        <v>56.2</v>
      </c>
      <c r="G31" s="30">
        <f t="shared" si="0"/>
        <v>77690.880000000005</v>
      </c>
      <c r="H31" s="35" t="s">
        <v>87</v>
      </c>
    </row>
    <row r="32" spans="2:8" ht="26.4" x14ac:dyDescent="0.3">
      <c r="B32" s="25" t="s">
        <v>71</v>
      </c>
      <c r="C32" s="24" t="s">
        <v>72</v>
      </c>
      <c r="D32" s="24"/>
      <c r="E32" s="24" t="s">
        <v>56</v>
      </c>
      <c r="F32" s="30"/>
      <c r="G32" s="30">
        <f t="shared" si="0"/>
        <v>0</v>
      </c>
      <c r="H32" s="34"/>
    </row>
    <row r="33" spans="6:7" x14ac:dyDescent="0.3">
      <c r="F33" s="31" t="s">
        <v>76</v>
      </c>
      <c r="G33" s="36">
        <f>SUM(G20:G32)</f>
        <v>2600118.6782608693</v>
      </c>
    </row>
    <row r="34" spans="6:7" x14ac:dyDescent="0.3">
      <c r="G34" s="39">
        <f>G33/C4</f>
        <v>2257.0474637681159</v>
      </c>
    </row>
  </sheetData>
  <hyperlinks>
    <hyperlink ref="B15" r:id="rId1" xr:uid="{851252C9-9ED0-4825-A893-3285271EA1F4}"/>
    <hyperlink ref="H30" r:id="rId2" xr:uid="{C47A85C6-B3ED-4EC7-B744-94B0C2A8614B}"/>
    <hyperlink ref="H21" r:id="rId3" xr:uid="{CA4FCCA7-E4CA-4F3E-A691-B845E3F168EA}"/>
    <hyperlink ref="H22" r:id="rId4" xr:uid="{772446BB-AFC7-49BD-A0B3-1480229286F8}"/>
    <hyperlink ref="H26" r:id="rId5" xr:uid="{DBB24508-6655-4D17-89C0-EF0FC29F6B4F}"/>
    <hyperlink ref="H28" r:id="rId6" xr:uid="{5CB6FB9B-6373-4F94-B4B0-DB1627DC0AC1}"/>
    <hyperlink ref="H23" r:id="rId7" xr:uid="{6E494C70-0278-4D6E-A57D-55FCF79DCE92}"/>
    <hyperlink ref="H25" r:id="rId8" xr:uid="{A121BA7A-6734-49C9-9AE0-3DC0DC7B95A4}"/>
    <hyperlink ref="H27" r:id="rId9" xr:uid="{6FC0E27D-A7C5-4497-A5C3-CC2AC0E49EF1}"/>
    <hyperlink ref="H29" r:id="rId10" xr:uid="{23DB43A6-F392-48B3-99F7-604522B351D6}"/>
    <hyperlink ref="H31" r:id="rId11" xr:uid="{B12FFEBB-2F16-4E1B-A3F2-4EFC91B7CACC}"/>
  </hyperlinks>
  <pageMargins left="0.7" right="0.7" top="0.75" bottom="0.75" header="0.3" footer="0.3"/>
  <pageSetup paperSize="9" orientation="portrait" verticalDpi="0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9"/>
  <sheetViews>
    <sheetView workbookViewId="0">
      <selection activeCell="C10" sqref="C10"/>
    </sheetView>
  </sheetViews>
  <sheetFormatPr defaultRowHeight="14.4" x14ac:dyDescent="0.3"/>
  <cols>
    <col min="1" max="4" width="8.88671875" style="1"/>
    <col min="5" max="5" width="11.44140625" style="1" customWidth="1"/>
    <col min="6" max="6" width="8.88671875" style="1"/>
    <col min="7" max="7" width="11.44140625" style="1" bestFit="1" customWidth="1"/>
    <col min="8" max="8" width="11" style="1" customWidth="1"/>
    <col min="9" max="9" width="11.44140625" style="4" bestFit="1" customWidth="1"/>
    <col min="10" max="11" width="8.88671875" style="4"/>
    <col min="12" max="16384" width="8.88671875" style="1"/>
  </cols>
  <sheetData>
    <row r="3" spans="1:11" ht="43.2" x14ac:dyDescent="0.3">
      <c r="B3" s="13" t="s">
        <v>20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7</v>
      </c>
      <c r="I3" s="3" t="s">
        <v>6</v>
      </c>
      <c r="J3" s="8" t="s">
        <v>8</v>
      </c>
      <c r="K3" s="9" t="s">
        <v>16</v>
      </c>
    </row>
    <row r="4" spans="1:11" x14ac:dyDescent="0.3">
      <c r="B4" s="12">
        <v>100</v>
      </c>
      <c r="C4" s="2">
        <v>625</v>
      </c>
      <c r="D4" s="2">
        <v>250</v>
      </c>
      <c r="E4" s="2">
        <v>72</v>
      </c>
      <c r="F4" s="2">
        <f>0.625*0.25</f>
        <v>0.15625</v>
      </c>
      <c r="G4" s="2">
        <f>B13/F4</f>
        <v>14272</v>
      </c>
      <c r="H4" s="2">
        <f>G4*2</f>
        <v>28544</v>
      </c>
      <c r="I4" s="5">
        <f>H4/E4</f>
        <v>396.44444444444446</v>
      </c>
      <c r="J4" s="7">
        <f>I4*1.25</f>
        <v>495.55555555555554</v>
      </c>
      <c r="K4" s="10">
        <f>J4*4200</f>
        <v>2081333.3333333333</v>
      </c>
    </row>
    <row r="5" spans="1:11" x14ac:dyDescent="0.3">
      <c r="B5" s="12">
        <v>200</v>
      </c>
      <c r="C5" s="2">
        <v>625</v>
      </c>
      <c r="D5" s="2">
        <v>250</v>
      </c>
      <c r="E5" s="2">
        <v>36</v>
      </c>
      <c r="F5" s="2">
        <f>F4</f>
        <v>0.15625</v>
      </c>
      <c r="G5" s="2">
        <f>G4</f>
        <v>14272</v>
      </c>
      <c r="H5" s="2">
        <f t="shared" ref="H5:H7" si="0">G5*2</f>
        <v>28544</v>
      </c>
      <c r="I5" s="5">
        <f t="shared" ref="I5:I7" si="1">H5/E5</f>
        <v>792.88888888888891</v>
      </c>
      <c r="J5" s="7">
        <f t="shared" ref="J5:J7" si="2">I5*1.25</f>
        <v>991.11111111111109</v>
      </c>
      <c r="K5" s="10">
        <f t="shared" ref="K5:K7" si="3">J5*4200</f>
        <v>4162666.6666666665</v>
      </c>
    </row>
    <row r="6" spans="1:11" x14ac:dyDescent="0.3">
      <c r="B6" s="12">
        <v>300</v>
      </c>
      <c r="C6" s="2">
        <v>625</v>
      </c>
      <c r="D6" s="2">
        <v>250</v>
      </c>
      <c r="E6" s="2">
        <v>24</v>
      </c>
      <c r="F6" s="2">
        <f>F4</f>
        <v>0.15625</v>
      </c>
      <c r="G6" s="2">
        <f>G4</f>
        <v>14272</v>
      </c>
      <c r="H6" s="2">
        <f t="shared" si="0"/>
        <v>28544</v>
      </c>
      <c r="I6" s="5">
        <f t="shared" si="1"/>
        <v>1189.3333333333333</v>
      </c>
      <c r="J6" s="7">
        <f t="shared" si="2"/>
        <v>1486.6666666666665</v>
      </c>
      <c r="K6" s="10">
        <f t="shared" si="3"/>
        <v>6243999.9999999991</v>
      </c>
    </row>
    <row r="7" spans="1:11" x14ac:dyDescent="0.3">
      <c r="B7" s="12">
        <v>400</v>
      </c>
      <c r="C7" s="2">
        <v>625</v>
      </c>
      <c r="D7" s="2">
        <v>250</v>
      </c>
      <c r="E7" s="2">
        <v>18</v>
      </c>
      <c r="F7" s="2">
        <f>F4</f>
        <v>0.15625</v>
      </c>
      <c r="G7" s="2">
        <f>G4</f>
        <v>14272</v>
      </c>
      <c r="H7" s="2">
        <f t="shared" si="0"/>
        <v>28544</v>
      </c>
      <c r="I7" s="5">
        <f t="shared" si="1"/>
        <v>1585.7777777777778</v>
      </c>
      <c r="J7" s="7">
        <f t="shared" si="2"/>
        <v>1982.2222222222222</v>
      </c>
      <c r="K7" s="10">
        <f t="shared" si="3"/>
        <v>8325333.333333333</v>
      </c>
    </row>
    <row r="8" spans="1:11" x14ac:dyDescent="0.3">
      <c r="F8" s="1" t="s">
        <v>5</v>
      </c>
    </row>
    <row r="10" spans="1:11" ht="43.2" x14ac:dyDescent="0.3">
      <c r="E10" s="13" t="s">
        <v>10</v>
      </c>
      <c r="F10" s="2">
        <f>B15*2*12</f>
        <v>4608</v>
      </c>
      <c r="G10" s="6" t="s">
        <v>15</v>
      </c>
      <c r="H10" s="11" t="s">
        <v>17</v>
      </c>
    </row>
    <row r="11" spans="1:11" x14ac:dyDescent="0.3">
      <c r="E11" s="12" t="s">
        <v>12</v>
      </c>
      <c r="F11" s="5">
        <f>0.222</f>
        <v>0.222</v>
      </c>
      <c r="G11" s="8">
        <f>F11*$F$10/1000</f>
        <v>1.0229760000000001</v>
      </c>
      <c r="H11" s="10">
        <f>52800*G11</f>
        <v>54013.132800000007</v>
      </c>
    </row>
    <row r="12" spans="1:11" x14ac:dyDescent="0.3">
      <c r="E12" s="12" t="s">
        <v>11</v>
      </c>
      <c r="F12" s="5">
        <f>0.395</f>
        <v>0.39500000000000002</v>
      </c>
      <c r="G12" s="8">
        <f t="shared" ref="G12:G14" si="4">F12*$F$10/1000</f>
        <v>1.82016</v>
      </c>
      <c r="H12" s="10">
        <f t="shared" ref="H12:H14" si="5">52800*G12</f>
        <v>96104.448000000004</v>
      </c>
    </row>
    <row r="13" spans="1:11" x14ac:dyDescent="0.3">
      <c r="A13" s="1" t="s">
        <v>18</v>
      </c>
      <c r="B13" s="1">
        <v>2230</v>
      </c>
      <c r="E13" s="12" t="s">
        <v>13</v>
      </c>
      <c r="F13" s="5">
        <f>0.617</f>
        <v>0.61699999999999999</v>
      </c>
      <c r="G13" s="8">
        <f t="shared" si="4"/>
        <v>2.8431359999999999</v>
      </c>
      <c r="H13" s="10">
        <f t="shared" si="5"/>
        <v>150117.5808</v>
      </c>
    </row>
    <row r="14" spans="1:11" x14ac:dyDescent="0.3">
      <c r="A14" s="1" t="s">
        <v>9</v>
      </c>
      <c r="B14" s="1">
        <v>12</v>
      </c>
      <c r="E14" s="12" t="s">
        <v>14</v>
      </c>
      <c r="F14" s="5">
        <f>0.888</f>
        <v>0.88800000000000001</v>
      </c>
      <c r="G14" s="8">
        <f t="shared" si="4"/>
        <v>4.0919040000000004</v>
      </c>
      <c r="H14" s="10">
        <f t="shared" si="5"/>
        <v>216052.53120000003</v>
      </c>
    </row>
    <row r="15" spans="1:11" x14ac:dyDescent="0.3">
      <c r="A15" s="1" t="s">
        <v>19</v>
      </c>
      <c r="B15" s="1">
        <v>192</v>
      </c>
    </row>
    <row r="17" spans="1:16" ht="28.8" x14ac:dyDescent="0.3">
      <c r="E17" s="13" t="s">
        <v>21</v>
      </c>
      <c r="F17" s="2"/>
      <c r="G17" s="6" t="s">
        <v>24</v>
      </c>
      <c r="H17" s="11" t="s">
        <v>25</v>
      </c>
    </row>
    <row r="18" spans="1:16" ht="28.8" x14ac:dyDescent="0.3">
      <c r="E18" s="2" t="s">
        <v>22</v>
      </c>
      <c r="F18" s="2">
        <v>14.5</v>
      </c>
      <c r="G18" s="8">
        <f>B13*2*F18</f>
        <v>64670</v>
      </c>
      <c r="H18" s="9">
        <f>G18*11.5</f>
        <v>743705</v>
      </c>
    </row>
    <row r="19" spans="1:16" ht="28.8" x14ac:dyDescent="0.3">
      <c r="E19" s="2" t="s">
        <v>23</v>
      </c>
      <c r="F19" s="2">
        <f>F18/2</f>
        <v>7.25</v>
      </c>
      <c r="G19" s="8">
        <f>B13*2*F19</f>
        <v>32335</v>
      </c>
      <c r="H19" s="9">
        <f>G19*11.5</f>
        <v>371852.5</v>
      </c>
    </row>
    <row r="22" spans="1:16" ht="43.2" x14ac:dyDescent="0.3">
      <c r="E22" s="13" t="s">
        <v>26</v>
      </c>
      <c r="F22" s="6" t="s">
        <v>28</v>
      </c>
      <c r="G22" s="11" t="s">
        <v>29</v>
      </c>
      <c r="H22" s="2"/>
    </row>
    <row r="23" spans="1:16" ht="28.8" x14ac:dyDescent="0.3">
      <c r="E23" s="2" t="s">
        <v>27</v>
      </c>
      <c r="F23" s="6">
        <f>0.3*B13*2</f>
        <v>1338</v>
      </c>
      <c r="G23" s="9">
        <f>F23*198</f>
        <v>264924</v>
      </c>
      <c r="H23" s="2"/>
    </row>
    <row r="24" spans="1:16" x14ac:dyDescent="0.3">
      <c r="P24" s="1">
        <f>10.52+1.83</f>
        <v>12.35</v>
      </c>
    </row>
    <row r="26" spans="1:16" x14ac:dyDescent="0.3">
      <c r="A26" s="38" t="s">
        <v>30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6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6" x14ac:dyDescent="0.3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1:16" x14ac:dyDescent="0.3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1">
    <mergeCell ref="A26:L2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72EC-4F35-452F-826B-CE5D314ED711}">
  <dimension ref="B1:H15"/>
  <sheetViews>
    <sheetView topLeftCell="A4" zoomScale="85" zoomScaleNormal="85" workbookViewId="0">
      <selection activeCell="J7" sqref="J7"/>
    </sheetView>
  </sheetViews>
  <sheetFormatPr defaultRowHeight="14.4" x14ac:dyDescent="0.3"/>
  <cols>
    <col min="1" max="1" width="8.88671875" style="4"/>
    <col min="2" max="2" width="17" style="15" customWidth="1"/>
    <col min="3" max="4" width="8.88671875" style="4"/>
    <col min="5" max="5" width="10.44140625" style="4" customWidth="1"/>
    <col min="6" max="6" width="9.88671875" style="4" bestFit="1" customWidth="1"/>
    <col min="7" max="16384" width="8.88671875" style="4"/>
  </cols>
  <sheetData>
    <row r="1" spans="2:8" ht="28.8" x14ac:dyDescent="0.3">
      <c r="C1" s="4" t="s">
        <v>34</v>
      </c>
      <c r="D1" s="4" t="s">
        <v>35</v>
      </c>
      <c r="E1" s="4" t="s">
        <v>36</v>
      </c>
      <c r="F1" s="4" t="s">
        <v>37</v>
      </c>
    </row>
    <row r="2" spans="2:8" x14ac:dyDescent="0.3">
      <c r="B2" s="15" t="s">
        <v>31</v>
      </c>
      <c r="C2" s="4">
        <v>2230.6</v>
      </c>
    </row>
    <row r="3" spans="2:8" x14ac:dyDescent="0.3">
      <c r="B3" s="15" t="s">
        <v>32</v>
      </c>
      <c r="C3" s="16">
        <v>1100.5</v>
      </c>
      <c r="D3" s="17">
        <f>C3*2</f>
        <v>2201</v>
      </c>
      <c r="E3" s="4">
        <f>562/3</f>
        <v>187.33333333333334</v>
      </c>
      <c r="F3" s="18">
        <f>D3*E3</f>
        <v>412320.66666666669</v>
      </c>
      <c r="H3" s="4">
        <f>D3/(2.5*1.2)</f>
        <v>733.66666666666663</v>
      </c>
    </row>
    <row r="4" spans="2:8" x14ac:dyDescent="0.3">
      <c r="B4" s="15" t="s">
        <v>33</v>
      </c>
      <c r="C4" s="4">
        <v>1163.8</v>
      </c>
    </row>
    <row r="6" spans="2:8" ht="28.8" x14ac:dyDescent="0.3">
      <c r="C6" s="4" t="s">
        <v>34</v>
      </c>
      <c r="D6" s="4" t="s">
        <v>36</v>
      </c>
      <c r="E6" s="4" t="s">
        <v>37</v>
      </c>
    </row>
    <row r="7" spans="2:8" x14ac:dyDescent="0.3">
      <c r="B7" s="15" t="s">
        <v>38</v>
      </c>
      <c r="C7" s="17">
        <f>C3</f>
        <v>1100.5</v>
      </c>
      <c r="D7" s="4">
        <v>488.3</v>
      </c>
      <c r="E7" s="18">
        <f>C7*D7</f>
        <v>537374.15</v>
      </c>
    </row>
    <row r="10" spans="2:8" x14ac:dyDescent="0.3">
      <c r="B10" s="15" t="s">
        <v>39</v>
      </c>
      <c r="C10" s="4">
        <f>10.52+1.83-6.32</f>
        <v>6.0299999999999994</v>
      </c>
    </row>
    <row r="11" spans="2:8" x14ac:dyDescent="0.3">
      <c r="B11" s="15" t="s">
        <v>40</v>
      </c>
      <c r="C11" s="4">
        <f>6*32</f>
        <v>192</v>
      </c>
    </row>
    <row r="13" spans="2:8" x14ac:dyDescent="0.3">
      <c r="C13" s="4" t="s">
        <v>43</v>
      </c>
      <c r="D13" s="4" t="s">
        <v>44</v>
      </c>
      <c r="E13" s="4" t="s">
        <v>45</v>
      </c>
      <c r="F13" s="4" t="s">
        <v>37</v>
      </c>
    </row>
    <row r="14" spans="2:8" ht="28.8" x14ac:dyDescent="0.3">
      <c r="B14" s="15" t="s">
        <v>41</v>
      </c>
      <c r="C14" s="4">
        <f>C11/0.4*2</f>
        <v>960</v>
      </c>
      <c r="D14" s="17">
        <f>C14/3</f>
        <v>320</v>
      </c>
      <c r="E14" s="4">
        <v>421</v>
      </c>
      <c r="F14" s="18">
        <f>D14*E14</f>
        <v>134720</v>
      </c>
    </row>
    <row r="15" spans="2:8" x14ac:dyDescent="0.3">
      <c r="B15" s="15" t="s">
        <v>42</v>
      </c>
      <c r="C15" s="4">
        <f>C11*4</f>
        <v>768</v>
      </c>
      <c r="D15" s="4">
        <f>C15/3</f>
        <v>256</v>
      </c>
      <c r="E15" s="4">
        <v>350</v>
      </c>
      <c r="F15" s="18">
        <f>D15*E15</f>
        <v>89600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гкл по калькулятору кнауф</vt:lpstr>
      <vt:lpstr>блоки</vt:lpstr>
      <vt:lpstr>гкл-рыба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Григорий Королев</cp:lastModifiedBy>
  <dcterms:created xsi:type="dcterms:W3CDTF">2015-06-05T18:19:34Z</dcterms:created>
  <dcterms:modified xsi:type="dcterms:W3CDTF">2023-09-04T08:51:15Z</dcterms:modified>
</cp:coreProperties>
</file>