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Work55\Desktop\Коломенский завод\"/>
    </mc:Choice>
  </mc:AlternateContent>
  <xr:revisionPtr revIDLastSave="0" documentId="8_{8BB2B47F-F86A-4FD9-8DDF-1FA690419EF7}" xr6:coauthVersionLast="45" xr6:coauthVersionMax="45" xr10:uidLastSave="{00000000-0000-0000-0000-000000000000}"/>
  <bookViews>
    <workbookView xWindow="-120" yWindow="-120" windowWidth="29040" windowHeight="15840" firstSheet="2" activeTab="2" xr2:uid="{00000000-000D-0000-FFFF-FFFF00000000}"/>
  </bookViews>
  <sheets>
    <sheet name="Свод" sheetId="3" state="hidden" r:id="rId1"/>
    <sheet name="СМР+мат пред " sheetId="1" state="hidden" r:id="rId2"/>
    <sheet name="СМР+мат " sheetId="4" r:id="rId3"/>
    <sheet name="Лист2" sheetId="6" r:id="rId4"/>
    <sheet name="Лист1" sheetId="5" state="hidden" r:id="rId5"/>
  </sheets>
  <definedNames>
    <definedName name="_xlnm.Print_Area" localSheetId="0">Свод!$A$1:$H$5</definedName>
    <definedName name="_xlnm.Print_Area" localSheetId="2">'СМР+мат '!$A$1:$L$71</definedName>
    <definedName name="_xlnm.Print_Area" localSheetId="1">'СМР+мат пред '!$A$1:$L$123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L71" i="4" l="1"/>
  <c r="K71" i="4"/>
  <c r="J71" i="4"/>
  <c r="I71" i="4"/>
  <c r="G71" i="4"/>
  <c r="F71" i="4"/>
  <c r="L70" i="4"/>
  <c r="K70" i="4"/>
  <c r="J70" i="4"/>
  <c r="I70" i="4"/>
  <c r="G70" i="4"/>
  <c r="F70" i="4"/>
  <c r="L46" i="4"/>
  <c r="K46" i="4"/>
  <c r="J46" i="4"/>
  <c r="I46" i="4"/>
  <c r="G46" i="4"/>
  <c r="F46" i="4"/>
  <c r="D12" i="4" l="1"/>
  <c r="D10" i="4"/>
  <c r="D7" i="4"/>
  <c r="D68" i="4" l="1"/>
  <c r="F68" i="4" s="1"/>
  <c r="K68" i="4" s="1"/>
  <c r="D69" i="4"/>
  <c r="I69" i="4" s="1"/>
  <c r="K69" i="4" s="1"/>
  <c r="D51" i="4"/>
  <c r="D67" i="4"/>
  <c r="I67" i="4" s="1"/>
  <c r="F66" i="4"/>
  <c r="G66" i="4" s="1"/>
  <c r="L66" i="4" s="1"/>
  <c r="I65" i="4"/>
  <c r="K65" i="4" s="1"/>
  <c r="H65" i="4"/>
  <c r="H64" i="4"/>
  <c r="I64" i="4" s="1"/>
  <c r="H63" i="4"/>
  <c r="I63" i="4" s="1"/>
  <c r="K63" i="4" s="1"/>
  <c r="F59" i="4"/>
  <c r="G59" i="4" s="1"/>
  <c r="L59" i="4" s="1"/>
  <c r="F58" i="4"/>
  <c r="K58" i="4" s="1"/>
  <c r="F55" i="4"/>
  <c r="K55" i="4" s="1"/>
  <c r="K54" i="4"/>
  <c r="F54" i="4"/>
  <c r="G54" i="4" s="1"/>
  <c r="L54" i="4" s="1"/>
  <c r="D53" i="4"/>
  <c r="F53" i="4" s="1"/>
  <c r="K52" i="4"/>
  <c r="F52" i="4"/>
  <c r="G52" i="4" s="1"/>
  <c r="L52" i="4" s="1"/>
  <c r="I51" i="4"/>
  <c r="J51" i="4" s="1"/>
  <c r="F51" i="4"/>
  <c r="K51" i="4" s="1"/>
  <c r="F50" i="4"/>
  <c r="K50" i="4" s="1"/>
  <c r="K49" i="4"/>
  <c r="G49" i="4"/>
  <c r="L49" i="4" s="1"/>
  <c r="F49" i="4"/>
  <c r="F48" i="4"/>
  <c r="G48" i="4" s="1"/>
  <c r="L48" i="4" s="1"/>
  <c r="A49" i="4"/>
  <c r="A50" i="4" s="1"/>
  <c r="A52" i="4" s="1"/>
  <c r="A54" i="4" s="1"/>
  <c r="A55" i="4" s="1"/>
  <c r="A58" i="4" s="1"/>
  <c r="A59" i="4" s="1"/>
  <c r="A66" i="4" s="1"/>
  <c r="A68" i="4" s="1"/>
  <c r="D44" i="4"/>
  <c r="D45" i="4" s="1"/>
  <c r="I45" i="4" s="1"/>
  <c r="F42" i="4"/>
  <c r="G42" i="4" s="1"/>
  <c r="L42" i="4" s="1"/>
  <c r="F41" i="4"/>
  <c r="G41" i="4" s="1"/>
  <c r="L41" i="4" s="1"/>
  <c r="F40" i="4"/>
  <c r="K40" i="4" s="1"/>
  <c r="F39" i="4"/>
  <c r="K39" i="4" s="1"/>
  <c r="K42" i="4" l="1"/>
  <c r="I53" i="4"/>
  <c r="J53" i="4" s="1"/>
  <c r="G55" i="4"/>
  <c r="L55" i="4" s="1"/>
  <c r="G50" i="4"/>
  <c r="L50" i="4" s="1"/>
  <c r="K59" i="4"/>
  <c r="G68" i="4"/>
  <c r="L68" i="4" s="1"/>
  <c r="K66" i="4"/>
  <c r="K53" i="4"/>
  <c r="G53" i="4"/>
  <c r="L53" i="4" s="1"/>
  <c r="G51" i="4"/>
  <c r="L51" i="4" s="1"/>
  <c r="K48" i="4"/>
  <c r="J64" i="4"/>
  <c r="L64" i="4" s="1"/>
  <c r="K64" i="4"/>
  <c r="J67" i="4"/>
  <c r="L67" i="4" s="1"/>
  <c r="K67" i="4"/>
  <c r="G58" i="4"/>
  <c r="L58" i="4" s="1"/>
  <c r="J63" i="4"/>
  <c r="L63" i="4" s="1"/>
  <c r="J65" i="4"/>
  <c r="L65" i="4" s="1"/>
  <c r="J69" i="4"/>
  <c r="L69" i="4" s="1"/>
  <c r="K41" i="4"/>
  <c r="J45" i="4"/>
  <c r="L45" i="4" s="1"/>
  <c r="K45" i="4"/>
  <c r="G39" i="4"/>
  <c r="L39" i="4" s="1"/>
  <c r="F44" i="4"/>
  <c r="G40" i="4"/>
  <c r="L40" i="4" s="1"/>
  <c r="K44" i="4" l="1"/>
  <c r="G44" i="4"/>
  <c r="L44" i="4" s="1"/>
  <c r="F7" i="4" l="1"/>
  <c r="D16" i="4"/>
  <c r="I16" i="4" s="1"/>
  <c r="D18" i="4"/>
  <c r="I18" i="4"/>
  <c r="D20" i="4"/>
  <c r="I20" i="4" s="1"/>
  <c r="D32" i="4"/>
  <c r="D34" i="4" s="1"/>
  <c r="I32" i="4"/>
  <c r="J32" i="4" s="1"/>
  <c r="A8" i="4"/>
  <c r="A9" i="4" s="1"/>
  <c r="A10" i="4" s="1"/>
  <c r="A11" i="4" s="1"/>
  <c r="A12" i="4" s="1"/>
  <c r="A15" i="4"/>
  <c r="A17" i="4" s="1"/>
  <c r="A19" i="4" s="1"/>
  <c r="A21" i="4" s="1"/>
  <c r="A22" i="4" s="1"/>
  <c r="A32" i="4" s="1"/>
  <c r="A34" i="4" s="1"/>
  <c r="A36" i="4" s="1"/>
  <c r="A37" i="4" s="1"/>
  <c r="A39" i="4" s="1"/>
  <c r="A40" i="4" s="1"/>
  <c r="A41" i="4" s="1"/>
  <c r="A42" i="4" s="1"/>
  <c r="A44" i="4" s="1"/>
  <c r="F12" i="4"/>
  <c r="K12" i="4" s="1"/>
  <c r="D11" i="4"/>
  <c r="F11" i="4" s="1"/>
  <c r="F9" i="4"/>
  <c r="K9" i="4" s="1"/>
  <c r="G9" i="4"/>
  <c r="L9" i="4" s="1"/>
  <c r="F37" i="4"/>
  <c r="K37" i="4" s="1"/>
  <c r="F36" i="4"/>
  <c r="G36" i="4" s="1"/>
  <c r="L36" i="4" s="1"/>
  <c r="K36" i="4"/>
  <c r="F32" i="4"/>
  <c r="K32" i="4" s="1"/>
  <c r="F22" i="4"/>
  <c r="K22" i="4" s="1"/>
  <c r="F21" i="4"/>
  <c r="G21" i="4" s="1"/>
  <c r="L21" i="4" s="1"/>
  <c r="F19" i="4"/>
  <c r="K19" i="4" s="1"/>
  <c r="F17" i="4"/>
  <c r="K17" i="4" s="1"/>
  <c r="F15" i="4"/>
  <c r="K15" i="4" s="1"/>
  <c r="F14" i="4"/>
  <c r="G14" i="4" s="1"/>
  <c r="L14" i="4" s="1"/>
  <c r="F10" i="4"/>
  <c r="K10" i="4" s="1"/>
  <c r="F8" i="4"/>
  <c r="K8" i="4" s="1"/>
  <c r="G8" i="4"/>
  <c r="L8" i="4" s="1"/>
  <c r="K21" i="4"/>
  <c r="G37" i="4"/>
  <c r="L37" i="4" s="1"/>
  <c r="G17" i="4"/>
  <c r="L17" i="4" s="1"/>
  <c r="F8" i="1"/>
  <c r="K8" i="1"/>
  <c r="G8" i="1"/>
  <c r="L8" i="1"/>
  <c r="H80" i="1"/>
  <c r="H69" i="1"/>
  <c r="I69" i="1"/>
  <c r="K69" i="1"/>
  <c r="H68" i="1"/>
  <c r="I68" i="1"/>
  <c r="J68" i="1"/>
  <c r="I117" i="1"/>
  <c r="K117" i="1"/>
  <c r="I74" i="1"/>
  <c r="J74" i="1"/>
  <c r="L74" i="1"/>
  <c r="H67" i="1"/>
  <c r="I67" i="1"/>
  <c r="K67" i="1"/>
  <c r="H66" i="1"/>
  <c r="K68" i="1"/>
  <c r="J117" i="1"/>
  <c r="L117" i="1"/>
  <c r="K74" i="1"/>
  <c r="J67" i="1"/>
  <c r="L67" i="1"/>
  <c r="J69" i="1"/>
  <c r="L69" i="1"/>
  <c r="L68" i="1"/>
  <c r="F116" i="1"/>
  <c r="G116" i="1"/>
  <c r="L116" i="1"/>
  <c r="F115" i="1"/>
  <c r="K115" i="1"/>
  <c r="F111" i="1"/>
  <c r="K111" i="1"/>
  <c r="F105" i="1"/>
  <c r="K105" i="1"/>
  <c r="F98" i="1"/>
  <c r="K98" i="1"/>
  <c r="F88" i="1"/>
  <c r="K88" i="1"/>
  <c r="F78" i="1"/>
  <c r="G78" i="1"/>
  <c r="L78" i="1"/>
  <c r="F72" i="1"/>
  <c r="K72" i="1"/>
  <c r="F63" i="1"/>
  <c r="G63" i="1"/>
  <c r="L63" i="1"/>
  <c r="F62" i="1"/>
  <c r="K62" i="1"/>
  <c r="F48" i="1"/>
  <c r="G48" i="1"/>
  <c r="L48" i="1"/>
  <c r="F44" i="1"/>
  <c r="K44" i="1"/>
  <c r="F39" i="1"/>
  <c r="K39" i="1"/>
  <c r="F37" i="1"/>
  <c r="K37" i="1"/>
  <c r="F32" i="1"/>
  <c r="K32" i="1"/>
  <c r="F25" i="1"/>
  <c r="K25" i="1"/>
  <c r="F20" i="1"/>
  <c r="G20" i="1"/>
  <c r="L20" i="1"/>
  <c r="F15" i="1"/>
  <c r="G15" i="1"/>
  <c r="L15" i="1"/>
  <c r="F9" i="1"/>
  <c r="K9" i="1"/>
  <c r="H107" i="1"/>
  <c r="K116" i="1"/>
  <c r="G115" i="1"/>
  <c r="L115" i="1"/>
  <c r="G111" i="1"/>
  <c r="L111" i="1"/>
  <c r="G105" i="1"/>
  <c r="L105" i="1"/>
  <c r="G98" i="1"/>
  <c r="L98" i="1"/>
  <c r="G88" i="1"/>
  <c r="L88" i="1"/>
  <c r="K78" i="1"/>
  <c r="G72" i="1"/>
  <c r="L72" i="1"/>
  <c r="K63" i="1"/>
  <c r="G62" i="1"/>
  <c r="L62" i="1"/>
  <c r="K48" i="1"/>
  <c r="G44" i="1"/>
  <c r="L44" i="1"/>
  <c r="G39" i="1"/>
  <c r="L39" i="1"/>
  <c r="G37" i="1"/>
  <c r="L37" i="1"/>
  <c r="G32" i="1"/>
  <c r="L32" i="1"/>
  <c r="G25" i="1"/>
  <c r="L25" i="1"/>
  <c r="K20" i="1"/>
  <c r="K15" i="1"/>
  <c r="G9" i="1"/>
  <c r="L9" i="1"/>
  <c r="H65" i="1"/>
  <c r="H113" i="1"/>
  <c r="I95" i="1"/>
  <c r="J95" i="1"/>
  <c r="L95" i="1"/>
  <c r="I85" i="1"/>
  <c r="K85" i="1"/>
  <c r="I54" i="1"/>
  <c r="K54" i="1"/>
  <c r="K95" i="1"/>
  <c r="J85" i="1"/>
  <c r="L85" i="1"/>
  <c r="J54" i="1"/>
  <c r="L54" i="1"/>
  <c r="F51" i="1"/>
  <c r="K51" i="1"/>
  <c r="F92" i="1"/>
  <c r="K92" i="1"/>
  <c r="G51" i="1"/>
  <c r="L51" i="1"/>
  <c r="G92" i="1"/>
  <c r="L92" i="1"/>
  <c r="I93" i="1"/>
  <c r="K93" i="1"/>
  <c r="I83" i="1"/>
  <c r="K83" i="1"/>
  <c r="I49" i="1"/>
  <c r="K49" i="1"/>
  <c r="F64" i="1"/>
  <c r="G64" i="1"/>
  <c r="L64" i="1"/>
  <c r="F61" i="1"/>
  <c r="K61" i="1"/>
  <c r="F53" i="1"/>
  <c r="K53" i="1"/>
  <c r="J93" i="1"/>
  <c r="L93" i="1"/>
  <c r="J83" i="1"/>
  <c r="L83" i="1"/>
  <c r="J49" i="1"/>
  <c r="L49" i="1"/>
  <c r="G61" i="1"/>
  <c r="L61" i="1"/>
  <c r="K64" i="1"/>
  <c r="G53" i="1"/>
  <c r="L53" i="1"/>
  <c r="F82" i="1"/>
  <c r="G82" i="1"/>
  <c r="L82" i="1"/>
  <c r="K82" i="1"/>
  <c r="F50" i="1"/>
  <c r="G50" i="1"/>
  <c r="L50" i="1"/>
  <c r="F46" i="1"/>
  <c r="G46" i="1"/>
  <c r="L46" i="1"/>
  <c r="F43" i="1"/>
  <c r="K43" i="1"/>
  <c r="F41" i="1"/>
  <c r="G41" i="1"/>
  <c r="L41" i="1"/>
  <c r="F40" i="1"/>
  <c r="K40" i="1"/>
  <c r="F38" i="1"/>
  <c r="F36" i="1"/>
  <c r="K36" i="1"/>
  <c r="G38" i="1"/>
  <c r="L38" i="1"/>
  <c r="K46" i="1"/>
  <c r="K41" i="1"/>
  <c r="K50" i="1"/>
  <c r="K38" i="1"/>
  <c r="G36" i="1"/>
  <c r="L36" i="1"/>
  <c r="G40" i="1"/>
  <c r="L40" i="1"/>
  <c r="G43" i="1"/>
  <c r="L43" i="1"/>
  <c r="I121" i="1"/>
  <c r="K121" i="1"/>
  <c r="F120" i="1"/>
  <c r="G120" i="1"/>
  <c r="L120" i="1"/>
  <c r="F119" i="1"/>
  <c r="K119" i="1"/>
  <c r="I113" i="1"/>
  <c r="K113" i="1"/>
  <c r="F112" i="1"/>
  <c r="K112" i="1"/>
  <c r="F110" i="1"/>
  <c r="K110" i="1"/>
  <c r="A103" i="1"/>
  <c r="A109" i="1"/>
  <c r="I107" i="1"/>
  <c r="J107" i="1"/>
  <c r="L107" i="1"/>
  <c r="F106" i="1"/>
  <c r="K106" i="1"/>
  <c r="F104" i="1"/>
  <c r="G104" i="1"/>
  <c r="L104" i="1"/>
  <c r="I102" i="1"/>
  <c r="K102" i="1"/>
  <c r="I100" i="1"/>
  <c r="J100" i="1"/>
  <c r="L100" i="1"/>
  <c r="A96" i="1"/>
  <c r="F99" i="1"/>
  <c r="K99" i="1"/>
  <c r="F97" i="1"/>
  <c r="K97" i="1"/>
  <c r="F94" i="1"/>
  <c r="K94" i="1"/>
  <c r="I91" i="1"/>
  <c r="J91" i="1"/>
  <c r="L91" i="1"/>
  <c r="I90" i="1"/>
  <c r="K90" i="1"/>
  <c r="F89" i="1"/>
  <c r="G89" i="1"/>
  <c r="L89" i="1"/>
  <c r="F87" i="1"/>
  <c r="K87" i="1"/>
  <c r="A86" i="1"/>
  <c r="I81" i="1"/>
  <c r="K81" i="1"/>
  <c r="I80" i="1"/>
  <c r="J80" i="1"/>
  <c r="L80" i="1"/>
  <c r="F84" i="1"/>
  <c r="K84" i="1"/>
  <c r="F79" i="1"/>
  <c r="K79" i="1"/>
  <c r="A76" i="1"/>
  <c r="F73" i="1"/>
  <c r="K73" i="1"/>
  <c r="F56" i="1"/>
  <c r="K56" i="1"/>
  <c r="F30" i="1"/>
  <c r="K30" i="1"/>
  <c r="F29" i="1"/>
  <c r="G29" i="1"/>
  <c r="L29" i="1"/>
  <c r="F31" i="1"/>
  <c r="K31" i="1"/>
  <c r="F24" i="1"/>
  <c r="K24" i="1"/>
  <c r="F19" i="1"/>
  <c r="K19" i="1"/>
  <c r="F14" i="1"/>
  <c r="K14" i="1"/>
  <c r="A18" i="1"/>
  <c r="A23" i="1"/>
  <c r="A28" i="1"/>
  <c r="A35" i="1"/>
  <c r="A55" i="1"/>
  <c r="A60" i="1"/>
  <c r="A70" i="1"/>
  <c r="F10" i="1"/>
  <c r="K10" i="1"/>
  <c r="I66" i="1"/>
  <c r="K66" i="1"/>
  <c r="I65" i="1"/>
  <c r="J65" i="1"/>
  <c r="L65" i="1"/>
  <c r="I58" i="1"/>
  <c r="K58" i="1"/>
  <c r="I59" i="1"/>
  <c r="K59" i="1"/>
  <c r="I52" i="1"/>
  <c r="J52" i="1"/>
  <c r="L52" i="1"/>
  <c r="I47" i="1"/>
  <c r="K47" i="1"/>
  <c r="I34" i="1"/>
  <c r="K34" i="1"/>
  <c r="I27" i="1"/>
  <c r="K27" i="1"/>
  <c r="I22" i="1"/>
  <c r="K22" i="1"/>
  <c r="I17" i="1"/>
  <c r="J17" i="1"/>
  <c r="L17" i="1"/>
  <c r="I12" i="1"/>
  <c r="K12" i="1"/>
  <c r="I11" i="1"/>
  <c r="F77" i="1"/>
  <c r="K77" i="1"/>
  <c r="I123" i="1"/>
  <c r="J123" i="1"/>
  <c r="K120" i="1"/>
  <c r="G119" i="1"/>
  <c r="L119" i="1"/>
  <c r="J121" i="1"/>
  <c r="L121" i="1"/>
  <c r="G112" i="1"/>
  <c r="L112" i="1"/>
  <c r="G110" i="1"/>
  <c r="L110" i="1"/>
  <c r="J113" i="1"/>
  <c r="L113" i="1"/>
  <c r="K65" i="1"/>
  <c r="G106" i="1"/>
  <c r="L106" i="1"/>
  <c r="K104" i="1"/>
  <c r="K107" i="1"/>
  <c r="K100" i="1"/>
  <c r="J102" i="1"/>
  <c r="L102" i="1"/>
  <c r="G97" i="1"/>
  <c r="L97" i="1"/>
  <c r="K91" i="1"/>
  <c r="G99" i="1"/>
  <c r="L99" i="1"/>
  <c r="K89" i="1"/>
  <c r="G87" i="1"/>
  <c r="L87" i="1"/>
  <c r="J90" i="1"/>
  <c r="L90" i="1"/>
  <c r="G94" i="1"/>
  <c r="L94" i="1"/>
  <c r="K80" i="1"/>
  <c r="J81" i="1"/>
  <c r="L81" i="1"/>
  <c r="G84" i="1"/>
  <c r="L84" i="1"/>
  <c r="G79" i="1"/>
  <c r="L79" i="1"/>
  <c r="G73" i="1"/>
  <c r="L73" i="1"/>
  <c r="G56" i="1"/>
  <c r="L56" i="1"/>
  <c r="K29" i="1"/>
  <c r="G30" i="1"/>
  <c r="L30" i="1"/>
  <c r="G31" i="1"/>
  <c r="L31" i="1"/>
  <c r="G24" i="1"/>
  <c r="L24" i="1"/>
  <c r="G19" i="1"/>
  <c r="L19" i="1"/>
  <c r="G14" i="1"/>
  <c r="L14" i="1"/>
  <c r="G10" i="1"/>
  <c r="L10" i="1"/>
  <c r="J66" i="1"/>
  <c r="L66" i="1"/>
  <c r="J58" i="1"/>
  <c r="L58" i="1"/>
  <c r="J59" i="1"/>
  <c r="L59" i="1"/>
  <c r="K52" i="1"/>
  <c r="J47" i="1"/>
  <c r="L47" i="1"/>
  <c r="J34" i="1"/>
  <c r="L34" i="1"/>
  <c r="J27" i="1"/>
  <c r="L27" i="1"/>
  <c r="J22" i="1"/>
  <c r="L22" i="1"/>
  <c r="K17" i="1"/>
  <c r="J12" i="1"/>
  <c r="L12" i="1"/>
  <c r="K11" i="1"/>
  <c r="J11" i="1"/>
  <c r="L11" i="1"/>
  <c r="G77" i="1"/>
  <c r="L77" i="1"/>
  <c r="F26" i="1"/>
  <c r="F71" i="1"/>
  <c r="F33" i="1"/>
  <c r="F21" i="1"/>
  <c r="F57" i="1"/>
  <c r="F16" i="1"/>
  <c r="F123" i="1"/>
  <c r="G123" i="1"/>
  <c r="G57" i="1"/>
  <c r="L57" i="1"/>
  <c r="K57" i="1"/>
  <c r="G71" i="1"/>
  <c r="L71" i="1"/>
  <c r="K71" i="1"/>
  <c r="G21" i="1"/>
  <c r="L21" i="1"/>
  <c r="K21" i="1"/>
  <c r="G33" i="1"/>
  <c r="L33" i="1"/>
  <c r="K33" i="1"/>
  <c r="G16" i="1"/>
  <c r="L16" i="1"/>
  <c r="K16" i="1"/>
  <c r="G26" i="1"/>
  <c r="L26" i="1"/>
  <c r="K26" i="1"/>
  <c r="K123" i="1"/>
  <c r="L123" i="1"/>
  <c r="D3" i="3"/>
  <c r="D5" i="3"/>
  <c r="F3" i="3"/>
  <c r="F5" i="3"/>
  <c r="G3" i="3"/>
  <c r="G5" i="3"/>
  <c r="C3" i="3"/>
  <c r="C5" i="3"/>
  <c r="H4" i="3"/>
  <c r="H3" i="3"/>
  <c r="E3" i="3"/>
  <c r="E5" i="3"/>
  <c r="E4" i="3"/>
  <c r="H5" i="3"/>
  <c r="J18" i="4" l="1"/>
  <c r="K7" i="4"/>
  <c r="K20" i="4"/>
  <c r="J20" i="4"/>
  <c r="L20" i="4" s="1"/>
  <c r="D33" i="4"/>
  <c r="I33" i="4" s="1"/>
  <c r="G32" i="4"/>
  <c r="L32" i="4" s="1"/>
  <c r="G10" i="4"/>
  <c r="L10" i="4" s="1"/>
  <c r="F34" i="4"/>
  <c r="D35" i="4"/>
  <c r="I35" i="4" s="1"/>
  <c r="J33" i="4"/>
  <c r="L33" i="4" s="1"/>
  <c r="K33" i="4"/>
  <c r="J16" i="4"/>
  <c r="K16" i="4"/>
  <c r="G11" i="4"/>
  <c r="L11" i="4" s="1"/>
  <c r="K11" i="4"/>
  <c r="G7" i="4"/>
  <c r="G19" i="4"/>
  <c r="L19" i="4" s="1"/>
  <c r="K18" i="4"/>
  <c r="G12" i="4"/>
  <c r="L12" i="4" s="1"/>
  <c r="G15" i="4"/>
  <c r="L15" i="4" s="1"/>
  <c r="K14" i="4"/>
  <c r="G22" i="4"/>
  <c r="L22" i="4" s="1"/>
  <c r="L18" i="4" l="1"/>
  <c r="L7" i="4"/>
  <c r="J35" i="4"/>
  <c r="L35" i="4" s="1"/>
  <c r="K35" i="4"/>
  <c r="L16" i="4"/>
  <c r="G34" i="4"/>
  <c r="L34" i="4" s="1"/>
  <c r="K34" i="4"/>
</calcChain>
</file>

<file path=xl/sharedStrings.xml><?xml version="1.0" encoding="utf-8"?>
<sst xmlns="http://schemas.openxmlformats.org/spreadsheetml/2006/main" count="538" uniqueCount="302">
  <si>
    <t>№ п/п</t>
  </si>
  <si>
    <t>Наименование материалов</t>
  </si>
  <si>
    <t>Ед.изм</t>
  </si>
  <si>
    <t>Кол-во</t>
  </si>
  <si>
    <t>Цена за единицу без НДС</t>
  </si>
  <si>
    <t>ИТОГО без НДС</t>
  </si>
  <si>
    <t>ИТОГО с НДС</t>
  </si>
  <si>
    <t>м3</t>
  </si>
  <si>
    <t>м2</t>
  </si>
  <si>
    <t>м</t>
  </si>
  <si>
    <t>шт.</t>
  </si>
  <si>
    <t>Итого</t>
  </si>
  <si>
    <t>Щебень балластный кат.2</t>
  </si>
  <si>
    <t>Разработка РД</t>
  </si>
  <si>
    <t>ООО "ЭлектроЭнергетика"</t>
  </si>
  <si>
    <t>т</t>
  </si>
  <si>
    <t>Наименование работ (затрат)</t>
  </si>
  <si>
    <t>Без НДС</t>
  </si>
  <si>
    <t>с НДС</t>
  </si>
  <si>
    <t>Стоимость 
СМР</t>
  </si>
  <si>
    <t>Стоимость 
МТР</t>
  </si>
  <si>
    <t>Стоимость 
ИТОГО</t>
  </si>
  <si>
    <t>ВСЕГО</t>
  </si>
  <si>
    <t>Строительно-монтажные работы</t>
  </si>
  <si>
    <t>к-т</t>
  </si>
  <si>
    <t>Стоимость работ</t>
  </si>
  <si>
    <t>Стоимость материалов</t>
  </si>
  <si>
    <t>без НДС</t>
  </si>
  <si>
    <t>6.1</t>
  </si>
  <si>
    <t>7.1</t>
  </si>
  <si>
    <t>7.2</t>
  </si>
  <si>
    <t>8.1</t>
  </si>
  <si>
    <t>9.1</t>
  </si>
  <si>
    <t>10.1</t>
  </si>
  <si>
    <t>11.1</t>
  </si>
  <si>
    <t>12.1</t>
  </si>
  <si>
    <t>Всего</t>
  </si>
  <si>
    <t>5.1</t>
  </si>
  <si>
    <t>8.2</t>
  </si>
  <si>
    <t>14.1</t>
  </si>
  <si>
    <t>13.1</t>
  </si>
  <si>
    <t>1.1</t>
  </si>
  <si>
    <t>4.1</t>
  </si>
  <si>
    <t>3.1</t>
  </si>
  <si>
    <t>2.1</t>
  </si>
  <si>
    <t>2.2</t>
  </si>
  <si>
    <t>10.2</t>
  </si>
  <si>
    <t>10.3</t>
  </si>
  <si>
    <t>10.4</t>
  </si>
  <si>
    <t>14.2</t>
  </si>
  <si>
    <t>15.1</t>
  </si>
  <si>
    <t>Замена стыковых болтов</t>
  </si>
  <si>
    <t xml:space="preserve">Замена рельс 12,5м </t>
  </si>
  <si>
    <t>Восстановления проектного значения эпюры (1600 на 1 км пути)</t>
  </si>
  <si>
    <t>Замена бруса на стрелочном переводе СП 2</t>
  </si>
  <si>
    <t xml:space="preserve"> Замена путевого костыля на путевой шуруп СП 2</t>
  </si>
  <si>
    <t>Стрелочные переводы (СП 1;2;4;5;9)</t>
  </si>
  <si>
    <t>Замена бруса под переводные механизмы на СП 1;2;4;5;9</t>
  </si>
  <si>
    <t>Шпала старогодняя</t>
  </si>
  <si>
    <t>1.2</t>
  </si>
  <si>
    <t>Болт стыковой</t>
  </si>
  <si>
    <t>Рельс старогодний 12,5 м</t>
  </si>
  <si>
    <t>6.2</t>
  </si>
  <si>
    <t>Геотекстиль</t>
  </si>
  <si>
    <t xml:space="preserve">Восстановление балластной призмы </t>
  </si>
  <si>
    <t>Демонтаж РШР элементами по 12,5 м</t>
  </si>
  <si>
    <t>Устройство выемки</t>
  </si>
  <si>
    <t xml:space="preserve">Уплотнение грунта катками </t>
  </si>
  <si>
    <t xml:space="preserve">Устройство разделяющей прослойки из геотекстиля </t>
  </si>
  <si>
    <t>Устройство щебёночного основания</t>
  </si>
  <si>
    <t>Монтаж РШР элементами по 12,5 м</t>
  </si>
  <si>
    <t xml:space="preserve">Баластировка </t>
  </si>
  <si>
    <t xml:space="preserve">Рихтовка и выправка РШР и СП </t>
  </si>
  <si>
    <t>6.3</t>
  </si>
  <si>
    <t>6.4</t>
  </si>
  <si>
    <t>6.5</t>
  </si>
  <si>
    <t>6.6</t>
  </si>
  <si>
    <t>6.7</t>
  </si>
  <si>
    <t>6.8</t>
  </si>
  <si>
    <t>6.9</t>
  </si>
  <si>
    <t>6.10</t>
  </si>
  <si>
    <t>6.9.1</t>
  </si>
  <si>
    <t>Брус деревянный для стрелочных переводов</t>
  </si>
  <si>
    <t xml:space="preserve">Демонтаж железобетонных шпал Ш1 в сборе со скреплением КБ-65 </t>
  </si>
  <si>
    <t xml:space="preserve">Монтаж железобетонных шпал Ш1 в сборе со скреплением КБ-65 </t>
  </si>
  <si>
    <t>Замена железобетонных шпал Ш1 в сборе со скреплением КБ-65</t>
  </si>
  <si>
    <t>Демонтаж скреплений КБ-65 в сборе (клеммные болты, закладные болты, резиновые подкладки ЦП.143 и ЦП.328)</t>
  </si>
  <si>
    <t>Монтаж скреплений КБ-65 в сборе (клеммные болты, закладные болты, резиновые подкладки ЦП.143 и ЦП.328)</t>
  </si>
  <si>
    <t xml:space="preserve">Замена скреплений КБ-65 в сборе </t>
  </si>
  <si>
    <t>3.2</t>
  </si>
  <si>
    <t>Демонтаж стыковых болтов</t>
  </si>
  <si>
    <t>Монтаж стыковых болтов</t>
  </si>
  <si>
    <t>4.2</t>
  </si>
  <si>
    <t xml:space="preserve">Замена рельс 6м </t>
  </si>
  <si>
    <t xml:space="preserve">Демонтаж рельс 6м </t>
  </si>
  <si>
    <t>5.2</t>
  </si>
  <si>
    <t>Монтаж рельс 12,5м на сущ.шпалу</t>
  </si>
  <si>
    <t>Демонтаж рельс 12,5м от сущ.шпалы</t>
  </si>
  <si>
    <t>5.3</t>
  </si>
  <si>
    <t>5.4</t>
  </si>
  <si>
    <t>Резка рельса</t>
  </si>
  <si>
    <t>рез</t>
  </si>
  <si>
    <t>Сверление отверстий</t>
  </si>
  <si>
    <t>Монтаж рельс 6м</t>
  </si>
  <si>
    <t>Раскрепление существующих шпал, их сдвижка и скрепление</t>
  </si>
  <si>
    <t>7.2.1</t>
  </si>
  <si>
    <t>7.2.2</t>
  </si>
  <si>
    <t>Демонтаж бруса на стрелочном переводе СП 2</t>
  </si>
  <si>
    <t>Монтаж бруса на стрелочном переводе СП 2</t>
  </si>
  <si>
    <t>9.2</t>
  </si>
  <si>
    <t xml:space="preserve">Монтаж крестовины стр.перевода </t>
  </si>
  <si>
    <t>Балластировка стр.перевода</t>
  </si>
  <si>
    <t xml:space="preserve">Комплект скрепления </t>
  </si>
  <si>
    <t>11.2</t>
  </si>
  <si>
    <t>Монтаж рамного рельса и остряков</t>
  </si>
  <si>
    <t xml:space="preserve">Балластировка </t>
  </si>
  <si>
    <t xml:space="preserve">Выправка </t>
  </si>
  <si>
    <t>11.3</t>
  </si>
  <si>
    <t>11.4</t>
  </si>
  <si>
    <t>Демонтаж тяг</t>
  </si>
  <si>
    <t>Монтаж тяг</t>
  </si>
  <si>
    <t>Замена тяг  СП №9, № 1, № 2, № 4, № 5</t>
  </si>
  <si>
    <t>12.2</t>
  </si>
  <si>
    <t>Замена переводного механизма (флюгарки) на  СП №9, № 1, № 2, № 4, № 5</t>
  </si>
  <si>
    <t>Демонтаж переводного механизма (флюгарки)</t>
  </si>
  <si>
    <t>Монтаж переводного механизма (флюгарки)</t>
  </si>
  <si>
    <t>Переводной механизм ручной (флюгарка)</t>
  </si>
  <si>
    <t>13.2</t>
  </si>
  <si>
    <t>Контрельс</t>
  </si>
  <si>
    <t>15.2</t>
  </si>
  <si>
    <t>10.3.1</t>
  </si>
  <si>
    <t>11.3.1</t>
  </si>
  <si>
    <t>15.2.1</t>
  </si>
  <si>
    <t>8-й цех</t>
  </si>
  <si>
    <t>8-й цех Контррельсовый уголок в комплекте с башмаками и креплением</t>
  </si>
  <si>
    <t>СДКП. В 417 пути 82507,5руб</t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</si>
  <si>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СДКП-3792,4 с материалом</t>
    </r>
  </si>
  <si>
    <r>
      <t xml:space="preserve">417 путь. </t>
    </r>
    <r>
      <rPr>
        <sz val="11"/>
        <color rgb="FFFF0000"/>
        <rFont val="Calibri"/>
        <family val="2"/>
        <charset val="204"/>
        <scheme val="minor"/>
      </rPr>
      <t>В СДКП- Демонтаж ж.д. пути -1440руб</t>
    </r>
  </si>
  <si>
    <r>
      <rPr>
        <sz val="11"/>
        <rFont val="Calibri"/>
        <family val="2"/>
        <charset val="204"/>
        <scheme val="minor"/>
      </rPr>
      <t>8-й цех.</t>
    </r>
    <r>
      <rPr>
        <sz val="11"/>
        <color rgb="FFFF0000"/>
        <rFont val="Calibri"/>
        <family val="2"/>
        <charset val="204"/>
        <scheme val="minor"/>
      </rPr>
      <t xml:space="preserve"> В СДКП -35 060руб с материалом</t>
    </r>
  </si>
  <si>
    <t>тупики</t>
  </si>
  <si>
    <t>Вывоз и утилизация</t>
  </si>
  <si>
    <t xml:space="preserve">Погрузка грунта в самосвалы </t>
  </si>
  <si>
    <t>Погрузка и перевозка балансодержателю демонтированных элементов</t>
  </si>
  <si>
    <t>Разборка стрелочных переводов (СП 1, 2, 5)</t>
  </si>
  <si>
    <t>Демонтаж элементов стрелочных переводов (СП 1, 2, 5)</t>
  </si>
  <si>
    <t>Устройство выравнивающего слоя из ПГС с уплотнения катками</t>
  </si>
  <si>
    <t>Песчано-гравийная смесь</t>
  </si>
  <si>
    <t>Погрузка бруса в автомобили</t>
  </si>
  <si>
    <t>Шуруп путевой М24*170</t>
  </si>
  <si>
    <t>шт</t>
  </si>
  <si>
    <t>Прокладка ЦП-363</t>
  </si>
  <si>
    <t>Прокладка ЦП-361</t>
  </si>
  <si>
    <t xml:space="preserve">Прокладка КД-65   </t>
  </si>
  <si>
    <t xml:space="preserve">Демонтаж путевого костыля </t>
  </si>
  <si>
    <t xml:space="preserve">Монтаж путевого шурупа </t>
  </si>
  <si>
    <t>шт./т</t>
  </si>
  <si>
    <t xml:space="preserve">Выправка и рихтовка стр.перевода </t>
  </si>
  <si>
    <r>
      <t xml:space="preserve">Демонтаж крестовины стр.перевода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</si>
  <si>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r>
      <t xml:space="preserve">Демонтаж рамного рельса с остряком </t>
    </r>
    <r>
      <rPr>
        <sz val="11"/>
        <color rgb="FFFF0000"/>
        <rFont val="Times New Roman"/>
        <family val="1"/>
        <charset val="204"/>
      </rPr>
      <t>(учтено разделом выше)</t>
    </r>
  </si>
  <si>
    <t>Замена рамного рельса с остряком  СП  № 5</t>
  </si>
  <si>
    <t>Замена крестовины СП  № 1</t>
  </si>
  <si>
    <t xml:space="preserve">Комплект крепления </t>
  </si>
  <si>
    <t xml:space="preserve">Демонтаж бруса железобетонного </t>
  </si>
  <si>
    <t>Монтаж бруса деревянного под переводные механизмы</t>
  </si>
  <si>
    <t xml:space="preserve">Брус деревянный L-5.25м. </t>
  </si>
  <si>
    <t>Замена контррельса СП-1;9</t>
  </si>
  <si>
    <t>Демонтаж контрельса (8 шт по 12,5 м)</t>
  </si>
  <si>
    <t>Монтаж контрельса (8 шт по 12,5 м)</t>
  </si>
  <si>
    <t>Запорная закладка с проушинами (СП 1, 4, 9)</t>
  </si>
  <si>
    <t>Монтаж недостающих шпал (2 шпалы на звено, путь 1б, 1 в)</t>
  </si>
  <si>
    <t>15</t>
  </si>
  <si>
    <t>Замена бруса переводного на СП 1 ,4, 5</t>
  </si>
  <si>
    <t>Монтаж буруса железобетонного</t>
  </si>
  <si>
    <t>Брус железобетонный стрелочного перевода 1/9 (проект 2769) №8;9;10;22;58;59; - для СП №5, №6;16;30;31;32;49;55;56;69 для СП№4, № 40;65 для СП№1</t>
  </si>
  <si>
    <t>Комплект скрепления на шпалу (старогодние)</t>
  </si>
  <si>
    <t>Крестовина СП (старогодняя)</t>
  </si>
  <si>
    <t>Рамный рельс с остряком (старогодняя)</t>
  </si>
  <si>
    <t>Tягa пepвaя CП54-05 (старогодняя)</t>
  </si>
  <si>
    <t>Tягa втopaя CП131 peгулиpуeмaя (старогодняя)</t>
  </si>
  <si>
    <t>цена по счету</t>
  </si>
  <si>
    <t>цена по счету "Брус деревянный переводной А-4 типа Р-65 марки 1/9" -комплект</t>
  </si>
  <si>
    <t>1.3</t>
  </si>
  <si>
    <t>1.3.1</t>
  </si>
  <si>
    <t>1.3.2</t>
  </si>
  <si>
    <t>2.3</t>
  </si>
  <si>
    <t>2.3.1</t>
  </si>
  <si>
    <t>3.3</t>
  </si>
  <si>
    <t>3.3.1</t>
  </si>
  <si>
    <t>4.3</t>
  </si>
  <si>
    <t>4.3.1</t>
  </si>
  <si>
    <t>5.5</t>
  </si>
  <si>
    <t>5.5.1</t>
  </si>
  <si>
    <t>6.10.1</t>
  </si>
  <si>
    <t>6.11</t>
  </si>
  <si>
    <t>6.11.1</t>
  </si>
  <si>
    <t>6.12</t>
  </si>
  <si>
    <t>6.13</t>
  </si>
  <si>
    <t>6.13.1</t>
  </si>
  <si>
    <t>6.14</t>
  </si>
  <si>
    <t>6.14.1</t>
  </si>
  <si>
    <t>8.3</t>
  </si>
  <si>
    <t>8.4</t>
  </si>
  <si>
    <t>8.4.1</t>
  </si>
  <si>
    <t>8.4.2</t>
  </si>
  <si>
    <t>8.4.3</t>
  </si>
  <si>
    <t>8.4.4</t>
  </si>
  <si>
    <t>8.4.5</t>
  </si>
  <si>
    <t>9.3</t>
  </si>
  <si>
    <t>9.3.1</t>
  </si>
  <si>
    <t>10.3.2</t>
  </si>
  <si>
    <t>10.4.1</t>
  </si>
  <si>
    <t>10.5</t>
  </si>
  <si>
    <t>10.5.1</t>
  </si>
  <si>
    <t>11.3.2</t>
  </si>
  <si>
    <t>11.4.1</t>
  </si>
  <si>
    <t>11.5</t>
  </si>
  <si>
    <t>11.5.1</t>
  </si>
  <si>
    <t>12.3</t>
  </si>
  <si>
    <t>12.3.1</t>
  </si>
  <si>
    <t>12.3.2</t>
  </si>
  <si>
    <t>12.3.3</t>
  </si>
  <si>
    <t>13.3</t>
  </si>
  <si>
    <t>13.3.1</t>
  </si>
  <si>
    <t>13.3.2</t>
  </si>
  <si>
    <t>14.3</t>
  </si>
  <si>
    <t>14.3.1</t>
  </si>
  <si>
    <t>16.1</t>
  </si>
  <si>
    <t>16.2</t>
  </si>
  <si>
    <t>16.2.1</t>
  </si>
  <si>
    <t>16.2.2</t>
  </si>
  <si>
    <t>Путевое развитие, переустройство водоотвода. Участок ВИЛС</t>
  </si>
  <si>
    <t>Очистка  межпутья, откосов и выемок жд. путей от мусора, бетонного боя, грунта и пр.</t>
  </si>
  <si>
    <t>Устройство прослойки из геотекстиля</t>
  </si>
  <si>
    <t xml:space="preserve">Устройство балластного основания из щебня h=0,35м </t>
  </si>
  <si>
    <t>Выправка пути</t>
  </si>
  <si>
    <t>Рихтовка пути</t>
  </si>
  <si>
    <t>Погрузка и перевозка балансодержателю демонтированных элементов (шпалы, рельсы, скрепления, болты)</t>
  </si>
  <si>
    <t>Послеосадочный ремонт ж.д. пути</t>
  </si>
  <si>
    <t>Уплотнение основания балластного послойно (два слоя)</t>
  </si>
  <si>
    <t>Балластировка путей</t>
  </si>
  <si>
    <t>Демонтаж рельсошпальной решётки элементами</t>
  </si>
  <si>
    <t>Демонтажные работы</t>
  </si>
  <si>
    <t>Песок</t>
  </si>
  <si>
    <t>Укладка рельсошпальной решётки отдельными элементами с эпюрой шпал 1840 шт/км, длинна рельса 12,5 м.</t>
  </si>
  <si>
    <t>1</t>
  </si>
  <si>
    <t xml:space="preserve">Реконструкция пути 3 </t>
  </si>
  <si>
    <t>Рельс Р65, L-12,5 м.</t>
  </si>
  <si>
    <t>м.п</t>
  </si>
  <si>
    <t>Шпала железобетонная, Ш1</t>
  </si>
  <si>
    <t>Накладка стыковая 1Р-65</t>
  </si>
  <si>
    <t>Подкладка КБ-65</t>
  </si>
  <si>
    <t>Прокладка ЦП-143</t>
  </si>
  <si>
    <t>Прокладка ЦП-328</t>
  </si>
  <si>
    <t>Болт стыковой в сборе</t>
  </si>
  <si>
    <t>Болт закладной в сборе</t>
  </si>
  <si>
    <t>Болт клеммный в сборе</t>
  </si>
  <si>
    <t>Разборка автомобильного переезда №27 из деревянных шпал через 1 путь</t>
  </si>
  <si>
    <t>Укладка плиты внутренней резинокордового покрытия</t>
  </si>
  <si>
    <t>Укладка плиты наружней резинокордового покрытия</t>
  </si>
  <si>
    <t>Устройство прокладки наружней резинокордового покрытия</t>
  </si>
  <si>
    <t>Устройство прокладки внутренней резинокордового покрытия</t>
  </si>
  <si>
    <t>компл.</t>
  </si>
  <si>
    <t>Баластировка, выправка путей (6,5м)</t>
  </si>
  <si>
    <t>Устройство переезда 27 через 1 путь (6,5 м)</t>
  </si>
  <si>
    <t>Устройство выемки под основание стрелочных переводов (1/9 на жб брусе, СП35)</t>
  </si>
  <si>
    <t>Уплотнение основания основания выемки катками</t>
  </si>
  <si>
    <t>Уплотнение основания балластного  послойно (два слоя)</t>
  </si>
  <si>
    <t>Монтаж и сборка стрелочного перевода (56,979 т)</t>
  </si>
  <si>
    <t>Стрелочный перевод 1/9 с комплектом скрепления</t>
  </si>
  <si>
    <t>Koмплeкт бpуca жeлeзoбeтoннoгo для cтpeлoчнoгo пepeвoдa P65 1/9</t>
  </si>
  <si>
    <t xml:space="preserve">Запорная закладка с проушинами </t>
  </si>
  <si>
    <t>Закладка стрелочная</t>
  </si>
  <si>
    <t>Лак битумный БТ-577 (Кузбасслак)</t>
  </si>
  <si>
    <t>л</t>
  </si>
  <si>
    <t>Эмаль ПФ-115 белая</t>
  </si>
  <si>
    <t>кг</t>
  </si>
  <si>
    <t>Эмаль ПФ-115 черная</t>
  </si>
  <si>
    <t>Балластировка  стрелочного перевода</t>
  </si>
  <si>
    <t>Выправка и рихтовка стрелочного перевода</t>
  </si>
  <si>
    <t>Устройство стрелочных переводов СП № 24 м СП №35</t>
  </si>
  <si>
    <t>16</t>
  </si>
  <si>
    <t>18.1</t>
  </si>
  <si>
    <t>19.1</t>
  </si>
  <si>
    <t>21.1</t>
  </si>
  <si>
    <t>21.2</t>
  </si>
  <si>
    <t>23.1</t>
  </si>
  <si>
    <t>23.2</t>
  </si>
  <si>
    <t>23.3</t>
  </si>
  <si>
    <t>23.4</t>
  </si>
  <si>
    <t>23.5</t>
  </si>
  <si>
    <t>23.6</t>
  </si>
  <si>
    <t>24.1</t>
  </si>
  <si>
    <t>25.1</t>
  </si>
  <si>
    <t>Резинокордовое покрытие</t>
  </si>
  <si>
    <t>Выемка щебня и загрезнённого грунта основания пути 1 (0,55 м * 3,5 м)</t>
  </si>
  <si>
    <t>Уплотнение основания выемки катками послойное (прохождение по одному следу 4-5 раз, 3,5 м*250 м)</t>
  </si>
  <si>
    <t>Устройство прослойки из геотекстиля (4 м * 250 м)</t>
  </si>
  <si>
    <t>Устройство песчаного основания с уплотнением катками (3,5 м*250 м * 0,2 м)</t>
  </si>
  <si>
    <t>Устройство балластного основания из щебня h=0,35м (3,5 м*250 м * 0,35 м)</t>
  </si>
  <si>
    <t>Погрузка и перевозка по территории завода до 3х км загрезнённого щебня, грунта, мусора</t>
  </si>
  <si>
    <t>Итого по устройству стрелочных переводов</t>
  </si>
  <si>
    <t>Итого по устройству пути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</si>
</sst>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_-* #,##0.00\ _₽_-;\-* #,##0.00\ _₽_-;_-* &quot;-&quot;??\ _₽_-;_-@_-"/>
    <numFmt numFmtId="165" formatCode="_-* #,##0_-;\-* #,##0_-;_-* &quot;-&quot;??_-;_-@_-"/>
    <numFmt numFmtId="166" formatCode="_-* #,##0\ _₽_-;\-* #,##0\ _₽_-;_-* &quot;-&quot;??\ _₽_-;_-@_-"/>
    <numFmt numFmtId="167" formatCode="#,##0.0"/>
    <numFmt numFmtId="168" formatCode="_-* #\ ##0.00_-;\-* #\ ##0.00_-;_-* &quot;-&quot;??_-;_-@_-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name val="Arial Cyr"/>
      <charset val="204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i/>
      <sz val="11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name val="Calibri"/>
      <family val="2"/>
      <charset val="204"/>
      <scheme val="minor"/>
    </font>
    <font>
      <i/>
      <sz val="12"/>
      <name val="Times New Roman"/>
      <family val="1"/>
      <charset val="204"/>
    </font>
    <font>
      <i/>
      <sz val="11"/>
      <color theme="1"/>
      <name val="Calibri"/>
      <family val="2"/>
      <charset val="204"/>
      <scheme val="minor"/>
    </font>
  </fonts>
  <fills count="9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505050"/>
      </left>
      <right style="thin">
        <color rgb="FF505050"/>
      </right>
      <top style="thin">
        <color rgb="FF505050"/>
      </top>
      <bottom style="thin">
        <color rgb="FF505050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4" fillId="0" borderId="0">
      <alignment vertical="top"/>
    </xf>
    <xf numFmtId="0" fontId="4" fillId="0" borderId="0"/>
  </cellStyleXfs>
  <cellXfs count="161">
    <xf numFmtId="0" fontId="0" fillId="0" borderId="0" xfId="0"/>
    <xf numFmtId="165" fontId="0" fillId="0" borderId="0" xfId="1" applyNumberFormat="1" applyFont="1"/>
    <xf numFmtId="4" fontId="2" fillId="0" borderId="3" xfId="0" applyNumberFormat="1" applyFont="1" applyBorder="1" applyAlignment="1">
      <alignment horizontal="center" vertical="center" wrapText="1"/>
    </xf>
    <xf numFmtId="165" fontId="3" fillId="0" borderId="3" xfId="1" applyNumberFormat="1" applyFont="1" applyBorder="1" applyAlignment="1">
      <alignment vertical="center"/>
    </xf>
    <xf numFmtId="1" fontId="2" fillId="0" borderId="3" xfId="2" applyNumberFormat="1" applyFont="1" applyBorder="1" applyAlignment="1">
      <alignment horizontal="center" vertical="center"/>
    </xf>
    <xf numFmtId="0" fontId="2" fillId="0" borderId="3" xfId="2" applyFont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left" vertical="center" wrapText="1"/>
    </xf>
    <xf numFmtId="166" fontId="2" fillId="2" borderId="3" xfId="0" applyNumberFormat="1" applyFont="1" applyFill="1" applyBorder="1" applyAlignment="1">
      <alignment horizontal="left" vertical="center" wrapText="1"/>
    </xf>
    <xf numFmtId="165" fontId="2" fillId="2" borderId="3" xfId="1" applyNumberFormat="1" applyFont="1" applyFill="1" applyBorder="1" applyAlignment="1">
      <alignment horizontal="left" vertical="center" wrapText="1"/>
    </xf>
    <xf numFmtId="0" fontId="6" fillId="0" borderId="3" xfId="3" applyFont="1" applyBorder="1" applyAlignment="1">
      <alignment horizontal="left" vertical="center" wrapText="1"/>
    </xf>
    <xf numFmtId="43" fontId="7" fillId="0" borderId="3" xfId="1" applyFont="1" applyFill="1" applyBorder="1" applyAlignment="1">
      <alignment horizontal="center" vertical="center" wrapText="1"/>
    </xf>
    <xf numFmtId="43" fontId="5" fillId="0" borderId="3" xfId="1" applyFont="1" applyBorder="1" applyAlignment="1">
      <alignment vertical="center"/>
    </xf>
    <xf numFmtId="0" fontId="6" fillId="0" borderId="3" xfId="0" applyFont="1" applyBorder="1" applyAlignment="1">
      <alignment horizontal="center" vertical="center" wrapText="1"/>
    </xf>
    <xf numFmtId="43" fontId="8" fillId="0" borderId="3" xfId="1" applyFont="1" applyBorder="1" applyAlignment="1">
      <alignment horizontal="center" vertical="center"/>
    </xf>
    <xf numFmtId="43" fontId="7" fillId="3" borderId="3" xfId="1" applyFont="1" applyFill="1" applyBorder="1" applyAlignment="1">
      <alignment horizontal="center" vertical="center" wrapText="1"/>
    </xf>
    <xf numFmtId="43" fontId="5" fillId="3" borderId="3" xfId="1" applyFont="1" applyFill="1" applyBorder="1" applyAlignment="1">
      <alignment vertical="center"/>
    </xf>
    <xf numFmtId="43" fontId="3" fillId="0" borderId="3" xfId="1" applyFont="1" applyBorder="1"/>
    <xf numFmtId="0" fontId="5" fillId="0" borderId="3" xfId="0" applyFont="1" applyBorder="1" applyAlignment="1">
      <alignment horizontal="center" vertical="center"/>
    </xf>
    <xf numFmtId="43" fontId="5" fillId="3" borderId="3" xfId="1" applyFont="1" applyFill="1" applyBorder="1" applyAlignment="1">
      <alignment horizontal="center" vertical="center" wrapText="1"/>
    </xf>
    <xf numFmtId="43" fontId="7" fillId="0" borderId="3" xfId="1" applyFont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3" fillId="5" borderId="11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43" fontId="5" fillId="4" borderId="3" xfId="1" applyFont="1" applyFill="1" applyBorder="1" applyAlignment="1">
      <alignment vertical="center"/>
    </xf>
    <xf numFmtId="43" fontId="5" fillId="4" borderId="3" xfId="1" applyFont="1" applyFill="1" applyBorder="1" applyAlignment="1">
      <alignment horizontal="right" vertical="center"/>
    </xf>
    <xf numFmtId="43" fontId="3" fillId="4" borderId="3" xfId="1" applyFont="1" applyFill="1" applyBorder="1" applyAlignment="1">
      <alignment horizontal="center" vertical="center"/>
    </xf>
    <xf numFmtId="43" fontId="5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right" vertical="center"/>
    </xf>
    <xf numFmtId="43" fontId="3" fillId="5" borderId="3" xfId="1" applyFont="1" applyFill="1" applyBorder="1" applyAlignment="1">
      <alignment horizontal="center" vertical="center"/>
    </xf>
    <xf numFmtId="164" fontId="0" fillId="0" borderId="0" xfId="0" applyNumberFormat="1"/>
    <xf numFmtId="0" fontId="5" fillId="0" borderId="3" xfId="0" applyFont="1" applyBorder="1"/>
    <xf numFmtId="0" fontId="3" fillId="0" borderId="3" xfId="0" applyFont="1" applyBorder="1"/>
    <xf numFmtId="43" fontId="3" fillId="4" borderId="3" xfId="1" applyFont="1" applyFill="1" applyBorder="1"/>
    <xf numFmtId="43" fontId="3" fillId="5" borderId="3" xfId="1" applyFont="1" applyFill="1" applyBorder="1"/>
    <xf numFmtId="0" fontId="5" fillId="0" borderId="0" xfId="0" applyFont="1"/>
    <xf numFmtId="0" fontId="2" fillId="0" borderId="3" xfId="3" applyFont="1" applyBorder="1" applyAlignment="1">
      <alignment horizontal="left" vertical="center" wrapText="1"/>
    </xf>
    <xf numFmtId="43" fontId="10" fillId="0" borderId="3" xfId="1" applyFont="1" applyBorder="1" applyAlignment="1">
      <alignment vertical="center"/>
    </xf>
    <xf numFmtId="43" fontId="9" fillId="3" borderId="3" xfId="1" applyFont="1" applyFill="1" applyBorder="1" applyAlignment="1">
      <alignment horizontal="center" vertical="center" wrapText="1"/>
    </xf>
    <xf numFmtId="49" fontId="9" fillId="5" borderId="3" xfId="0" applyNumberFormat="1" applyFont="1" applyFill="1" applyBorder="1" applyAlignment="1">
      <alignment horizontal="center" vertical="center" wrapText="1"/>
    </xf>
    <xf numFmtId="0" fontId="10" fillId="5" borderId="3" xfId="0" applyFont="1" applyFill="1" applyBorder="1" applyAlignment="1">
      <alignment vertical="center" wrapText="1"/>
    </xf>
    <xf numFmtId="0" fontId="10" fillId="5" borderId="3" xfId="0" applyFont="1" applyFill="1" applyBorder="1" applyAlignment="1">
      <alignment horizontal="center" vertical="center"/>
    </xf>
    <xf numFmtId="43" fontId="7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vertical="center"/>
    </xf>
    <xf numFmtId="43" fontId="5" fillId="5" borderId="3" xfId="1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3" fontId="12" fillId="0" borderId="3" xfId="1" applyFont="1" applyBorder="1" applyAlignment="1">
      <alignment horizontal="center" vertical="center"/>
    </xf>
    <xf numFmtId="43" fontId="3" fillId="0" borderId="3" xfId="1" applyFont="1" applyBorder="1" applyAlignment="1">
      <alignment vertical="center"/>
    </xf>
    <xf numFmtId="43" fontId="12" fillId="3" borderId="3" xfId="1" applyFont="1" applyFill="1" applyBorder="1" applyAlignment="1">
      <alignment horizontal="center" vertical="center" wrapText="1"/>
    </xf>
    <xf numFmtId="43" fontId="3" fillId="3" borderId="3" xfId="1" applyFont="1" applyFill="1" applyBorder="1" applyAlignment="1">
      <alignment vertical="center"/>
    </xf>
    <xf numFmtId="43" fontId="3" fillId="3" borderId="3" xfId="1" applyFont="1" applyFill="1" applyBorder="1" applyAlignment="1">
      <alignment horizontal="center" vertical="center" wrapText="1"/>
    </xf>
    <xf numFmtId="0" fontId="11" fillId="0" borderId="0" xfId="0" applyFont="1"/>
    <xf numFmtId="49" fontId="6" fillId="3" borderId="3" xfId="0" applyNumberFormat="1" applyFont="1" applyFill="1" applyBorder="1" applyAlignment="1">
      <alignment horizontal="center" vertical="center" wrapText="1"/>
    </xf>
    <xf numFmtId="0" fontId="13" fillId="0" borderId="3" xfId="3" applyFont="1" applyBorder="1" applyAlignment="1">
      <alignment horizontal="left" vertical="center" wrapText="1"/>
    </xf>
    <xf numFmtId="0" fontId="13" fillId="0" borderId="3" xfId="0" applyFont="1" applyBorder="1" applyAlignment="1">
      <alignment horizontal="center" vertical="center" wrapText="1"/>
    </xf>
    <xf numFmtId="0" fontId="2" fillId="0" borderId="3" xfId="2" applyFont="1" applyBorder="1" applyAlignment="1">
      <alignment horizontal="right" vertical="center"/>
    </xf>
    <xf numFmtId="1" fontId="13" fillId="0" borderId="3" xfId="0" applyNumberFormat="1" applyFont="1" applyBorder="1" applyAlignment="1">
      <alignment horizontal="right" vertical="center" wrapText="1"/>
    </xf>
    <xf numFmtId="1" fontId="6" fillId="0" borderId="3" xfId="0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/>
    </xf>
    <xf numFmtId="1" fontId="2" fillId="0" borderId="3" xfId="0" applyNumberFormat="1" applyFont="1" applyBorder="1" applyAlignment="1">
      <alignment horizontal="right" vertical="center" wrapText="1"/>
    </xf>
    <xf numFmtId="43" fontId="15" fillId="0" borderId="3" xfId="1" applyFont="1" applyBorder="1" applyAlignment="1">
      <alignment horizontal="center" vertical="center"/>
    </xf>
    <xf numFmtId="0" fontId="14" fillId="0" borderId="0" xfId="0" applyFont="1"/>
    <xf numFmtId="1" fontId="16" fillId="0" borderId="3" xfId="0" applyNumberFormat="1" applyFont="1" applyBorder="1" applyAlignment="1">
      <alignment horizontal="right" vertical="center" wrapText="1"/>
    </xf>
    <xf numFmtId="0" fontId="16" fillId="0" borderId="3" xfId="0" applyFont="1" applyBorder="1" applyAlignment="1">
      <alignment horizontal="center" vertical="center" wrapText="1"/>
    </xf>
    <xf numFmtId="0" fontId="9" fillId="5" borderId="3" xfId="3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center" vertical="center" wrapText="1"/>
    </xf>
    <xf numFmtId="1" fontId="9" fillId="5" borderId="3" xfId="0" applyNumberFormat="1" applyFont="1" applyFill="1" applyBorder="1" applyAlignment="1">
      <alignment horizontal="right" vertical="center" wrapText="1"/>
    </xf>
    <xf numFmtId="43" fontId="18" fillId="5" borderId="3" xfId="1" applyFont="1" applyFill="1" applyBorder="1" applyAlignment="1">
      <alignment horizontal="center" vertical="center"/>
    </xf>
    <xf numFmtId="43" fontId="18" fillId="5" borderId="3" xfId="1" applyFont="1" applyFill="1" applyBorder="1" applyAlignment="1">
      <alignment horizontal="center" vertical="center" wrapText="1"/>
    </xf>
    <xf numFmtId="43" fontId="10" fillId="5" borderId="3" xfId="1" applyFont="1" applyFill="1" applyBorder="1" applyAlignment="1">
      <alignment horizontal="center" vertical="center" wrapText="1"/>
    </xf>
    <xf numFmtId="0" fontId="19" fillId="0" borderId="0" xfId="0" applyFont="1"/>
    <xf numFmtId="43" fontId="10" fillId="0" borderId="0" xfId="1" applyFont="1" applyBorder="1" applyAlignment="1">
      <alignment vertical="center"/>
    </xf>
    <xf numFmtId="49" fontId="6" fillId="5" borderId="7" xfId="0" applyNumberFormat="1" applyFont="1" applyFill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Fill="1" applyBorder="1" applyAlignment="1">
      <alignment horizontal="right" vertical="center"/>
    </xf>
    <xf numFmtId="43" fontId="5" fillId="0" borderId="3" xfId="1" applyFont="1" applyFill="1" applyBorder="1" applyAlignment="1">
      <alignment vertical="center"/>
    </xf>
    <xf numFmtId="43" fontId="5" fillId="0" borderId="3" xfId="1" applyFont="1" applyFill="1" applyBorder="1" applyAlignment="1">
      <alignment horizontal="center" vertical="center" wrapText="1"/>
    </xf>
    <xf numFmtId="49" fontId="6" fillId="0" borderId="3" xfId="0" applyNumberFormat="1" applyFont="1" applyBorder="1" applyAlignment="1">
      <alignment horizontal="center" vertical="center" wrapText="1"/>
    </xf>
    <xf numFmtId="165" fontId="6" fillId="0" borderId="3" xfId="1" applyNumberFormat="1" applyFont="1" applyBorder="1" applyAlignment="1">
      <alignment horizontal="right" vertical="center" wrapText="1"/>
    </xf>
    <xf numFmtId="165" fontId="9" fillId="5" borderId="3" xfId="1" applyNumberFormat="1" applyFont="1" applyFill="1" applyBorder="1" applyAlignment="1">
      <alignment horizontal="right" vertical="center" wrapText="1"/>
    </xf>
    <xf numFmtId="0" fontId="10" fillId="5" borderId="0" xfId="0" applyFont="1" applyFill="1"/>
    <xf numFmtId="43" fontId="5" fillId="6" borderId="3" xfId="1" applyFont="1" applyFill="1" applyBorder="1" applyAlignment="1">
      <alignment vertical="center"/>
    </xf>
    <xf numFmtId="43" fontId="5" fillId="6" borderId="3" xfId="1" applyFont="1" applyFill="1" applyBorder="1" applyAlignment="1">
      <alignment horizontal="center" vertical="center" wrapText="1"/>
    </xf>
    <xf numFmtId="49" fontId="6" fillId="6" borderId="3" xfId="0" applyNumberFormat="1" applyFont="1" applyFill="1" applyBorder="1" applyAlignment="1">
      <alignment horizontal="center" vertical="center" wrapText="1"/>
    </xf>
    <xf numFmtId="0" fontId="2" fillId="0" borderId="5" xfId="2" applyFont="1" applyBorder="1" applyAlignment="1">
      <alignment horizontal="center" vertical="center"/>
    </xf>
    <xf numFmtId="43" fontId="6" fillId="0" borderId="3" xfId="1" applyFont="1" applyFill="1" applyBorder="1" applyAlignment="1">
      <alignment horizontal="center" vertical="center" wrapText="1"/>
    </xf>
    <xf numFmtId="0" fontId="6" fillId="6" borderId="3" xfId="3" applyFont="1" applyFill="1" applyBorder="1" applyAlignment="1">
      <alignment horizontal="left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vertical="center" wrapText="1"/>
    </xf>
    <xf numFmtId="0" fontId="5" fillId="6" borderId="3" xfId="0" applyFont="1" applyFill="1" applyBorder="1" applyAlignment="1">
      <alignment horizontal="center" vertical="center"/>
    </xf>
    <xf numFmtId="43" fontId="6" fillId="0" borderId="3" xfId="1" applyFont="1" applyFill="1" applyBorder="1" applyAlignment="1">
      <alignment horizontal="center" vertical="center"/>
    </xf>
    <xf numFmtId="43" fontId="6" fillId="6" borderId="3" xfId="1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vertical="center" wrapText="1"/>
    </xf>
    <xf numFmtId="3" fontId="6" fillId="0" borderId="3" xfId="0" applyNumberFormat="1" applyFont="1" applyBorder="1" applyAlignment="1">
      <alignment horizontal="center" vertical="center" wrapText="1"/>
    </xf>
    <xf numFmtId="167" fontId="6" fillId="0" borderId="3" xfId="0" applyNumberFormat="1" applyFont="1" applyBorder="1" applyAlignment="1">
      <alignment horizontal="center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" fontId="6" fillId="6" borderId="3" xfId="1" applyNumberFormat="1" applyFont="1" applyFill="1" applyBorder="1" applyAlignment="1">
      <alignment horizontal="center" vertical="center"/>
    </xf>
    <xf numFmtId="4" fontId="0" fillId="0" borderId="0" xfId="0" applyNumberFormat="1" applyAlignment="1">
      <alignment horizontal="center" vertical="center"/>
    </xf>
    <xf numFmtId="4" fontId="6" fillId="3" borderId="3" xfId="1" applyNumberFormat="1" applyFont="1" applyFill="1" applyBorder="1" applyAlignment="1">
      <alignment horizontal="center" vertical="center"/>
    </xf>
    <xf numFmtId="1" fontId="2" fillId="0" borderId="1" xfId="2" applyNumberFormat="1" applyFont="1" applyBorder="1" applyAlignment="1">
      <alignment horizontal="center" vertical="center"/>
    </xf>
    <xf numFmtId="0" fontId="2" fillId="0" borderId="1" xfId="2" applyFont="1" applyBorder="1" applyAlignment="1">
      <alignment horizontal="center" vertical="center"/>
    </xf>
    <xf numFmtId="165" fontId="0" fillId="0" borderId="14" xfId="1" applyNumberFormat="1" applyFont="1" applyBorder="1"/>
    <xf numFmtId="43" fontId="7" fillId="0" borderId="1" xfId="1" applyFont="1" applyFill="1" applyBorder="1" applyAlignment="1">
      <alignment horizontal="center" vertical="center" wrapText="1"/>
    </xf>
    <xf numFmtId="49" fontId="6" fillId="7" borderId="3" xfId="0" applyNumberFormat="1" applyFont="1" applyFill="1" applyBorder="1" applyAlignment="1">
      <alignment horizontal="center" vertical="center" wrapText="1"/>
    </xf>
    <xf numFmtId="43" fontId="6" fillId="7" borderId="3" xfId="1" applyFont="1" applyFill="1" applyBorder="1" applyAlignment="1">
      <alignment horizontal="center" vertical="center"/>
    </xf>
    <xf numFmtId="43" fontId="5" fillId="7" borderId="3" xfId="1" applyFont="1" applyFill="1" applyBorder="1" applyAlignment="1">
      <alignment vertical="center"/>
    </xf>
    <xf numFmtId="43" fontId="7" fillId="7" borderId="3" xfId="1" applyFont="1" applyFill="1" applyBorder="1" applyAlignment="1">
      <alignment horizontal="center" vertical="center" wrapText="1"/>
    </xf>
    <xf numFmtId="43" fontId="5" fillId="7" borderId="3" xfId="1" applyFont="1" applyFill="1" applyBorder="1" applyAlignment="1">
      <alignment horizontal="center" vertical="center" wrapText="1"/>
    </xf>
    <xf numFmtId="0" fontId="6" fillId="0" borderId="3" xfId="3" applyFont="1" applyBorder="1" applyAlignment="1">
      <alignment vertical="center" wrapText="1"/>
    </xf>
    <xf numFmtId="0" fontId="5" fillId="0" borderId="3" xfId="0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0" fontId="5" fillId="8" borderId="3" xfId="0" applyFont="1" applyFill="1" applyBorder="1" applyAlignment="1">
      <alignment vertical="center" wrapText="1"/>
    </xf>
    <xf numFmtId="0" fontId="5" fillId="8" borderId="3" xfId="0" applyFont="1" applyFill="1" applyBorder="1" applyAlignment="1">
      <alignment horizontal="center" vertical="center"/>
    </xf>
    <xf numFmtId="3" fontId="6" fillId="6" borderId="3" xfId="1" applyNumberFormat="1" applyFont="1" applyFill="1" applyBorder="1" applyAlignment="1">
      <alignment horizontal="center" vertical="center"/>
    </xf>
    <xf numFmtId="43" fontId="6" fillId="6" borderId="3" xfId="1" applyFont="1" applyFill="1" applyBorder="1" applyAlignment="1">
      <alignment vertical="center"/>
    </xf>
    <xf numFmtId="0" fontId="12" fillId="7" borderId="3" xfId="3" applyFont="1" applyFill="1" applyBorder="1" applyAlignment="1">
      <alignment horizontal="left" vertical="center" wrapText="1"/>
    </xf>
    <xf numFmtId="0" fontId="6" fillId="7" borderId="3" xfId="0" applyFont="1" applyFill="1" applyBorder="1" applyAlignment="1">
      <alignment horizontal="center" vertical="center" wrapText="1"/>
    </xf>
    <xf numFmtId="4" fontId="6" fillId="7" borderId="3" xfId="0" applyNumberFormat="1" applyFont="1" applyFill="1" applyBorder="1" applyAlignment="1">
      <alignment horizontal="center" vertical="center" wrapText="1"/>
    </xf>
    <xf numFmtId="43" fontId="5" fillId="0" borderId="3" xfId="1" applyFont="1" applyFill="1" applyBorder="1" applyAlignment="1">
      <alignment horizontal="center" vertical="center"/>
    </xf>
    <xf numFmtId="3" fontId="6" fillId="6" borderId="3" xfId="1" applyNumberFormat="1" applyFont="1" applyFill="1" applyBorder="1" applyAlignment="1">
      <alignment horizontal="center" vertical="center" wrapText="1"/>
    </xf>
    <xf numFmtId="3" fontId="6" fillId="6" borderId="3" xfId="0" applyNumberFormat="1" applyFont="1" applyFill="1" applyBorder="1" applyAlignment="1">
      <alignment horizontal="center" vertical="center" wrapText="1"/>
    </xf>
    <xf numFmtId="4" fontId="6" fillId="6" borderId="3" xfId="1" applyNumberFormat="1" applyFont="1" applyFill="1" applyBorder="1" applyAlignment="1">
      <alignment horizontal="center" vertical="center" wrapText="1"/>
    </xf>
    <xf numFmtId="168" fontId="5" fillId="8" borderId="3" xfId="1" applyNumberFormat="1" applyFont="1" applyFill="1" applyBorder="1" applyAlignment="1">
      <alignment vertical="center"/>
    </xf>
    <xf numFmtId="3" fontId="2" fillId="0" borderId="1" xfId="2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4" borderId="3" xfId="0" applyFont="1" applyFill="1" applyBorder="1" applyAlignment="1">
      <alignment horizontal="center"/>
    </xf>
    <xf numFmtId="0" fontId="3" fillId="5" borderId="3" xfId="0" applyFont="1" applyFill="1" applyBorder="1" applyAlignment="1">
      <alignment horizontal="center"/>
    </xf>
    <xf numFmtId="4" fontId="2" fillId="0" borderId="3" xfId="0" applyNumberFormat="1" applyFont="1" applyBorder="1" applyAlignment="1">
      <alignment horizontal="center" vertical="center" wrapText="1"/>
    </xf>
    <xf numFmtId="4" fontId="2" fillId="0" borderId="4" xfId="0" applyNumberFormat="1" applyFont="1" applyBorder="1" applyAlignment="1">
      <alignment horizontal="center" vertical="center" wrapText="1"/>
    </xf>
    <xf numFmtId="4" fontId="2" fillId="0" borderId="0" xfId="0" applyNumberFormat="1" applyFont="1" applyAlignment="1">
      <alignment horizontal="center" vertical="center" wrapText="1"/>
    </xf>
    <xf numFmtId="4" fontId="2" fillId="0" borderId="12" xfId="0" applyNumberFormat="1" applyFont="1" applyBorder="1" applyAlignment="1">
      <alignment horizontal="center" vertical="center" wrapText="1"/>
    </xf>
    <xf numFmtId="4" fontId="2" fillId="0" borderId="13" xfId="0" applyNumberFormat="1" applyFont="1" applyBorder="1" applyAlignment="1">
      <alignment horizontal="center" vertical="center" wrapText="1"/>
    </xf>
    <xf numFmtId="0" fontId="2" fillId="0" borderId="9" xfId="3" applyFont="1" applyBorder="1" applyAlignment="1">
      <alignment horizontal="right" vertical="center" wrapText="1"/>
    </xf>
    <xf numFmtId="0" fontId="2" fillId="0" borderId="10" xfId="3" applyFont="1" applyBorder="1" applyAlignment="1">
      <alignment horizontal="right" vertical="center" wrapText="1"/>
    </xf>
    <xf numFmtId="0" fontId="2" fillId="0" borderId="11" xfId="3" applyFont="1" applyBorder="1" applyAlignment="1">
      <alignment horizontal="right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4" fontId="2" fillId="0" borderId="6" xfId="0" applyNumberFormat="1" applyFont="1" applyBorder="1" applyAlignment="1">
      <alignment horizontal="center" vertical="center" wrapText="1"/>
    </xf>
    <xf numFmtId="4" fontId="2" fillId="0" borderId="8" xfId="0" applyNumberFormat="1" applyFont="1" applyBorder="1" applyAlignment="1">
      <alignment horizontal="center" vertical="center" wrapText="1"/>
    </xf>
    <xf numFmtId="4" fontId="2" fillId="0" borderId="3" xfId="0" applyNumberFormat="1" applyFont="1" applyBorder="1" applyAlignment="1">
      <alignment horizontal="right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1" fontId="2" fillId="2" borderId="9" xfId="2" applyNumberFormat="1" applyFont="1" applyFill="1" applyBorder="1" applyAlignment="1">
      <alignment horizontal="center" vertical="center"/>
    </xf>
    <xf numFmtId="1" fontId="2" fillId="2" borderId="10" xfId="2" applyNumberFormat="1" applyFont="1" applyFill="1" applyBorder="1" applyAlignment="1">
      <alignment horizontal="center" vertical="center"/>
    </xf>
    <xf numFmtId="1" fontId="2" fillId="2" borderId="11" xfId="2" applyNumberFormat="1" applyFont="1" applyFill="1" applyBorder="1" applyAlignment="1">
      <alignment horizontal="center" vertical="center"/>
    </xf>
    <xf numFmtId="1" fontId="2" fillId="2" borderId="12" xfId="2" applyNumberFormat="1" applyFont="1" applyFill="1" applyBorder="1" applyAlignment="1">
      <alignment horizontal="center" vertical="center"/>
    </xf>
    <xf numFmtId="1" fontId="2" fillId="2" borderId="13" xfId="2" applyNumberFormat="1" applyFont="1" applyFill="1" applyBorder="1" applyAlignment="1">
      <alignment horizontal="center" vertical="center"/>
    </xf>
    <xf numFmtId="1" fontId="2" fillId="2" borderId="8" xfId="2" applyNumberFormat="1" applyFont="1" applyFill="1" applyBorder="1" applyAlignment="1">
      <alignment horizontal="center" vertical="center"/>
    </xf>
    <xf numFmtId="0" fontId="12" fillId="7" borderId="9" xfId="3" applyFont="1" applyFill="1" applyBorder="1" applyAlignment="1">
      <alignment horizontal="left" vertical="center" wrapText="1"/>
    </xf>
    <xf numFmtId="0" fontId="12" fillId="7" borderId="10" xfId="3" applyFont="1" applyFill="1" applyBorder="1" applyAlignment="1">
      <alignment horizontal="left" vertical="center" wrapText="1"/>
    </xf>
    <xf numFmtId="0" fontId="12" fillId="7" borderId="11" xfId="3" applyFont="1" applyFill="1" applyBorder="1" applyAlignment="1">
      <alignment horizontal="left" vertical="center" wrapText="1"/>
    </xf>
    <xf numFmtId="4" fontId="6" fillId="6" borderId="3" xfId="0" applyNumberFormat="1" applyFont="1" applyFill="1" applyBorder="1" applyAlignment="1">
      <alignment horizontal="center" vertical="center" wrapText="1"/>
    </xf>
    <xf numFmtId="43" fontId="6" fillId="6" borderId="3" xfId="1" applyFont="1" applyFill="1" applyBorder="1" applyAlignment="1">
      <alignment horizontal="center" vertical="center"/>
    </xf>
    <xf numFmtId="43" fontId="7" fillId="6" borderId="3" xfId="1" applyFont="1" applyFill="1" applyBorder="1" applyAlignment="1">
      <alignment horizontal="center" vertical="center" wrapText="1"/>
    </xf>
  </cellXfs>
  <cellStyles count="4">
    <cellStyle name="ЛокСмМТСН" xfId="2" xr:uid="{00000000-0005-0000-0000-000000000000}"/>
    <cellStyle name="Обычный" xfId="0" builtinId="0"/>
    <cellStyle name="Обычный 2" xfId="3" xr:uid="{00000000-0005-0000-0000-000002000000}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3"/>
  <sheetViews>
    <sheetView view="pageBreakPreview" zoomScaleNormal="100" zoomScaleSheetLayoutView="100" workbookViewId="0">
      <selection activeCell="E5" sqref="E5"/>
    </sheetView>
  </sheetViews>
  <sheetFormatPr defaultRowHeight="15" x14ac:dyDescent="0.25"/>
  <cols>
    <col min="1" max="1" width="6.5703125" customWidth="1"/>
    <col min="2" max="2" width="30.7109375" customWidth="1"/>
    <col min="3" max="3" width="17.5703125" customWidth="1"/>
    <col min="4" max="4" width="18.7109375" customWidth="1"/>
    <col min="5" max="5" width="20.140625" customWidth="1"/>
    <col min="6" max="7" width="16.5703125" customWidth="1"/>
    <col min="8" max="8" width="17.140625" customWidth="1"/>
    <col min="9" max="9" width="16.5703125" bestFit="1" customWidth="1"/>
    <col min="10" max="11" width="14.5703125" bestFit="1" customWidth="1"/>
  </cols>
  <sheetData>
    <row r="1" spans="1:9" x14ac:dyDescent="0.25">
      <c r="A1" s="129" t="s">
        <v>0</v>
      </c>
      <c r="B1" s="129" t="s">
        <v>16</v>
      </c>
      <c r="C1" s="130" t="s">
        <v>17</v>
      </c>
      <c r="D1" s="130"/>
      <c r="E1" s="130"/>
      <c r="F1" s="131" t="s">
        <v>18</v>
      </c>
      <c r="G1" s="131"/>
      <c r="H1" s="131"/>
    </row>
    <row r="2" spans="1:9" ht="28.5" x14ac:dyDescent="0.25">
      <c r="A2" s="129"/>
      <c r="B2" s="129"/>
      <c r="C2" s="21" t="s">
        <v>19</v>
      </c>
      <c r="D2" s="22" t="s">
        <v>20</v>
      </c>
      <c r="E2" s="22" t="s">
        <v>21</v>
      </c>
      <c r="F2" s="23" t="s">
        <v>19</v>
      </c>
      <c r="G2" s="24" t="s">
        <v>20</v>
      </c>
      <c r="H2" s="24" t="s">
        <v>21</v>
      </c>
    </row>
    <row r="3" spans="1:9" x14ac:dyDescent="0.25">
      <c r="A3" s="18">
        <v>1</v>
      </c>
      <c r="B3" s="25" t="s">
        <v>23</v>
      </c>
      <c r="C3" s="26" t="e">
        <f>'СМР+мат пред '!#REF!</f>
        <v>#REF!</v>
      </c>
      <c r="D3" s="27" t="e">
        <f>'СМР+мат пред '!#REF!</f>
        <v>#REF!</v>
      </c>
      <c r="E3" s="28" t="e">
        <f t="shared" ref="E3" si="0">C3+D3</f>
        <v>#REF!</v>
      </c>
      <c r="F3" s="29" t="e">
        <f>'СМР+мат пред '!#REF!</f>
        <v>#REF!</v>
      </c>
      <c r="G3" s="30" t="e">
        <f>'СМР+мат пред '!#REF!</f>
        <v>#REF!</v>
      </c>
      <c r="H3" s="31" t="e">
        <f t="shared" ref="H3" si="1">F3+G3</f>
        <v>#REF!</v>
      </c>
      <c r="I3" s="32"/>
    </row>
    <row r="4" spans="1:9" x14ac:dyDescent="0.25">
      <c r="A4" s="18">
        <v>2</v>
      </c>
      <c r="B4" s="25" t="s">
        <v>13</v>
      </c>
      <c r="C4" s="26"/>
      <c r="D4" s="27"/>
      <c r="E4" s="28" t="e">
        <f>(C3+D3)*0.06</f>
        <v>#REF!</v>
      </c>
      <c r="F4" s="29"/>
      <c r="G4" s="30"/>
      <c r="H4" s="31" t="e">
        <f>(F3+G3)*0.06</f>
        <v>#REF!</v>
      </c>
      <c r="I4" s="32"/>
    </row>
    <row r="5" spans="1:9" x14ac:dyDescent="0.25">
      <c r="A5" s="33"/>
      <c r="B5" s="34" t="s">
        <v>22</v>
      </c>
      <c r="C5" s="35" t="e">
        <f>SUM(C3:C3)</f>
        <v>#REF!</v>
      </c>
      <c r="D5" s="35" t="e">
        <f>SUM(D3:D3)</f>
        <v>#REF!</v>
      </c>
      <c r="E5" s="35" t="e">
        <f>SUM(E3:E4)</f>
        <v>#REF!</v>
      </c>
      <c r="F5" s="36" t="e">
        <f>SUM(F3:F3)</f>
        <v>#REF!</v>
      </c>
      <c r="G5" s="36" t="e">
        <f>SUM(G3:G3)</f>
        <v>#REF!</v>
      </c>
      <c r="H5" s="36" t="e">
        <f>SUM(H3:H4)</f>
        <v>#REF!</v>
      </c>
      <c r="I5" s="32"/>
    </row>
    <row r="6" spans="1:9" x14ac:dyDescent="0.25">
      <c r="A6" s="37"/>
      <c r="B6" s="37"/>
      <c r="C6" s="37"/>
      <c r="D6" s="37"/>
      <c r="E6" s="37"/>
      <c r="H6">
        <v>0</v>
      </c>
      <c r="I6" s="32"/>
    </row>
    <row r="7" spans="1:9" x14ac:dyDescent="0.25">
      <c r="A7" s="37"/>
      <c r="B7" s="37"/>
      <c r="C7" s="37"/>
      <c r="D7" s="37"/>
      <c r="E7" s="37"/>
    </row>
    <row r="8" spans="1:9" x14ac:dyDescent="0.25">
      <c r="A8" s="37"/>
      <c r="B8" s="37"/>
      <c r="C8" s="37"/>
      <c r="D8" s="37"/>
      <c r="E8" s="37"/>
    </row>
    <row r="9" spans="1:9" x14ac:dyDescent="0.25">
      <c r="A9" s="37"/>
      <c r="B9" s="37"/>
      <c r="C9" s="37"/>
      <c r="D9" s="37"/>
      <c r="E9" s="37"/>
    </row>
    <row r="10" spans="1:9" x14ac:dyDescent="0.25">
      <c r="A10" s="37"/>
      <c r="B10" s="37"/>
      <c r="C10" s="37"/>
      <c r="D10" s="37"/>
      <c r="E10" s="37"/>
    </row>
    <row r="11" spans="1:9" x14ac:dyDescent="0.25">
      <c r="A11" s="37"/>
      <c r="B11" s="37"/>
      <c r="C11" s="37"/>
      <c r="D11" s="37"/>
      <c r="E11" s="37"/>
    </row>
    <row r="12" spans="1:9" x14ac:dyDescent="0.25">
      <c r="A12" s="37"/>
      <c r="B12" s="37"/>
      <c r="C12" s="37"/>
      <c r="D12" s="37"/>
      <c r="E12" s="37"/>
    </row>
    <row r="13" spans="1:9" x14ac:dyDescent="0.25">
      <c r="A13" s="37"/>
      <c r="B13" s="37"/>
      <c r="C13" s="37"/>
      <c r="D13" s="37"/>
      <c r="E13" s="37"/>
    </row>
  </sheetData>
  <mergeCells count="4">
    <mergeCell ref="A1:A2"/>
    <mergeCell ref="B1:B2"/>
    <mergeCell ref="C1:E1"/>
    <mergeCell ref="F1:H1"/>
  </mergeCells>
  <pageMargins left="0.7" right="0.7" top="0.75" bottom="0.75" header="0.3" footer="0.3"/>
  <pageSetup paperSize="9" scale="5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23"/>
  <sheetViews>
    <sheetView view="pageBreakPreview" topLeftCell="A10" zoomScale="80" zoomScaleNormal="100" zoomScaleSheetLayoutView="80" workbookViewId="0">
      <selection activeCell="B30" sqref="B30"/>
    </sheetView>
  </sheetViews>
  <sheetFormatPr defaultColWidth="8.85546875" defaultRowHeight="15" x14ac:dyDescent="0.25"/>
  <cols>
    <col min="2" max="2" width="65.140625" customWidth="1"/>
    <col min="3" max="3" width="9.28515625" style="63" customWidth="1"/>
    <col min="4" max="4" width="10.140625" style="62" bestFit="1" customWidth="1"/>
    <col min="5" max="5" width="15.140625" customWidth="1"/>
    <col min="6" max="6" width="16" customWidth="1"/>
    <col min="7" max="7" width="17.140625" style="1" customWidth="1"/>
    <col min="8" max="8" width="16.140625" style="1" customWidth="1"/>
    <col min="9" max="12" width="16.140625" customWidth="1"/>
    <col min="13" max="13" width="12.28515625" customWidth="1"/>
  </cols>
  <sheetData>
    <row r="1" spans="1:12" ht="14.45" customHeight="1" x14ac:dyDescent="0.25">
      <c r="A1" s="140" t="s">
        <v>0</v>
      </c>
      <c r="B1" s="143" t="s">
        <v>1</v>
      </c>
      <c r="C1" s="132" t="s">
        <v>2</v>
      </c>
      <c r="D1" s="146" t="s">
        <v>3</v>
      </c>
      <c r="E1" s="133" t="s">
        <v>14</v>
      </c>
      <c r="F1" s="134"/>
      <c r="G1" s="134"/>
      <c r="H1" s="134"/>
      <c r="I1" s="134"/>
      <c r="J1" s="134"/>
      <c r="K1" s="134"/>
      <c r="L1" s="134"/>
    </row>
    <row r="2" spans="1:12" ht="14.45" customHeight="1" x14ac:dyDescent="0.25">
      <c r="A2" s="141"/>
      <c r="B2" s="144"/>
      <c r="C2" s="132"/>
      <c r="D2" s="146"/>
      <c r="E2" s="135"/>
      <c r="F2" s="136"/>
      <c r="G2" s="136"/>
      <c r="H2" s="136"/>
      <c r="I2" s="136"/>
      <c r="J2" s="136"/>
      <c r="K2" s="136"/>
      <c r="L2" s="136"/>
    </row>
    <row r="3" spans="1:12" ht="27.75" customHeight="1" x14ac:dyDescent="0.25">
      <c r="A3" s="141"/>
      <c r="B3" s="144"/>
      <c r="C3" s="132"/>
      <c r="D3" s="146"/>
      <c r="E3" s="132" t="s">
        <v>25</v>
      </c>
      <c r="F3" s="132"/>
      <c r="G3" s="132"/>
      <c r="H3" s="132" t="s">
        <v>26</v>
      </c>
      <c r="I3" s="132"/>
      <c r="J3" s="132"/>
      <c r="K3" s="129" t="s">
        <v>36</v>
      </c>
      <c r="L3" s="129"/>
    </row>
    <row r="4" spans="1:12" ht="56.1" customHeight="1" x14ac:dyDescent="0.25">
      <c r="A4" s="142"/>
      <c r="B4" s="145"/>
      <c r="C4" s="132"/>
      <c r="D4" s="146"/>
      <c r="E4" s="2" t="s">
        <v>4</v>
      </c>
      <c r="F4" s="2" t="s">
        <v>5</v>
      </c>
      <c r="G4" s="3" t="s">
        <v>6</v>
      </c>
      <c r="H4" s="2" t="s">
        <v>4</v>
      </c>
      <c r="I4" s="2" t="s">
        <v>5</v>
      </c>
      <c r="J4" s="3" t="s">
        <v>6</v>
      </c>
      <c r="K4" s="2" t="s">
        <v>27</v>
      </c>
      <c r="L4" s="2" t="s">
        <v>18</v>
      </c>
    </row>
    <row r="5" spans="1:12" x14ac:dyDescent="0.25">
      <c r="A5" s="4">
        <v>1</v>
      </c>
      <c r="B5" s="5">
        <v>2</v>
      </c>
      <c r="C5" s="5">
        <v>3</v>
      </c>
      <c r="D5" s="58">
        <v>4</v>
      </c>
      <c r="E5" s="5">
        <v>5</v>
      </c>
      <c r="F5" s="5">
        <v>6</v>
      </c>
      <c r="G5" s="5">
        <v>7</v>
      </c>
      <c r="H5"/>
    </row>
    <row r="6" spans="1:12" x14ac:dyDescent="0.25">
      <c r="A6" s="6"/>
      <c r="B6" s="147" t="s">
        <v>230</v>
      </c>
      <c r="C6" s="148"/>
      <c r="D6" s="148"/>
      <c r="E6" s="7"/>
      <c r="F6" s="8"/>
      <c r="G6" s="9"/>
      <c r="H6" s="9"/>
      <c r="I6" s="9"/>
      <c r="J6" s="9"/>
      <c r="K6" s="9"/>
      <c r="L6" s="9"/>
    </row>
    <row r="7" spans="1:12" ht="18" customHeight="1" x14ac:dyDescent="0.25">
      <c r="A7" s="47">
        <v>1</v>
      </c>
      <c r="B7" s="56" t="s">
        <v>85</v>
      </c>
      <c r="C7" s="57"/>
      <c r="D7" s="59"/>
      <c r="E7" s="49"/>
      <c r="F7" s="50"/>
      <c r="G7" s="50"/>
      <c r="H7" s="51"/>
      <c r="I7" s="52"/>
      <c r="J7" s="52"/>
      <c r="K7" s="53"/>
      <c r="L7" s="50"/>
    </row>
    <row r="8" spans="1:12" ht="18" customHeight="1" x14ac:dyDescent="0.25">
      <c r="A8" s="55" t="s">
        <v>41</v>
      </c>
      <c r="B8" s="10" t="s">
        <v>83</v>
      </c>
      <c r="C8" s="13" t="s">
        <v>10</v>
      </c>
      <c r="D8" s="60">
        <v>13</v>
      </c>
      <c r="E8" s="14"/>
      <c r="F8" s="12">
        <f t="shared" ref="F8" si="0">ROUND(E8*D8,2)</f>
        <v>0</v>
      </c>
      <c r="G8" s="12">
        <f t="shared" ref="G8" si="1">ROUND(F8*1.2,2)</f>
        <v>0</v>
      </c>
      <c r="H8" s="15"/>
      <c r="I8" s="16"/>
      <c r="J8" s="16"/>
      <c r="K8" s="19">
        <f t="shared" ref="K8" si="2">F8+I8</f>
        <v>0</v>
      </c>
      <c r="L8" s="12">
        <f t="shared" ref="L8" si="3">G8+J8</f>
        <v>0</v>
      </c>
    </row>
    <row r="9" spans="1:12" ht="18" customHeight="1" x14ac:dyDescent="0.25">
      <c r="A9" s="55" t="s">
        <v>59</v>
      </c>
      <c r="B9" s="10" t="s">
        <v>142</v>
      </c>
      <c r="C9" s="13"/>
      <c r="D9" s="60"/>
      <c r="E9" s="14"/>
      <c r="F9" s="12">
        <f t="shared" ref="F9" si="4">ROUND(E9*D9,2)</f>
        <v>0</v>
      </c>
      <c r="G9" s="12">
        <f t="shared" ref="G9" si="5">ROUND(F9*1.2,2)</f>
        <v>0</v>
      </c>
      <c r="H9" s="15"/>
      <c r="I9" s="16"/>
      <c r="J9" s="16"/>
      <c r="K9" s="19">
        <f t="shared" ref="K9" si="6">F9+I9</f>
        <v>0</v>
      </c>
      <c r="L9" s="12">
        <f t="shared" ref="L9" si="7">G9+J9</f>
        <v>0</v>
      </c>
    </row>
    <row r="10" spans="1:12" ht="18" customHeight="1" x14ac:dyDescent="0.25">
      <c r="A10" s="55" t="s">
        <v>181</v>
      </c>
      <c r="B10" s="10" t="s">
        <v>84</v>
      </c>
      <c r="C10" s="13" t="s">
        <v>10</v>
      </c>
      <c r="D10" s="83">
        <v>13</v>
      </c>
      <c r="E10" s="14"/>
      <c r="F10" s="12">
        <f t="shared" ref="F10" si="8">ROUND(E10*D10,2)</f>
        <v>0</v>
      </c>
      <c r="G10" s="12">
        <f t="shared" ref="G10" si="9">ROUND(F10*1.2,2)</f>
        <v>0</v>
      </c>
      <c r="H10" s="15"/>
      <c r="I10" s="16"/>
      <c r="J10" s="16"/>
      <c r="K10" s="19">
        <f t="shared" ref="K10" si="10">F10+I10</f>
        <v>0</v>
      </c>
      <c r="L10" s="12">
        <f t="shared" ref="L10" si="11">G10+J10</f>
        <v>0</v>
      </c>
    </row>
    <row r="11" spans="1:12" ht="18" customHeight="1" x14ac:dyDescent="0.25">
      <c r="A11" s="41" t="s">
        <v>182</v>
      </c>
      <c r="B11" s="42" t="s">
        <v>58</v>
      </c>
      <c r="C11" s="43" t="s">
        <v>10</v>
      </c>
      <c r="D11" s="84">
        <v>13</v>
      </c>
      <c r="E11" s="44"/>
      <c r="F11" s="29"/>
      <c r="G11" s="29"/>
      <c r="H11" s="45"/>
      <c r="I11" s="45">
        <f t="shared" ref="I11" si="12">ROUND(H11*D11,2)</f>
        <v>0</v>
      </c>
      <c r="J11" s="45">
        <f t="shared" ref="J11" si="13">ROUND(I11*1.2,2)</f>
        <v>0</v>
      </c>
      <c r="K11" s="46">
        <f t="shared" ref="K11" si="14">F11+I11</f>
        <v>0</v>
      </c>
      <c r="L11" s="29">
        <f t="shared" ref="L11" si="15">G11+J11</f>
        <v>0</v>
      </c>
    </row>
    <row r="12" spans="1:12" ht="18" customHeight="1" x14ac:dyDescent="0.25">
      <c r="A12" s="41" t="s">
        <v>183</v>
      </c>
      <c r="B12" s="42" t="s">
        <v>174</v>
      </c>
      <c r="C12" s="43" t="s">
        <v>10</v>
      </c>
      <c r="D12" s="84">
        <v>13</v>
      </c>
      <c r="E12" s="44"/>
      <c r="F12" s="29"/>
      <c r="G12" s="29"/>
      <c r="H12" s="45"/>
      <c r="I12" s="45">
        <f t="shared" ref="I12" si="16">ROUND(H12*D12,2)</f>
        <v>0</v>
      </c>
      <c r="J12" s="45">
        <f t="shared" ref="J12" si="17">ROUND(I12*1.2,2)</f>
        <v>0</v>
      </c>
      <c r="K12" s="46">
        <f t="shared" ref="K12:K15" si="18">F12+I12</f>
        <v>0</v>
      </c>
      <c r="L12" s="29">
        <f t="shared" ref="L12:L15" si="19">G12+J12</f>
        <v>0</v>
      </c>
    </row>
    <row r="13" spans="1:12" s="54" customFormat="1" ht="18" customHeight="1" x14ac:dyDescent="0.25">
      <c r="A13" s="47">
        <v>2</v>
      </c>
      <c r="B13" s="56" t="s">
        <v>88</v>
      </c>
      <c r="C13" s="57"/>
      <c r="D13" s="59"/>
      <c r="E13" s="49"/>
      <c r="F13" s="50"/>
      <c r="G13" s="50"/>
      <c r="H13" s="51"/>
      <c r="I13" s="52"/>
      <c r="J13" s="52"/>
      <c r="K13" s="53"/>
      <c r="L13" s="50"/>
    </row>
    <row r="14" spans="1:12" ht="31.5" customHeight="1" x14ac:dyDescent="0.25">
      <c r="A14" s="55" t="s">
        <v>44</v>
      </c>
      <c r="B14" s="10" t="s">
        <v>86</v>
      </c>
      <c r="C14" s="13" t="s">
        <v>24</v>
      </c>
      <c r="D14" s="60">
        <v>692</v>
      </c>
      <c r="E14" s="11"/>
      <c r="F14" s="12">
        <f t="shared" ref="F14:F15" si="20">ROUND(E14*D14,2)</f>
        <v>0</v>
      </c>
      <c r="G14" s="12">
        <f t="shared" ref="G14:G15" si="21">ROUND(F14*1.2,2)</f>
        <v>0</v>
      </c>
      <c r="H14" s="15"/>
      <c r="I14" s="16"/>
      <c r="J14" s="16"/>
      <c r="K14" s="19">
        <f t="shared" si="18"/>
        <v>0</v>
      </c>
      <c r="L14" s="12">
        <f t="shared" si="19"/>
        <v>0</v>
      </c>
    </row>
    <row r="15" spans="1:12" ht="16.5" customHeight="1" x14ac:dyDescent="0.25">
      <c r="A15" s="55" t="s">
        <v>45</v>
      </c>
      <c r="B15" s="10" t="s">
        <v>142</v>
      </c>
      <c r="C15" s="13"/>
      <c r="D15" s="60"/>
      <c r="E15" s="11"/>
      <c r="F15" s="12">
        <f t="shared" si="20"/>
        <v>0</v>
      </c>
      <c r="G15" s="12">
        <f t="shared" si="21"/>
        <v>0</v>
      </c>
      <c r="H15" s="15"/>
      <c r="I15" s="16"/>
      <c r="J15" s="16"/>
      <c r="K15" s="19">
        <f t="shared" si="18"/>
        <v>0</v>
      </c>
      <c r="L15" s="12">
        <f t="shared" si="19"/>
        <v>0</v>
      </c>
    </row>
    <row r="16" spans="1:12" ht="31.5" customHeight="1" x14ac:dyDescent="0.25">
      <c r="A16" s="55" t="s">
        <v>184</v>
      </c>
      <c r="B16" s="10" t="s">
        <v>87</v>
      </c>
      <c r="C16" s="13" t="s">
        <v>24</v>
      </c>
      <c r="D16" s="60">
        <v>692</v>
      </c>
      <c r="E16" s="11"/>
      <c r="F16" s="12">
        <f t="shared" ref="F16:F57" si="22">ROUND(E16*D16,2)</f>
        <v>0</v>
      </c>
      <c r="G16" s="12">
        <f t="shared" ref="G16:G57" si="23">ROUND(F16*1.2,2)</f>
        <v>0</v>
      </c>
      <c r="H16" s="15"/>
      <c r="I16" s="16"/>
      <c r="J16" s="16"/>
      <c r="K16" s="19">
        <f t="shared" ref="K16:K71" si="24">F16+I16</f>
        <v>0</v>
      </c>
      <c r="L16" s="12">
        <f t="shared" ref="L16:L71" si="25">G16+J16</f>
        <v>0</v>
      </c>
    </row>
    <row r="17" spans="1:13" ht="18" customHeight="1" x14ac:dyDescent="0.25">
      <c r="A17" s="41" t="s">
        <v>185</v>
      </c>
      <c r="B17" s="42" t="s">
        <v>174</v>
      </c>
      <c r="C17" s="43" t="s">
        <v>10</v>
      </c>
      <c r="D17" s="84">
        <v>692</v>
      </c>
      <c r="E17" s="44"/>
      <c r="F17" s="29"/>
      <c r="G17" s="29"/>
      <c r="H17" s="45"/>
      <c r="I17" s="45">
        <f t="shared" ref="I17" si="26">ROUND(H17*D17,2)</f>
        <v>0</v>
      </c>
      <c r="J17" s="45">
        <f t="shared" ref="J17" si="27">ROUND(I17*1.2,2)</f>
        <v>0</v>
      </c>
      <c r="K17" s="46">
        <f t="shared" si="24"/>
        <v>0</v>
      </c>
      <c r="L17" s="29">
        <f t="shared" si="25"/>
        <v>0</v>
      </c>
    </row>
    <row r="18" spans="1:13" s="54" customFormat="1" ht="18" customHeight="1" x14ac:dyDescent="0.25">
      <c r="A18" s="47">
        <f>A13+1</f>
        <v>3</v>
      </c>
      <c r="B18" s="56" t="s">
        <v>51</v>
      </c>
      <c r="C18" s="57"/>
      <c r="D18" s="59"/>
      <c r="E18" s="49"/>
      <c r="F18" s="50"/>
      <c r="G18" s="50"/>
      <c r="H18" s="51"/>
      <c r="I18" s="52"/>
      <c r="J18" s="52"/>
      <c r="K18" s="53"/>
      <c r="L18" s="50"/>
    </row>
    <row r="19" spans="1:13" ht="15.75" x14ac:dyDescent="0.25">
      <c r="A19" s="55" t="s">
        <v>43</v>
      </c>
      <c r="B19" s="10" t="s">
        <v>90</v>
      </c>
      <c r="C19" s="13" t="s">
        <v>10</v>
      </c>
      <c r="D19" s="60">
        <v>157</v>
      </c>
      <c r="E19" s="11"/>
      <c r="F19" s="12">
        <f t="shared" ref="F19:F20" si="28">ROUND(E19*D19,2)</f>
        <v>0</v>
      </c>
      <c r="G19" s="12">
        <f t="shared" ref="G19:G20" si="29">ROUND(F19*1.2,2)</f>
        <v>0</v>
      </c>
      <c r="H19" s="15"/>
      <c r="I19" s="16"/>
      <c r="J19" s="16"/>
      <c r="K19" s="19">
        <f t="shared" ref="K19:K20" si="30">F19+I19</f>
        <v>0</v>
      </c>
      <c r="L19" s="12">
        <f t="shared" ref="L19:L20" si="31">G19+J19</f>
        <v>0</v>
      </c>
    </row>
    <row r="20" spans="1:13" ht="16.5" customHeight="1" x14ac:dyDescent="0.25">
      <c r="A20" s="55" t="s">
        <v>89</v>
      </c>
      <c r="B20" s="10" t="s">
        <v>142</v>
      </c>
      <c r="C20" s="13"/>
      <c r="D20" s="60"/>
      <c r="E20" s="11"/>
      <c r="F20" s="12">
        <f t="shared" si="28"/>
        <v>0</v>
      </c>
      <c r="G20" s="12">
        <f t="shared" si="29"/>
        <v>0</v>
      </c>
      <c r="H20" s="15"/>
      <c r="I20" s="16"/>
      <c r="J20" s="16"/>
      <c r="K20" s="19">
        <f t="shared" si="30"/>
        <v>0</v>
      </c>
      <c r="L20" s="12">
        <f t="shared" si="31"/>
        <v>0</v>
      </c>
    </row>
    <row r="21" spans="1:13" ht="15.75" x14ac:dyDescent="0.25">
      <c r="A21" s="55" t="s">
        <v>186</v>
      </c>
      <c r="B21" s="10" t="s">
        <v>91</v>
      </c>
      <c r="C21" s="13" t="s">
        <v>10</v>
      </c>
      <c r="D21" s="60">
        <v>157</v>
      </c>
      <c r="E21" s="11"/>
      <c r="F21" s="12">
        <f t="shared" si="22"/>
        <v>0</v>
      </c>
      <c r="G21" s="12">
        <f t="shared" si="23"/>
        <v>0</v>
      </c>
      <c r="H21" s="15"/>
      <c r="I21" s="16"/>
      <c r="J21" s="16"/>
      <c r="K21" s="19">
        <f t="shared" si="24"/>
        <v>0</v>
      </c>
      <c r="L21" s="12">
        <f t="shared" si="25"/>
        <v>0</v>
      </c>
    </row>
    <row r="22" spans="1:13" ht="20.25" customHeight="1" x14ac:dyDescent="0.25">
      <c r="A22" s="41" t="s">
        <v>187</v>
      </c>
      <c r="B22" s="42" t="s">
        <v>60</v>
      </c>
      <c r="C22" s="43" t="s">
        <v>10</v>
      </c>
      <c r="D22" s="84">
        <v>157</v>
      </c>
      <c r="E22" s="44"/>
      <c r="F22" s="29"/>
      <c r="G22" s="29"/>
      <c r="H22" s="45">
        <v>194.33</v>
      </c>
      <c r="I22" s="45">
        <f t="shared" ref="I22" si="32">ROUND(H22*D22,2)</f>
        <v>30509.81</v>
      </c>
      <c r="J22" s="45">
        <f t="shared" ref="J22" si="33">ROUND(I22*1.2,2)</f>
        <v>36611.769999999997</v>
      </c>
      <c r="K22" s="46">
        <f t="shared" ref="K22:K25" si="34">F22+I22</f>
        <v>30509.81</v>
      </c>
      <c r="L22" s="29">
        <f t="shared" ref="L22:L25" si="35">G22+J22</f>
        <v>36611.769999999997</v>
      </c>
      <c r="M22" t="s">
        <v>139</v>
      </c>
    </row>
    <row r="23" spans="1:13" s="54" customFormat="1" ht="18" customHeight="1" x14ac:dyDescent="0.25">
      <c r="A23" s="47">
        <f>A18+1</f>
        <v>4</v>
      </c>
      <c r="B23" s="56" t="s">
        <v>52</v>
      </c>
      <c r="C23" s="57"/>
      <c r="D23" s="59"/>
      <c r="E23" s="49"/>
      <c r="F23" s="50"/>
      <c r="G23" s="50"/>
      <c r="H23" s="51"/>
      <c r="I23" s="52"/>
      <c r="J23" s="52"/>
      <c r="K23" s="53"/>
      <c r="L23" s="50"/>
    </row>
    <row r="24" spans="1:13" ht="15.75" x14ac:dyDescent="0.25">
      <c r="A24" s="55" t="s">
        <v>42</v>
      </c>
      <c r="B24" s="10" t="s">
        <v>97</v>
      </c>
      <c r="C24" s="13" t="s">
        <v>10</v>
      </c>
      <c r="D24" s="60">
        <v>13</v>
      </c>
      <c r="E24" s="11"/>
      <c r="F24" s="12">
        <f t="shared" ref="F24:F25" si="36">ROUND(E24*D24,2)</f>
        <v>0</v>
      </c>
      <c r="G24" s="12">
        <f t="shared" ref="G24:G25" si="37">ROUND(F24*1.2,2)</f>
        <v>0</v>
      </c>
      <c r="H24" s="15"/>
      <c r="I24" s="16"/>
      <c r="J24" s="16"/>
      <c r="K24" s="19">
        <f t="shared" si="34"/>
        <v>0</v>
      </c>
      <c r="L24" s="12">
        <f t="shared" si="35"/>
        <v>0</v>
      </c>
    </row>
    <row r="25" spans="1:13" ht="19.5" customHeight="1" x14ac:dyDescent="0.25">
      <c r="A25" s="55" t="s">
        <v>92</v>
      </c>
      <c r="B25" s="10" t="s">
        <v>142</v>
      </c>
      <c r="C25" s="13"/>
      <c r="D25" s="60"/>
      <c r="E25" s="11"/>
      <c r="F25" s="12">
        <f t="shared" si="36"/>
        <v>0</v>
      </c>
      <c r="G25" s="12">
        <f t="shared" si="37"/>
        <v>0</v>
      </c>
      <c r="H25" s="15"/>
      <c r="I25" s="16"/>
      <c r="J25" s="16"/>
      <c r="K25" s="19">
        <f t="shared" si="34"/>
        <v>0</v>
      </c>
      <c r="L25" s="12">
        <f t="shared" si="35"/>
        <v>0</v>
      </c>
    </row>
    <row r="26" spans="1:13" ht="15.75" x14ac:dyDescent="0.25">
      <c r="A26" s="55" t="s">
        <v>188</v>
      </c>
      <c r="B26" s="10" t="s">
        <v>96</v>
      </c>
      <c r="C26" s="13" t="s">
        <v>10</v>
      </c>
      <c r="D26" s="60">
        <v>13</v>
      </c>
      <c r="E26" s="11"/>
      <c r="F26" s="12">
        <f t="shared" si="22"/>
        <v>0</v>
      </c>
      <c r="G26" s="12">
        <f t="shared" si="23"/>
        <v>0</v>
      </c>
      <c r="H26" s="15"/>
      <c r="I26" s="16"/>
      <c r="J26" s="16"/>
      <c r="K26" s="19">
        <f t="shared" si="24"/>
        <v>0</v>
      </c>
      <c r="L26" s="12">
        <f t="shared" si="25"/>
        <v>0</v>
      </c>
    </row>
    <row r="27" spans="1:13" ht="18" customHeight="1" x14ac:dyDescent="0.25">
      <c r="A27" s="41" t="s">
        <v>189</v>
      </c>
      <c r="B27" s="42" t="s">
        <v>61</v>
      </c>
      <c r="C27" s="43" t="s">
        <v>10</v>
      </c>
      <c r="D27" s="84">
        <v>13</v>
      </c>
      <c r="E27" s="44"/>
      <c r="F27" s="29"/>
      <c r="G27" s="29"/>
      <c r="H27" s="45"/>
      <c r="I27" s="45">
        <f t="shared" ref="I27" si="38">ROUND(H27*D27,2)</f>
        <v>0</v>
      </c>
      <c r="J27" s="45">
        <f t="shared" ref="J27" si="39">ROUND(I27*1.2,2)</f>
        <v>0</v>
      </c>
      <c r="K27" s="46">
        <f t="shared" si="24"/>
        <v>0</v>
      </c>
      <c r="L27" s="29">
        <f t="shared" si="25"/>
        <v>0</v>
      </c>
    </row>
    <row r="28" spans="1:13" s="54" customFormat="1" ht="18" customHeight="1" x14ac:dyDescent="0.25">
      <c r="A28" s="47">
        <f>A23+1</f>
        <v>5</v>
      </c>
      <c r="B28" s="56" t="s">
        <v>93</v>
      </c>
      <c r="C28" s="57"/>
      <c r="D28" s="59"/>
      <c r="E28" s="49"/>
      <c r="F28" s="50"/>
      <c r="G28" s="50"/>
      <c r="H28" s="51"/>
      <c r="I28" s="52"/>
      <c r="J28" s="52"/>
      <c r="K28" s="53"/>
      <c r="L28" s="50"/>
    </row>
    <row r="29" spans="1:13" ht="15.75" x14ac:dyDescent="0.25">
      <c r="A29" s="55" t="s">
        <v>37</v>
      </c>
      <c r="B29" s="10" t="s">
        <v>100</v>
      </c>
      <c r="C29" s="13" t="s">
        <v>101</v>
      </c>
      <c r="D29" s="60">
        <v>1</v>
      </c>
      <c r="E29" s="11"/>
      <c r="F29" s="12">
        <f t="shared" ref="F29" si="40">ROUND(E29*D29,2)</f>
        <v>0</v>
      </c>
      <c r="G29" s="12">
        <f t="shared" ref="G29" si="41">ROUND(F29*1.2,2)</f>
        <v>0</v>
      </c>
      <c r="H29" s="15"/>
      <c r="I29" s="16"/>
      <c r="J29" s="16"/>
      <c r="K29" s="19">
        <f t="shared" ref="K29:K30" si="42">F29+I29</f>
        <v>0</v>
      </c>
      <c r="L29" s="12">
        <f t="shared" ref="L29:L30" si="43">G29+J29</f>
        <v>0</v>
      </c>
    </row>
    <row r="30" spans="1:13" ht="18" customHeight="1" x14ac:dyDescent="0.25">
      <c r="A30" s="55" t="s">
        <v>95</v>
      </c>
      <c r="B30" s="10" t="s">
        <v>102</v>
      </c>
      <c r="C30" s="13" t="s">
        <v>10</v>
      </c>
      <c r="D30" s="60">
        <v>8</v>
      </c>
      <c r="E30" s="20"/>
      <c r="F30" s="12">
        <f>ROUND(E30*D30,2)</f>
        <v>0</v>
      </c>
      <c r="G30" s="12">
        <f>ROUND(F30*1.2,2)</f>
        <v>0</v>
      </c>
      <c r="H30" s="15"/>
      <c r="I30" s="16"/>
      <c r="J30" s="16"/>
      <c r="K30" s="19">
        <f t="shared" si="42"/>
        <v>0</v>
      </c>
      <c r="L30" s="12">
        <f t="shared" si="43"/>
        <v>0</v>
      </c>
    </row>
    <row r="31" spans="1:13" ht="15.75" x14ac:dyDescent="0.25">
      <c r="A31" s="55" t="s">
        <v>98</v>
      </c>
      <c r="B31" s="10" t="s">
        <v>94</v>
      </c>
      <c r="C31" s="13" t="s">
        <v>10</v>
      </c>
      <c r="D31" s="60">
        <v>2</v>
      </c>
      <c r="E31" s="11"/>
      <c r="F31" s="12">
        <f t="shared" ref="F31:F32" si="44">ROUND(E31*D31,2)</f>
        <v>0</v>
      </c>
      <c r="G31" s="12">
        <f t="shared" ref="G31:G32" si="45">ROUND(F31*1.2,2)</f>
        <v>0</v>
      </c>
      <c r="H31" s="15"/>
      <c r="I31" s="16"/>
      <c r="J31" s="16"/>
      <c r="K31" s="19">
        <f t="shared" si="24"/>
        <v>0</v>
      </c>
      <c r="L31" s="12">
        <f t="shared" si="25"/>
        <v>0</v>
      </c>
    </row>
    <row r="32" spans="1:13" ht="17.25" customHeight="1" x14ac:dyDescent="0.25">
      <c r="A32" s="55" t="s">
        <v>99</v>
      </c>
      <c r="B32" s="10" t="s">
        <v>142</v>
      </c>
      <c r="C32" s="13"/>
      <c r="D32" s="60"/>
      <c r="E32" s="11"/>
      <c r="F32" s="12">
        <f t="shared" si="44"/>
        <v>0</v>
      </c>
      <c r="G32" s="12">
        <f t="shared" si="45"/>
        <v>0</v>
      </c>
      <c r="H32" s="15"/>
      <c r="I32" s="16"/>
      <c r="J32" s="16"/>
      <c r="K32" s="19">
        <f t="shared" ref="K32" si="46">F32+I32</f>
        <v>0</v>
      </c>
      <c r="L32" s="12">
        <f t="shared" ref="L32" si="47">G32+J32</f>
        <v>0</v>
      </c>
    </row>
    <row r="33" spans="1:13" ht="18" customHeight="1" x14ac:dyDescent="0.25">
      <c r="A33" s="55" t="s">
        <v>190</v>
      </c>
      <c r="B33" s="10" t="s">
        <v>103</v>
      </c>
      <c r="C33" s="13" t="s">
        <v>10</v>
      </c>
      <c r="D33" s="60">
        <v>2</v>
      </c>
      <c r="E33" s="20"/>
      <c r="F33" s="12">
        <f>ROUND(E33*D33,2)</f>
        <v>0</v>
      </c>
      <c r="G33" s="12">
        <f>ROUND(F33*1.2,2)</f>
        <v>0</v>
      </c>
      <c r="H33" s="15"/>
      <c r="I33" s="16"/>
      <c r="J33" s="16"/>
      <c r="K33" s="19">
        <f t="shared" si="24"/>
        <v>0</v>
      </c>
      <c r="L33" s="12">
        <f t="shared" si="25"/>
        <v>0</v>
      </c>
    </row>
    <row r="34" spans="1:13" ht="18" customHeight="1" x14ac:dyDescent="0.25">
      <c r="A34" s="41" t="s">
        <v>191</v>
      </c>
      <c r="B34" s="42" t="s">
        <v>61</v>
      </c>
      <c r="C34" s="43" t="s">
        <v>10</v>
      </c>
      <c r="D34" s="84">
        <v>1</v>
      </c>
      <c r="E34" s="44"/>
      <c r="F34" s="29"/>
      <c r="G34" s="29"/>
      <c r="H34" s="45"/>
      <c r="I34" s="45">
        <f t="shared" ref="I34" si="48">ROUND(H34*D34,2)</f>
        <v>0</v>
      </c>
      <c r="J34" s="45">
        <f t="shared" ref="J34" si="49">ROUND(I34*1.2,2)</f>
        <v>0</v>
      </c>
      <c r="K34" s="46">
        <f t="shared" ref="K34" si="50">F34+I34</f>
        <v>0</v>
      </c>
      <c r="L34" s="29">
        <f t="shared" ref="L34" si="51">G34+J34</f>
        <v>0</v>
      </c>
    </row>
    <row r="35" spans="1:13" s="54" customFormat="1" ht="18" customHeight="1" x14ac:dyDescent="0.25">
      <c r="A35" s="47">
        <f>A28+1</f>
        <v>6</v>
      </c>
      <c r="B35" s="56" t="s">
        <v>64</v>
      </c>
      <c r="C35" s="57"/>
      <c r="D35" s="59"/>
      <c r="E35" s="49"/>
      <c r="F35" s="50"/>
      <c r="G35" s="50"/>
      <c r="H35" s="51"/>
      <c r="I35" s="52"/>
      <c r="J35" s="52"/>
      <c r="K35" s="53"/>
      <c r="L35" s="50"/>
    </row>
    <row r="36" spans="1:13" ht="18.75" customHeight="1" x14ac:dyDescent="0.25">
      <c r="A36" s="55" t="s">
        <v>28</v>
      </c>
      <c r="B36" s="10" t="s">
        <v>65</v>
      </c>
      <c r="C36" s="68" t="s">
        <v>9</v>
      </c>
      <c r="D36" s="67">
        <v>673</v>
      </c>
      <c r="E36" s="65">
        <v>1880.81</v>
      </c>
      <c r="F36" s="12">
        <f t="shared" ref="F36:F46" si="52">ROUND(E36*D36,2)</f>
        <v>1265785.1299999999</v>
      </c>
      <c r="G36" s="12">
        <f t="shared" ref="G36:G46" si="53">ROUND(F36*1.2,2)</f>
        <v>1518942.16</v>
      </c>
      <c r="H36" s="15"/>
      <c r="I36" s="16"/>
      <c r="J36" s="16"/>
      <c r="K36" s="19">
        <f t="shared" ref="K36:K46" si="54">F36+I36</f>
        <v>1265785.1299999999</v>
      </c>
      <c r="L36" s="12">
        <f t="shared" ref="L36:L46" si="55">G36+J36</f>
        <v>1518942.16</v>
      </c>
      <c r="M36" t="s">
        <v>137</v>
      </c>
    </row>
    <row r="37" spans="1:13" ht="18.75" customHeight="1" x14ac:dyDescent="0.25">
      <c r="A37" s="55" t="s">
        <v>62</v>
      </c>
      <c r="B37" s="10" t="s">
        <v>143</v>
      </c>
      <c r="C37" s="68" t="s">
        <v>149</v>
      </c>
      <c r="D37" s="67">
        <v>3</v>
      </c>
      <c r="E37" s="65"/>
      <c r="F37" s="12">
        <f t="shared" si="52"/>
        <v>0</v>
      </c>
      <c r="G37" s="12">
        <f t="shared" si="53"/>
        <v>0</v>
      </c>
      <c r="H37" s="15"/>
      <c r="I37" s="16"/>
      <c r="J37" s="16"/>
      <c r="K37" s="19">
        <f t="shared" si="54"/>
        <v>0</v>
      </c>
      <c r="L37" s="12">
        <f t="shared" si="55"/>
        <v>0</v>
      </c>
    </row>
    <row r="38" spans="1:13" ht="18.75" customHeight="1" x14ac:dyDescent="0.25">
      <c r="A38" s="55" t="s">
        <v>73</v>
      </c>
      <c r="B38" s="10" t="s">
        <v>144</v>
      </c>
      <c r="C38" s="13" t="s">
        <v>149</v>
      </c>
      <c r="D38" s="60">
        <v>3</v>
      </c>
      <c r="E38" s="20">
        <v>200100</v>
      </c>
      <c r="F38" s="12">
        <f t="shared" si="52"/>
        <v>600300</v>
      </c>
      <c r="G38" s="12">
        <f t="shared" si="53"/>
        <v>720360</v>
      </c>
      <c r="H38" s="15"/>
      <c r="I38" s="16"/>
      <c r="J38" s="16"/>
      <c r="K38" s="19">
        <f t="shared" si="54"/>
        <v>600300</v>
      </c>
      <c r="L38" s="12">
        <f t="shared" si="55"/>
        <v>720360</v>
      </c>
      <c r="M38" t="s">
        <v>135</v>
      </c>
    </row>
    <row r="39" spans="1:13" ht="18.75" customHeight="1" x14ac:dyDescent="0.25">
      <c r="A39" s="55" t="s">
        <v>74</v>
      </c>
      <c r="B39" s="10" t="s">
        <v>142</v>
      </c>
      <c r="C39" s="13"/>
      <c r="D39" s="60"/>
      <c r="E39" s="20"/>
      <c r="F39" s="12">
        <f t="shared" ref="F39" si="56">ROUND(E39*D39,2)</f>
        <v>0</v>
      </c>
      <c r="G39" s="12">
        <f t="shared" ref="G39" si="57">ROUND(F39*1.2,2)</f>
        <v>0</v>
      </c>
      <c r="H39" s="15"/>
      <c r="I39" s="16"/>
      <c r="J39" s="16"/>
      <c r="K39" s="19">
        <f t="shared" ref="K39" si="58">F39+I39</f>
        <v>0</v>
      </c>
      <c r="L39" s="12">
        <f t="shared" ref="L39" si="59">G39+J39</f>
        <v>0</v>
      </c>
    </row>
    <row r="40" spans="1:13" ht="18.75" customHeight="1" x14ac:dyDescent="0.25">
      <c r="A40" s="55" t="s">
        <v>75</v>
      </c>
      <c r="B40" s="10" t="s">
        <v>66</v>
      </c>
      <c r="C40" s="13" t="s">
        <v>7</v>
      </c>
      <c r="D40" s="60"/>
      <c r="E40" s="20">
        <v>756</v>
      </c>
      <c r="F40" s="12">
        <f t="shared" si="52"/>
        <v>0</v>
      </c>
      <c r="G40" s="12">
        <f t="shared" si="53"/>
        <v>0</v>
      </c>
      <c r="H40" s="15"/>
      <c r="I40" s="16"/>
      <c r="J40" s="16"/>
      <c r="K40" s="19">
        <f t="shared" si="54"/>
        <v>0</v>
      </c>
      <c r="L40" s="12">
        <f t="shared" si="55"/>
        <v>0</v>
      </c>
      <c r="M40" t="s">
        <v>133</v>
      </c>
    </row>
    <row r="41" spans="1:13" ht="18.75" customHeight="1" x14ac:dyDescent="0.25">
      <c r="A41" s="55" t="s">
        <v>76</v>
      </c>
      <c r="B41" s="10" t="s">
        <v>141</v>
      </c>
      <c r="C41" s="13" t="s">
        <v>15</v>
      </c>
      <c r="D41" s="60"/>
      <c r="E41" s="20">
        <v>325</v>
      </c>
      <c r="F41" s="12">
        <f t="shared" si="52"/>
        <v>0</v>
      </c>
      <c r="G41" s="12">
        <f t="shared" si="53"/>
        <v>0</v>
      </c>
      <c r="H41" s="15"/>
      <c r="I41" s="16"/>
      <c r="J41" s="16"/>
      <c r="K41" s="19">
        <f t="shared" si="54"/>
        <v>0</v>
      </c>
      <c r="L41" s="12">
        <f t="shared" si="55"/>
        <v>0</v>
      </c>
      <c r="M41" t="s">
        <v>133</v>
      </c>
    </row>
    <row r="42" spans="1:13" ht="18.75" customHeight="1" x14ac:dyDescent="0.25">
      <c r="A42" s="55" t="s">
        <v>77</v>
      </c>
      <c r="B42" s="10" t="s">
        <v>140</v>
      </c>
      <c r="C42" s="13" t="s">
        <v>15</v>
      </c>
      <c r="D42" s="60"/>
      <c r="E42" s="20"/>
      <c r="F42" s="12"/>
      <c r="G42" s="12"/>
      <c r="H42" s="15"/>
      <c r="I42" s="16"/>
      <c r="J42" s="16"/>
      <c r="K42" s="19"/>
      <c r="L42" s="12"/>
    </row>
    <row r="43" spans="1:13" ht="18.75" customHeight="1" x14ac:dyDescent="0.25">
      <c r="A43" s="55" t="s">
        <v>78</v>
      </c>
      <c r="B43" s="10" t="s">
        <v>67</v>
      </c>
      <c r="C43" s="13" t="s">
        <v>7</v>
      </c>
      <c r="D43" s="60"/>
      <c r="E43" s="20">
        <v>203</v>
      </c>
      <c r="F43" s="12">
        <f t="shared" si="52"/>
        <v>0</v>
      </c>
      <c r="G43" s="12">
        <f t="shared" si="53"/>
        <v>0</v>
      </c>
      <c r="H43" s="15"/>
      <c r="I43" s="16"/>
      <c r="J43" s="16"/>
      <c r="K43" s="19">
        <f t="shared" si="54"/>
        <v>0</v>
      </c>
      <c r="L43" s="12">
        <f t="shared" si="55"/>
        <v>0</v>
      </c>
      <c r="M43" t="s">
        <v>139</v>
      </c>
    </row>
    <row r="44" spans="1:13" ht="18.75" customHeight="1" x14ac:dyDescent="0.25">
      <c r="A44" s="55" t="s">
        <v>79</v>
      </c>
      <c r="B44" s="10" t="s">
        <v>145</v>
      </c>
      <c r="C44" s="13" t="s">
        <v>7</v>
      </c>
      <c r="D44" s="60"/>
      <c r="E44" s="20"/>
      <c r="F44" s="12">
        <f t="shared" ref="F44" si="60">ROUND(E44*D44,2)</f>
        <v>0</v>
      </c>
      <c r="G44" s="12">
        <f t="shared" ref="G44" si="61">ROUND(F44*1.2,2)</f>
        <v>0</v>
      </c>
      <c r="H44" s="15"/>
      <c r="I44" s="16"/>
      <c r="J44" s="16"/>
      <c r="K44" s="19">
        <f t="shared" ref="K44" si="62">F44+I44</f>
        <v>0</v>
      </c>
      <c r="L44" s="12">
        <f t="shared" ref="L44" si="63">G44+J44</f>
        <v>0</v>
      </c>
    </row>
    <row r="45" spans="1:13" s="75" customFormat="1" ht="18.75" customHeight="1" x14ac:dyDescent="0.25">
      <c r="A45" s="41" t="s">
        <v>81</v>
      </c>
      <c r="B45" s="69" t="s">
        <v>146</v>
      </c>
      <c r="C45" s="70" t="s">
        <v>7</v>
      </c>
      <c r="D45" s="71"/>
      <c r="E45" s="72"/>
      <c r="F45" s="45"/>
      <c r="G45" s="45"/>
      <c r="H45" s="73"/>
      <c r="I45" s="45"/>
      <c r="J45" s="45"/>
      <c r="K45" s="74"/>
      <c r="L45" s="45"/>
    </row>
    <row r="46" spans="1:13" ht="18.75" customHeight="1" x14ac:dyDescent="0.25">
      <c r="A46" s="55" t="s">
        <v>80</v>
      </c>
      <c r="B46" s="10" t="s">
        <v>68</v>
      </c>
      <c r="C46" s="13" t="s">
        <v>8</v>
      </c>
      <c r="D46" s="60"/>
      <c r="E46" s="20">
        <v>183.58</v>
      </c>
      <c r="F46" s="12">
        <f t="shared" si="52"/>
        <v>0</v>
      </c>
      <c r="G46" s="12">
        <f t="shared" si="53"/>
        <v>0</v>
      </c>
      <c r="H46" s="15"/>
      <c r="I46" s="16"/>
      <c r="J46" s="16"/>
      <c r="K46" s="19">
        <f t="shared" si="54"/>
        <v>0</v>
      </c>
      <c r="L46" s="12">
        <f t="shared" si="55"/>
        <v>0</v>
      </c>
      <c r="M46" t="s">
        <v>133</v>
      </c>
    </row>
    <row r="47" spans="1:13" ht="18" customHeight="1" x14ac:dyDescent="0.25">
      <c r="A47" s="41" t="s">
        <v>192</v>
      </c>
      <c r="B47" s="42" t="s">
        <v>63</v>
      </c>
      <c r="C47" s="43" t="s">
        <v>8</v>
      </c>
      <c r="D47" s="61"/>
      <c r="E47" s="44"/>
      <c r="F47" s="29"/>
      <c r="G47" s="29"/>
      <c r="H47" s="45">
        <v>153.33000000000001</v>
      </c>
      <c r="I47" s="45">
        <f t="shared" ref="I47" si="64">ROUND(H47*D47,2)</f>
        <v>0</v>
      </c>
      <c r="J47" s="45">
        <f t="shared" ref="J47" si="65">ROUND(I47*1.2,2)</f>
        <v>0</v>
      </c>
      <c r="K47" s="46">
        <f t="shared" ref="K47:K48" si="66">F47+I47</f>
        <v>0</v>
      </c>
      <c r="L47" s="29">
        <f t="shared" ref="L47:L48" si="67">G47+J47</f>
        <v>0</v>
      </c>
      <c r="M47" t="s">
        <v>133</v>
      </c>
    </row>
    <row r="48" spans="1:13" ht="18.75" customHeight="1" x14ac:dyDescent="0.25">
      <c r="A48" s="55" t="s">
        <v>193</v>
      </c>
      <c r="B48" s="10" t="s">
        <v>69</v>
      </c>
      <c r="C48" s="13" t="s">
        <v>7</v>
      </c>
      <c r="D48" s="60"/>
      <c r="E48" s="15">
        <v>2057.89</v>
      </c>
      <c r="F48" s="12">
        <f t="shared" ref="F48" si="68">ROUND(E48*D48,2)</f>
        <v>0</v>
      </c>
      <c r="G48" s="12">
        <f t="shared" ref="G48" si="69">ROUND(F48*1.2,2)</f>
        <v>0</v>
      </c>
      <c r="H48" s="15"/>
      <c r="I48" s="16"/>
      <c r="J48" s="16"/>
      <c r="K48" s="19">
        <f t="shared" si="66"/>
        <v>0</v>
      </c>
      <c r="L48" s="12">
        <f t="shared" si="67"/>
        <v>0</v>
      </c>
      <c r="M48" t="s">
        <v>133</v>
      </c>
    </row>
    <row r="49" spans="1:13" ht="18" customHeight="1" x14ac:dyDescent="0.25">
      <c r="A49" s="41" t="s">
        <v>194</v>
      </c>
      <c r="B49" s="42" t="s">
        <v>12</v>
      </c>
      <c r="C49" s="43" t="s">
        <v>7</v>
      </c>
      <c r="D49" s="61"/>
      <c r="E49" s="44"/>
      <c r="F49" s="29"/>
      <c r="G49" s="29"/>
      <c r="H49" s="45">
        <v>4416.67</v>
      </c>
      <c r="I49" s="45">
        <f>ROUND(H49*D49,2)</f>
        <v>0</v>
      </c>
      <c r="J49" s="45">
        <f>ROUND(I49*1.2,2)</f>
        <v>0</v>
      </c>
      <c r="K49" s="46">
        <f>F49+I49</f>
        <v>0</v>
      </c>
      <c r="L49" s="29">
        <f>G49+J49</f>
        <v>0</v>
      </c>
      <c r="M49" t="s">
        <v>133</v>
      </c>
    </row>
    <row r="50" spans="1:13" ht="18.75" customHeight="1" x14ac:dyDescent="0.25">
      <c r="A50" s="55" t="s">
        <v>195</v>
      </c>
      <c r="B50" s="10" t="s">
        <v>70</v>
      </c>
      <c r="C50" s="13" t="s">
        <v>9</v>
      </c>
      <c r="D50" s="60"/>
      <c r="E50" s="65">
        <v>2817.6</v>
      </c>
      <c r="F50" s="12">
        <f t="shared" ref="F50:F51" si="70">ROUND(E50*D50,2)</f>
        <v>0</v>
      </c>
      <c r="G50" s="12">
        <f t="shared" ref="G50:G51" si="71">ROUND(F50*1.2,2)</f>
        <v>0</v>
      </c>
      <c r="H50" s="15"/>
      <c r="I50" s="16"/>
      <c r="J50" s="16"/>
      <c r="K50" s="19">
        <f t="shared" ref="K50:K51" si="72">F50+I50</f>
        <v>0</v>
      </c>
      <c r="L50" s="12">
        <f t="shared" ref="L50:L51" si="73">G50+J50</f>
        <v>0</v>
      </c>
      <c r="M50" s="66" t="s">
        <v>138</v>
      </c>
    </row>
    <row r="51" spans="1:13" ht="18.75" customHeight="1" x14ac:dyDescent="0.25">
      <c r="A51" s="55" t="s">
        <v>196</v>
      </c>
      <c r="B51" s="10" t="s">
        <v>71</v>
      </c>
      <c r="C51" s="13" t="s">
        <v>7</v>
      </c>
      <c r="D51" s="60"/>
      <c r="E51" s="65">
        <v>1933.2</v>
      </c>
      <c r="F51" s="12">
        <f t="shared" si="70"/>
        <v>0</v>
      </c>
      <c r="G51" s="12">
        <f t="shared" si="71"/>
        <v>0</v>
      </c>
      <c r="H51" s="15"/>
      <c r="I51" s="16"/>
      <c r="J51" s="16"/>
      <c r="K51" s="19">
        <f t="shared" si="72"/>
        <v>0</v>
      </c>
      <c r="L51" s="12">
        <f t="shared" si="73"/>
        <v>0</v>
      </c>
      <c r="M51" s="66" t="s">
        <v>136</v>
      </c>
    </row>
    <row r="52" spans="1:13" ht="18" customHeight="1" x14ac:dyDescent="0.25">
      <c r="A52" s="41" t="s">
        <v>197</v>
      </c>
      <c r="B52" s="42" t="s">
        <v>12</v>
      </c>
      <c r="C52" s="43" t="s">
        <v>7</v>
      </c>
      <c r="D52" s="61"/>
      <c r="E52" s="44"/>
      <c r="F52" s="29"/>
      <c r="G52" s="29"/>
      <c r="H52" s="45">
        <v>4416.67</v>
      </c>
      <c r="I52" s="45">
        <f>ROUND(H52*D52,2)</f>
        <v>0</v>
      </c>
      <c r="J52" s="45">
        <f>ROUND(I52*1.2,2)</f>
        <v>0</v>
      </c>
      <c r="K52" s="46">
        <f>F52+I52</f>
        <v>0</v>
      </c>
      <c r="L52" s="29">
        <f>G52+J52</f>
        <v>0</v>
      </c>
      <c r="M52" t="s">
        <v>133</v>
      </c>
    </row>
    <row r="53" spans="1:13" ht="18.75" customHeight="1" x14ac:dyDescent="0.25">
      <c r="A53" s="55" t="s">
        <v>198</v>
      </c>
      <c r="B53" s="10" t="s">
        <v>72</v>
      </c>
      <c r="C53" s="13" t="s">
        <v>9</v>
      </c>
      <c r="D53" s="60"/>
      <c r="E53" s="20">
        <v>4200</v>
      </c>
      <c r="F53" s="12">
        <f t="shared" ref="F53" si="74">ROUND(E53*D53,2)</f>
        <v>0</v>
      </c>
      <c r="G53" s="12">
        <f t="shared" ref="G53" si="75">ROUND(F53*1.2,2)</f>
        <v>0</v>
      </c>
      <c r="H53" s="15"/>
      <c r="I53" s="16"/>
      <c r="J53" s="16"/>
      <c r="K53" s="19">
        <f t="shared" ref="K53" si="76">F53+I53</f>
        <v>0</v>
      </c>
      <c r="L53" s="12">
        <f t="shared" ref="L53" si="77">G53+J53</f>
        <v>0</v>
      </c>
      <c r="M53" t="s">
        <v>133</v>
      </c>
    </row>
    <row r="54" spans="1:13" ht="18.75" customHeight="1" x14ac:dyDescent="0.25">
      <c r="A54" s="41" t="s">
        <v>199</v>
      </c>
      <c r="B54" s="42" t="s">
        <v>12</v>
      </c>
      <c r="C54" s="43" t="s">
        <v>7</v>
      </c>
      <c r="D54" s="61"/>
      <c r="E54" s="44"/>
      <c r="F54" s="29"/>
      <c r="G54" s="29"/>
      <c r="H54" s="45">
        <v>4416.67</v>
      </c>
      <c r="I54" s="45">
        <f>ROUND(H54*D54,2)</f>
        <v>0</v>
      </c>
      <c r="J54" s="45">
        <f>ROUND(I54*1.2,2)</f>
        <v>0</v>
      </c>
      <c r="K54" s="46">
        <f>F54+I54</f>
        <v>0</v>
      </c>
      <c r="L54" s="29">
        <f>G54+J54</f>
        <v>0</v>
      </c>
    </row>
    <row r="55" spans="1:13" s="54" customFormat="1" ht="18" customHeight="1" x14ac:dyDescent="0.25">
      <c r="A55" s="47">
        <f>A35+1</f>
        <v>7</v>
      </c>
      <c r="B55" s="56" t="s">
        <v>53</v>
      </c>
      <c r="C55" s="57"/>
      <c r="D55" s="59"/>
      <c r="E55" s="49"/>
      <c r="F55" s="50"/>
      <c r="G55" s="50"/>
      <c r="H55" s="51"/>
      <c r="I55" s="52"/>
      <c r="J55" s="52"/>
      <c r="K55" s="53"/>
      <c r="L55" s="50"/>
    </row>
    <row r="56" spans="1:13" ht="18" customHeight="1" x14ac:dyDescent="0.25">
      <c r="A56" s="55" t="s">
        <v>29</v>
      </c>
      <c r="B56" s="10" t="s">
        <v>104</v>
      </c>
      <c r="C56" s="13" t="s">
        <v>10</v>
      </c>
      <c r="D56" s="60"/>
      <c r="E56" s="11"/>
      <c r="F56" s="12">
        <f t="shared" ref="F56" si="78">ROUND(E56*D56,2)</f>
        <v>0</v>
      </c>
      <c r="G56" s="12">
        <f t="shared" ref="G56" si="79">ROUND(F56*1.2,2)</f>
        <v>0</v>
      </c>
      <c r="H56" s="15"/>
      <c r="I56" s="16"/>
      <c r="J56" s="16"/>
      <c r="K56" s="19">
        <f t="shared" ref="K56" si="80">F56+I56</f>
        <v>0</v>
      </c>
      <c r="L56" s="12">
        <f t="shared" ref="L56" si="81">G56+J56</f>
        <v>0</v>
      </c>
    </row>
    <row r="57" spans="1:13" ht="18" customHeight="1" x14ac:dyDescent="0.25">
      <c r="A57" s="55" t="s">
        <v>30</v>
      </c>
      <c r="B57" s="10" t="s">
        <v>169</v>
      </c>
      <c r="C57" s="13" t="s">
        <v>10</v>
      </c>
      <c r="D57" s="60"/>
      <c r="E57" s="11"/>
      <c r="F57" s="12">
        <f t="shared" si="22"/>
        <v>0</v>
      </c>
      <c r="G57" s="12">
        <f t="shared" si="23"/>
        <v>0</v>
      </c>
      <c r="H57" s="15"/>
      <c r="I57" s="16"/>
      <c r="J57" s="16"/>
      <c r="K57" s="19">
        <f t="shared" si="24"/>
        <v>0</v>
      </c>
      <c r="L57" s="12">
        <f t="shared" si="25"/>
        <v>0</v>
      </c>
    </row>
    <row r="58" spans="1:13" ht="18" customHeight="1" x14ac:dyDescent="0.25">
      <c r="A58" s="41" t="s">
        <v>105</v>
      </c>
      <c r="B58" s="42" t="s">
        <v>58</v>
      </c>
      <c r="C58" s="43" t="s">
        <v>10</v>
      </c>
      <c r="D58" s="61"/>
      <c r="E58" s="44"/>
      <c r="F58" s="29"/>
      <c r="G58" s="29"/>
      <c r="H58" s="45"/>
      <c r="I58" s="45">
        <f>ROUND(H58*D58,2)</f>
        <v>0</v>
      </c>
      <c r="J58" s="45">
        <f>ROUND(I58*1.2,2)</f>
        <v>0</v>
      </c>
      <c r="K58" s="46">
        <f>F58+I58</f>
        <v>0</v>
      </c>
      <c r="L58" s="29">
        <f>G58+J58</f>
        <v>0</v>
      </c>
      <c r="M58" s="39"/>
    </row>
    <row r="59" spans="1:13" ht="18" customHeight="1" x14ac:dyDescent="0.25">
      <c r="A59" s="41" t="s">
        <v>106</v>
      </c>
      <c r="B59" s="42" t="s">
        <v>174</v>
      </c>
      <c r="C59" s="43" t="s">
        <v>10</v>
      </c>
      <c r="D59" s="61"/>
      <c r="E59" s="44"/>
      <c r="F59" s="29"/>
      <c r="G59" s="29"/>
      <c r="H59" s="45"/>
      <c r="I59" s="45">
        <f>ROUND(H59*D59,2)</f>
        <v>0</v>
      </c>
      <c r="J59" s="45">
        <f>ROUND(I59*1.2,2)</f>
        <v>0</v>
      </c>
      <c r="K59" s="46">
        <f>F59+I59</f>
        <v>0</v>
      </c>
      <c r="L59" s="29">
        <f>G59+J59</f>
        <v>0</v>
      </c>
      <c r="M59" s="39"/>
    </row>
    <row r="60" spans="1:13" s="54" customFormat="1" ht="18" customHeight="1" x14ac:dyDescent="0.25">
      <c r="A60" s="47">
        <f>A55+1</f>
        <v>8</v>
      </c>
      <c r="B60" s="56" t="s">
        <v>54</v>
      </c>
      <c r="C60" s="57" t="s">
        <v>10</v>
      </c>
      <c r="D60" s="59">
        <v>67</v>
      </c>
      <c r="E60" s="49"/>
      <c r="F60" s="50"/>
      <c r="G60" s="50"/>
      <c r="H60" s="51"/>
      <c r="I60" s="52"/>
      <c r="J60" s="52"/>
      <c r="K60" s="53"/>
      <c r="L60" s="50"/>
    </row>
    <row r="61" spans="1:13" ht="18" customHeight="1" x14ac:dyDescent="0.25">
      <c r="A61" s="55" t="s">
        <v>31</v>
      </c>
      <c r="B61" s="10" t="s">
        <v>107</v>
      </c>
      <c r="C61" s="13" t="s">
        <v>10</v>
      </c>
      <c r="D61" s="60">
        <v>67</v>
      </c>
      <c r="E61" s="11"/>
      <c r="F61" s="12">
        <f t="shared" ref="F61:F64" si="82">ROUND(E61*D61,2)</f>
        <v>0</v>
      </c>
      <c r="G61" s="12">
        <f t="shared" ref="G61:G64" si="83">ROUND(F61*1.2,2)</f>
        <v>0</v>
      </c>
      <c r="H61" s="15"/>
      <c r="I61" s="16"/>
      <c r="J61" s="16"/>
      <c r="K61" s="19">
        <f t="shared" ref="K61:K64" si="84">F61+I61</f>
        <v>0</v>
      </c>
      <c r="L61" s="12">
        <f t="shared" ref="L61:L64" si="85">G61+J61</f>
        <v>0</v>
      </c>
    </row>
    <row r="62" spans="1:13" ht="18" customHeight="1" x14ac:dyDescent="0.25">
      <c r="A62" s="55" t="s">
        <v>38</v>
      </c>
      <c r="B62" s="10" t="s">
        <v>147</v>
      </c>
      <c r="C62" s="13" t="s">
        <v>7</v>
      </c>
      <c r="D62" s="60"/>
      <c r="E62" s="11">
        <v>544.86</v>
      </c>
      <c r="F62" s="12">
        <f t="shared" si="82"/>
        <v>0</v>
      </c>
      <c r="G62" s="12">
        <f t="shared" si="83"/>
        <v>0</v>
      </c>
      <c r="H62" s="15"/>
      <c r="I62" s="16"/>
      <c r="J62" s="16"/>
      <c r="K62" s="19">
        <f t="shared" si="84"/>
        <v>0</v>
      </c>
      <c r="L62" s="12">
        <f t="shared" si="85"/>
        <v>0</v>
      </c>
      <c r="M62" t="s">
        <v>133</v>
      </c>
    </row>
    <row r="63" spans="1:13" ht="18" customHeight="1" x14ac:dyDescent="0.25">
      <c r="A63" s="55" t="s">
        <v>200</v>
      </c>
      <c r="B63" s="10" t="s">
        <v>140</v>
      </c>
      <c r="C63" s="13"/>
      <c r="D63" s="60"/>
      <c r="E63" s="11"/>
      <c r="F63" s="12">
        <f t="shared" si="82"/>
        <v>0</v>
      </c>
      <c r="G63" s="12">
        <f t="shared" si="83"/>
        <v>0</v>
      </c>
      <c r="H63" s="15"/>
      <c r="I63" s="16"/>
      <c r="J63" s="16"/>
      <c r="K63" s="19">
        <f t="shared" si="84"/>
        <v>0</v>
      </c>
      <c r="L63" s="12">
        <f t="shared" si="85"/>
        <v>0</v>
      </c>
    </row>
    <row r="64" spans="1:13" ht="18" customHeight="1" x14ac:dyDescent="0.25">
      <c r="A64" s="55" t="s">
        <v>201</v>
      </c>
      <c r="B64" s="10" t="s">
        <v>108</v>
      </c>
      <c r="C64" s="13" t="s">
        <v>10</v>
      </c>
      <c r="D64" s="60">
        <v>67</v>
      </c>
      <c r="E64" s="11"/>
      <c r="F64" s="12">
        <f t="shared" si="82"/>
        <v>0</v>
      </c>
      <c r="G64" s="12">
        <f t="shared" si="83"/>
        <v>0</v>
      </c>
      <c r="H64" s="15"/>
      <c r="I64" s="16"/>
      <c r="J64" s="16"/>
      <c r="K64" s="19">
        <f t="shared" si="84"/>
        <v>0</v>
      </c>
      <c r="L64" s="12">
        <f t="shared" si="85"/>
        <v>0</v>
      </c>
    </row>
    <row r="65" spans="1:13" ht="18" customHeight="1" x14ac:dyDescent="0.25">
      <c r="A65" s="41" t="s">
        <v>202</v>
      </c>
      <c r="B65" s="42" t="s">
        <v>82</v>
      </c>
      <c r="C65" s="43" t="s">
        <v>10</v>
      </c>
      <c r="D65" s="84">
        <v>1</v>
      </c>
      <c r="E65" s="44"/>
      <c r="F65" s="29"/>
      <c r="G65" s="29"/>
      <c r="H65" s="45">
        <f>ROUND(305000/1.2*1.15,2)</f>
        <v>292291.67</v>
      </c>
      <c r="I65" s="45">
        <f>ROUND(H65*D65,2)</f>
        <v>292291.67</v>
      </c>
      <c r="J65" s="45">
        <f>ROUND(I65*1.2,2)</f>
        <v>350750</v>
      </c>
      <c r="K65" s="46">
        <f>F65+I65</f>
        <v>292291.67</v>
      </c>
      <c r="L65" s="29">
        <f>G65+J65</f>
        <v>350750</v>
      </c>
      <c r="M65" t="s">
        <v>180</v>
      </c>
    </row>
    <row r="66" spans="1:13" ht="18" customHeight="1" x14ac:dyDescent="0.25">
      <c r="A66" s="41" t="s">
        <v>203</v>
      </c>
      <c r="B66" s="42" t="s">
        <v>148</v>
      </c>
      <c r="C66" s="43" t="s">
        <v>10</v>
      </c>
      <c r="D66" s="84">
        <v>950</v>
      </c>
      <c r="E66" s="44"/>
      <c r="F66" s="29"/>
      <c r="G66" s="29"/>
      <c r="H66" s="45">
        <f>ROUND(85/1.2*1.15,2)</f>
        <v>81.459999999999994</v>
      </c>
      <c r="I66" s="45">
        <f>ROUND(H66*D66,2)</f>
        <v>77387</v>
      </c>
      <c r="J66" s="45">
        <f>ROUND(I66*1.2,2)</f>
        <v>92864.4</v>
      </c>
      <c r="K66" s="46">
        <f>F66+I66</f>
        <v>77387</v>
      </c>
      <c r="L66" s="29">
        <f>G66+J66</f>
        <v>92864.4</v>
      </c>
      <c r="M66" s="39"/>
    </row>
    <row r="67" spans="1:13" ht="18" customHeight="1" x14ac:dyDescent="0.25">
      <c r="A67" s="41" t="s">
        <v>204</v>
      </c>
      <c r="B67" s="42" t="s">
        <v>152</v>
      </c>
      <c r="C67" s="43" t="s">
        <v>149</v>
      </c>
      <c r="D67" s="84">
        <v>61</v>
      </c>
      <c r="E67" s="44"/>
      <c r="F67" s="29"/>
      <c r="G67" s="29"/>
      <c r="H67" s="45">
        <f>ROUND(2300/1.2*1.15,2)</f>
        <v>2204.17</v>
      </c>
      <c r="I67" s="45">
        <f t="shared" ref="I67:I69" si="86">ROUND(H67*D67,2)</f>
        <v>134454.37</v>
      </c>
      <c r="J67" s="45">
        <f t="shared" ref="J67:J69" si="87">ROUND(I67*1.2,2)</f>
        <v>161345.24</v>
      </c>
      <c r="K67" s="46">
        <f t="shared" ref="K67:K69" si="88">F67+I67</f>
        <v>134454.37</v>
      </c>
      <c r="L67" s="29">
        <f t="shared" ref="L67:L69" si="89">G67+J67</f>
        <v>161345.24</v>
      </c>
      <c r="M67" s="76"/>
    </row>
    <row r="68" spans="1:13" ht="18" customHeight="1" x14ac:dyDescent="0.25">
      <c r="A68" s="41" t="s">
        <v>205</v>
      </c>
      <c r="B68" s="42" t="s">
        <v>150</v>
      </c>
      <c r="C68" s="43" t="s">
        <v>149</v>
      </c>
      <c r="D68" s="84">
        <v>61</v>
      </c>
      <c r="E68" s="44"/>
      <c r="F68" s="29"/>
      <c r="G68" s="29"/>
      <c r="H68" s="45">
        <f>ROUND(60/1.2*1.15,2)</f>
        <v>57.5</v>
      </c>
      <c r="I68" s="45">
        <f t="shared" si="86"/>
        <v>3507.5</v>
      </c>
      <c r="J68" s="45">
        <f t="shared" si="87"/>
        <v>4209</v>
      </c>
      <c r="K68" s="46">
        <f t="shared" si="88"/>
        <v>3507.5</v>
      </c>
      <c r="L68" s="29">
        <f t="shared" si="89"/>
        <v>4209</v>
      </c>
      <c r="M68" s="76"/>
    </row>
    <row r="69" spans="1:13" ht="18" customHeight="1" x14ac:dyDescent="0.25">
      <c r="A69" s="41" t="s">
        <v>206</v>
      </c>
      <c r="B69" s="42" t="s">
        <v>151</v>
      </c>
      <c r="C69" s="43" t="s">
        <v>149</v>
      </c>
      <c r="D69" s="84">
        <v>61</v>
      </c>
      <c r="E69" s="44"/>
      <c r="F69" s="29"/>
      <c r="G69" s="29"/>
      <c r="H69" s="45">
        <f>ROUND(95/1.2*1.15,2)</f>
        <v>91.04</v>
      </c>
      <c r="I69" s="45">
        <f t="shared" si="86"/>
        <v>5553.44</v>
      </c>
      <c r="J69" s="45">
        <f t="shared" si="87"/>
        <v>6664.13</v>
      </c>
      <c r="K69" s="46">
        <f t="shared" si="88"/>
        <v>5553.44</v>
      </c>
      <c r="L69" s="29">
        <f t="shared" si="89"/>
        <v>6664.13</v>
      </c>
      <c r="M69" s="76"/>
    </row>
    <row r="70" spans="1:13" s="54" customFormat="1" ht="18" customHeight="1" x14ac:dyDescent="0.25">
      <c r="A70" s="47">
        <f>A60+1</f>
        <v>9</v>
      </c>
      <c r="B70" s="56" t="s">
        <v>55</v>
      </c>
      <c r="C70" s="57" t="s">
        <v>10</v>
      </c>
      <c r="D70" s="59">
        <v>307</v>
      </c>
      <c r="E70" s="49"/>
      <c r="F70" s="50"/>
      <c r="G70" s="50"/>
      <c r="H70" s="51"/>
      <c r="I70" s="52"/>
      <c r="J70" s="52"/>
      <c r="K70" s="53"/>
      <c r="L70" s="50"/>
    </row>
    <row r="71" spans="1:13" ht="15.75" x14ac:dyDescent="0.25">
      <c r="A71" s="55" t="s">
        <v>32</v>
      </c>
      <c r="B71" s="10" t="s">
        <v>153</v>
      </c>
      <c r="C71" s="13" t="s">
        <v>10</v>
      </c>
      <c r="D71" s="60">
        <v>307</v>
      </c>
      <c r="E71" s="11"/>
      <c r="F71" s="12">
        <f t="shared" ref="F71:F72" si="90">ROUND(E71*D71,2)</f>
        <v>0</v>
      </c>
      <c r="G71" s="12">
        <f t="shared" ref="G71:G72" si="91">ROUND(F71*1.2,2)</f>
        <v>0</v>
      </c>
      <c r="H71" s="15"/>
      <c r="I71" s="16"/>
      <c r="J71" s="16"/>
      <c r="K71" s="19">
        <f t="shared" si="24"/>
        <v>0</v>
      </c>
      <c r="L71" s="12">
        <f t="shared" si="25"/>
        <v>0</v>
      </c>
    </row>
    <row r="72" spans="1:13" ht="18" customHeight="1" x14ac:dyDescent="0.25">
      <c r="A72" s="55" t="s">
        <v>109</v>
      </c>
      <c r="B72" s="10" t="s">
        <v>142</v>
      </c>
      <c r="C72" s="13"/>
      <c r="D72" s="60"/>
      <c r="E72" s="11"/>
      <c r="F72" s="12">
        <f t="shared" si="90"/>
        <v>0</v>
      </c>
      <c r="G72" s="12">
        <f t="shared" si="91"/>
        <v>0</v>
      </c>
      <c r="H72" s="15"/>
      <c r="I72" s="16"/>
      <c r="J72" s="16"/>
      <c r="K72" s="19">
        <f t="shared" ref="K72" si="92">F72+I72</f>
        <v>0</v>
      </c>
      <c r="L72" s="12">
        <f t="shared" ref="L72" si="93">G72+J72</f>
        <v>0</v>
      </c>
    </row>
    <row r="73" spans="1:13" ht="15.75" x14ac:dyDescent="0.25">
      <c r="A73" s="55" t="s">
        <v>207</v>
      </c>
      <c r="B73" s="10" t="s">
        <v>154</v>
      </c>
      <c r="C73" s="13" t="s">
        <v>10</v>
      </c>
      <c r="D73" s="60">
        <v>307</v>
      </c>
      <c r="E73" s="11"/>
      <c r="F73" s="12">
        <f t="shared" ref="F73" si="94">ROUND(E73*D73,2)</f>
        <v>0</v>
      </c>
      <c r="G73" s="12">
        <f t="shared" ref="G73" si="95">ROUND(F73*1.2,2)</f>
        <v>0</v>
      </c>
      <c r="H73" s="15"/>
      <c r="I73" s="16"/>
      <c r="J73" s="16"/>
      <c r="K73" s="19">
        <f t="shared" ref="K73" si="96">F73+I73</f>
        <v>0</v>
      </c>
      <c r="L73" s="12">
        <f t="shared" ref="L73" si="97">G73+J73</f>
        <v>0</v>
      </c>
    </row>
    <row r="74" spans="1:13" ht="15.75" x14ac:dyDescent="0.25">
      <c r="A74" s="77" t="s">
        <v>208</v>
      </c>
      <c r="B74" s="42" t="s">
        <v>148</v>
      </c>
      <c r="C74" s="43" t="s">
        <v>10</v>
      </c>
      <c r="D74" s="84">
        <v>307</v>
      </c>
      <c r="E74" s="44"/>
      <c r="F74" s="29"/>
      <c r="G74" s="29"/>
      <c r="H74" s="44">
        <v>81.459999999999994</v>
      </c>
      <c r="I74" s="45">
        <f>ROUND(H74*D74,2)</f>
        <v>25008.22</v>
      </c>
      <c r="J74" s="45">
        <f>ROUND(I74*1.2,2)</f>
        <v>30009.86</v>
      </c>
      <c r="K74" s="46">
        <f>F74+I74</f>
        <v>25008.22</v>
      </c>
      <c r="L74" s="29">
        <f>G74+J74</f>
        <v>30009.86</v>
      </c>
    </row>
    <row r="75" spans="1:13" ht="20.25" customHeight="1" x14ac:dyDescent="0.25">
      <c r="A75" s="6"/>
      <c r="B75" s="147" t="s">
        <v>56</v>
      </c>
      <c r="C75" s="148"/>
      <c r="D75" s="148"/>
      <c r="E75" s="7"/>
      <c r="F75" s="8"/>
      <c r="G75" s="9"/>
      <c r="H75" s="9"/>
      <c r="I75" s="9"/>
      <c r="J75" s="9"/>
      <c r="K75" s="9"/>
      <c r="L75" s="9"/>
    </row>
    <row r="76" spans="1:13" s="54" customFormat="1" ht="18" customHeight="1" x14ac:dyDescent="0.25">
      <c r="A76" s="47">
        <f>10</f>
        <v>10</v>
      </c>
      <c r="B76" s="56" t="s">
        <v>160</v>
      </c>
      <c r="C76" s="57" t="s">
        <v>10</v>
      </c>
      <c r="D76" s="59">
        <v>1</v>
      </c>
      <c r="E76" s="49"/>
      <c r="F76" s="50"/>
      <c r="G76" s="50"/>
      <c r="H76" s="51"/>
      <c r="I76" s="52"/>
      <c r="J76" s="52"/>
      <c r="K76" s="53"/>
      <c r="L76" s="50"/>
    </row>
    <row r="77" spans="1:13" ht="18" customHeight="1" x14ac:dyDescent="0.25">
      <c r="A77" s="55" t="s">
        <v>33</v>
      </c>
      <c r="B77" s="10" t="s">
        <v>157</v>
      </c>
      <c r="C77" s="13" t="s">
        <v>155</v>
      </c>
      <c r="D77" s="60">
        <v>1</v>
      </c>
      <c r="E77" s="14"/>
      <c r="F77" s="12">
        <f t="shared" ref="F77:F78" si="98">ROUND(E77*D77,2)</f>
        <v>0</v>
      </c>
      <c r="G77" s="12">
        <f t="shared" ref="G77:G78" si="99">ROUND(F77*1.2,2)</f>
        <v>0</v>
      </c>
      <c r="H77" s="15"/>
      <c r="I77" s="16"/>
      <c r="J77" s="16"/>
      <c r="K77" s="19">
        <f t="shared" ref="K77:K113" si="100">F77+I77</f>
        <v>0</v>
      </c>
      <c r="L77" s="12">
        <f t="shared" ref="L77:L113" si="101">G77+J77</f>
        <v>0</v>
      </c>
    </row>
    <row r="78" spans="1:13" ht="18" customHeight="1" x14ac:dyDescent="0.25">
      <c r="A78" s="55" t="s">
        <v>46</v>
      </c>
      <c r="B78" s="10" t="s">
        <v>142</v>
      </c>
      <c r="C78" s="13"/>
      <c r="D78" s="60"/>
      <c r="E78" s="14"/>
      <c r="F78" s="12">
        <f t="shared" si="98"/>
        <v>0</v>
      </c>
      <c r="G78" s="12">
        <f t="shared" si="99"/>
        <v>0</v>
      </c>
      <c r="H78" s="15"/>
      <c r="I78" s="16"/>
      <c r="J78" s="16"/>
      <c r="K78" s="19">
        <f t="shared" si="100"/>
        <v>0</v>
      </c>
      <c r="L78" s="12">
        <f t="shared" si="101"/>
        <v>0</v>
      </c>
    </row>
    <row r="79" spans="1:13" ht="18" customHeight="1" x14ac:dyDescent="0.25">
      <c r="A79" s="55" t="s">
        <v>47</v>
      </c>
      <c r="B79" s="10" t="s">
        <v>110</v>
      </c>
      <c r="C79" s="13" t="s">
        <v>10</v>
      </c>
      <c r="D79" s="60">
        <v>1</v>
      </c>
      <c r="E79" s="14"/>
      <c r="F79" s="12">
        <f t="shared" ref="F79" si="102">ROUND(E79*D79,2)</f>
        <v>0</v>
      </c>
      <c r="G79" s="12">
        <f t="shared" ref="G79" si="103">ROUND(F79*1.2,2)</f>
        <v>0</v>
      </c>
      <c r="H79" s="15"/>
      <c r="I79" s="16"/>
      <c r="J79" s="16"/>
      <c r="K79" s="19">
        <f t="shared" ref="K79:K82" si="104">F79+I79</f>
        <v>0</v>
      </c>
      <c r="L79" s="12">
        <f t="shared" ref="L79:L82" si="105">G79+J79</f>
        <v>0</v>
      </c>
    </row>
    <row r="80" spans="1:13" ht="18" customHeight="1" x14ac:dyDescent="0.25">
      <c r="A80" s="41" t="s">
        <v>130</v>
      </c>
      <c r="B80" s="42" t="s">
        <v>175</v>
      </c>
      <c r="C80" s="43" t="s">
        <v>10</v>
      </c>
      <c r="D80" s="84">
        <v>1</v>
      </c>
      <c r="E80" s="44"/>
      <c r="F80" s="29"/>
      <c r="G80" s="29"/>
      <c r="H80" s="45">
        <f>ROUND(450000/1.2*1.15,2)</f>
        <v>431250</v>
      </c>
      <c r="I80" s="45">
        <f t="shared" ref="I80:I81" si="106">ROUND(H80*D80,2)</f>
        <v>431250</v>
      </c>
      <c r="J80" s="45">
        <f t="shared" ref="J80:J81" si="107">ROUND(I80*1.2,2)</f>
        <v>517500</v>
      </c>
      <c r="K80" s="46">
        <f t="shared" si="104"/>
        <v>431250</v>
      </c>
      <c r="L80" s="29">
        <f t="shared" si="105"/>
        <v>517500</v>
      </c>
    </row>
    <row r="81" spans="1:13" ht="18" customHeight="1" x14ac:dyDescent="0.25">
      <c r="A81" s="41" t="s">
        <v>209</v>
      </c>
      <c r="B81" s="42" t="s">
        <v>112</v>
      </c>
      <c r="C81" s="43" t="s">
        <v>10</v>
      </c>
      <c r="D81" s="84">
        <v>1</v>
      </c>
      <c r="E81" s="44"/>
      <c r="F81" s="29"/>
      <c r="G81" s="29"/>
      <c r="H81" s="45"/>
      <c r="I81" s="45">
        <f t="shared" si="106"/>
        <v>0</v>
      </c>
      <c r="J81" s="45">
        <f t="shared" si="107"/>
        <v>0</v>
      </c>
      <c r="K81" s="46">
        <f t="shared" si="104"/>
        <v>0</v>
      </c>
      <c r="L81" s="29">
        <f t="shared" si="105"/>
        <v>0</v>
      </c>
    </row>
    <row r="82" spans="1:13" ht="18" customHeight="1" x14ac:dyDescent="0.25">
      <c r="A82" s="55" t="s">
        <v>48</v>
      </c>
      <c r="B82" s="10" t="s">
        <v>111</v>
      </c>
      <c r="C82" s="13" t="s">
        <v>7</v>
      </c>
      <c r="D82" s="60"/>
      <c r="E82" s="65">
        <v>1933.2</v>
      </c>
      <c r="F82" s="12">
        <f t="shared" ref="F82" si="108">ROUND(E82*D82,2)</f>
        <v>0</v>
      </c>
      <c r="G82" s="12">
        <f t="shared" ref="G82" si="109">ROUND(F82*1.2,2)</f>
        <v>0</v>
      </c>
      <c r="H82" s="15"/>
      <c r="I82" s="16"/>
      <c r="J82" s="16"/>
      <c r="K82" s="19">
        <f t="shared" si="104"/>
        <v>0</v>
      </c>
      <c r="L82" s="12">
        <f t="shared" si="105"/>
        <v>0</v>
      </c>
      <c r="M82" s="66" t="s">
        <v>136</v>
      </c>
    </row>
    <row r="83" spans="1:13" ht="18" customHeight="1" x14ac:dyDescent="0.25">
      <c r="A83" s="41" t="s">
        <v>210</v>
      </c>
      <c r="B83" s="42" t="s">
        <v>12</v>
      </c>
      <c r="C83" s="43" t="s">
        <v>7</v>
      </c>
      <c r="D83" s="61"/>
      <c r="E83" s="44"/>
      <c r="F83" s="29"/>
      <c r="G83" s="29"/>
      <c r="H83" s="45">
        <v>4416.67</v>
      </c>
      <c r="I83" s="45">
        <f>ROUND(H83*D83,2)</f>
        <v>0</v>
      </c>
      <c r="J83" s="45">
        <f>ROUND(I83*1.2,2)</f>
        <v>0</v>
      </c>
      <c r="K83" s="46">
        <f>F83+I83</f>
        <v>0</v>
      </c>
      <c r="L83" s="29">
        <f>G83+J83</f>
        <v>0</v>
      </c>
      <c r="M83" t="s">
        <v>133</v>
      </c>
    </row>
    <row r="84" spans="1:13" ht="18" customHeight="1" x14ac:dyDescent="0.25">
      <c r="A84" s="55" t="s">
        <v>211</v>
      </c>
      <c r="B84" s="10" t="s">
        <v>156</v>
      </c>
      <c r="C84" s="13" t="s">
        <v>7</v>
      </c>
      <c r="D84" s="60"/>
      <c r="E84" s="14">
        <v>1449.9</v>
      </c>
      <c r="F84" s="12">
        <f t="shared" ref="F84" si="110">ROUND(E84*D84,2)</f>
        <v>0</v>
      </c>
      <c r="G84" s="12">
        <f t="shared" ref="G84" si="111">ROUND(F84*1.2,2)</f>
        <v>0</v>
      </c>
      <c r="H84" s="15"/>
      <c r="I84" s="16"/>
      <c r="J84" s="16"/>
      <c r="K84" s="19">
        <f t="shared" ref="K84:K92" si="112">F84+I84</f>
        <v>0</v>
      </c>
      <c r="L84" s="12">
        <f t="shared" ref="L84:L92" si="113">G84+J84</f>
        <v>0</v>
      </c>
      <c r="M84" t="s">
        <v>139</v>
      </c>
    </row>
    <row r="85" spans="1:13" ht="18" customHeight="1" x14ac:dyDescent="0.25">
      <c r="A85" s="41" t="s">
        <v>212</v>
      </c>
      <c r="B85" s="42" t="s">
        <v>12</v>
      </c>
      <c r="C85" s="43" t="s">
        <v>7</v>
      </c>
      <c r="D85" s="61"/>
      <c r="E85" s="44"/>
      <c r="F85" s="29"/>
      <c r="G85" s="29"/>
      <c r="H85" s="45">
        <v>4416.67</v>
      </c>
      <c r="I85" s="45">
        <f>ROUND(H85*D85,2)</f>
        <v>0</v>
      </c>
      <c r="J85" s="45">
        <f>ROUND(I85*1.2,2)</f>
        <v>0</v>
      </c>
      <c r="K85" s="46">
        <f>F85+I85</f>
        <v>0</v>
      </c>
      <c r="L85" s="29">
        <f>G85+J85</f>
        <v>0</v>
      </c>
    </row>
    <row r="86" spans="1:13" s="54" customFormat="1" ht="18" customHeight="1" x14ac:dyDescent="0.25">
      <c r="A86" s="47">
        <f>11</f>
        <v>11</v>
      </c>
      <c r="B86" s="56" t="s">
        <v>159</v>
      </c>
      <c r="C86" s="57" t="s">
        <v>24</v>
      </c>
      <c r="D86" s="59">
        <v>8</v>
      </c>
      <c r="E86" s="49"/>
      <c r="F86" s="50"/>
      <c r="G86" s="50"/>
      <c r="H86" s="51"/>
      <c r="I86" s="52"/>
      <c r="J86" s="52"/>
      <c r="K86" s="53"/>
      <c r="L86" s="50"/>
    </row>
    <row r="87" spans="1:13" ht="18" customHeight="1" x14ac:dyDescent="0.25">
      <c r="A87" s="55" t="s">
        <v>34</v>
      </c>
      <c r="B87" s="10" t="s">
        <v>158</v>
      </c>
      <c r="C87" s="13" t="s">
        <v>10</v>
      </c>
      <c r="D87" s="60">
        <v>8</v>
      </c>
      <c r="E87" s="14"/>
      <c r="F87" s="12">
        <f t="shared" ref="F87:F89" si="114">ROUND(E87*D87,2)</f>
        <v>0</v>
      </c>
      <c r="G87" s="12">
        <f t="shared" ref="G87:G89" si="115">ROUND(F87*1.2,2)</f>
        <v>0</v>
      </c>
      <c r="H87" s="15"/>
      <c r="I87" s="16"/>
      <c r="J87" s="16"/>
      <c r="K87" s="19">
        <f t="shared" si="112"/>
        <v>0</v>
      </c>
      <c r="L87" s="12">
        <f t="shared" si="113"/>
        <v>0</v>
      </c>
    </row>
    <row r="88" spans="1:13" ht="18" customHeight="1" x14ac:dyDescent="0.25">
      <c r="A88" s="55" t="s">
        <v>113</v>
      </c>
      <c r="B88" s="10" t="s">
        <v>142</v>
      </c>
      <c r="C88" s="13"/>
      <c r="D88" s="60"/>
      <c r="E88" s="14"/>
      <c r="F88" s="12">
        <f t="shared" si="114"/>
        <v>0</v>
      </c>
      <c r="G88" s="12">
        <f t="shared" si="115"/>
        <v>0</v>
      </c>
      <c r="H88" s="15"/>
      <c r="I88" s="16"/>
      <c r="J88" s="16"/>
      <c r="K88" s="19">
        <f t="shared" si="112"/>
        <v>0</v>
      </c>
      <c r="L88" s="12">
        <f t="shared" si="113"/>
        <v>0</v>
      </c>
    </row>
    <row r="89" spans="1:13" ht="18" customHeight="1" x14ac:dyDescent="0.25">
      <c r="A89" s="55" t="s">
        <v>117</v>
      </c>
      <c r="B89" s="10" t="s">
        <v>114</v>
      </c>
      <c r="C89" s="13" t="s">
        <v>10</v>
      </c>
      <c r="D89" s="60">
        <v>8</v>
      </c>
      <c r="E89" s="14"/>
      <c r="F89" s="12">
        <f t="shared" si="114"/>
        <v>0</v>
      </c>
      <c r="G89" s="12">
        <f t="shared" si="115"/>
        <v>0</v>
      </c>
      <c r="H89" s="15"/>
      <c r="I89" s="16"/>
      <c r="J89" s="16"/>
      <c r="K89" s="19">
        <f t="shared" si="112"/>
        <v>0</v>
      </c>
      <c r="L89" s="12">
        <f t="shared" si="113"/>
        <v>0</v>
      </c>
    </row>
    <row r="90" spans="1:13" ht="18" customHeight="1" x14ac:dyDescent="0.25">
      <c r="A90" s="41" t="s">
        <v>131</v>
      </c>
      <c r="B90" s="42" t="s">
        <v>176</v>
      </c>
      <c r="C90" s="43" t="s">
        <v>10</v>
      </c>
      <c r="D90" s="84">
        <v>4</v>
      </c>
      <c r="E90" s="44"/>
      <c r="F90" s="29"/>
      <c r="G90" s="29"/>
      <c r="H90" s="45"/>
      <c r="I90" s="45">
        <f t="shared" ref="I90:I91" si="116">ROUND(H90*D90,2)</f>
        <v>0</v>
      </c>
      <c r="J90" s="45">
        <f t="shared" ref="J90:J91" si="117">ROUND(I90*1.2,2)</f>
        <v>0</v>
      </c>
      <c r="K90" s="46">
        <f t="shared" si="112"/>
        <v>0</v>
      </c>
      <c r="L90" s="29">
        <f t="shared" si="113"/>
        <v>0</v>
      </c>
    </row>
    <row r="91" spans="1:13" ht="18" customHeight="1" x14ac:dyDescent="0.25">
      <c r="A91" s="41" t="s">
        <v>213</v>
      </c>
      <c r="B91" s="42" t="s">
        <v>112</v>
      </c>
      <c r="C91" s="43" t="s">
        <v>10</v>
      </c>
      <c r="D91" s="84">
        <v>4</v>
      </c>
      <c r="E91" s="44"/>
      <c r="F91" s="29"/>
      <c r="G91" s="29"/>
      <c r="H91" s="45"/>
      <c r="I91" s="45">
        <f t="shared" si="116"/>
        <v>0</v>
      </c>
      <c r="J91" s="45">
        <f t="shared" si="117"/>
        <v>0</v>
      </c>
      <c r="K91" s="46">
        <f t="shared" si="112"/>
        <v>0</v>
      </c>
      <c r="L91" s="29">
        <f t="shared" si="113"/>
        <v>0</v>
      </c>
    </row>
    <row r="92" spans="1:13" ht="18" customHeight="1" x14ac:dyDescent="0.25">
      <c r="A92" s="55" t="s">
        <v>118</v>
      </c>
      <c r="B92" s="10" t="s">
        <v>115</v>
      </c>
      <c r="C92" s="13" t="s">
        <v>7</v>
      </c>
      <c r="D92" s="60"/>
      <c r="E92" s="65">
        <v>1933.2</v>
      </c>
      <c r="F92" s="12">
        <f t="shared" ref="F92" si="118">ROUND(E92*D92,2)</f>
        <v>0</v>
      </c>
      <c r="G92" s="12">
        <f t="shared" ref="G92" si="119">ROUND(F92*1.2,2)</f>
        <v>0</v>
      </c>
      <c r="H92" s="15"/>
      <c r="I92" s="16"/>
      <c r="J92" s="16"/>
      <c r="K92" s="19">
        <f t="shared" si="112"/>
        <v>0</v>
      </c>
      <c r="L92" s="12">
        <f t="shared" si="113"/>
        <v>0</v>
      </c>
      <c r="M92" s="66" t="s">
        <v>136</v>
      </c>
    </row>
    <row r="93" spans="1:13" ht="18" customHeight="1" x14ac:dyDescent="0.25">
      <c r="A93" s="41" t="s">
        <v>214</v>
      </c>
      <c r="B93" s="42" t="s">
        <v>12</v>
      </c>
      <c r="C93" s="43" t="s">
        <v>7</v>
      </c>
      <c r="D93" s="84"/>
      <c r="E93" s="44"/>
      <c r="F93" s="29"/>
      <c r="G93" s="29"/>
      <c r="H93" s="45">
        <v>4416.67</v>
      </c>
      <c r="I93" s="45">
        <f>ROUND(H93*D93,2)</f>
        <v>0</v>
      </c>
      <c r="J93" s="45">
        <f>ROUND(I93*1.2,2)</f>
        <v>0</v>
      </c>
      <c r="K93" s="46">
        <f>F93+I93</f>
        <v>0</v>
      </c>
      <c r="L93" s="29">
        <f>G93+J93</f>
        <v>0</v>
      </c>
      <c r="M93" t="s">
        <v>133</v>
      </c>
    </row>
    <row r="94" spans="1:13" ht="18" customHeight="1" x14ac:dyDescent="0.25">
      <c r="A94" s="55" t="s">
        <v>215</v>
      </c>
      <c r="B94" s="10" t="s">
        <v>116</v>
      </c>
      <c r="C94" s="13" t="s">
        <v>7</v>
      </c>
      <c r="D94" s="60"/>
      <c r="E94" s="14">
        <v>1449.9</v>
      </c>
      <c r="F94" s="12">
        <f t="shared" ref="F94" si="120">ROUND(E94*D94,2)</f>
        <v>0</v>
      </c>
      <c r="G94" s="12">
        <f t="shared" ref="G94" si="121">ROUND(F94*1.2,2)</f>
        <v>0</v>
      </c>
      <c r="H94" s="15"/>
      <c r="I94" s="16"/>
      <c r="J94" s="16"/>
      <c r="K94" s="19">
        <f t="shared" ref="K94:K102" si="122">F94+I94</f>
        <v>0</v>
      </c>
      <c r="L94" s="12">
        <f t="shared" ref="L94:L102" si="123">G94+J94</f>
        <v>0</v>
      </c>
      <c r="M94" t="s">
        <v>139</v>
      </c>
    </row>
    <row r="95" spans="1:13" ht="18" customHeight="1" x14ac:dyDescent="0.25">
      <c r="A95" s="41" t="s">
        <v>216</v>
      </c>
      <c r="B95" s="42" t="s">
        <v>12</v>
      </c>
      <c r="C95" s="43" t="s">
        <v>7</v>
      </c>
      <c r="D95" s="84"/>
      <c r="E95" s="44"/>
      <c r="F95" s="29"/>
      <c r="G95" s="29"/>
      <c r="H95" s="45">
        <v>4416.67</v>
      </c>
      <c r="I95" s="45">
        <f>ROUND(H95*D95,2)</f>
        <v>0</v>
      </c>
      <c r="J95" s="45">
        <f>ROUND(I95*1.2,2)</f>
        <v>0</v>
      </c>
      <c r="K95" s="46">
        <f>F95+I95</f>
        <v>0</v>
      </c>
      <c r="L95" s="29">
        <f>G95+J95</f>
        <v>0</v>
      </c>
    </row>
    <row r="96" spans="1:13" s="54" customFormat="1" ht="17.25" customHeight="1" x14ac:dyDescent="0.25">
      <c r="A96" s="47">
        <f>12</f>
        <v>12</v>
      </c>
      <c r="B96" s="56" t="s">
        <v>121</v>
      </c>
      <c r="C96" s="57" t="s">
        <v>10</v>
      </c>
      <c r="D96" s="59">
        <v>20</v>
      </c>
      <c r="E96" s="49"/>
      <c r="F96" s="50"/>
      <c r="G96" s="50"/>
      <c r="H96" s="51"/>
      <c r="I96" s="52"/>
      <c r="J96" s="52"/>
      <c r="K96" s="53"/>
      <c r="L96" s="50"/>
    </row>
    <row r="97" spans="1:13" ht="18" customHeight="1" x14ac:dyDescent="0.25">
      <c r="A97" s="55" t="s">
        <v>35</v>
      </c>
      <c r="B97" s="10" t="s">
        <v>119</v>
      </c>
      <c r="C97" s="13" t="s">
        <v>10</v>
      </c>
      <c r="D97" s="60">
        <v>20</v>
      </c>
      <c r="E97" s="14"/>
      <c r="F97" s="12">
        <f t="shared" ref="F97:F99" si="124">ROUND(E97*D97,2)</f>
        <v>0</v>
      </c>
      <c r="G97" s="12">
        <f t="shared" ref="G97:G99" si="125">ROUND(F97*1.2,2)</f>
        <v>0</v>
      </c>
      <c r="H97" s="15"/>
      <c r="I97" s="16"/>
      <c r="J97" s="16"/>
      <c r="K97" s="19">
        <f t="shared" si="122"/>
        <v>0</v>
      </c>
      <c r="L97" s="12">
        <f t="shared" si="123"/>
        <v>0</v>
      </c>
    </row>
    <row r="98" spans="1:13" ht="18" customHeight="1" x14ac:dyDescent="0.25">
      <c r="A98" s="55" t="s">
        <v>122</v>
      </c>
      <c r="B98" s="10" t="s">
        <v>142</v>
      </c>
      <c r="C98" s="13"/>
      <c r="D98" s="60"/>
      <c r="E98" s="14"/>
      <c r="F98" s="12">
        <f t="shared" si="124"/>
        <v>0</v>
      </c>
      <c r="G98" s="12">
        <f t="shared" si="125"/>
        <v>0</v>
      </c>
      <c r="H98" s="15"/>
      <c r="I98" s="16"/>
      <c r="J98" s="16"/>
      <c r="K98" s="19">
        <f t="shared" si="122"/>
        <v>0</v>
      </c>
      <c r="L98" s="12">
        <f t="shared" si="123"/>
        <v>0</v>
      </c>
    </row>
    <row r="99" spans="1:13" ht="18" customHeight="1" x14ac:dyDescent="0.25">
      <c r="A99" s="55" t="s">
        <v>217</v>
      </c>
      <c r="B99" s="10" t="s">
        <v>120</v>
      </c>
      <c r="C99" s="13" t="s">
        <v>10</v>
      </c>
      <c r="D99" s="60">
        <v>20</v>
      </c>
      <c r="E99" s="14"/>
      <c r="F99" s="12">
        <f t="shared" si="124"/>
        <v>0</v>
      </c>
      <c r="G99" s="12">
        <f t="shared" si="125"/>
        <v>0</v>
      </c>
      <c r="H99" s="15"/>
      <c r="I99" s="16"/>
      <c r="J99" s="16"/>
      <c r="K99" s="19">
        <f t="shared" si="122"/>
        <v>0</v>
      </c>
      <c r="L99" s="12">
        <f t="shared" si="123"/>
        <v>0</v>
      </c>
    </row>
    <row r="100" spans="1:13" ht="18" customHeight="1" x14ac:dyDescent="0.25">
      <c r="A100" s="41" t="s">
        <v>218</v>
      </c>
      <c r="B100" s="85" t="s">
        <v>177</v>
      </c>
      <c r="C100" s="43" t="s">
        <v>10</v>
      </c>
      <c r="D100" s="84">
        <v>10</v>
      </c>
      <c r="E100" s="44"/>
      <c r="F100" s="29"/>
      <c r="G100" s="29"/>
      <c r="H100" s="45"/>
      <c r="I100" s="45">
        <f t="shared" ref="I100:I102" si="126">ROUND(H100*D100,2)</f>
        <v>0</v>
      </c>
      <c r="J100" s="45">
        <f t="shared" ref="J100:J102" si="127">ROUND(I100*1.2,2)</f>
        <v>0</v>
      </c>
      <c r="K100" s="46">
        <f t="shared" si="122"/>
        <v>0</v>
      </c>
      <c r="L100" s="29">
        <f t="shared" si="123"/>
        <v>0</v>
      </c>
    </row>
    <row r="101" spans="1:13" ht="18" customHeight="1" x14ac:dyDescent="0.25">
      <c r="A101" s="41" t="s">
        <v>219</v>
      </c>
      <c r="B101" s="42" t="s">
        <v>178</v>
      </c>
      <c r="C101" s="43" t="s">
        <v>10</v>
      </c>
      <c r="D101" s="84">
        <v>10</v>
      </c>
      <c r="E101" s="44"/>
      <c r="F101" s="29"/>
      <c r="G101" s="29"/>
      <c r="H101" s="45"/>
      <c r="I101" s="45"/>
      <c r="J101" s="45"/>
      <c r="K101" s="46"/>
      <c r="L101" s="29"/>
    </row>
    <row r="102" spans="1:13" ht="18" customHeight="1" x14ac:dyDescent="0.25">
      <c r="A102" s="41" t="s">
        <v>220</v>
      </c>
      <c r="B102" s="42" t="s">
        <v>161</v>
      </c>
      <c r="C102" s="43" t="s">
        <v>10</v>
      </c>
      <c r="D102" s="84">
        <v>20</v>
      </c>
      <c r="E102" s="44"/>
      <c r="F102" s="29"/>
      <c r="G102" s="29"/>
      <c r="H102" s="45"/>
      <c r="I102" s="45">
        <f t="shared" si="126"/>
        <v>0</v>
      </c>
      <c r="J102" s="45">
        <f t="shared" si="127"/>
        <v>0</v>
      </c>
      <c r="K102" s="46">
        <f t="shared" si="122"/>
        <v>0</v>
      </c>
      <c r="L102" s="29">
        <f t="shared" si="123"/>
        <v>0</v>
      </c>
    </row>
    <row r="103" spans="1:13" s="54" customFormat="1" ht="32.25" customHeight="1" x14ac:dyDescent="0.25">
      <c r="A103" s="47">
        <f>12+1</f>
        <v>13</v>
      </c>
      <c r="B103" s="56" t="s">
        <v>123</v>
      </c>
      <c r="C103" s="57" t="s">
        <v>10</v>
      </c>
      <c r="D103" s="59">
        <v>5</v>
      </c>
      <c r="E103" s="49"/>
      <c r="F103" s="50"/>
      <c r="G103" s="50"/>
      <c r="H103" s="51"/>
      <c r="I103" s="52"/>
      <c r="J103" s="52"/>
      <c r="K103" s="53"/>
      <c r="L103" s="50"/>
    </row>
    <row r="104" spans="1:13" ht="18" customHeight="1" x14ac:dyDescent="0.25">
      <c r="A104" s="55" t="s">
        <v>40</v>
      </c>
      <c r="B104" s="10" t="s">
        <v>124</v>
      </c>
      <c r="C104" s="13" t="s">
        <v>10</v>
      </c>
      <c r="D104" s="60">
        <v>5</v>
      </c>
      <c r="E104" s="14"/>
      <c r="F104" s="12">
        <f t="shared" ref="F104:F106" si="128">ROUND(E104*D104,2)</f>
        <v>0</v>
      </c>
      <c r="G104" s="12">
        <f t="shared" ref="G104:G106" si="129">ROUND(F104*1.2,2)</f>
        <v>0</v>
      </c>
      <c r="H104" s="15"/>
      <c r="I104" s="16"/>
      <c r="J104" s="16"/>
      <c r="K104" s="19">
        <f t="shared" ref="K104:K107" si="130">F104+I104</f>
        <v>0</v>
      </c>
      <c r="L104" s="12">
        <f t="shared" ref="L104:L107" si="131">G104+J104</f>
        <v>0</v>
      </c>
    </row>
    <row r="105" spans="1:13" ht="18" customHeight="1" x14ac:dyDescent="0.25">
      <c r="A105" s="55" t="s">
        <v>127</v>
      </c>
      <c r="B105" s="10" t="s">
        <v>142</v>
      </c>
      <c r="C105" s="13"/>
      <c r="D105" s="60"/>
      <c r="E105" s="14"/>
      <c r="F105" s="12">
        <f t="shared" si="128"/>
        <v>0</v>
      </c>
      <c r="G105" s="12">
        <f t="shared" si="129"/>
        <v>0</v>
      </c>
      <c r="H105" s="15"/>
      <c r="I105" s="16"/>
      <c r="J105" s="16"/>
      <c r="K105" s="19">
        <f t="shared" si="130"/>
        <v>0</v>
      </c>
      <c r="L105" s="12">
        <f t="shared" si="131"/>
        <v>0</v>
      </c>
    </row>
    <row r="106" spans="1:13" ht="18" customHeight="1" x14ac:dyDescent="0.25">
      <c r="A106" s="55" t="s">
        <v>221</v>
      </c>
      <c r="B106" s="10" t="s">
        <v>125</v>
      </c>
      <c r="C106" s="13" t="s">
        <v>10</v>
      </c>
      <c r="D106" s="60">
        <v>5</v>
      </c>
      <c r="E106" s="14"/>
      <c r="F106" s="12">
        <f t="shared" si="128"/>
        <v>0</v>
      </c>
      <c r="G106" s="12">
        <f t="shared" si="129"/>
        <v>0</v>
      </c>
      <c r="H106" s="15"/>
      <c r="I106" s="16"/>
      <c r="J106" s="16"/>
      <c r="K106" s="19">
        <f t="shared" si="130"/>
        <v>0</v>
      </c>
      <c r="L106" s="12">
        <f t="shared" si="131"/>
        <v>0</v>
      </c>
    </row>
    <row r="107" spans="1:13" ht="18" customHeight="1" x14ac:dyDescent="0.25">
      <c r="A107" s="41" t="s">
        <v>222</v>
      </c>
      <c r="B107" s="42" t="s">
        <v>126</v>
      </c>
      <c r="C107" s="43" t="s">
        <v>10</v>
      </c>
      <c r="D107" s="84">
        <v>5</v>
      </c>
      <c r="E107" s="44"/>
      <c r="F107" s="29"/>
      <c r="G107" s="29"/>
      <c r="H107" s="45">
        <f>ROUND(50000/1.2*1.15,2)</f>
        <v>47916.67</v>
      </c>
      <c r="I107" s="45">
        <f t="shared" ref="I107" si="132">ROUND(H107*D107,2)</f>
        <v>239583.35</v>
      </c>
      <c r="J107" s="45">
        <f t="shared" ref="J107" si="133">ROUND(I107*1.2,2)</f>
        <v>287500.02</v>
      </c>
      <c r="K107" s="46">
        <f t="shared" si="130"/>
        <v>239583.35</v>
      </c>
      <c r="L107" s="29">
        <f t="shared" si="131"/>
        <v>287500.02</v>
      </c>
      <c r="M107" t="s">
        <v>179</v>
      </c>
    </row>
    <row r="108" spans="1:13" ht="18" customHeight="1" x14ac:dyDescent="0.25">
      <c r="A108" s="41" t="s">
        <v>223</v>
      </c>
      <c r="B108" s="42" t="s">
        <v>168</v>
      </c>
      <c r="C108" s="43" t="s">
        <v>149</v>
      </c>
      <c r="D108" s="84">
        <v>6</v>
      </c>
      <c r="E108" s="44"/>
      <c r="F108" s="29"/>
      <c r="G108" s="29"/>
      <c r="H108" s="45"/>
      <c r="I108" s="45"/>
      <c r="J108" s="45"/>
      <c r="K108" s="46"/>
      <c r="L108" s="29"/>
    </row>
    <row r="109" spans="1:13" ht="18" customHeight="1" x14ac:dyDescent="0.25">
      <c r="A109" s="47">
        <f>A103+1</f>
        <v>14</v>
      </c>
      <c r="B109" s="38" t="s">
        <v>57</v>
      </c>
      <c r="C109" s="48" t="s">
        <v>10</v>
      </c>
      <c r="D109" s="64">
        <v>10</v>
      </c>
      <c r="E109" s="20"/>
      <c r="F109" s="12"/>
      <c r="G109" s="12"/>
      <c r="H109" s="15"/>
      <c r="I109" s="16"/>
      <c r="J109" s="16"/>
      <c r="K109" s="19"/>
      <c r="L109" s="12"/>
    </row>
    <row r="110" spans="1:13" ht="18" customHeight="1" x14ac:dyDescent="0.25">
      <c r="A110" s="55" t="s">
        <v>39</v>
      </c>
      <c r="B110" s="10" t="s">
        <v>162</v>
      </c>
      <c r="C110" s="13" t="s">
        <v>10</v>
      </c>
      <c r="D110" s="60">
        <v>10</v>
      </c>
      <c r="E110" s="14"/>
      <c r="F110" s="12">
        <f t="shared" ref="F110:F112" si="134">ROUND(E110*D110,2)</f>
        <v>0</v>
      </c>
      <c r="G110" s="12">
        <f t="shared" ref="G110:G112" si="135">ROUND(F110*1.2,2)</f>
        <v>0</v>
      </c>
      <c r="H110" s="15"/>
      <c r="I110" s="16"/>
      <c r="J110" s="16"/>
      <c r="K110" s="19">
        <f t="shared" si="100"/>
        <v>0</v>
      </c>
      <c r="L110" s="12">
        <f t="shared" si="101"/>
        <v>0</v>
      </c>
    </row>
    <row r="111" spans="1:13" ht="18" customHeight="1" x14ac:dyDescent="0.25">
      <c r="A111" s="55" t="s">
        <v>49</v>
      </c>
      <c r="B111" s="10" t="s">
        <v>142</v>
      </c>
      <c r="C111" s="13"/>
      <c r="D111" s="60"/>
      <c r="E111" s="14"/>
      <c r="F111" s="12">
        <f t="shared" si="134"/>
        <v>0</v>
      </c>
      <c r="G111" s="12">
        <f t="shared" si="135"/>
        <v>0</v>
      </c>
      <c r="H111" s="15"/>
      <c r="I111" s="16"/>
      <c r="J111" s="16"/>
      <c r="K111" s="19">
        <f t="shared" si="100"/>
        <v>0</v>
      </c>
      <c r="L111" s="12">
        <f t="shared" si="101"/>
        <v>0</v>
      </c>
    </row>
    <row r="112" spans="1:13" ht="18" customHeight="1" x14ac:dyDescent="0.25">
      <c r="A112" s="55" t="s">
        <v>224</v>
      </c>
      <c r="B112" s="10" t="s">
        <v>163</v>
      </c>
      <c r="C112" s="13" t="s">
        <v>10</v>
      </c>
      <c r="D112" s="60">
        <v>10</v>
      </c>
      <c r="E112" s="14"/>
      <c r="F112" s="12">
        <f t="shared" si="134"/>
        <v>0</v>
      </c>
      <c r="G112" s="12">
        <f t="shared" si="135"/>
        <v>0</v>
      </c>
      <c r="H112" s="15"/>
      <c r="I112" s="16"/>
      <c r="J112" s="16"/>
      <c r="K112" s="19">
        <f t="shared" si="100"/>
        <v>0</v>
      </c>
      <c r="L112" s="12">
        <f t="shared" si="101"/>
        <v>0</v>
      </c>
    </row>
    <row r="113" spans="1:13" ht="18" customHeight="1" x14ac:dyDescent="0.25">
      <c r="A113" s="41" t="s">
        <v>225</v>
      </c>
      <c r="B113" s="69" t="s">
        <v>164</v>
      </c>
      <c r="C113" s="43" t="s">
        <v>10</v>
      </c>
      <c r="D113" s="84">
        <v>10</v>
      </c>
      <c r="E113" s="44"/>
      <c r="F113" s="29"/>
      <c r="G113" s="29"/>
      <c r="H113" s="45">
        <f>ROUND(6490/1.2*1.15,2)</f>
        <v>6219.58</v>
      </c>
      <c r="I113" s="45">
        <f t="shared" ref="I113" si="136">ROUND(H113*D113,2)</f>
        <v>62195.8</v>
      </c>
      <c r="J113" s="45">
        <f t="shared" ref="J113" si="137">ROUND(I113*1.2,2)</f>
        <v>74634.960000000006</v>
      </c>
      <c r="K113" s="46">
        <f t="shared" si="100"/>
        <v>62195.8</v>
      </c>
      <c r="L113" s="29">
        <f t="shared" si="101"/>
        <v>74634.960000000006</v>
      </c>
      <c r="M113" t="s">
        <v>179</v>
      </c>
    </row>
    <row r="114" spans="1:13" ht="18" customHeight="1" x14ac:dyDescent="0.25">
      <c r="A114" s="78" t="s">
        <v>170</v>
      </c>
      <c r="B114" s="38" t="s">
        <v>171</v>
      </c>
      <c r="C114" s="18"/>
      <c r="D114" s="79"/>
      <c r="E114" s="11"/>
      <c r="F114" s="80"/>
      <c r="G114" s="80"/>
      <c r="H114" s="80"/>
      <c r="I114" s="80"/>
      <c r="J114" s="80"/>
      <c r="K114" s="81"/>
      <c r="L114" s="80"/>
    </row>
    <row r="115" spans="1:13" ht="18" customHeight="1" x14ac:dyDescent="0.25">
      <c r="A115" s="82" t="s">
        <v>50</v>
      </c>
      <c r="B115" s="10" t="s">
        <v>162</v>
      </c>
      <c r="C115" s="13" t="s">
        <v>10</v>
      </c>
      <c r="D115" s="60">
        <v>17</v>
      </c>
      <c r="E115" s="11"/>
      <c r="F115" s="12">
        <f t="shared" ref="F115:F116" si="138">ROUND(E115*D115,2)</f>
        <v>0</v>
      </c>
      <c r="G115" s="12">
        <f t="shared" ref="G115:G116" si="139">ROUND(F115*1.2,2)</f>
        <v>0</v>
      </c>
      <c r="H115" s="15"/>
      <c r="I115" s="16"/>
      <c r="J115" s="16"/>
      <c r="K115" s="19">
        <f t="shared" ref="K115:K116" si="140">F115+I115</f>
        <v>0</v>
      </c>
      <c r="L115" s="12">
        <f t="shared" ref="L115:L116" si="141">G115+J115</f>
        <v>0</v>
      </c>
    </row>
    <row r="116" spans="1:13" ht="18" customHeight="1" x14ac:dyDescent="0.25">
      <c r="A116" s="82" t="s">
        <v>129</v>
      </c>
      <c r="B116" s="10" t="s">
        <v>172</v>
      </c>
      <c r="C116" s="13" t="s">
        <v>10</v>
      </c>
      <c r="D116" s="60">
        <v>17</v>
      </c>
      <c r="E116" s="11"/>
      <c r="F116" s="12">
        <f t="shared" si="138"/>
        <v>0</v>
      </c>
      <c r="G116" s="12">
        <f t="shared" si="139"/>
        <v>0</v>
      </c>
      <c r="H116" s="15"/>
      <c r="I116" s="16"/>
      <c r="J116" s="16"/>
      <c r="K116" s="19">
        <f t="shared" si="140"/>
        <v>0</v>
      </c>
      <c r="L116" s="12">
        <f t="shared" si="141"/>
        <v>0</v>
      </c>
    </row>
    <row r="117" spans="1:13" ht="42" customHeight="1" x14ac:dyDescent="0.25">
      <c r="A117" s="41" t="s">
        <v>132</v>
      </c>
      <c r="B117" s="69" t="s">
        <v>173</v>
      </c>
      <c r="C117" s="43" t="s">
        <v>149</v>
      </c>
      <c r="D117" s="84">
        <v>17</v>
      </c>
      <c r="E117" s="73"/>
      <c r="F117" s="45"/>
      <c r="G117" s="45"/>
      <c r="H117" s="45"/>
      <c r="I117" s="45">
        <f>ROUND(H117*D117,2)</f>
        <v>0</v>
      </c>
      <c r="J117" s="45">
        <f>ROUND(I117*1.2,2)</f>
        <v>0</v>
      </c>
      <c r="K117" s="46">
        <f>F117+I117</f>
        <v>0</v>
      </c>
      <c r="L117" s="29">
        <f>G117+J117</f>
        <v>0</v>
      </c>
    </row>
    <row r="118" spans="1:13" ht="19.5" customHeight="1" x14ac:dyDescent="0.25">
      <c r="A118" s="47">
        <v>16</v>
      </c>
      <c r="B118" s="38" t="s">
        <v>165</v>
      </c>
      <c r="C118" s="48"/>
      <c r="D118" s="64"/>
      <c r="E118" s="20"/>
      <c r="F118" s="12"/>
      <c r="G118" s="12"/>
      <c r="H118" s="40"/>
      <c r="I118" s="39"/>
      <c r="J118" s="39"/>
      <c r="K118" s="19"/>
      <c r="L118" s="12"/>
    </row>
    <row r="119" spans="1:13" ht="18" customHeight="1" x14ac:dyDescent="0.25">
      <c r="A119" s="55" t="s">
        <v>226</v>
      </c>
      <c r="B119" s="10" t="s">
        <v>166</v>
      </c>
      <c r="C119" s="13" t="s">
        <v>9</v>
      </c>
      <c r="D119" s="60">
        <v>100</v>
      </c>
      <c r="E119" s="14"/>
      <c r="F119" s="12">
        <f t="shared" ref="F119:F120" si="142">ROUND(E119*D119,2)</f>
        <v>0</v>
      </c>
      <c r="G119" s="12">
        <f t="shared" ref="G119:G120" si="143">ROUND(F119*1.2,2)</f>
        <v>0</v>
      </c>
      <c r="H119" s="15"/>
      <c r="I119" s="16"/>
      <c r="J119" s="16"/>
      <c r="K119" s="19">
        <f t="shared" ref="K119:K121" si="144">F119+I119</f>
        <v>0</v>
      </c>
      <c r="L119" s="12">
        <f t="shared" ref="L119:L121" si="145">G119+J119</f>
        <v>0</v>
      </c>
    </row>
    <row r="120" spans="1:13" ht="18" customHeight="1" x14ac:dyDescent="0.25">
      <c r="A120" s="55" t="s">
        <v>227</v>
      </c>
      <c r="B120" s="10" t="s">
        <v>167</v>
      </c>
      <c r="C120" s="68" t="s">
        <v>9</v>
      </c>
      <c r="D120" s="60">
        <v>100</v>
      </c>
      <c r="E120" s="14">
        <v>2763.21</v>
      </c>
      <c r="F120" s="12">
        <f t="shared" si="142"/>
        <v>276321</v>
      </c>
      <c r="G120" s="12">
        <f t="shared" si="143"/>
        <v>331585.2</v>
      </c>
      <c r="H120" s="15"/>
      <c r="I120" s="16"/>
      <c r="J120" s="16"/>
      <c r="K120" s="19">
        <f t="shared" si="144"/>
        <v>276321</v>
      </c>
      <c r="L120" s="12">
        <f t="shared" si="145"/>
        <v>331585.2</v>
      </c>
      <c r="M120" t="s">
        <v>133</v>
      </c>
    </row>
    <row r="121" spans="1:13" ht="18" customHeight="1" x14ac:dyDescent="0.25">
      <c r="A121" s="41" t="s">
        <v>228</v>
      </c>
      <c r="B121" s="42" t="s">
        <v>128</v>
      </c>
      <c r="C121" s="43" t="s">
        <v>9</v>
      </c>
      <c r="D121" s="84">
        <v>100</v>
      </c>
      <c r="E121" s="44"/>
      <c r="F121" s="29"/>
      <c r="G121" s="29"/>
      <c r="H121" s="45">
        <v>13750</v>
      </c>
      <c r="I121" s="45">
        <f t="shared" ref="I121" si="146">ROUND(H121*D121,2)</f>
        <v>1375000</v>
      </c>
      <c r="J121" s="45">
        <f t="shared" ref="J121" si="147">ROUND(I121*1.2,2)</f>
        <v>1650000</v>
      </c>
      <c r="K121" s="46">
        <f t="shared" si="144"/>
        <v>1375000</v>
      </c>
      <c r="L121" s="29">
        <f t="shared" si="145"/>
        <v>1650000</v>
      </c>
      <c r="M121" t="s">
        <v>134</v>
      </c>
    </row>
    <row r="122" spans="1:13" ht="18" customHeight="1" x14ac:dyDescent="0.25">
      <c r="A122" s="41" t="s">
        <v>229</v>
      </c>
      <c r="B122" s="42" t="s">
        <v>112</v>
      </c>
      <c r="C122" s="43" t="s">
        <v>10</v>
      </c>
      <c r="D122" s="84"/>
      <c r="E122" s="44"/>
      <c r="F122" s="29"/>
      <c r="G122" s="29"/>
      <c r="H122" s="45"/>
      <c r="I122" s="45"/>
      <c r="J122" s="45"/>
      <c r="K122" s="46"/>
      <c r="L122" s="29"/>
    </row>
    <row r="123" spans="1:13" x14ac:dyDescent="0.25">
      <c r="A123" s="137" t="s">
        <v>11</v>
      </c>
      <c r="B123" s="138"/>
      <c r="C123" s="138"/>
      <c r="D123" s="138"/>
      <c r="E123" s="139"/>
      <c r="F123" s="17">
        <f>SUM(F7:F122)</f>
        <v>2142406.13</v>
      </c>
      <c r="G123" s="17">
        <f>ROUND(F123*1.2,2)</f>
        <v>2570887.36</v>
      </c>
      <c r="I123" s="17">
        <f>SUM(I7:I122)</f>
        <v>2676741.16</v>
      </c>
      <c r="J123" s="17">
        <f>ROUND(I123*1.2,2)</f>
        <v>3212089.39</v>
      </c>
      <c r="K123" s="17">
        <f>SUM(K7:K122)</f>
        <v>4819147.29</v>
      </c>
      <c r="L123" s="17">
        <f>ROUND(K123*1.2,2)</f>
        <v>5782976.75</v>
      </c>
    </row>
  </sheetData>
  <mergeCells count="11">
    <mergeCell ref="H3:J3"/>
    <mergeCell ref="K3:L3"/>
    <mergeCell ref="E1:L2"/>
    <mergeCell ref="A123:E123"/>
    <mergeCell ref="A1:A4"/>
    <mergeCell ref="B1:B4"/>
    <mergeCell ref="C1:C4"/>
    <mergeCell ref="D1:D4"/>
    <mergeCell ref="B75:D75"/>
    <mergeCell ref="E3:G3"/>
    <mergeCell ref="B6:D6"/>
  </mergeCells>
  <pageMargins left="0.7" right="0.7" top="0.75" bottom="0.75" header="0.3" footer="0.3"/>
  <pageSetup paperSize="9" scale="38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71"/>
  <sheetViews>
    <sheetView tabSelected="1" view="pageBreakPreview" zoomScaleNormal="100" zoomScaleSheetLayoutView="100" workbookViewId="0">
      <selection activeCell="G49" sqref="G49"/>
    </sheetView>
  </sheetViews>
  <sheetFormatPr defaultColWidth="8.85546875" defaultRowHeight="15" x14ac:dyDescent="0.25"/>
  <cols>
    <col min="1" max="1" width="9.42578125" customWidth="1"/>
    <col min="2" max="2" width="65.140625" customWidth="1"/>
    <col min="3" max="3" width="9.28515625" style="63" customWidth="1"/>
    <col min="4" max="4" width="10.140625" style="102" bestFit="1" customWidth="1"/>
    <col min="5" max="5" width="15.140625" customWidth="1"/>
    <col min="6" max="6" width="16" customWidth="1"/>
    <col min="7" max="7" width="17.140625" style="1" customWidth="1"/>
    <col min="8" max="8" width="16.140625" style="1" customWidth="1"/>
    <col min="9" max="12" width="16.140625" customWidth="1"/>
  </cols>
  <sheetData>
    <row r="1" spans="1:12" ht="14.45" customHeight="1" x14ac:dyDescent="0.25">
      <c r="A1" s="140" t="s">
        <v>0</v>
      </c>
      <c r="B1" s="143" t="s">
        <v>1</v>
      </c>
      <c r="C1" s="132" t="s">
        <v>2</v>
      </c>
      <c r="D1" s="132" t="s">
        <v>3</v>
      </c>
      <c r="E1" s="133" t="s">
        <v>14</v>
      </c>
      <c r="F1" s="134"/>
      <c r="G1" s="134"/>
      <c r="H1" s="134"/>
      <c r="I1" s="134"/>
      <c r="J1" s="134"/>
      <c r="K1" s="134"/>
      <c r="L1" s="134"/>
    </row>
    <row r="2" spans="1:12" ht="14.45" customHeight="1" x14ac:dyDescent="0.25">
      <c r="A2" s="141"/>
      <c r="B2" s="144"/>
      <c r="C2" s="132"/>
      <c r="D2" s="132"/>
      <c r="E2" s="135"/>
      <c r="F2" s="136"/>
      <c r="G2" s="136"/>
      <c r="H2" s="136"/>
      <c r="I2" s="136"/>
      <c r="J2" s="136"/>
      <c r="K2" s="136"/>
      <c r="L2" s="136"/>
    </row>
    <row r="3" spans="1:12" ht="27.75" customHeight="1" x14ac:dyDescent="0.25">
      <c r="A3" s="141"/>
      <c r="B3" s="144"/>
      <c r="C3" s="132"/>
      <c r="D3" s="132"/>
      <c r="E3" s="132" t="s">
        <v>25</v>
      </c>
      <c r="F3" s="132"/>
      <c r="G3" s="132"/>
      <c r="H3" s="132" t="s">
        <v>26</v>
      </c>
      <c r="I3" s="132"/>
      <c r="J3" s="132"/>
      <c r="K3" s="129" t="s">
        <v>36</v>
      </c>
      <c r="L3" s="129"/>
    </row>
    <row r="4" spans="1:12" ht="56.1" customHeight="1" x14ac:dyDescent="0.25">
      <c r="A4" s="142"/>
      <c r="B4" s="145"/>
      <c r="C4" s="132"/>
      <c r="D4" s="132"/>
      <c r="E4" s="2" t="s">
        <v>4</v>
      </c>
      <c r="F4" s="2" t="s">
        <v>5</v>
      </c>
      <c r="G4" s="3" t="s">
        <v>6</v>
      </c>
      <c r="H4" s="2" t="s">
        <v>4</v>
      </c>
      <c r="I4" s="2" t="s">
        <v>5</v>
      </c>
      <c r="J4" s="3" t="s">
        <v>6</v>
      </c>
      <c r="K4" s="2" t="s">
        <v>27</v>
      </c>
      <c r="L4" s="2" t="s">
        <v>18</v>
      </c>
    </row>
    <row r="5" spans="1:12" x14ac:dyDescent="0.25">
      <c r="A5" s="104">
        <v>1</v>
      </c>
      <c r="B5" s="105">
        <v>2</v>
      </c>
      <c r="C5" s="105">
        <v>3</v>
      </c>
      <c r="D5" s="128">
        <v>4</v>
      </c>
      <c r="E5" s="105">
        <v>5</v>
      </c>
      <c r="F5" s="105">
        <v>6</v>
      </c>
      <c r="G5" s="105">
        <v>7</v>
      </c>
      <c r="H5" s="89">
        <v>8</v>
      </c>
      <c r="I5" s="89">
        <v>9</v>
      </c>
      <c r="J5" s="89">
        <v>10</v>
      </c>
      <c r="K5" s="89">
        <v>11</v>
      </c>
      <c r="L5" s="89">
        <v>12</v>
      </c>
    </row>
    <row r="6" spans="1:12" ht="21.75" customHeight="1" x14ac:dyDescent="0.25">
      <c r="A6" s="149" t="s">
        <v>241</v>
      </c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1"/>
    </row>
    <row r="7" spans="1:12" ht="28.5" customHeight="1" x14ac:dyDescent="0.25">
      <c r="A7" s="55" t="s">
        <v>244</v>
      </c>
      <c r="B7" s="10" t="s">
        <v>231</v>
      </c>
      <c r="C7" s="13" t="s">
        <v>7</v>
      </c>
      <c r="D7" s="100">
        <f>ROUND(D8*3.5*0.2,2)</f>
        <v>175</v>
      </c>
      <c r="E7" s="95">
        <v>1800</v>
      </c>
      <c r="F7" s="12">
        <f>ROUND(E7*D7,2)</f>
        <v>315000</v>
      </c>
      <c r="G7" s="12">
        <f>ROUND(F7*1.2,2)</f>
        <v>378000</v>
      </c>
      <c r="H7" s="11"/>
      <c r="I7" s="16"/>
      <c r="J7" s="16"/>
      <c r="K7" s="19">
        <f t="shared" ref="K7:K8" si="0">F7+I7</f>
        <v>315000</v>
      </c>
      <c r="L7" s="12">
        <f t="shared" ref="L7:L8" si="1">G7+J7</f>
        <v>378000</v>
      </c>
    </row>
    <row r="8" spans="1:12" ht="18.75" customHeight="1" x14ac:dyDescent="0.25">
      <c r="A8" s="55">
        <f>A7+1</f>
        <v>2</v>
      </c>
      <c r="B8" s="10" t="s">
        <v>240</v>
      </c>
      <c r="C8" s="13" t="s">
        <v>9</v>
      </c>
      <c r="D8" s="100">
        <v>250</v>
      </c>
      <c r="E8" s="95">
        <v>1979.8</v>
      </c>
      <c r="F8" s="12">
        <f t="shared" ref="F8" si="2">ROUND(E8*D8,2)</f>
        <v>494950</v>
      </c>
      <c r="G8" s="12">
        <f t="shared" ref="G8:G9" si="3">ROUND(F8*1.2,2)</f>
        <v>593940</v>
      </c>
      <c r="H8" s="11"/>
      <c r="I8" s="16"/>
      <c r="J8" s="16"/>
      <c r="K8" s="19">
        <f t="shared" si="0"/>
        <v>494950</v>
      </c>
      <c r="L8" s="12">
        <f t="shared" si="1"/>
        <v>593940</v>
      </c>
    </row>
    <row r="9" spans="1:12" ht="28.5" customHeight="1" x14ac:dyDescent="0.25">
      <c r="A9" s="55">
        <f t="shared" ref="A9:A12" si="4">A8+1</f>
        <v>3</v>
      </c>
      <c r="B9" s="10" t="s">
        <v>256</v>
      </c>
      <c r="C9" s="13" t="s">
        <v>149</v>
      </c>
      <c r="D9" s="98">
        <v>1</v>
      </c>
      <c r="E9" s="95">
        <v>48600</v>
      </c>
      <c r="F9" s="12">
        <f t="shared" ref="F9" si="5">ROUND(E9*D9,2)</f>
        <v>48600</v>
      </c>
      <c r="G9" s="12">
        <f t="shared" si="3"/>
        <v>58320</v>
      </c>
      <c r="H9" s="11"/>
      <c r="I9" s="16"/>
      <c r="J9" s="16"/>
      <c r="K9" s="19">
        <f t="shared" ref="K9" si="6">F9+I9</f>
        <v>48600</v>
      </c>
      <c r="L9" s="12">
        <f t="shared" ref="L9" si="7">G9+J9</f>
        <v>58320</v>
      </c>
    </row>
    <row r="10" spans="1:12" ht="21.75" customHeight="1" x14ac:dyDescent="0.25">
      <c r="A10" s="55">
        <f t="shared" si="4"/>
        <v>4</v>
      </c>
      <c r="B10" s="10" t="s">
        <v>294</v>
      </c>
      <c r="C10" s="13" t="s">
        <v>7</v>
      </c>
      <c r="D10" s="100">
        <f>ROUND(D8*3.5*0.55,2)</f>
        <v>481.25</v>
      </c>
      <c r="E10" s="95">
        <v>1630</v>
      </c>
      <c r="F10" s="12">
        <f t="shared" ref="F10" si="8">ROUND(E10*D10,2)</f>
        <v>784437.5</v>
      </c>
      <c r="G10" s="12">
        <f t="shared" ref="G10:G11" si="9">ROUND(F10*1.2,2)</f>
        <v>941325</v>
      </c>
      <c r="H10" s="11"/>
      <c r="I10" s="16"/>
      <c r="J10" s="16"/>
      <c r="K10" s="19">
        <f t="shared" ref="K10" si="10">F10+I10</f>
        <v>784437.5</v>
      </c>
      <c r="L10" s="12">
        <f t="shared" ref="L10" si="11">G10+J10</f>
        <v>941325</v>
      </c>
    </row>
    <row r="11" spans="1:12" ht="30.75" customHeight="1" x14ac:dyDescent="0.25">
      <c r="A11" s="55">
        <f t="shared" si="4"/>
        <v>5</v>
      </c>
      <c r="B11" s="10" t="s">
        <v>299</v>
      </c>
      <c r="C11" s="13" t="s">
        <v>15</v>
      </c>
      <c r="D11" s="100">
        <f>ROUND((D7+D10)*1.4,2)</f>
        <v>918.75</v>
      </c>
      <c r="E11" s="95">
        <v>700</v>
      </c>
      <c r="F11" s="12">
        <f t="shared" ref="F11" si="12">ROUND(E11*D11,2)</f>
        <v>643125</v>
      </c>
      <c r="G11" s="12">
        <f t="shared" si="9"/>
        <v>771750</v>
      </c>
      <c r="H11" s="11"/>
      <c r="I11" s="16"/>
      <c r="J11" s="16"/>
      <c r="K11" s="19">
        <f t="shared" ref="K11" si="13">F11+I11</f>
        <v>643125</v>
      </c>
      <c r="L11" s="12">
        <f t="shared" ref="L11" si="14">G11+J11</f>
        <v>771750</v>
      </c>
    </row>
    <row r="12" spans="1:12" ht="28.5" customHeight="1" x14ac:dyDescent="0.25">
      <c r="A12" s="55">
        <f t="shared" si="4"/>
        <v>6</v>
      </c>
      <c r="B12" s="10" t="s">
        <v>236</v>
      </c>
      <c r="C12" s="13" t="s">
        <v>15</v>
      </c>
      <c r="D12" s="99">
        <f>ROUND(21.8*2+336.23*D8/1000,2)</f>
        <v>127.66</v>
      </c>
      <c r="E12" s="95">
        <v>1140</v>
      </c>
      <c r="F12" s="12">
        <f t="shared" ref="F12" si="15">ROUND(E12*D12,2)</f>
        <v>145532.4</v>
      </c>
      <c r="G12" s="12">
        <f t="shared" ref="G12" si="16">ROUND(F12*1.2,2)</f>
        <v>174638.88</v>
      </c>
      <c r="H12" s="11"/>
      <c r="I12" s="16"/>
      <c r="J12" s="16"/>
      <c r="K12" s="19">
        <f t="shared" ref="K12" si="17">F12+I12</f>
        <v>145532.4</v>
      </c>
      <c r="L12" s="12">
        <f t="shared" ref="L12" si="18">G12+J12</f>
        <v>174638.88</v>
      </c>
    </row>
    <row r="13" spans="1:12" ht="22.5" customHeight="1" x14ac:dyDescent="0.25">
      <c r="A13" s="152" t="s">
        <v>245</v>
      </c>
      <c r="B13" s="153"/>
      <c r="C13" s="153"/>
      <c r="D13" s="153"/>
      <c r="E13" s="153"/>
      <c r="F13" s="153"/>
      <c r="G13" s="153"/>
      <c r="H13" s="153"/>
      <c r="I13" s="153"/>
      <c r="J13" s="153"/>
      <c r="K13" s="153"/>
      <c r="L13" s="154"/>
    </row>
    <row r="14" spans="1:12" ht="28.5" customHeight="1" x14ac:dyDescent="0.25">
      <c r="A14" s="55" t="s">
        <v>244</v>
      </c>
      <c r="B14" s="10" t="s">
        <v>295</v>
      </c>
      <c r="C14" s="13" t="s">
        <v>8</v>
      </c>
      <c r="D14" s="100">
        <v>875</v>
      </c>
      <c r="E14" s="95">
        <v>101.5</v>
      </c>
      <c r="F14" s="12">
        <f t="shared" ref="F14:F15" si="19">ROUND(E14*D14,2)</f>
        <v>88812.5</v>
      </c>
      <c r="G14" s="12">
        <f t="shared" ref="G14:G22" si="20">ROUND(F14*1.2,2)</f>
        <v>106575</v>
      </c>
      <c r="H14" s="11"/>
      <c r="I14" s="16"/>
      <c r="J14" s="16"/>
      <c r="K14" s="19">
        <f t="shared" ref="K14:K15" si="21">F14+I14</f>
        <v>88812.5</v>
      </c>
      <c r="L14" s="12">
        <f t="shared" ref="L14:L15" si="22">G14+J14</f>
        <v>106575</v>
      </c>
    </row>
    <row r="15" spans="1:12" ht="17.25" customHeight="1" x14ac:dyDescent="0.25">
      <c r="A15" s="55">
        <f>A14+1</f>
        <v>2</v>
      </c>
      <c r="B15" s="10" t="s">
        <v>296</v>
      </c>
      <c r="C15" s="13" t="s">
        <v>8</v>
      </c>
      <c r="D15" s="100">
        <v>1000</v>
      </c>
      <c r="E15" s="95">
        <v>52.98</v>
      </c>
      <c r="F15" s="12">
        <f t="shared" si="19"/>
        <v>52980</v>
      </c>
      <c r="G15" s="12">
        <f t="shared" si="20"/>
        <v>63576</v>
      </c>
      <c r="H15" s="11"/>
      <c r="I15" s="16"/>
      <c r="J15" s="16"/>
      <c r="K15" s="19">
        <f t="shared" si="21"/>
        <v>52980</v>
      </c>
      <c r="L15" s="12">
        <f t="shared" si="22"/>
        <v>63576</v>
      </c>
    </row>
    <row r="16" spans="1:12" ht="18.75" customHeight="1" x14ac:dyDescent="0.25">
      <c r="A16" s="88" t="s">
        <v>44</v>
      </c>
      <c r="B16" s="91" t="s">
        <v>63</v>
      </c>
      <c r="C16" s="92" t="s">
        <v>8</v>
      </c>
      <c r="D16" s="101">
        <f>D15*1.1</f>
        <v>1100</v>
      </c>
      <c r="E16" s="86"/>
      <c r="F16" s="86"/>
      <c r="G16" s="86"/>
      <c r="H16" s="96">
        <v>67</v>
      </c>
      <c r="I16" s="86">
        <f t="shared" ref="I16" si="23">ROUND(H16*D16,2)</f>
        <v>73700</v>
      </c>
      <c r="J16" s="86">
        <f t="shared" ref="J16" si="24">ROUND(I16*1.2,2)</f>
        <v>88440</v>
      </c>
      <c r="K16" s="87">
        <f>F16+I16</f>
        <v>73700</v>
      </c>
      <c r="L16" s="86">
        <f>G16+J16</f>
        <v>88440</v>
      </c>
    </row>
    <row r="17" spans="1:12" ht="27.75" customHeight="1" x14ac:dyDescent="0.25">
      <c r="A17" s="55">
        <f>A15+1</f>
        <v>3</v>
      </c>
      <c r="B17" s="10" t="s">
        <v>297</v>
      </c>
      <c r="C17" s="13" t="s">
        <v>7</v>
      </c>
      <c r="D17" s="100">
        <v>175</v>
      </c>
      <c r="E17" s="19">
        <v>1310.05</v>
      </c>
      <c r="F17" s="12">
        <f t="shared" ref="F17" si="25">ROUND(E17*D17,2)</f>
        <v>229258.75</v>
      </c>
      <c r="G17" s="12">
        <f t="shared" si="20"/>
        <v>275110.5</v>
      </c>
      <c r="H17" s="11"/>
      <c r="I17" s="16"/>
      <c r="J17" s="16"/>
      <c r="K17" s="19">
        <f t="shared" ref="K17" si="26">F17+I17</f>
        <v>229258.75</v>
      </c>
      <c r="L17" s="12">
        <f t="shared" ref="L17" si="27">G17+J17</f>
        <v>275110.5</v>
      </c>
    </row>
    <row r="18" spans="1:12" ht="20.25" customHeight="1" x14ac:dyDescent="0.25">
      <c r="A18" s="88" t="s">
        <v>43</v>
      </c>
      <c r="B18" s="91" t="s">
        <v>242</v>
      </c>
      <c r="C18" s="94" t="s">
        <v>7</v>
      </c>
      <c r="D18" s="101">
        <f>ROUND(D17*1.2,2)</f>
        <v>210</v>
      </c>
      <c r="E18" s="86"/>
      <c r="F18" s="86"/>
      <c r="G18" s="86"/>
      <c r="H18" s="96">
        <v>1200</v>
      </c>
      <c r="I18" s="86">
        <f t="shared" ref="I18" si="28">ROUND(H18*D18,2)</f>
        <v>252000</v>
      </c>
      <c r="J18" s="86">
        <f t="shared" ref="J18" si="29">ROUND(I18*1.2,2)</f>
        <v>302400</v>
      </c>
      <c r="K18" s="87">
        <f>F18+I18</f>
        <v>252000</v>
      </c>
      <c r="L18" s="86">
        <f>G18+J18</f>
        <v>302400</v>
      </c>
    </row>
    <row r="19" spans="1:12" ht="27" customHeight="1" x14ac:dyDescent="0.25">
      <c r="A19" s="55">
        <f>A17+1</f>
        <v>4</v>
      </c>
      <c r="B19" s="10" t="s">
        <v>298</v>
      </c>
      <c r="C19" s="13" t="s">
        <v>7</v>
      </c>
      <c r="D19" s="100">
        <v>306.25</v>
      </c>
      <c r="E19" s="90">
        <v>2573.7399999999998</v>
      </c>
      <c r="F19" s="12">
        <f t="shared" ref="F19" si="30">ROUND(E19*D19,2)</f>
        <v>788207.88</v>
      </c>
      <c r="G19" s="12">
        <f t="shared" si="20"/>
        <v>945849.46</v>
      </c>
      <c r="H19" s="11"/>
      <c r="I19" s="16"/>
      <c r="J19" s="16"/>
      <c r="K19" s="19">
        <f t="shared" ref="K19" si="31">F19+I19</f>
        <v>788207.88</v>
      </c>
      <c r="L19" s="12">
        <f t="shared" ref="L19" si="32">G19+J19</f>
        <v>945849.46</v>
      </c>
    </row>
    <row r="20" spans="1:12" ht="18" customHeight="1" x14ac:dyDescent="0.25">
      <c r="A20" s="88" t="s">
        <v>42</v>
      </c>
      <c r="B20" s="97" t="s">
        <v>12</v>
      </c>
      <c r="C20" s="94" t="s">
        <v>7</v>
      </c>
      <c r="D20" s="101">
        <f>ROUND(D19*1.17,2)</f>
        <v>358.31</v>
      </c>
      <c r="E20" s="86"/>
      <c r="F20" s="86"/>
      <c r="G20" s="86"/>
      <c r="H20" s="86">
        <v>3925</v>
      </c>
      <c r="I20" s="86">
        <f t="shared" ref="I20" si="33">ROUND(H20*D20,2)</f>
        <v>1406366.75</v>
      </c>
      <c r="J20" s="86">
        <f t="shared" ref="J20" si="34">ROUND(I20*1.2,2)</f>
        <v>1687640.1</v>
      </c>
      <c r="K20" s="87">
        <f>F20+I20</f>
        <v>1406366.75</v>
      </c>
      <c r="L20" s="86">
        <f>G20+J20</f>
        <v>1687640.1</v>
      </c>
    </row>
    <row r="21" spans="1:12" ht="18.75" customHeight="1" x14ac:dyDescent="0.25">
      <c r="A21" s="55">
        <f>A19+1</f>
        <v>5</v>
      </c>
      <c r="B21" s="10" t="s">
        <v>238</v>
      </c>
      <c r="C21" s="13" t="s">
        <v>8</v>
      </c>
      <c r="D21" s="100">
        <v>875</v>
      </c>
      <c r="E21" s="95">
        <v>203</v>
      </c>
      <c r="F21" s="12">
        <f t="shared" ref="F21:F22" si="35">ROUND(E21*D21,2)</f>
        <v>177625</v>
      </c>
      <c r="G21" s="12">
        <f t="shared" si="20"/>
        <v>213150</v>
      </c>
      <c r="H21" s="11"/>
      <c r="I21" s="16"/>
      <c r="J21" s="16"/>
      <c r="K21" s="19">
        <f t="shared" ref="K21:K22" si="36">F21+I21</f>
        <v>177625</v>
      </c>
      <c r="L21" s="12">
        <f t="shared" ref="L21:L22" si="37">G21+J21</f>
        <v>213150</v>
      </c>
    </row>
    <row r="22" spans="1:12" ht="28.5" customHeight="1" x14ac:dyDescent="0.25">
      <c r="A22" s="55">
        <f t="shared" ref="A22" si="38">A21+1</f>
        <v>6</v>
      </c>
      <c r="B22" s="10" t="s">
        <v>243</v>
      </c>
      <c r="C22" s="13" t="s">
        <v>9</v>
      </c>
      <c r="D22" s="100">
        <v>250</v>
      </c>
      <c r="E22" s="95">
        <v>2817.6</v>
      </c>
      <c r="F22" s="12">
        <f t="shared" si="35"/>
        <v>704400</v>
      </c>
      <c r="G22" s="12">
        <f t="shared" si="20"/>
        <v>845280</v>
      </c>
      <c r="H22" s="11"/>
      <c r="I22" s="16"/>
      <c r="J22" s="16"/>
      <c r="K22" s="19">
        <f t="shared" si="36"/>
        <v>704400</v>
      </c>
      <c r="L22" s="12">
        <f t="shared" si="37"/>
        <v>845280</v>
      </c>
    </row>
    <row r="23" spans="1:12" ht="22.5" customHeight="1" x14ac:dyDescent="0.25">
      <c r="A23" s="88" t="s">
        <v>28</v>
      </c>
      <c r="B23" s="91" t="s">
        <v>246</v>
      </c>
      <c r="C23" s="92" t="s">
        <v>247</v>
      </c>
      <c r="D23" s="158">
        <v>500</v>
      </c>
      <c r="E23" s="159"/>
      <c r="F23" s="86"/>
      <c r="G23" s="86"/>
      <c r="H23" s="160"/>
      <c r="I23" s="86"/>
      <c r="J23" s="86"/>
      <c r="K23" s="87"/>
      <c r="L23" s="86"/>
    </row>
    <row r="24" spans="1:12" ht="22.5" customHeight="1" x14ac:dyDescent="0.25">
      <c r="A24" s="88" t="s">
        <v>62</v>
      </c>
      <c r="B24" s="91" t="s">
        <v>248</v>
      </c>
      <c r="C24" s="92" t="s">
        <v>149</v>
      </c>
      <c r="D24" s="158">
        <v>460</v>
      </c>
      <c r="E24" s="159"/>
      <c r="F24" s="86"/>
      <c r="G24" s="86"/>
      <c r="H24" s="160"/>
      <c r="I24" s="86"/>
      <c r="J24" s="86"/>
      <c r="K24" s="87"/>
      <c r="L24" s="86"/>
    </row>
    <row r="25" spans="1:12" ht="22.5" customHeight="1" x14ac:dyDescent="0.25">
      <c r="A25" s="88" t="s">
        <v>73</v>
      </c>
      <c r="B25" s="91" t="s">
        <v>249</v>
      </c>
      <c r="C25" s="92" t="s">
        <v>149</v>
      </c>
      <c r="D25" s="158">
        <v>84</v>
      </c>
      <c r="E25" s="159"/>
      <c r="F25" s="86"/>
      <c r="G25" s="86"/>
      <c r="H25" s="160"/>
      <c r="I25" s="86"/>
      <c r="J25" s="86"/>
      <c r="K25" s="87"/>
      <c r="L25" s="86"/>
    </row>
    <row r="26" spans="1:12" ht="22.5" customHeight="1" x14ac:dyDescent="0.25">
      <c r="A26" s="88" t="s">
        <v>74</v>
      </c>
      <c r="B26" s="91" t="s">
        <v>253</v>
      </c>
      <c r="C26" s="92" t="s">
        <v>149</v>
      </c>
      <c r="D26" s="158">
        <v>252</v>
      </c>
      <c r="E26" s="159"/>
      <c r="F26" s="86"/>
      <c r="G26" s="86"/>
      <c r="H26" s="160"/>
      <c r="I26" s="86"/>
      <c r="J26" s="86"/>
      <c r="K26" s="87"/>
      <c r="L26" s="86"/>
    </row>
    <row r="27" spans="1:12" ht="22.5" customHeight="1" x14ac:dyDescent="0.25">
      <c r="A27" s="88" t="s">
        <v>75</v>
      </c>
      <c r="B27" s="91" t="s">
        <v>250</v>
      </c>
      <c r="C27" s="92" t="s">
        <v>149</v>
      </c>
      <c r="D27" s="158">
        <v>920</v>
      </c>
      <c r="E27" s="159"/>
      <c r="F27" s="86"/>
      <c r="G27" s="86"/>
      <c r="H27" s="160"/>
      <c r="I27" s="86"/>
      <c r="J27" s="86"/>
      <c r="K27" s="87"/>
      <c r="L27" s="86"/>
    </row>
    <row r="28" spans="1:12" ht="22.5" customHeight="1" x14ac:dyDescent="0.25">
      <c r="A28" s="88" t="s">
        <v>76</v>
      </c>
      <c r="B28" s="91" t="s">
        <v>251</v>
      </c>
      <c r="C28" s="92" t="s">
        <v>149</v>
      </c>
      <c r="D28" s="158">
        <v>920</v>
      </c>
      <c r="E28" s="159"/>
      <c r="F28" s="86"/>
      <c r="G28" s="86"/>
      <c r="H28" s="160"/>
      <c r="I28" s="86"/>
      <c r="J28" s="86"/>
      <c r="K28" s="87"/>
      <c r="L28" s="86"/>
    </row>
    <row r="29" spans="1:12" ht="22.5" customHeight="1" x14ac:dyDescent="0.25">
      <c r="A29" s="88" t="s">
        <v>77</v>
      </c>
      <c r="B29" s="91" t="s">
        <v>252</v>
      </c>
      <c r="C29" s="92" t="s">
        <v>149</v>
      </c>
      <c r="D29" s="158">
        <v>920</v>
      </c>
      <c r="E29" s="159"/>
      <c r="F29" s="86"/>
      <c r="G29" s="86"/>
      <c r="H29" s="160"/>
      <c r="I29" s="86"/>
      <c r="J29" s="86"/>
      <c r="K29" s="87"/>
      <c r="L29" s="86"/>
    </row>
    <row r="30" spans="1:12" ht="22.5" customHeight="1" x14ac:dyDescent="0.25">
      <c r="A30" s="88" t="s">
        <v>78</v>
      </c>
      <c r="B30" s="91" t="s">
        <v>254</v>
      </c>
      <c r="C30" s="92" t="s">
        <v>149</v>
      </c>
      <c r="D30" s="158">
        <v>1840</v>
      </c>
      <c r="E30" s="159"/>
      <c r="F30" s="86"/>
      <c r="G30" s="86"/>
      <c r="H30" s="160"/>
      <c r="I30" s="86"/>
      <c r="J30" s="86"/>
      <c r="K30" s="87"/>
      <c r="L30" s="86"/>
    </row>
    <row r="31" spans="1:12" ht="22.5" customHeight="1" x14ac:dyDescent="0.25">
      <c r="A31" s="88" t="s">
        <v>79</v>
      </c>
      <c r="B31" s="91" t="s">
        <v>255</v>
      </c>
      <c r="C31" s="92" t="s">
        <v>149</v>
      </c>
      <c r="D31" s="158">
        <v>1840</v>
      </c>
      <c r="E31" s="159"/>
      <c r="F31" s="86"/>
      <c r="G31" s="86"/>
      <c r="H31" s="160"/>
      <c r="I31" s="86"/>
      <c r="J31" s="86"/>
      <c r="K31" s="87"/>
      <c r="L31" s="86"/>
    </row>
    <row r="32" spans="1:12" ht="22.5" customHeight="1" x14ac:dyDescent="0.25">
      <c r="A32" s="55">
        <f>A22+1</f>
        <v>7</v>
      </c>
      <c r="B32" s="10" t="s">
        <v>239</v>
      </c>
      <c r="C32" s="13" t="s">
        <v>7</v>
      </c>
      <c r="D32" s="100">
        <f>D22*0.43</f>
        <v>107.5</v>
      </c>
      <c r="E32" s="95">
        <v>1933.2</v>
      </c>
      <c r="F32" s="12">
        <f t="shared" ref="F32" si="39">ROUND(E32*D32,2)</f>
        <v>207819</v>
      </c>
      <c r="G32" s="12">
        <f t="shared" ref="G32" si="40">ROUND(F32*1.2,2)</f>
        <v>249382.8</v>
      </c>
      <c r="H32" s="11"/>
      <c r="I32" s="16">
        <f t="shared" ref="I32" si="41">ROUND(H32*D32,2)</f>
        <v>0</v>
      </c>
      <c r="J32" s="16">
        <f t="shared" ref="J32" si="42">ROUND(I32*1.2,2)</f>
        <v>0</v>
      </c>
      <c r="K32" s="19">
        <f t="shared" ref="K32:K33" si="43">F32+I32</f>
        <v>207819</v>
      </c>
      <c r="L32" s="12">
        <f t="shared" ref="L32:L33" si="44">G32+J32</f>
        <v>249382.8</v>
      </c>
    </row>
    <row r="33" spans="1:12" ht="20.25" customHeight="1" x14ac:dyDescent="0.25">
      <c r="A33" s="88" t="s">
        <v>29</v>
      </c>
      <c r="B33" s="97" t="s">
        <v>12</v>
      </c>
      <c r="C33" s="94" t="s">
        <v>7</v>
      </c>
      <c r="D33" s="101">
        <f>ROUND(D32*1.17,2)</f>
        <v>125.78</v>
      </c>
      <c r="E33" s="86"/>
      <c r="F33" s="86"/>
      <c r="G33" s="86"/>
      <c r="H33" s="86">
        <v>3925</v>
      </c>
      <c r="I33" s="86">
        <f t="shared" ref="I33" si="45">ROUND(H33*D33,2)</f>
        <v>493686.5</v>
      </c>
      <c r="J33" s="86">
        <f t="shared" ref="J33" si="46">ROUND(I33*1.2,2)</f>
        <v>592423.80000000005</v>
      </c>
      <c r="K33" s="87">
        <f t="shared" si="43"/>
        <v>493686.5</v>
      </c>
      <c r="L33" s="86">
        <f t="shared" si="44"/>
        <v>592423.80000000005</v>
      </c>
    </row>
    <row r="34" spans="1:12" ht="20.25" customHeight="1" x14ac:dyDescent="0.25">
      <c r="A34" s="55">
        <f>A32+1</f>
        <v>8</v>
      </c>
      <c r="B34" s="10" t="s">
        <v>234</v>
      </c>
      <c r="C34" s="13" t="s">
        <v>7</v>
      </c>
      <c r="D34" s="103">
        <f>ROUND(D32*0.1,2)</f>
        <v>10.75</v>
      </c>
      <c r="E34" s="90">
        <v>1449.9</v>
      </c>
      <c r="F34" s="12">
        <f t="shared" ref="F34" si="47">ROUND(E34*D34,2)</f>
        <v>15586.43</v>
      </c>
      <c r="G34" s="12">
        <f t="shared" ref="G34" si="48">ROUND(F34*1.2,2)</f>
        <v>18703.72</v>
      </c>
      <c r="H34" s="11"/>
      <c r="I34" s="16"/>
      <c r="J34" s="16"/>
      <c r="K34" s="19">
        <f t="shared" ref="K34:K35" si="49">F34+I34</f>
        <v>15586.43</v>
      </c>
      <c r="L34" s="12">
        <f t="shared" ref="L34:L35" si="50">G34+J34</f>
        <v>18703.72</v>
      </c>
    </row>
    <row r="35" spans="1:12" ht="20.25" customHeight="1" x14ac:dyDescent="0.25">
      <c r="A35" s="88" t="s">
        <v>29</v>
      </c>
      <c r="B35" s="93" t="s">
        <v>12</v>
      </c>
      <c r="C35" s="94" t="s">
        <v>7</v>
      </c>
      <c r="D35" s="101">
        <f>ROUND(D34*1.17,2)</f>
        <v>12.58</v>
      </c>
      <c r="E35" s="86"/>
      <c r="F35" s="86"/>
      <c r="G35" s="86"/>
      <c r="H35" s="86">
        <v>3925</v>
      </c>
      <c r="I35" s="86">
        <f t="shared" ref="I35" si="51">ROUND(H35*D35,2)</f>
        <v>49376.5</v>
      </c>
      <c r="J35" s="86">
        <f t="shared" ref="J35" si="52">ROUND(I35*1.2,2)</f>
        <v>59251.8</v>
      </c>
      <c r="K35" s="87">
        <f t="shared" si="49"/>
        <v>49376.5</v>
      </c>
      <c r="L35" s="86">
        <f t="shared" si="50"/>
        <v>59251.8</v>
      </c>
    </row>
    <row r="36" spans="1:12" ht="20.25" customHeight="1" x14ac:dyDescent="0.25">
      <c r="A36" s="55">
        <f>A34+1</f>
        <v>9</v>
      </c>
      <c r="B36" s="10" t="s">
        <v>235</v>
      </c>
      <c r="C36" s="13" t="s">
        <v>9</v>
      </c>
      <c r="D36" s="100">
        <v>250</v>
      </c>
      <c r="E36" s="95">
        <v>945.3</v>
      </c>
      <c r="F36" s="12">
        <f t="shared" ref="F36:F37" si="53">ROUND(E36*D36,2)</f>
        <v>236325</v>
      </c>
      <c r="G36" s="12">
        <f t="shared" ref="G36:G37" si="54">ROUND(F36*1.2,2)</f>
        <v>283590</v>
      </c>
      <c r="H36" s="11"/>
      <c r="I36" s="16"/>
      <c r="J36" s="16"/>
      <c r="K36" s="19">
        <f t="shared" ref="K36:K37" si="55">F36+I36</f>
        <v>236325</v>
      </c>
      <c r="L36" s="12">
        <f t="shared" ref="L36:L37" si="56">G36+J36</f>
        <v>283590</v>
      </c>
    </row>
    <row r="37" spans="1:12" ht="20.25" customHeight="1" x14ac:dyDescent="0.25">
      <c r="A37" s="55">
        <f t="shared" ref="A37" si="57">A36+1</f>
        <v>10</v>
      </c>
      <c r="B37" s="10" t="s">
        <v>237</v>
      </c>
      <c r="C37" s="13" t="s">
        <v>9</v>
      </c>
      <c r="D37" s="100">
        <v>250</v>
      </c>
      <c r="E37" s="95">
        <v>1933.2</v>
      </c>
      <c r="F37" s="12">
        <f t="shared" si="53"/>
        <v>483300</v>
      </c>
      <c r="G37" s="12">
        <f t="shared" si="54"/>
        <v>579960</v>
      </c>
      <c r="H37" s="107"/>
      <c r="I37" s="16"/>
      <c r="J37" s="16"/>
      <c r="K37" s="19">
        <f t="shared" si="55"/>
        <v>483300</v>
      </c>
      <c r="L37" s="12">
        <f t="shared" si="56"/>
        <v>579960</v>
      </c>
    </row>
    <row r="38" spans="1:12" ht="20.25" customHeight="1" x14ac:dyDescent="0.25">
      <c r="A38" s="108"/>
      <c r="B38" s="155" t="s">
        <v>263</v>
      </c>
      <c r="C38" s="156"/>
      <c r="D38" s="157"/>
      <c r="E38" s="109"/>
      <c r="F38" s="110"/>
      <c r="G38" s="110"/>
      <c r="H38" s="111"/>
      <c r="I38" s="110"/>
      <c r="J38" s="110"/>
      <c r="K38" s="112"/>
      <c r="L38" s="110"/>
    </row>
    <row r="39" spans="1:12" ht="20.25" customHeight="1" x14ac:dyDescent="0.25">
      <c r="A39" s="55">
        <f>A37+1</f>
        <v>11</v>
      </c>
      <c r="B39" s="113" t="s">
        <v>257</v>
      </c>
      <c r="C39" s="114" t="s">
        <v>10</v>
      </c>
      <c r="D39" s="115">
        <v>12</v>
      </c>
      <c r="E39" s="95">
        <v>10620</v>
      </c>
      <c r="F39" s="12">
        <f t="shared" ref="F39:F44" si="58">ROUND(E39*D39,2)</f>
        <v>127440</v>
      </c>
      <c r="G39" s="12">
        <f t="shared" ref="G39:G44" si="59">ROUND(F39*1.2,2)</f>
        <v>152928</v>
      </c>
      <c r="H39" s="11"/>
      <c r="I39" s="16"/>
      <c r="J39" s="16"/>
      <c r="K39" s="19">
        <f t="shared" ref="K39:L45" si="60">F39+I39</f>
        <v>127440</v>
      </c>
      <c r="L39" s="12">
        <f t="shared" si="60"/>
        <v>152928</v>
      </c>
    </row>
    <row r="40" spans="1:12" ht="20.25" customHeight="1" x14ac:dyDescent="0.25">
      <c r="A40" s="55">
        <f>A39+1</f>
        <v>12</v>
      </c>
      <c r="B40" s="113" t="s">
        <v>258</v>
      </c>
      <c r="C40" s="114" t="s">
        <v>10</v>
      </c>
      <c r="D40" s="115">
        <v>24</v>
      </c>
      <c r="E40" s="95">
        <v>8420</v>
      </c>
      <c r="F40" s="12">
        <f t="shared" si="58"/>
        <v>202080</v>
      </c>
      <c r="G40" s="12">
        <f t="shared" si="59"/>
        <v>242496</v>
      </c>
      <c r="H40" s="11"/>
      <c r="I40" s="16"/>
      <c r="J40" s="16"/>
      <c r="K40" s="19">
        <f t="shared" si="60"/>
        <v>202080</v>
      </c>
      <c r="L40" s="12">
        <f t="shared" si="60"/>
        <v>242496</v>
      </c>
    </row>
    <row r="41" spans="1:12" ht="20.25" customHeight="1" x14ac:dyDescent="0.25">
      <c r="A41" s="55">
        <f t="shared" ref="A41:A42" si="61">A40+1</f>
        <v>13</v>
      </c>
      <c r="B41" s="113" t="s">
        <v>259</v>
      </c>
      <c r="C41" s="114" t="s">
        <v>10</v>
      </c>
      <c r="D41" s="115">
        <v>24</v>
      </c>
      <c r="E41" s="95">
        <v>510</v>
      </c>
      <c r="F41" s="12">
        <f t="shared" si="58"/>
        <v>12240</v>
      </c>
      <c r="G41" s="12">
        <f t="shared" si="59"/>
        <v>14688</v>
      </c>
      <c r="H41" s="11"/>
      <c r="I41" s="16"/>
      <c r="J41" s="16"/>
      <c r="K41" s="19">
        <f t="shared" si="60"/>
        <v>12240</v>
      </c>
      <c r="L41" s="12">
        <f t="shared" si="60"/>
        <v>14688</v>
      </c>
    </row>
    <row r="42" spans="1:12" ht="20.25" customHeight="1" x14ac:dyDescent="0.25">
      <c r="A42" s="55">
        <f t="shared" si="61"/>
        <v>14</v>
      </c>
      <c r="B42" s="113" t="s">
        <v>260</v>
      </c>
      <c r="C42" s="114" t="s">
        <v>10</v>
      </c>
      <c r="D42" s="115">
        <v>12</v>
      </c>
      <c r="E42" s="95">
        <v>510</v>
      </c>
      <c r="F42" s="12">
        <f t="shared" si="58"/>
        <v>6120</v>
      </c>
      <c r="G42" s="12">
        <f t="shared" si="59"/>
        <v>7344</v>
      </c>
      <c r="H42" s="11"/>
      <c r="I42" s="16"/>
      <c r="J42" s="16"/>
      <c r="K42" s="19">
        <f t="shared" si="60"/>
        <v>6120</v>
      </c>
      <c r="L42" s="12">
        <f t="shared" si="60"/>
        <v>7344</v>
      </c>
    </row>
    <row r="43" spans="1:12" ht="20.25" customHeight="1" x14ac:dyDescent="0.25">
      <c r="A43" s="88" t="s">
        <v>39</v>
      </c>
      <c r="B43" s="116" t="s">
        <v>293</v>
      </c>
      <c r="C43" s="117" t="s">
        <v>261</v>
      </c>
      <c r="D43" s="118">
        <v>1</v>
      </c>
      <c r="E43" s="86"/>
      <c r="F43" s="86"/>
      <c r="G43" s="86"/>
      <c r="H43" s="119"/>
      <c r="I43" s="86"/>
      <c r="J43" s="86"/>
      <c r="K43" s="87"/>
      <c r="L43" s="86"/>
    </row>
    <row r="44" spans="1:12" ht="20.25" customHeight="1" x14ac:dyDescent="0.25">
      <c r="A44" s="55">
        <f>A42+1</f>
        <v>15</v>
      </c>
      <c r="B44" s="10" t="s">
        <v>262</v>
      </c>
      <c r="C44" s="13" t="s">
        <v>7</v>
      </c>
      <c r="D44" s="100">
        <f>ROUND(0.43*6.5*3,2)</f>
        <v>8.39</v>
      </c>
      <c r="E44" s="95">
        <v>1933.2</v>
      </c>
      <c r="F44" s="12">
        <f t="shared" si="58"/>
        <v>16219.55</v>
      </c>
      <c r="G44" s="12">
        <f t="shared" si="59"/>
        <v>19463.46</v>
      </c>
      <c r="H44" s="11"/>
      <c r="I44" s="16"/>
      <c r="J44" s="16"/>
      <c r="K44" s="19">
        <f t="shared" si="60"/>
        <v>16219.55</v>
      </c>
      <c r="L44" s="12">
        <f t="shared" si="60"/>
        <v>19463.46</v>
      </c>
    </row>
    <row r="45" spans="1:12" ht="20.25" customHeight="1" x14ac:dyDescent="0.25">
      <c r="A45" s="88" t="s">
        <v>49</v>
      </c>
      <c r="B45" s="116" t="s">
        <v>12</v>
      </c>
      <c r="C45" s="117" t="s">
        <v>7</v>
      </c>
      <c r="D45" s="101">
        <f>ROUND(D44*1.17,2)</f>
        <v>9.82</v>
      </c>
      <c r="E45" s="86"/>
      <c r="F45" s="86"/>
      <c r="G45" s="86"/>
      <c r="H45" s="86">
        <v>3925</v>
      </c>
      <c r="I45" s="86">
        <f t="shared" ref="I45" si="62">ROUND(H45*D45,2)</f>
        <v>38543.5</v>
      </c>
      <c r="J45" s="86">
        <f t="shared" ref="J45" si="63">ROUND(I45*1.2,2)</f>
        <v>46252.2</v>
      </c>
      <c r="K45" s="87">
        <f t="shared" si="60"/>
        <v>38543.5</v>
      </c>
      <c r="L45" s="86">
        <f t="shared" si="60"/>
        <v>46252.2</v>
      </c>
    </row>
    <row r="46" spans="1:12" ht="20.25" customHeight="1" x14ac:dyDescent="0.25">
      <c r="A46" s="137" t="s">
        <v>301</v>
      </c>
      <c r="B46" s="138"/>
      <c r="C46" s="138"/>
      <c r="D46" s="138"/>
      <c r="E46" s="139"/>
      <c r="F46" s="17">
        <f>SUM(F7:F45)</f>
        <v>5780059.0099999988</v>
      </c>
      <c r="G46" s="17">
        <f>SUM(G7:G45)</f>
        <v>6936070.8199999994</v>
      </c>
      <c r="H46" s="106"/>
      <c r="I46" s="17">
        <f t="shared" ref="I46:L46" si="64">SUM(I7:I45)</f>
        <v>2313673.25</v>
      </c>
      <c r="J46" s="17">
        <f t="shared" si="64"/>
        <v>2776407.9000000004</v>
      </c>
      <c r="K46" s="17">
        <f t="shared" si="64"/>
        <v>8093732.2599999988</v>
      </c>
      <c r="L46" s="17">
        <f t="shared" si="64"/>
        <v>9712478.7199999988</v>
      </c>
    </row>
    <row r="47" spans="1:12" ht="20.25" customHeight="1" x14ac:dyDescent="0.25">
      <c r="A47" s="108"/>
      <c r="B47" s="120" t="s">
        <v>279</v>
      </c>
      <c r="C47" s="121"/>
      <c r="D47" s="122"/>
      <c r="E47" s="109"/>
      <c r="F47" s="110"/>
      <c r="G47" s="110"/>
      <c r="H47" s="111"/>
      <c r="I47" s="110"/>
      <c r="J47" s="110"/>
      <c r="K47" s="112"/>
      <c r="L47" s="110"/>
    </row>
    <row r="48" spans="1:12" ht="30" customHeight="1" x14ac:dyDescent="0.25">
      <c r="A48" s="55" t="s">
        <v>280</v>
      </c>
      <c r="B48" s="10" t="s">
        <v>264</v>
      </c>
      <c r="C48" s="13" t="s">
        <v>7</v>
      </c>
      <c r="D48" s="100">
        <v>184.4</v>
      </c>
      <c r="E48" s="95">
        <v>1630</v>
      </c>
      <c r="F48" s="12">
        <f t="shared" ref="F48:F55" si="65">ROUND(E48*D48,2)</f>
        <v>300572</v>
      </c>
      <c r="G48" s="12">
        <f t="shared" ref="G48:G55" si="66">ROUND(F48*1.2,2)</f>
        <v>360686.4</v>
      </c>
      <c r="H48" s="11"/>
      <c r="I48" s="16"/>
      <c r="J48" s="16"/>
      <c r="K48" s="19">
        <f t="shared" ref="K48:L63" si="67">F48+I48</f>
        <v>300572</v>
      </c>
      <c r="L48" s="12">
        <f t="shared" si="67"/>
        <v>360686.4</v>
      </c>
    </row>
    <row r="49" spans="1:12" ht="20.25" customHeight="1" x14ac:dyDescent="0.25">
      <c r="A49" s="55">
        <f>A48+1</f>
        <v>17</v>
      </c>
      <c r="B49" s="10" t="s">
        <v>265</v>
      </c>
      <c r="C49" s="13" t="s">
        <v>8</v>
      </c>
      <c r="D49" s="100">
        <v>214</v>
      </c>
      <c r="E49" s="95">
        <v>101.5</v>
      </c>
      <c r="F49" s="12">
        <f t="shared" si="65"/>
        <v>21721</v>
      </c>
      <c r="G49" s="12">
        <f t="shared" si="66"/>
        <v>26065.200000000001</v>
      </c>
      <c r="H49" s="11"/>
      <c r="I49" s="16"/>
      <c r="J49" s="16"/>
      <c r="K49" s="19">
        <f t="shared" si="67"/>
        <v>21721</v>
      </c>
      <c r="L49" s="12">
        <f t="shared" si="67"/>
        <v>26065.200000000001</v>
      </c>
    </row>
    <row r="50" spans="1:12" ht="20.25" customHeight="1" x14ac:dyDescent="0.25">
      <c r="A50" s="55">
        <f>A49+1</f>
        <v>18</v>
      </c>
      <c r="B50" s="10" t="s">
        <v>232</v>
      </c>
      <c r="C50" s="13" t="s">
        <v>8</v>
      </c>
      <c r="D50" s="100">
        <v>214</v>
      </c>
      <c r="E50" s="95">
        <v>52.98</v>
      </c>
      <c r="F50" s="12">
        <f t="shared" si="65"/>
        <v>11337.72</v>
      </c>
      <c r="G50" s="12">
        <f t="shared" si="66"/>
        <v>13605.26</v>
      </c>
      <c r="H50" s="11"/>
      <c r="I50" s="16"/>
      <c r="J50" s="16"/>
      <c r="K50" s="19">
        <f t="shared" si="67"/>
        <v>11337.72</v>
      </c>
      <c r="L50" s="12">
        <f t="shared" si="67"/>
        <v>13605.26</v>
      </c>
    </row>
    <row r="51" spans="1:12" ht="20.25" customHeight="1" x14ac:dyDescent="0.25">
      <c r="A51" s="88" t="s">
        <v>281</v>
      </c>
      <c r="B51" s="91" t="s">
        <v>63</v>
      </c>
      <c r="C51" s="92" t="s">
        <v>8</v>
      </c>
      <c r="D51" s="101">
        <f>D50*1.1</f>
        <v>235.4</v>
      </c>
      <c r="E51" s="86"/>
      <c r="F51" s="86">
        <f t="shared" si="65"/>
        <v>0</v>
      </c>
      <c r="G51" s="86">
        <f t="shared" si="66"/>
        <v>0</v>
      </c>
      <c r="H51" s="96">
        <v>67</v>
      </c>
      <c r="I51" s="86">
        <f t="shared" ref="I51" si="68">ROUND(H51*D51,2)</f>
        <v>15771.8</v>
      </c>
      <c r="J51" s="86">
        <f t="shared" ref="J51" si="69">ROUND(I51*1.2,2)</f>
        <v>18926.16</v>
      </c>
      <c r="K51" s="87">
        <f t="shared" si="67"/>
        <v>15771.8</v>
      </c>
      <c r="L51" s="86">
        <f t="shared" si="67"/>
        <v>18926.16</v>
      </c>
    </row>
    <row r="52" spans="1:12" ht="20.25" customHeight="1" x14ac:dyDescent="0.25">
      <c r="A52" s="55">
        <f>A50+1</f>
        <v>19</v>
      </c>
      <c r="B52" s="10" t="s">
        <v>233</v>
      </c>
      <c r="C52" s="13" t="s">
        <v>7</v>
      </c>
      <c r="D52" s="100">
        <v>92.2</v>
      </c>
      <c r="E52" s="90">
        <v>2573.7399999999998</v>
      </c>
      <c r="F52" s="12">
        <f t="shared" si="65"/>
        <v>237298.83</v>
      </c>
      <c r="G52" s="12">
        <f t="shared" si="66"/>
        <v>284758.59999999998</v>
      </c>
      <c r="H52" s="11"/>
      <c r="I52" s="16"/>
      <c r="J52" s="16"/>
      <c r="K52" s="19">
        <f t="shared" si="67"/>
        <v>237298.83</v>
      </c>
      <c r="L52" s="12">
        <f t="shared" si="67"/>
        <v>284758.59999999998</v>
      </c>
    </row>
    <row r="53" spans="1:12" ht="20.25" customHeight="1" x14ac:dyDescent="0.25">
      <c r="A53" s="88" t="s">
        <v>282</v>
      </c>
      <c r="B53" s="97" t="s">
        <v>12</v>
      </c>
      <c r="C53" s="94" t="s">
        <v>7</v>
      </c>
      <c r="D53" s="101">
        <f>ROUND(D52*1.17,2)</f>
        <v>107.87</v>
      </c>
      <c r="E53" s="86"/>
      <c r="F53" s="86">
        <f t="shared" si="65"/>
        <v>0</v>
      </c>
      <c r="G53" s="86">
        <f t="shared" si="66"/>
        <v>0</v>
      </c>
      <c r="H53" s="86">
        <v>3925</v>
      </c>
      <c r="I53" s="86">
        <f t="shared" ref="I53" si="70">ROUND(H53*D53,2)</f>
        <v>423389.75</v>
      </c>
      <c r="J53" s="86">
        <f t="shared" ref="J53" si="71">ROUND(I53*1.2,2)</f>
        <v>508067.7</v>
      </c>
      <c r="K53" s="87">
        <f t="shared" si="67"/>
        <v>423389.75</v>
      </c>
      <c r="L53" s="86">
        <f t="shared" si="67"/>
        <v>508067.7</v>
      </c>
    </row>
    <row r="54" spans="1:12" ht="20.25" customHeight="1" x14ac:dyDescent="0.25">
      <c r="A54" s="55">
        <f>A52+1</f>
        <v>20</v>
      </c>
      <c r="B54" s="10" t="s">
        <v>266</v>
      </c>
      <c r="C54" s="13" t="s">
        <v>8</v>
      </c>
      <c r="D54" s="100">
        <v>428</v>
      </c>
      <c r="E54" s="95">
        <v>203</v>
      </c>
      <c r="F54" s="12">
        <f t="shared" si="65"/>
        <v>86884</v>
      </c>
      <c r="G54" s="12">
        <f t="shared" si="66"/>
        <v>104260.8</v>
      </c>
      <c r="H54" s="11"/>
      <c r="I54" s="16"/>
      <c r="J54" s="16"/>
      <c r="K54" s="19">
        <f t="shared" si="67"/>
        <v>86884</v>
      </c>
      <c r="L54" s="12">
        <f t="shared" si="67"/>
        <v>104260.8</v>
      </c>
    </row>
    <row r="55" spans="1:12" ht="20.25" customHeight="1" x14ac:dyDescent="0.25">
      <c r="A55" s="55">
        <f>A54+1</f>
        <v>21</v>
      </c>
      <c r="B55" s="10" t="s">
        <v>267</v>
      </c>
      <c r="C55" s="13" t="s">
        <v>261</v>
      </c>
      <c r="D55" s="98">
        <v>2</v>
      </c>
      <c r="E55" s="95">
        <v>449548</v>
      </c>
      <c r="F55" s="12">
        <f t="shared" si="65"/>
        <v>899096</v>
      </c>
      <c r="G55" s="12">
        <f t="shared" si="66"/>
        <v>1078915.2</v>
      </c>
      <c r="H55" s="11"/>
      <c r="I55" s="16"/>
      <c r="J55" s="16"/>
      <c r="K55" s="19">
        <f t="shared" si="67"/>
        <v>899096</v>
      </c>
      <c r="L55" s="12">
        <f t="shared" si="67"/>
        <v>1078915.2</v>
      </c>
    </row>
    <row r="56" spans="1:12" ht="20.25" customHeight="1" x14ac:dyDescent="0.25">
      <c r="A56" s="88" t="s">
        <v>283</v>
      </c>
      <c r="B56" s="91" t="s">
        <v>268</v>
      </c>
      <c r="C56" s="94" t="s">
        <v>261</v>
      </c>
      <c r="D56" s="118">
        <v>2</v>
      </c>
      <c r="E56" s="86"/>
      <c r="F56" s="86"/>
      <c r="G56" s="86"/>
      <c r="H56" s="96"/>
      <c r="I56" s="86"/>
      <c r="J56" s="86"/>
      <c r="K56" s="87"/>
      <c r="L56" s="86"/>
    </row>
    <row r="57" spans="1:12" ht="20.25" customHeight="1" x14ac:dyDescent="0.25">
      <c r="A57" s="88" t="s">
        <v>284</v>
      </c>
      <c r="B57" s="91" t="s">
        <v>269</v>
      </c>
      <c r="C57" s="94" t="s">
        <v>261</v>
      </c>
      <c r="D57" s="118">
        <v>2</v>
      </c>
      <c r="E57" s="86"/>
      <c r="F57" s="86"/>
      <c r="G57" s="86"/>
      <c r="H57" s="119"/>
      <c r="I57" s="86"/>
      <c r="J57" s="86"/>
      <c r="K57" s="87"/>
      <c r="L57" s="86"/>
    </row>
    <row r="58" spans="1:12" ht="20.25" customHeight="1" x14ac:dyDescent="0.25">
      <c r="A58" s="55">
        <f>A55+1</f>
        <v>22</v>
      </c>
      <c r="B58" s="10" t="s">
        <v>163</v>
      </c>
      <c r="C58" s="13" t="s">
        <v>10</v>
      </c>
      <c r="D58" s="98">
        <v>4</v>
      </c>
      <c r="E58" s="90">
        <v>2952.96</v>
      </c>
      <c r="F58" s="12">
        <f t="shared" ref="F58:F59" si="72">ROUND(E58*D58,2)</f>
        <v>11811.84</v>
      </c>
      <c r="G58" s="12">
        <f t="shared" ref="G58:G59" si="73">ROUND(F58*1.2,2)</f>
        <v>14174.21</v>
      </c>
      <c r="H58" s="11"/>
      <c r="I58" s="16"/>
      <c r="J58" s="16"/>
      <c r="K58" s="19">
        <f t="shared" si="67"/>
        <v>11811.84</v>
      </c>
      <c r="L58" s="12">
        <f t="shared" si="67"/>
        <v>14174.21</v>
      </c>
    </row>
    <row r="59" spans="1:12" ht="20.25" customHeight="1" x14ac:dyDescent="0.25">
      <c r="A59" s="55">
        <f>A58+1</f>
        <v>23</v>
      </c>
      <c r="B59" s="10" t="s">
        <v>125</v>
      </c>
      <c r="C59" s="13" t="s">
        <v>10</v>
      </c>
      <c r="D59" s="98">
        <v>2</v>
      </c>
      <c r="E59" s="123">
        <v>12480</v>
      </c>
      <c r="F59" s="12">
        <f t="shared" si="72"/>
        <v>24960</v>
      </c>
      <c r="G59" s="12">
        <f t="shared" si="73"/>
        <v>29952</v>
      </c>
      <c r="H59" s="11"/>
      <c r="I59" s="16"/>
      <c r="J59" s="16"/>
      <c r="K59" s="19">
        <f t="shared" si="67"/>
        <v>24960</v>
      </c>
      <c r="L59" s="12">
        <f t="shared" si="67"/>
        <v>29952</v>
      </c>
    </row>
    <row r="60" spans="1:12" ht="20.25" customHeight="1" x14ac:dyDescent="0.25">
      <c r="A60" s="88" t="s">
        <v>285</v>
      </c>
      <c r="B60" s="97" t="s">
        <v>126</v>
      </c>
      <c r="C60" s="94" t="s">
        <v>10</v>
      </c>
      <c r="D60" s="124">
        <v>2</v>
      </c>
      <c r="E60" s="86"/>
      <c r="F60" s="86"/>
      <c r="G60" s="86"/>
      <c r="H60" s="119"/>
      <c r="I60" s="86"/>
      <c r="J60" s="86"/>
      <c r="K60" s="87"/>
      <c r="L60" s="86"/>
    </row>
    <row r="61" spans="1:12" ht="20.25" customHeight="1" x14ac:dyDescent="0.25">
      <c r="A61" s="88" t="s">
        <v>286</v>
      </c>
      <c r="B61" s="93" t="s">
        <v>270</v>
      </c>
      <c r="C61" s="94" t="s">
        <v>149</v>
      </c>
      <c r="D61" s="124">
        <v>2</v>
      </c>
      <c r="E61" s="86"/>
      <c r="F61" s="86"/>
      <c r="G61" s="86"/>
      <c r="H61" s="86"/>
      <c r="I61" s="86"/>
      <c r="J61" s="86"/>
      <c r="K61" s="87"/>
      <c r="L61" s="86"/>
    </row>
    <row r="62" spans="1:12" ht="20.25" customHeight="1" x14ac:dyDescent="0.25">
      <c r="A62" s="88" t="s">
        <v>287</v>
      </c>
      <c r="B62" s="91" t="s">
        <v>271</v>
      </c>
      <c r="C62" s="94" t="s">
        <v>10</v>
      </c>
      <c r="D62" s="125">
        <v>2</v>
      </c>
      <c r="E62" s="86"/>
      <c r="F62" s="86"/>
      <c r="G62" s="86"/>
      <c r="H62" s="86"/>
      <c r="I62" s="86"/>
      <c r="J62" s="86"/>
      <c r="K62" s="87"/>
      <c r="L62" s="86"/>
    </row>
    <row r="63" spans="1:12" ht="20.25" customHeight="1" x14ac:dyDescent="0.25">
      <c r="A63" s="88" t="s">
        <v>288</v>
      </c>
      <c r="B63" s="91" t="s">
        <v>272</v>
      </c>
      <c r="C63" s="94" t="s">
        <v>273</v>
      </c>
      <c r="D63" s="124">
        <v>8</v>
      </c>
      <c r="E63" s="86"/>
      <c r="F63" s="86"/>
      <c r="G63" s="86"/>
      <c r="H63" s="86">
        <f>ROUND(1571/10*1.2,2)</f>
        <v>188.52</v>
      </c>
      <c r="I63" s="86">
        <f t="shared" ref="I63:I65" si="74">ROUND(H63*D63,2)</f>
        <v>1508.16</v>
      </c>
      <c r="J63" s="86">
        <f t="shared" ref="J63:J65" si="75">ROUND(I63*1.2,2)</f>
        <v>1809.79</v>
      </c>
      <c r="K63" s="87">
        <f t="shared" si="67"/>
        <v>1508.16</v>
      </c>
      <c r="L63" s="86">
        <f t="shared" si="67"/>
        <v>1809.79</v>
      </c>
    </row>
    <row r="64" spans="1:12" ht="20.25" customHeight="1" x14ac:dyDescent="0.25">
      <c r="A64" s="88" t="s">
        <v>289</v>
      </c>
      <c r="B64" s="91" t="s">
        <v>274</v>
      </c>
      <c r="C64" s="94" t="s">
        <v>275</v>
      </c>
      <c r="D64" s="126">
        <v>1.52</v>
      </c>
      <c r="E64" s="86"/>
      <c r="F64" s="86"/>
      <c r="G64" s="86"/>
      <c r="H64" s="127">
        <f>ROUND(244.95*1.2,2)</f>
        <v>293.94</v>
      </c>
      <c r="I64" s="86">
        <f t="shared" si="74"/>
        <v>446.79</v>
      </c>
      <c r="J64" s="86">
        <f t="shared" si="75"/>
        <v>536.15</v>
      </c>
      <c r="K64" s="87">
        <f t="shared" ref="K64:L69" si="76">F64+I64</f>
        <v>446.79</v>
      </c>
      <c r="L64" s="86">
        <f t="shared" si="76"/>
        <v>536.15</v>
      </c>
    </row>
    <row r="65" spans="1:12" ht="20.25" customHeight="1" x14ac:dyDescent="0.25">
      <c r="A65" s="88" t="s">
        <v>290</v>
      </c>
      <c r="B65" s="91" t="s">
        <v>276</v>
      </c>
      <c r="C65" s="94" t="s">
        <v>275</v>
      </c>
      <c r="D65" s="126">
        <v>1.52</v>
      </c>
      <c r="E65" s="86"/>
      <c r="F65" s="86"/>
      <c r="G65" s="86"/>
      <c r="H65" s="127">
        <f>ROUND(223.92*1.2,2)</f>
        <v>268.7</v>
      </c>
      <c r="I65" s="86">
        <f t="shared" si="74"/>
        <v>408.42</v>
      </c>
      <c r="J65" s="86">
        <f t="shared" si="75"/>
        <v>490.1</v>
      </c>
      <c r="K65" s="87">
        <f t="shared" si="76"/>
        <v>408.42</v>
      </c>
      <c r="L65" s="86">
        <f t="shared" si="76"/>
        <v>490.1</v>
      </c>
    </row>
    <row r="66" spans="1:12" ht="20.25" customHeight="1" x14ac:dyDescent="0.25">
      <c r="A66" s="55">
        <f>A59+1</f>
        <v>24</v>
      </c>
      <c r="B66" s="10" t="s">
        <v>277</v>
      </c>
      <c r="C66" s="13" t="s">
        <v>7</v>
      </c>
      <c r="D66" s="100">
        <v>32.86</v>
      </c>
      <c r="E66" s="95">
        <v>1933.2</v>
      </c>
      <c r="F66" s="12">
        <f t="shared" ref="F66" si="77">ROUND(E66*D66,2)</f>
        <v>63524.95</v>
      </c>
      <c r="G66" s="12">
        <f t="shared" ref="G66:G68" si="78">ROUND(F66*1.2,2)</f>
        <v>76229.94</v>
      </c>
      <c r="H66" s="11"/>
      <c r="I66" s="16"/>
      <c r="J66" s="16"/>
      <c r="K66" s="19">
        <f t="shared" si="76"/>
        <v>63524.95</v>
      </c>
      <c r="L66" s="12">
        <f t="shared" si="76"/>
        <v>76229.94</v>
      </c>
    </row>
    <row r="67" spans="1:12" ht="20.25" customHeight="1" x14ac:dyDescent="0.25">
      <c r="A67" s="88" t="s">
        <v>291</v>
      </c>
      <c r="B67" s="97" t="s">
        <v>12</v>
      </c>
      <c r="C67" s="94" t="s">
        <v>7</v>
      </c>
      <c r="D67" s="101">
        <f>ROUND(D66*1.17,2)</f>
        <v>38.450000000000003</v>
      </c>
      <c r="E67" s="86"/>
      <c r="F67" s="86"/>
      <c r="G67" s="86"/>
      <c r="H67" s="86">
        <v>3925</v>
      </c>
      <c r="I67" s="86">
        <f t="shared" ref="I67" si="79">ROUND(H67*D67,2)</f>
        <v>150916.25</v>
      </c>
      <c r="J67" s="86">
        <f t="shared" ref="J67" si="80">ROUND(I67*1.2,2)</f>
        <v>181099.5</v>
      </c>
      <c r="K67" s="87">
        <f t="shared" si="76"/>
        <v>150916.25</v>
      </c>
      <c r="L67" s="86">
        <f t="shared" si="76"/>
        <v>181099.5</v>
      </c>
    </row>
    <row r="68" spans="1:12" ht="20.25" customHeight="1" x14ac:dyDescent="0.25">
      <c r="A68" s="55">
        <f>A66+1</f>
        <v>25</v>
      </c>
      <c r="B68" s="10" t="s">
        <v>278</v>
      </c>
      <c r="C68" s="13" t="s">
        <v>7</v>
      </c>
      <c r="D68" s="100">
        <f>D66*0.1</f>
        <v>3.286</v>
      </c>
      <c r="E68" s="95">
        <v>2395.1999999999998</v>
      </c>
      <c r="F68" s="12">
        <f t="shared" ref="F68" si="81">ROUND(E68*D68,2)</f>
        <v>7870.63</v>
      </c>
      <c r="G68" s="12">
        <f t="shared" si="78"/>
        <v>9444.76</v>
      </c>
      <c r="H68" s="11"/>
      <c r="I68" s="16"/>
      <c r="J68" s="16"/>
      <c r="K68" s="19">
        <f t="shared" si="76"/>
        <v>7870.63</v>
      </c>
      <c r="L68" s="12">
        <f t="shared" si="76"/>
        <v>9444.76</v>
      </c>
    </row>
    <row r="69" spans="1:12" ht="20.25" customHeight="1" x14ac:dyDescent="0.25">
      <c r="A69" s="88" t="s">
        <v>292</v>
      </c>
      <c r="B69" s="97" t="s">
        <v>12</v>
      </c>
      <c r="C69" s="94" t="s">
        <v>7</v>
      </c>
      <c r="D69" s="101">
        <f>ROUND(D68*1.17,2)</f>
        <v>3.84</v>
      </c>
      <c r="E69" s="86"/>
      <c r="F69" s="86"/>
      <c r="G69" s="86"/>
      <c r="H69" s="86">
        <v>3925</v>
      </c>
      <c r="I69" s="86">
        <f t="shared" ref="I69" si="82">ROUND(H69*D69,2)</f>
        <v>15072</v>
      </c>
      <c r="J69" s="86">
        <f t="shared" ref="J69" si="83">ROUND(I69*1.2,2)</f>
        <v>18086.400000000001</v>
      </c>
      <c r="K69" s="87">
        <f t="shared" si="76"/>
        <v>15072</v>
      </c>
      <c r="L69" s="86">
        <f t="shared" si="76"/>
        <v>18086.400000000001</v>
      </c>
    </row>
    <row r="70" spans="1:12" x14ac:dyDescent="0.25">
      <c r="A70" s="137" t="s">
        <v>300</v>
      </c>
      <c r="B70" s="138"/>
      <c r="C70" s="138"/>
      <c r="D70" s="138"/>
      <c r="E70" s="139"/>
      <c r="F70" s="17">
        <f>SUM(F48:F69)</f>
        <v>1665076.9699999997</v>
      </c>
      <c r="G70" s="17">
        <f>SUM(G48:G69)</f>
        <v>1998092.3699999999</v>
      </c>
      <c r="H70" s="106"/>
      <c r="I70" s="17">
        <f t="shared" ref="I70:L70" si="84">SUM(I48:I69)</f>
        <v>607513.16999999993</v>
      </c>
      <c r="J70" s="17">
        <f t="shared" si="84"/>
        <v>729015.8</v>
      </c>
      <c r="K70" s="17">
        <f t="shared" si="84"/>
        <v>2272590.14</v>
      </c>
      <c r="L70" s="17">
        <f t="shared" si="84"/>
        <v>2727108.17</v>
      </c>
    </row>
    <row r="71" spans="1:12" ht="21.75" customHeight="1" x14ac:dyDescent="0.25">
      <c r="A71" s="137" t="s">
        <v>36</v>
      </c>
      <c r="B71" s="138"/>
      <c r="C71" s="138"/>
      <c r="D71" s="138"/>
      <c r="E71" s="139"/>
      <c r="F71" s="17">
        <f>F70+F46</f>
        <v>7445135.9799999986</v>
      </c>
      <c r="G71" s="17">
        <f>G70+G46</f>
        <v>8934163.1899999995</v>
      </c>
      <c r="H71" s="106"/>
      <c r="I71" s="17">
        <f t="shared" ref="I71:L71" si="85">I70+I46</f>
        <v>2921186.42</v>
      </c>
      <c r="J71" s="17">
        <f t="shared" si="85"/>
        <v>3505423.7</v>
      </c>
      <c r="K71" s="17">
        <f t="shared" si="85"/>
        <v>10366322.399999999</v>
      </c>
      <c r="L71" s="17">
        <f t="shared" si="85"/>
        <v>12439586.889999999</v>
      </c>
    </row>
  </sheetData>
  <mergeCells count="14">
    <mergeCell ref="A71:E71"/>
    <mergeCell ref="A70:E70"/>
    <mergeCell ref="A6:L6"/>
    <mergeCell ref="A13:L13"/>
    <mergeCell ref="A1:A4"/>
    <mergeCell ref="B1:B4"/>
    <mergeCell ref="C1:C4"/>
    <mergeCell ref="D1:D4"/>
    <mergeCell ref="E1:L2"/>
    <mergeCell ref="E3:G3"/>
    <mergeCell ref="H3:J3"/>
    <mergeCell ref="K3:L3"/>
    <mergeCell ref="B38:D38"/>
    <mergeCell ref="A46:E46"/>
  </mergeCells>
  <pageMargins left="0.7" right="0.7" top="0.75" bottom="0.75" header="0.3" footer="0.3"/>
  <pageSetup paperSize="9" scale="37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14E4D8-B4FA-45E6-B8F6-797C23DCA707}">
  <dimension ref="A1"/>
  <sheetViews>
    <sheetView workbookViewId="0">
      <selection activeCell="A5" sqref="A5:L24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1C95AD-6F07-41A0-A4A5-E5E39B03C695}">
  <dimension ref="A1"/>
  <sheetViews>
    <sheetView topLeftCell="S31" workbookViewId="0">
      <selection activeCell="BE78" sqref="BE78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3</vt:i4>
      </vt:variant>
    </vt:vector>
  </HeadingPairs>
  <TitlesOfParts>
    <vt:vector size="8" baseType="lpstr">
      <vt:lpstr>Свод</vt:lpstr>
      <vt:lpstr>СМР+мат пред </vt:lpstr>
      <vt:lpstr>СМР+мат </vt:lpstr>
      <vt:lpstr>Лист2</vt:lpstr>
      <vt:lpstr>Лист1</vt:lpstr>
      <vt:lpstr>Свод!Область_печати</vt:lpstr>
      <vt:lpstr>'СМР+мат '!Область_печати</vt:lpstr>
      <vt:lpstr>'СМР+мат пред 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Work55</cp:lastModifiedBy>
  <cp:lastPrinted>2024-02-07T07:39:05Z</cp:lastPrinted>
  <dcterms:created xsi:type="dcterms:W3CDTF">2023-10-31T07:58:42Z</dcterms:created>
  <dcterms:modified xsi:type="dcterms:W3CDTF">2024-07-17T15:00:31Z</dcterms:modified>
</cp:coreProperties>
</file>