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A6E4E6D9-7A8B-40FA-8392-4ED0058163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5" i="1" l="1"/>
  <c r="D303" i="1"/>
  <c r="D294" i="1"/>
  <c r="D293" i="1"/>
  <c r="D291" i="1"/>
  <c r="D289" i="1"/>
  <c r="D288" i="1"/>
  <c r="D284" i="1"/>
  <c r="D282" i="1"/>
  <c r="D281" i="1"/>
  <c r="D280" i="1"/>
  <c r="D279" i="1"/>
  <c r="D278" i="1"/>
  <c r="D277" i="1"/>
  <c r="D276" i="1"/>
  <c r="D275" i="1"/>
  <c r="D274" i="1"/>
  <c r="D273" i="1"/>
  <c r="D271" i="1"/>
  <c r="D270" i="1"/>
  <c r="D269" i="1"/>
  <c r="D268" i="1"/>
  <c r="D267" i="1"/>
  <c r="D266" i="1"/>
  <c r="D262" i="1"/>
  <c r="D261" i="1"/>
  <c r="D259" i="1"/>
  <c r="D260" i="1" s="1"/>
  <c r="D254" i="1"/>
  <c r="D248" i="1"/>
  <c r="D249" i="1" s="1"/>
  <c r="D245" i="1"/>
  <c r="D244" i="1" s="1"/>
  <c r="D242" i="1"/>
  <c r="D241" i="1" s="1"/>
  <c r="D236" i="1"/>
  <c r="D233" i="1"/>
  <c r="D234" i="1" s="1"/>
  <c r="D231" i="1"/>
  <c r="D232" i="1" s="1"/>
  <c r="D230" i="1"/>
  <c r="D226" i="1"/>
  <c r="D225" i="1"/>
  <c r="D224" i="1"/>
  <c r="D222" i="1"/>
  <c r="D220" i="1" s="1"/>
  <c r="D219" i="1"/>
  <c r="D215" i="1" s="1"/>
  <c r="D217" i="1"/>
  <c r="D214" i="1"/>
  <c r="D212" i="1"/>
  <c r="D210" i="1"/>
  <c r="D204" i="1"/>
  <c r="D205" i="1" s="1"/>
  <c r="D202" i="1"/>
  <c r="D203" i="1" s="1"/>
  <c r="D201" i="1"/>
  <c r="D197" i="1"/>
  <c r="D193" i="1"/>
  <c r="D192" i="1" s="1"/>
  <c r="D191" i="1"/>
  <c r="D190" i="1" s="1"/>
  <c r="D189" i="1"/>
  <c r="D188" i="1" s="1"/>
  <c r="D187" i="1"/>
  <c r="D186" i="1"/>
  <c r="D185" i="1"/>
  <c r="D184" i="1"/>
  <c r="D181" i="1"/>
  <c r="D180" i="1"/>
  <c r="D179" i="1"/>
  <c r="D178" i="1"/>
  <c r="D177" i="1"/>
  <c r="D176" i="1"/>
  <c r="D175" i="1"/>
  <c r="D174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7" i="1"/>
  <c r="D156" i="1"/>
  <c r="D155" i="1"/>
  <c r="D154" i="1"/>
  <c r="D153" i="1"/>
  <c r="D152" i="1"/>
  <c r="D151" i="1"/>
  <c r="D150" i="1"/>
  <c r="D149" i="1"/>
  <c r="D148" i="1" s="1"/>
  <c r="D147" i="1"/>
  <c r="D146" i="1"/>
  <c r="D145" i="1"/>
  <c r="D144" i="1"/>
  <c r="D143" i="1"/>
  <c r="D142" i="1"/>
  <c r="D141" i="1"/>
  <c r="D140" i="1"/>
  <c r="D139" i="1"/>
  <c r="D137" i="1"/>
  <c r="D136" i="1"/>
  <c r="D135" i="1"/>
  <c r="D134" i="1"/>
  <c r="D133" i="1"/>
  <c r="D132" i="1"/>
  <c r="D130" i="1"/>
  <c r="D129" i="1"/>
  <c r="D128" i="1"/>
  <c r="D127" i="1"/>
  <c r="D126" i="1"/>
  <c r="D125" i="1"/>
  <c r="D123" i="1"/>
  <c r="D118" i="1"/>
  <c r="D116" i="1"/>
  <c r="D114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43" i="1"/>
  <c r="D35" i="1"/>
  <c r="D17" i="1"/>
  <c r="D183" i="1" l="1"/>
  <c r="D208" i="1"/>
  <c r="D131" i="1"/>
  <c r="D265" i="1"/>
  <c r="D173" i="1"/>
  <c r="D158" i="1" s="1"/>
  <c r="D124" i="1"/>
  <c r="D272" i="1"/>
  <c r="D138" i="1"/>
</calcChain>
</file>

<file path=xl/sharedStrings.xml><?xml version="1.0" encoding="utf-8"?>
<sst xmlns="http://schemas.openxmlformats.org/spreadsheetml/2006/main" count="1128" uniqueCount="668">
  <si>
    <t>1</t>
  </si>
  <si>
    <t>Устройство рабочего настила</t>
  </si>
  <si>
    <t>м2</t>
  </si>
  <si>
    <t>в ПОС</t>
  </si>
  <si>
    <t>монтаж двутавров №16Б1 с шагом до 1,0 м</t>
  </si>
  <si>
    <t>тн</t>
  </si>
  <si>
    <t>22шт по 6,72м*12,7кг+10 шт на опалубку</t>
  </si>
  <si>
    <t>монтаж двутавров №10Б1 с шагом 1,0 м</t>
  </si>
  <si>
    <t>7шт*18,8м*8,1кг</t>
  </si>
  <si>
    <t>монтаж настила из фанеры</t>
  </si>
  <si>
    <t>сварочные работы по прихватке балок между собой точечной сваркой</t>
  </si>
  <si>
    <t>шт</t>
  </si>
  <si>
    <t>ограждение рабочего настила тканной сеткой</t>
  </si>
  <si>
    <t>м²</t>
  </si>
  <si>
    <t>~197</t>
  </si>
  <si>
    <t>2</t>
  </si>
  <si>
    <t>Демонтажные ослабленного бетона  по продольным ребрам плит покрытия фонарей (узел 1К) на отм. +9,710, +16,043, +20,034</t>
  </si>
  <si>
    <t>м3</t>
  </si>
  <si>
    <t>на 1 п.м.-0,00405. Использовать ручной и электрофицированный иснтрумент с малой энергией удара</t>
  </si>
  <si>
    <t>3</t>
  </si>
  <si>
    <t>Восстановительные работы по продольным ребрам плит покрытия фонарей (узел 1К) на отм. +9,710, +16,043, +20,034</t>
  </si>
  <si>
    <t>м.пог</t>
  </si>
  <si>
    <t>3.1</t>
  </si>
  <si>
    <t>Нанесение насечек на ремонтируемую поверхность</t>
  </si>
  <si>
    <t>3.2</t>
  </si>
  <si>
    <t>Промывка ремонтируемой поверхности струей воды под давлением с последующим удалением лишней влаги</t>
  </si>
  <si>
    <t>0.1 м² на 1 м.п</t>
  </si>
  <si>
    <t>3.3</t>
  </si>
  <si>
    <t>Обработка оголённой арматуры</t>
  </si>
  <si>
    <t>3.3.1</t>
  </si>
  <si>
    <t>ингибитор коррозии MCI-2020</t>
  </si>
  <si>
    <t>л</t>
  </si>
  <si>
    <t>(0.08м2 на 1 м.пог. шва, расход 3.68л на 1м2)</t>
  </si>
  <si>
    <t>3.4</t>
  </si>
  <si>
    <t>Восстановление защитного слоя бетона (до 100мм)</t>
  </si>
  <si>
    <t>возможен аналог. 0,004*8992=35,968м3</t>
  </si>
  <si>
    <t>3.4.1</t>
  </si>
  <si>
    <t>безусадочная быстротвердеющая ремонтная смесь MasterEmaco S 560 FR</t>
  </si>
  <si>
    <t>кг</t>
  </si>
  <si>
    <t xml:space="preserve"> 1850кг/1м3. (35,968*1850=66540,8кг)</t>
  </si>
  <si>
    <t>3.5</t>
  </si>
  <si>
    <t>Выравнивание поверхности до 10мм</t>
  </si>
  <si>
    <t>899,2*2слоя</t>
  </si>
  <si>
    <t>3.5.1</t>
  </si>
  <si>
    <t>штукатурка КНАУФ-Ротбанд</t>
  </si>
  <si>
    <t>расход 0.9кг/м2 на слой 1мм(0,2м2*8992м.п.*0,9кг)</t>
  </si>
  <si>
    <t>4</t>
  </si>
  <si>
    <t>Демонтажн ослабленного бетона по поперечным ребрам плит покрытия фонарей (узел 2К) на отм. +9,710, +16,043, +20,034</t>
  </si>
  <si>
    <t>на 1 п.м.-0,00107. Использовать ручной и электрофицированный иснтрумент с малой энергией удара</t>
  </si>
  <si>
    <t>5</t>
  </si>
  <si>
    <t>Восстановительные работы по поперечным ребрам плит покрытия фонарей (узел 2К) на отм. +9,710, +16,043, +20,0346:</t>
  </si>
  <si>
    <t>5.1</t>
  </si>
  <si>
    <t>5.2</t>
  </si>
  <si>
    <t>0.06 м² на 1 м.п</t>
  </si>
  <si>
    <t>5.3</t>
  </si>
  <si>
    <t>(0.019м2 на 1 м.пог. шва, расход 3.68л на 1м2)</t>
  </si>
  <si>
    <t>5.3.1</t>
  </si>
  <si>
    <t>5.4</t>
  </si>
  <si>
    <t>Восстановление защитного слоя бетона</t>
  </si>
  <si>
    <t>возможен аналог. 0,06м3</t>
  </si>
  <si>
    <t>5.4.1</t>
  </si>
  <si>
    <t>1850кг/м3</t>
  </si>
  <si>
    <t>5.5</t>
  </si>
  <si>
    <t>3,85м2*2слоя</t>
  </si>
  <si>
    <t>5.5.1</t>
  </si>
  <si>
    <t>расход 0.9кг/м2 на слой 1мм</t>
  </si>
  <si>
    <t>6</t>
  </si>
  <si>
    <t>Демонтаж бетонна вокруг необрамленного отверстия на 100мм, в границах дефекта плит перекрытия (узел 3К) на отм. от +7,040 до + 18,300</t>
  </si>
  <si>
    <t>м.3</t>
  </si>
  <si>
    <t>7</t>
  </si>
  <si>
    <t>Ремонт отверстий в полках плит, в границах дефекта плит перекрытия (узел 3К) на отм. от +7,040 до + 18,300:</t>
  </si>
  <si>
    <t>шт.</t>
  </si>
  <si>
    <t>7.1</t>
  </si>
  <si>
    <t>7.2</t>
  </si>
  <si>
    <t>0.06 м²*37шт на 1 м.п</t>
  </si>
  <si>
    <t>7.3</t>
  </si>
  <si>
    <t>Монтаж оцинкованной сетки 50х50х4 с привязкой к существующей арматуре с помощью проволоки</t>
  </si>
  <si>
    <t>0,32м2 *37шт. на 1 узел. 46,7кг</t>
  </si>
  <si>
    <t>7.3.1</t>
  </si>
  <si>
    <t>сетка оцинкованная 50х50х4</t>
  </si>
  <si>
    <t>4,2м2/кг</t>
  </si>
  <si>
    <t>7.4</t>
  </si>
  <si>
    <t>возможен аналог, 37м2*0,01=0,37м3</t>
  </si>
  <si>
    <t>7.4.1</t>
  </si>
  <si>
    <t>1м3/1850кг</t>
  </si>
  <si>
    <t>7.5</t>
  </si>
  <si>
    <t>Выравнивание поверхности</t>
  </si>
  <si>
    <t>0,32м2*37шт</t>
  </si>
  <si>
    <t>7.5.1</t>
  </si>
  <si>
    <t>8</t>
  </si>
  <si>
    <t>Демонтаж ослабленного бетона в границах дефекта полок плиты покрытия (узел 4К) на отм. от +7,040 до + 18,300</t>
  </si>
  <si>
    <t>9</t>
  </si>
  <si>
    <t>Восстановительные работы в границах дефекта полок плиты покрытия (узел 4К) на отм. от +7,040 до + 18,300:</t>
  </si>
  <si>
    <t>9.1</t>
  </si>
  <si>
    <t>9.2</t>
  </si>
  <si>
    <t>9.3</t>
  </si>
  <si>
    <t>возможен аналог, 319,2*0,01=3,19м3</t>
  </si>
  <si>
    <t>9.3.1</t>
  </si>
  <si>
    <t>1850кг/1м3</t>
  </si>
  <si>
    <t>9.4</t>
  </si>
  <si>
    <t>Выравнивание поверхности слоем в 1мм</t>
  </si>
  <si>
    <t>9.4.1</t>
  </si>
  <si>
    <t>10</t>
  </si>
  <si>
    <t>Усиление ж/б ферм</t>
  </si>
  <si>
    <t>11</t>
  </si>
  <si>
    <t>Подготовительные работы</t>
  </si>
  <si>
    <t>ФС-1.1, ФС-1.1*, ФС-2.1, ФС-3.1, ФФ-1</t>
  </si>
  <si>
    <t>11.1</t>
  </si>
  <si>
    <t>Зачистка поверхности щетками</t>
  </si>
  <si>
    <t>11.2</t>
  </si>
  <si>
    <t>Промывка поверхности водой</t>
  </si>
  <si>
    <t>11.3</t>
  </si>
  <si>
    <t>Резка м/к</t>
  </si>
  <si>
    <t>п.м.</t>
  </si>
  <si>
    <t>12</t>
  </si>
  <si>
    <t>Усиление ж/б ферм ФС-1.1 на отм. от +12,900 до + 16,080:</t>
  </si>
  <si>
    <t>43шт учтены + сварные швы 1430,18кг</t>
  </si>
  <si>
    <t>12.1</t>
  </si>
  <si>
    <t>Усиление (монтаж) ферм металлическими обоймами (монтажный пояс УВП-1.1)</t>
  </si>
  <si>
    <t>2шт учтены</t>
  </si>
  <si>
    <t>12.1.1</t>
  </si>
  <si>
    <t>пластины 8x300x380 (накладки)</t>
  </si>
  <si>
    <t>6шт*7,16кг*2шт*43шт ГОСТ 19903-2015</t>
  </si>
  <si>
    <t>12.1.2</t>
  </si>
  <si>
    <t>пластины 8x380x390 (накладки)</t>
  </si>
  <si>
    <t>6шт*9,31кг*2шт*43шт ГОСТ 19903-2015</t>
  </si>
  <si>
    <t>12.1.3</t>
  </si>
  <si>
    <t>пакет пластин 350x370x40 ...10</t>
  </si>
  <si>
    <t>12шт*25,40кг*2шт*43шт ГОСТ 19903-2015 (пакет пластин)</t>
  </si>
  <si>
    <t>12.1.4</t>
  </si>
  <si>
    <t>Швеллер 18П L-4500</t>
  </si>
  <si>
    <t>2шт*73,35кг*2шт*43шт ГОСТ 8240-97</t>
  </si>
  <si>
    <t>12.2</t>
  </si>
  <si>
    <t>Усиление ферм металлическими обоймами (монтажный пояс УВП-1.2)</t>
  </si>
  <si>
    <t>Швеллер 18П L-4750</t>
  </si>
  <si>
    <t>2шт*77,43кг*2шт*43шт ГОСТ 8240-97</t>
  </si>
  <si>
    <t>12.3</t>
  </si>
  <si>
    <t>Сварные швы</t>
  </si>
  <si>
    <t>х43шт учтены, сидят в усилении</t>
  </si>
  <si>
    <t>13</t>
  </si>
  <si>
    <t>Усиление верхнего пояса ж/б ферм ФС-1.1* (на опоре) на отм. от +12,900 до + 16,080:</t>
  </si>
  <si>
    <t>26шт учтены. без учета сварных швов</t>
  </si>
  <si>
    <t>13.1</t>
  </si>
  <si>
    <t>Монтаж пояса УВП-1.1*</t>
  </si>
  <si>
    <t>13.1.1</t>
  </si>
  <si>
    <t>6шт*7,16кг*2шт*26шт ГОСТ 19903-2015</t>
  </si>
  <si>
    <t>13.1.2</t>
  </si>
  <si>
    <t>6шт*9,31кг*2шт*26шт ГОСТ 19903-2015</t>
  </si>
  <si>
    <t>13.1.3</t>
  </si>
  <si>
    <t>12шт*25,40кг*2шт*26шт ГОСТ 19903-2015 (пакет пластин)</t>
  </si>
  <si>
    <t>13.1.4</t>
  </si>
  <si>
    <t>2шт*73,35кг*2шт*26шт ГОСТ 8240-97</t>
  </si>
  <si>
    <t>13.2</t>
  </si>
  <si>
    <t>х26шт учтены, не учтены в усилении</t>
  </si>
  <si>
    <t>14</t>
  </si>
  <si>
    <t>Усиление ж/б ферм ФС-2.1 на отм. от +10,100 до +12,748:</t>
  </si>
  <si>
    <t>27шт учтены+сварные швы 744,93кг</t>
  </si>
  <si>
    <t>14.1</t>
  </si>
  <si>
    <t>Усиление ферм металлическими обоймами (Монтажная сварка пояса УВП-2.1)</t>
  </si>
  <si>
    <t>14.1.1</t>
  </si>
  <si>
    <t>пластина 8x280x380 (накладки)</t>
  </si>
  <si>
    <t>6шт*6,68кг*2шт*27шт</t>
  </si>
  <si>
    <t>14.1.2</t>
  </si>
  <si>
    <t>пластина 8x340x380 (накладки)</t>
  </si>
  <si>
    <t>6шт*8,11кг*2шт*27шт</t>
  </si>
  <si>
    <t>14.1.3</t>
  </si>
  <si>
    <t>пакет пластин 320x370x40.10</t>
  </si>
  <si>
    <t>12шт*23,23кг*2шт*27шт</t>
  </si>
  <si>
    <t>14.1.4</t>
  </si>
  <si>
    <t>Швеллер 16П L-3100</t>
  </si>
  <si>
    <t>2шт*44,02кг*2шт*27шт</t>
  </si>
  <si>
    <t>14.2</t>
  </si>
  <si>
    <t>Усиление ферм металлическими обоймами (Монтажная сварка пояса УВП-2.2)</t>
  </si>
  <si>
    <t>14.2.1</t>
  </si>
  <si>
    <t>14.2.2</t>
  </si>
  <si>
    <t>14.2.3</t>
  </si>
  <si>
    <t>пакет пластин 320x370x40..10</t>
  </si>
  <si>
    <t>14.2.4</t>
  </si>
  <si>
    <t>Швеллер 16П L-3400</t>
  </si>
  <si>
    <t>2шт*48,28кг*2шт*27шт</t>
  </si>
  <si>
    <t>14.3</t>
  </si>
  <si>
    <t>27,59х27шт учтены, сидят в усилении</t>
  </si>
  <si>
    <t>15</t>
  </si>
  <si>
    <t>Усиление ж/б ферм ФС-3.1 на отм. от +10,100 до +12,748:</t>
  </si>
  <si>
    <t>54шт учтены+ сварные швы 1489,86кг</t>
  </si>
  <si>
    <t>15.1</t>
  </si>
  <si>
    <t>Монтаж пояса УВП-3.1</t>
  </si>
  <si>
    <t>15.1.1</t>
  </si>
  <si>
    <t>пластины 8x280x380 (накладки)</t>
  </si>
  <si>
    <t>6шт*6,68кг</t>
  </si>
  <si>
    <t>15.1.2</t>
  </si>
  <si>
    <t>пластины 8x340x380 (накладки)</t>
  </si>
  <si>
    <t>6шт*8,11кг</t>
  </si>
  <si>
    <t>15.1.3</t>
  </si>
  <si>
    <t>12шт*23,23кг</t>
  </si>
  <si>
    <t>15.1.4</t>
  </si>
  <si>
    <t>2шт*44,02кг</t>
  </si>
  <si>
    <t>15.2</t>
  </si>
  <si>
    <t>Монтажн пояса УВП-3.2</t>
  </si>
  <si>
    <t>15.2.1</t>
  </si>
  <si>
    <t>15.2.2</t>
  </si>
  <si>
    <t>плстины 8x340x380 (накладки)</t>
  </si>
  <si>
    <t>15.2.3</t>
  </si>
  <si>
    <t>15.2.4</t>
  </si>
  <si>
    <t>2шт*48,28кг</t>
  </si>
  <si>
    <t>15.3</t>
  </si>
  <si>
    <t>27,59х54 учтены, сидят в усилении</t>
  </si>
  <si>
    <t>16</t>
  </si>
  <si>
    <t>Усиление ж/б ферм фонаря ФФ-1 на отм .+15,715 до +19,870</t>
  </si>
  <si>
    <t>26шт учтены+сварные швы 713,7кг</t>
  </si>
  <si>
    <t>16.1</t>
  </si>
  <si>
    <t>Монтаж пояса УВПФ-1</t>
  </si>
  <si>
    <t>16.1.1</t>
  </si>
  <si>
    <t>пластина 8x280x380 (накладка)</t>
  </si>
  <si>
    <t>16.1.2</t>
  </si>
  <si>
    <t>пластина 8x240x380 (накладка)</t>
  </si>
  <si>
    <t>6шт*5,73кг</t>
  </si>
  <si>
    <t>16.1.3</t>
  </si>
  <si>
    <t>пакет пластин 220x250x40-10</t>
  </si>
  <si>
    <t>12шт*15,11кг</t>
  </si>
  <si>
    <t>16.1.4</t>
  </si>
  <si>
    <t>Швеллер16П L= 1750</t>
  </si>
  <si>
    <t>2шт*24,85кг</t>
  </si>
  <si>
    <t>16.2</t>
  </si>
  <si>
    <t>Монтаж пояса УВПФ-2</t>
  </si>
  <si>
    <t>16.2.1</t>
  </si>
  <si>
    <t>16.2.2</t>
  </si>
  <si>
    <t>16.2.3</t>
  </si>
  <si>
    <t>пакет пластин 220x250x40.10</t>
  </si>
  <si>
    <t>16.2.4</t>
  </si>
  <si>
    <t>Швеллер 16П 1=1500</t>
  </si>
  <si>
    <t>2шт*21,30кг</t>
  </si>
  <si>
    <t>16.3</t>
  </si>
  <si>
    <t>Монтаж пояса УВПФ-3</t>
  </si>
  <si>
    <t>16.3.1</t>
  </si>
  <si>
    <t>пластины 8x280x380</t>
  </si>
  <si>
    <t>16.3.2</t>
  </si>
  <si>
    <t>пластины 8x240x380</t>
  </si>
  <si>
    <t>16.3.3</t>
  </si>
  <si>
    <t>пакет пластин 220x250x40...10</t>
  </si>
  <si>
    <t>16.3.4</t>
  </si>
  <si>
    <t>Швеллер 16П 1=1950</t>
  </si>
  <si>
    <t>2шт*27,69кг</t>
  </si>
  <si>
    <t>16.4</t>
  </si>
  <si>
    <t>х26шт учтены, сидят в усилении</t>
  </si>
  <si>
    <t>17</t>
  </si>
  <si>
    <t>Обработка металла после сварки</t>
  </si>
  <si>
    <t>17.1</t>
  </si>
  <si>
    <t>Обеспыливание</t>
  </si>
  <si>
    <t>17.2</t>
  </si>
  <si>
    <t>Обезжиривание м/к</t>
  </si>
  <si>
    <t>растворителем ксилол по ГОСТ 9410. ФС-1.1, ФС-1.1*, ФС-2.1, ФС-3.1, ФФ-1</t>
  </si>
  <si>
    <t>17.2.1</t>
  </si>
  <si>
    <t>растворитель ксилол по ГОСТ 9410</t>
  </si>
  <si>
    <t xml:space="preserve">80 – 150 г/м², взято 0,115кг.  </t>
  </si>
  <si>
    <t>17.3</t>
  </si>
  <si>
    <t>Огрунтование поверхности в 2 слоя</t>
  </si>
  <si>
    <t>17.3.1</t>
  </si>
  <si>
    <t>грунтовка ГФ-0,21 в 2 слоя</t>
  </si>
  <si>
    <t>60-100 г/м² на 1 слой</t>
  </si>
  <si>
    <t>17.4</t>
  </si>
  <si>
    <t>Окраска огнезащитой до предела огнестойкости R30</t>
  </si>
  <si>
    <t>17.4.1</t>
  </si>
  <si>
    <t>краска "Термобарьер"</t>
  </si>
  <si>
    <t>1,5 кг/м2. возможен аналог</t>
  </si>
  <si>
    <t>18</t>
  </si>
  <si>
    <t>Усиление плит покрытия</t>
  </si>
  <si>
    <t>19</t>
  </si>
  <si>
    <t>19.1</t>
  </si>
  <si>
    <t>Зачистка поверхность существующих металлоконструкций щетками</t>
  </si>
  <si>
    <t>Узлы: 1Р,2Р,3Р,4Р</t>
  </si>
  <si>
    <t>19.2</t>
  </si>
  <si>
    <t>Нарезка пластин</t>
  </si>
  <si>
    <t>20</t>
  </si>
  <si>
    <t>Усиление ребёр плиты по узлу 1Р</t>
  </si>
  <si>
    <t>18шт учтены</t>
  </si>
  <si>
    <t>20.1</t>
  </si>
  <si>
    <t>Монтаж элемента 1П входящее в узел 1Р</t>
  </si>
  <si>
    <t>без сварных швов и пластины</t>
  </si>
  <si>
    <t>20.1.1</t>
  </si>
  <si>
    <t>Швеллер 14П</t>
  </si>
  <si>
    <t>5,96м.п.*12,3кг*18шт</t>
  </si>
  <si>
    <t>20.1.2</t>
  </si>
  <si>
    <t>Пластина 160х60х5</t>
  </si>
  <si>
    <t>3шт*0,38кгт*18шт</t>
  </si>
  <si>
    <t>20.1.3</t>
  </si>
  <si>
    <t>Пластина t=5мм S=0.0065м2</t>
  </si>
  <si>
    <t>5шт*0,26кг*18шт</t>
  </si>
  <si>
    <t>20.1.4</t>
  </si>
  <si>
    <t>Пластина t=5мм S=0.0039м2</t>
  </si>
  <si>
    <t>3шт*0,15кг*18шт</t>
  </si>
  <si>
    <t>20.2</t>
  </si>
  <si>
    <t>Пластина t=5мм</t>
  </si>
  <si>
    <t>0,073121м2*39,25кг*18шт</t>
  </si>
  <si>
    <t>20.3</t>
  </si>
  <si>
    <t>Сварные швы kf=5мм</t>
  </si>
  <si>
    <t>3,186м.п.(0,37кг*18шт)</t>
  </si>
  <si>
    <t>20.4</t>
  </si>
  <si>
    <t>Монтаж элемента 1Па входящее в узел 1Р</t>
  </si>
  <si>
    <t xml:space="preserve"> без сварных швов и пластины</t>
  </si>
  <si>
    <t>20.4.1</t>
  </si>
  <si>
    <t>20.4.2</t>
  </si>
  <si>
    <t>3шт*0,38кг*18шт</t>
  </si>
  <si>
    <t>20.4.3</t>
  </si>
  <si>
    <t>20.4.4</t>
  </si>
  <si>
    <t>20.5</t>
  </si>
  <si>
    <t>0,07м2*39,25кг*18шт</t>
  </si>
  <si>
    <t>20.6</t>
  </si>
  <si>
    <t>3,186 п.м. х18шт</t>
  </si>
  <si>
    <t>20.7</t>
  </si>
  <si>
    <t>Монтаж элемента 2П входящее в узел 1Р</t>
  </si>
  <si>
    <t>3шт,  без сварных швов и пластины</t>
  </si>
  <si>
    <t>20.7.1</t>
  </si>
  <si>
    <t>Уголок 70х5</t>
  </si>
  <si>
    <t>0,16м.п.*5,38кг*792шт*18шт</t>
  </si>
  <si>
    <t>20.7.2</t>
  </si>
  <si>
    <t>Пластина 210х60х5</t>
  </si>
  <si>
    <t>1шт*0,494кг*792*18шт</t>
  </si>
  <si>
    <t>20.7.3</t>
  </si>
  <si>
    <t>Пластина t=5мм S=0.0149м2</t>
  </si>
  <si>
    <t>1шт*0,585кг*792*18шт</t>
  </si>
  <si>
    <t>20.8</t>
  </si>
  <si>
    <t xml:space="preserve">0,03м2*39,25кг.*18шт </t>
  </si>
  <si>
    <t>20.9</t>
  </si>
  <si>
    <t>Сварные швы Кв=5мм</t>
  </si>
  <si>
    <t>0,87м.п. х18шт</t>
  </si>
  <si>
    <t>20.10</t>
  </si>
  <si>
    <t>Сборка элемента 3П входящий в узел 1Р</t>
  </si>
  <si>
    <t>20.10.1</t>
  </si>
  <si>
    <t>Пластина t=5мм S=0.0101м2</t>
  </si>
  <si>
    <t>8шт*0,396кг*18шт</t>
  </si>
  <si>
    <t>20.11</t>
  </si>
  <si>
    <t>0,08м2*39,25кг*18шт</t>
  </si>
  <si>
    <t>21</t>
  </si>
  <si>
    <t>Усиление ребёр плиты по узлу 2Р</t>
  </si>
  <si>
    <t>9шт</t>
  </si>
  <si>
    <t>21.1</t>
  </si>
  <si>
    <t>Монтаж элемента  4П входящее в узел 2Р</t>
  </si>
  <si>
    <t>21.1.1</t>
  </si>
  <si>
    <t>Двутавр 14Б2</t>
  </si>
  <si>
    <t>5,7м.п.*12,9кг. ГОСТ Р 57837-2017</t>
  </si>
  <si>
    <t>21.1.2</t>
  </si>
  <si>
    <t>Пластина t=5мм S=0.0043м2</t>
  </si>
  <si>
    <t>6шт*0,169кг</t>
  </si>
  <si>
    <t>21.2</t>
  </si>
  <si>
    <t>0,03м2*39,25кг. ГОСТ 19903-2015</t>
  </si>
  <si>
    <t>21.3</t>
  </si>
  <si>
    <t>1,99м.п.</t>
  </si>
  <si>
    <t>21.4</t>
  </si>
  <si>
    <t>Монтаж элемента  5П входящий в узел 2Р</t>
  </si>
  <si>
    <t>21.4.1</t>
  </si>
  <si>
    <t>Уголок 75х5</t>
  </si>
  <si>
    <t>0,16м.п.*5,8кг. ГОСТ 8509-93</t>
  </si>
  <si>
    <t>21.5</t>
  </si>
  <si>
    <t>Монтаж элемента  6П входящий в узел 2Р</t>
  </si>
  <si>
    <t>21.5.1</t>
  </si>
  <si>
    <t>Пластина 65х65х5мм</t>
  </si>
  <si>
    <t>12шт*0,165кг</t>
  </si>
  <si>
    <t>21.6</t>
  </si>
  <si>
    <t>0,05м2*39,25кг. ГОСТ 19903-2015</t>
  </si>
  <si>
    <t>22</t>
  </si>
  <si>
    <t>Усиление ребёр плиты по узлу 3Р</t>
  </si>
  <si>
    <t>246шт, без сварных швов и добавочных пластин</t>
  </si>
  <si>
    <t>22.1</t>
  </si>
  <si>
    <t>Монтаж элемента  1П входящее в узел 3Р</t>
  </si>
  <si>
    <t>22.1.1</t>
  </si>
  <si>
    <t>5,96м.п.*12,3кг</t>
  </si>
  <si>
    <t>22.1.2</t>
  </si>
  <si>
    <t>3шт*0,38кг</t>
  </si>
  <si>
    <t>22.1.3</t>
  </si>
  <si>
    <t>5шт*0,26кг</t>
  </si>
  <si>
    <t>22.1.4</t>
  </si>
  <si>
    <t>3шт*0,15кг</t>
  </si>
  <si>
    <t>22.2</t>
  </si>
  <si>
    <t>0,07м2*39,25кг</t>
  </si>
  <si>
    <t>22.3</t>
  </si>
  <si>
    <t>3,186 п.м.</t>
  </si>
  <si>
    <t>22.4</t>
  </si>
  <si>
    <t>Монтаж элемента  1Па входящее в узел 3Р</t>
  </si>
  <si>
    <t>22.4.1</t>
  </si>
  <si>
    <t>22.4.2</t>
  </si>
  <si>
    <t>22.4.3</t>
  </si>
  <si>
    <t>22.4.4</t>
  </si>
  <si>
    <t>22.5</t>
  </si>
  <si>
    <t>22.6</t>
  </si>
  <si>
    <t>22.7</t>
  </si>
  <si>
    <t>Монтаж элемента  2П входящее в узел 3Р</t>
  </si>
  <si>
    <t>3шт*1,94кг</t>
  </si>
  <si>
    <t>22.7.1</t>
  </si>
  <si>
    <t>0,16м.п.*5,38кг</t>
  </si>
  <si>
    <t>22.7.2</t>
  </si>
  <si>
    <t>1шт*0,494кг</t>
  </si>
  <si>
    <t>22.7.3</t>
  </si>
  <si>
    <t>1шт*0,585кг</t>
  </si>
  <si>
    <t>22.8</t>
  </si>
  <si>
    <t>22.9</t>
  </si>
  <si>
    <t>0,87м.п.</t>
  </si>
  <si>
    <t>22.10</t>
  </si>
  <si>
    <t>Монтаж элемента  5П входящий в узел 3Р</t>
  </si>
  <si>
    <t>22.10.1</t>
  </si>
  <si>
    <t>0,312м.п.*5,8кг. ГОСТ 8509-93</t>
  </si>
  <si>
    <t>23</t>
  </si>
  <si>
    <t>Усиление ребёр плиты по узлу 4Р</t>
  </si>
  <si>
    <t>121шт</t>
  </si>
  <si>
    <t>23.1</t>
  </si>
  <si>
    <t>Сверление отверстий в основании электроперфоратором Ø 10мм</t>
  </si>
  <si>
    <t>23.2</t>
  </si>
  <si>
    <t>Монтаж элемента 4П входящее в узел 4Р</t>
  </si>
  <si>
    <t>23.2.1</t>
  </si>
  <si>
    <t>23.2.2</t>
  </si>
  <si>
    <t>23.3</t>
  </si>
  <si>
    <t>23.4</t>
  </si>
  <si>
    <t>23.5</t>
  </si>
  <si>
    <t>Монтаж элемента  5П входящий в узел 4Р</t>
  </si>
  <si>
    <t>23.5.1</t>
  </si>
  <si>
    <t>23.6</t>
  </si>
  <si>
    <t>Монтаж элемента  6П входящий в узел 4Р</t>
  </si>
  <si>
    <t>23.6.1</t>
  </si>
  <si>
    <t>27шт*0,165кг</t>
  </si>
  <si>
    <t>23.7</t>
  </si>
  <si>
    <t>Монтаж элемента  7П входящий в узел 4Р</t>
  </si>
  <si>
    <t>23.7.1</t>
  </si>
  <si>
    <t>Закладная деталь МН 105-3</t>
  </si>
  <si>
    <t>2шт*0,8кг</t>
  </si>
  <si>
    <t>23.7.2</t>
  </si>
  <si>
    <t>Обрезка закладной детали МН 105-3 до 90мм</t>
  </si>
  <si>
    <t>23.8</t>
  </si>
  <si>
    <t>Монтаж элемента  8П входящий в узел 4Р</t>
  </si>
  <si>
    <t>23.8.1</t>
  </si>
  <si>
    <t>Химический анкер Манопокс 341</t>
  </si>
  <si>
    <t>мл</t>
  </si>
  <si>
    <t>40мл</t>
  </si>
  <si>
    <t>23.9</t>
  </si>
  <si>
    <t>0,11м2*39,25кг. ГОСТ 19903-2015</t>
  </si>
  <si>
    <t>24</t>
  </si>
  <si>
    <t>Послемонтажные работы</t>
  </si>
  <si>
    <t>24.1</t>
  </si>
  <si>
    <t>24.2</t>
  </si>
  <si>
    <t>Обезжиривание</t>
  </si>
  <si>
    <t>обезжирить растворителем ксилол по ГОСТ 9410 или Р-4, Р-5 по ГОСТ 7827 до степени 1 по ГОСТ 9.402.</t>
  </si>
  <si>
    <t>24.2.1</t>
  </si>
  <si>
    <t>80 – 150 г/м²</t>
  </si>
  <si>
    <t>24.3</t>
  </si>
  <si>
    <t>24.3.1</t>
  </si>
  <si>
    <t>24.4</t>
  </si>
  <si>
    <t>24.4.1</t>
  </si>
  <si>
    <t>25</t>
  </si>
  <si>
    <t>Усиление стальных ферм и связей</t>
  </si>
  <si>
    <t>26</t>
  </si>
  <si>
    <t>Зачистка поверхности металла от коррозии, грязи и старой краски</t>
  </si>
  <si>
    <t>ФС-4.1, ФС-4.2, ФФ-4.1, РС-1.1</t>
  </si>
  <si>
    <t>30</t>
  </si>
  <si>
    <t>Стальные фермы ФС-4.1</t>
  </si>
  <si>
    <t>17шт</t>
  </si>
  <si>
    <t>30.1</t>
  </si>
  <si>
    <t>Усиление раскоса р3.1, позиция 1С</t>
  </si>
  <si>
    <t>30.1.1</t>
  </si>
  <si>
    <t>Уголок 90х56х5.5</t>
  </si>
  <si>
    <t>16м.п.*6,17кг</t>
  </si>
  <si>
    <t>30.2</t>
  </si>
  <si>
    <t>Усиление стойки с2.1, позиция 2С</t>
  </si>
  <si>
    <t>30.2.1</t>
  </si>
  <si>
    <t>Уголок 50х5</t>
  </si>
  <si>
    <t>10,28м.п.*3,77кг</t>
  </si>
  <si>
    <t>30.3</t>
  </si>
  <si>
    <t>Усиление ВП.1, позиция 3С</t>
  </si>
  <si>
    <t>30.3.1</t>
  </si>
  <si>
    <t>Уголок 110х8</t>
  </si>
  <si>
    <t>24,08м.п.*13,5кг</t>
  </si>
  <si>
    <t>31</t>
  </si>
  <si>
    <t>Стальные фермы ФС-4.2</t>
  </si>
  <si>
    <t>2шт</t>
  </si>
  <si>
    <t>31.1</t>
  </si>
  <si>
    <t>31.1.1</t>
  </si>
  <si>
    <t>31.2</t>
  </si>
  <si>
    <t>31.2.1</t>
  </si>
  <si>
    <t>32</t>
  </si>
  <si>
    <t>Стальные фермы ФФ-4.1</t>
  </si>
  <si>
    <t>8шт</t>
  </si>
  <si>
    <t>32.1</t>
  </si>
  <si>
    <t>Усиление раскоса р1.1, позиция 4С</t>
  </si>
  <si>
    <t>32.1.1</t>
  </si>
  <si>
    <t>Уголок 40х4</t>
  </si>
  <si>
    <t>6,82м.п.*2,42кг</t>
  </si>
  <si>
    <t>33</t>
  </si>
  <si>
    <t>Связи РС-1.1</t>
  </si>
  <si>
    <t>33.1</t>
  </si>
  <si>
    <t>Усиление связи, позиция 5С</t>
  </si>
  <si>
    <t>53,25*24шт</t>
  </si>
  <si>
    <t>33.1.1</t>
  </si>
  <si>
    <t>Уголок 63х5</t>
  </si>
  <si>
    <t>11,07м.п.4,81кг</t>
  </si>
  <si>
    <t>34</t>
  </si>
  <si>
    <t>356,918п.м.</t>
  </si>
  <si>
    <t>35</t>
  </si>
  <si>
    <t>35.1</t>
  </si>
  <si>
    <t>35.2</t>
  </si>
  <si>
    <t>35.2.1</t>
  </si>
  <si>
    <t>35.3</t>
  </si>
  <si>
    <t>35.3.1</t>
  </si>
  <si>
    <t>35.4</t>
  </si>
  <si>
    <t>35.4.1</t>
  </si>
  <si>
    <t>36</t>
  </si>
  <si>
    <t>Демонтаж элементов связей РС-2. и РЖ-2.1</t>
  </si>
  <si>
    <t>36.1</t>
  </si>
  <si>
    <t>Демонтаж существующей связи РС 2.1 из уголка 63х6</t>
  </si>
  <si>
    <t>5,54м.п.</t>
  </si>
  <si>
    <t>36.2</t>
  </si>
  <si>
    <t>Демонтаж существующей связи РЖ-2.1</t>
  </si>
  <si>
    <t>по ПК-01-28 Выпуск 1. Масса элемента 0.376 т. 6 шт</t>
  </si>
  <si>
    <t>37</t>
  </si>
  <si>
    <t>Монтаж элементов связей</t>
  </si>
  <si>
    <t>37.1</t>
  </si>
  <si>
    <t>Подготовительные работы на устройство связей</t>
  </si>
  <si>
    <t>37.1.1</t>
  </si>
  <si>
    <t>Зачистка поверхность существующих металлоконструкций в местах стыков и устройства сварных швов от лакокрасочного покрытия</t>
  </si>
  <si>
    <t>37.2</t>
  </si>
  <si>
    <t>Связь РС-2.1</t>
  </si>
  <si>
    <t>3шт</t>
  </si>
  <si>
    <t>37.2.1</t>
  </si>
  <si>
    <t>5,54п.м.*4,81кг</t>
  </si>
  <si>
    <t>37.3</t>
  </si>
  <si>
    <t>0,678м.п.</t>
  </si>
  <si>
    <t>37.4</t>
  </si>
  <si>
    <t>Связь РЖ-2.1</t>
  </si>
  <si>
    <t>6шт</t>
  </si>
  <si>
    <t>37.4.1</t>
  </si>
  <si>
    <t>Двутавр 18Б1</t>
  </si>
  <si>
    <t>5,6м.п.*15,4кг</t>
  </si>
  <si>
    <t>37.5</t>
  </si>
  <si>
    <t>2,292м.п.</t>
  </si>
  <si>
    <t>38</t>
  </si>
  <si>
    <t>Послемонтажная обработка связей РС-2.1, РЖ-2.1</t>
  </si>
  <si>
    <t>38.1</t>
  </si>
  <si>
    <t>38.1.1</t>
  </si>
  <si>
    <t>38.2</t>
  </si>
  <si>
    <t>Покрытие огнезащитной краской Термобарьер 0.6мм</t>
  </si>
  <si>
    <t>38.2.1</t>
  </si>
  <si>
    <t>39</t>
  </si>
  <si>
    <t>Замена плит покрытия</t>
  </si>
  <si>
    <t>40</t>
  </si>
  <si>
    <t>Демонтаж работы</t>
  </si>
  <si>
    <t>с помощью алмазных дисковых пил</t>
  </si>
  <si>
    <t>40.1</t>
  </si>
  <si>
    <t>Сборная ребристая плита покрытия</t>
  </si>
  <si>
    <t>40.2</t>
  </si>
  <si>
    <t xml:space="preserve">Межплитные швы (цементный заполнитель) </t>
  </si>
  <si>
    <t>44шва*6м*0.0213м2=5,62м3</t>
  </si>
  <si>
    <t>41</t>
  </si>
  <si>
    <t>Обеспыливание поверхности</t>
  </si>
  <si>
    <t>Промывка струей воды</t>
  </si>
  <si>
    <t>40.3</t>
  </si>
  <si>
    <t>40.3.1</t>
  </si>
  <si>
    <t>40.4</t>
  </si>
  <si>
    <t>40.4.1</t>
  </si>
  <si>
    <t>Монтаж стального каркаса плит покрытия. Узел 5Р.</t>
  </si>
  <si>
    <t>41.1</t>
  </si>
  <si>
    <t>41.2</t>
  </si>
  <si>
    <t>Монтаж элементов изделия У1</t>
  </si>
  <si>
    <t>22шт, без сварных швов и резерв.пластин</t>
  </si>
  <si>
    <t>41.1.1</t>
  </si>
  <si>
    <t>Швеллер 30</t>
  </si>
  <si>
    <t>5,98м.п.*31,8кг*22шт/1000</t>
  </si>
  <si>
    <t>41.1.2</t>
  </si>
  <si>
    <t>Пластина t=6мм S=0.026м2</t>
  </si>
  <si>
    <t>4шт*1,23кг*22шт/1000</t>
  </si>
  <si>
    <t>41.1.3</t>
  </si>
  <si>
    <t>Пластина t=6мм S=0.016м2</t>
  </si>
  <si>
    <t>24шт*0,75кг*22шт/1000</t>
  </si>
  <si>
    <t>41.1.4</t>
  </si>
  <si>
    <t>Пластина 2230х94х6мм</t>
  </si>
  <si>
    <t>2шт*9,87кг*22шт/1000</t>
  </si>
  <si>
    <t>Пластина t=6мм</t>
  </si>
  <si>
    <t>0,9057м2*47,1кг*22шт/1000</t>
  </si>
  <si>
    <t>41.3</t>
  </si>
  <si>
    <t>Сварные швы kf=6мм</t>
  </si>
  <si>
    <t>26,95м.п. 4,16*22/1000</t>
  </si>
  <si>
    <t>41.4</t>
  </si>
  <si>
    <t>Монтаж элементов изделия 1Уа</t>
  </si>
  <si>
    <t>41.4.1</t>
  </si>
  <si>
    <t>41.4.2</t>
  </si>
  <si>
    <t>41.4.3</t>
  </si>
  <si>
    <t>41.4.4</t>
  </si>
  <si>
    <t>41.5</t>
  </si>
  <si>
    <t>41.6</t>
  </si>
  <si>
    <t>41.7</t>
  </si>
  <si>
    <t>Монтаж элементов 2У</t>
  </si>
  <si>
    <t>41.7.1</t>
  </si>
  <si>
    <t>Уголок 70х6</t>
  </si>
  <si>
    <t>5,56п.м.*6,39кг</t>
  </si>
  <si>
    <t>41.8</t>
  </si>
  <si>
    <t>Монтаж элементов 2У1</t>
  </si>
  <si>
    <t>41.8.1</t>
  </si>
  <si>
    <t>Пластина 110х1270х11мм</t>
  </si>
  <si>
    <t>2шт*12,06кг</t>
  </si>
  <si>
    <t>42</t>
  </si>
  <si>
    <t>Монтаж не съемной опалубки плит покрытия</t>
  </si>
  <si>
    <t>42.1</t>
  </si>
  <si>
    <t>Монтаж профлиста Н57- 750 - 0.8 (Монтаж элементов 3У)</t>
  </si>
  <si>
    <t>13,11м2*6,38кг*22шт/1000. Масса профлиста дана с учётом перехлёста на 2 гофры</t>
  </si>
  <si>
    <t>43</t>
  </si>
  <si>
    <t>Армирование плит покрытия</t>
  </si>
  <si>
    <t>43.1</t>
  </si>
  <si>
    <t>Очистка арматуры от ржавчины и грязи</t>
  </si>
  <si>
    <t>44</t>
  </si>
  <si>
    <t>Каркас 5У</t>
  </si>
  <si>
    <t>44.1</t>
  </si>
  <si>
    <t>Монтаж арматуры гладкой 6 мм A240, L-97мм, шаг 188мм (в каждую гофру)</t>
  </si>
  <si>
    <t>10шт*0,023кг*528шт/1000</t>
  </si>
  <si>
    <t>44.2</t>
  </si>
  <si>
    <t>Монтаж арматуры 8 мм рифленая A500С. L-1450мм</t>
  </si>
  <si>
    <t>2шт*0,573кг*528шт/1000</t>
  </si>
  <si>
    <t>45</t>
  </si>
  <si>
    <t>Каркас 6У</t>
  </si>
  <si>
    <t>45.1</t>
  </si>
  <si>
    <t>Монтаж арматуры 8 мм рифленая A500С</t>
  </si>
  <si>
    <t>26,6п.м*0,395кг</t>
  </si>
  <si>
    <t>45.2</t>
  </si>
  <si>
    <t>Монтаж вязальной проволоки ∅ 1-2 мм двойным узлом</t>
  </si>
  <si>
    <t>45.3</t>
  </si>
  <si>
    <t>5,76м.п.</t>
  </si>
  <si>
    <t>45.4</t>
  </si>
  <si>
    <t>Сварные швы kf=8мм</t>
  </si>
  <si>
    <t>0,3м.п.</t>
  </si>
  <si>
    <t>46</t>
  </si>
  <si>
    <t>Бетонирование плит покрытия на отм. +11,555, +16,570</t>
  </si>
  <si>
    <t>46.1</t>
  </si>
  <si>
    <t>Мелкозернистый бетон В25, толщ. 115мм</t>
  </si>
  <si>
    <t>11,15м3 высота от +11.185 до +16,380</t>
  </si>
  <si>
    <t>47</t>
  </si>
  <si>
    <t>Устройство межплитных швов</t>
  </si>
  <si>
    <t>м.п.</t>
  </si>
  <si>
    <t>47.1</t>
  </si>
  <si>
    <t>Зачистка межплиточных швов</t>
  </si>
  <si>
    <t>47.2</t>
  </si>
  <si>
    <t>Нанесение насечек на боковуюю поверхность рёбер ж.б. плит вдоль шва</t>
  </si>
  <si>
    <t>47.3</t>
  </si>
  <si>
    <t>Увлажнение поверхности водой с удалением излишек</t>
  </si>
  <si>
    <t>47.4</t>
  </si>
  <si>
    <t>Монтаж опалубки на нижней грани межплиточного шва шириной от 50мм</t>
  </si>
  <si>
    <t>0,05*263,12</t>
  </si>
  <si>
    <t>47.5</t>
  </si>
  <si>
    <t>возможен аналог. 4,79м3</t>
  </si>
  <si>
    <t>47.5.1</t>
  </si>
  <si>
    <t xml:space="preserve"> 1850кг/1м3.</t>
  </si>
  <si>
    <t>47.6.1</t>
  </si>
  <si>
    <t>(0.2м2 на 1.мпог, слой 1мм, расход 0.9кг/м2)</t>
  </si>
  <si>
    <t>48</t>
  </si>
  <si>
    <t>Вывоз мусора (бетонный бой)</t>
  </si>
  <si>
    <t>99,05*2,4т+2,236</t>
  </si>
  <si>
    <t>49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</si>
  <si>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</si>
  <si>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</si>
  <si>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50</t>
  </si>
  <si>
    <t>Перевозка грузов I класса автомобилями-самосвалами грузоподъемностью 10 т работающих вне карьера на расстояние до 47 км</t>
  </si>
  <si>
    <t>51</t>
  </si>
  <si>
    <t>Утилизация строительного мусора</t>
  </si>
  <si>
    <t>52</t>
  </si>
  <si>
    <t>Вывоз сдемонтированного металла</t>
  </si>
  <si>
    <t>№ п/п</t>
  </si>
  <si>
    <t>Наименование работы</t>
  </si>
  <si>
    <t>Ед. изм.</t>
  </si>
  <si>
    <t>Кол-во</t>
  </si>
  <si>
    <t>цена мат. руб. без НДС</t>
  </si>
  <si>
    <t>сумма мат. руб. без НДС</t>
  </si>
  <si>
    <t>цена работ руб. без НДС</t>
  </si>
  <si>
    <t>сумма работ руб. без НДС</t>
  </si>
  <si>
    <t>ИТОГО мат/работы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</si>
</sst>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d\.m"/>
  </numFmts>
  <fonts count="16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FF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4A86E8"/>
      <name val="Calibri"/>
      <family val="2"/>
      <charset val="204"/>
    </font>
    <font>
      <sz val="12"/>
      <color rgb="FF000000"/>
      <name val="&quot;Times New Roman&quot;"/>
    </font>
    <font>
      <b/>
      <i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EECE1"/>
        <bgColor rgb="FFEEECE1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66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 wrapText="1"/>
    </xf>
    <xf numFmtId="164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 applyAlignment="1"/>
    <xf numFmtId="0" fontId="1" fillId="6" borderId="1" xfId="0" applyFont="1" applyFill="1" applyBorder="1" applyAlignment="1">
      <alignment horizontal="center" wrapText="1"/>
    </xf>
    <xf numFmtId="164" fontId="1" fillId="6" borderId="1" xfId="0" applyNumberFormat="1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2" fontId="8" fillId="3" borderId="1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2" fontId="9" fillId="0" borderId="1" xfId="0" applyNumberFormat="1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2" fontId="1" fillId="6" borderId="2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2" fontId="1" fillId="3" borderId="2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1" fillId="3" borderId="3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wrapText="1"/>
    </xf>
    <xf numFmtId="2" fontId="3" fillId="4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center" wrapText="1"/>
    </xf>
    <xf numFmtId="165" fontId="7" fillId="7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left" wrapText="1"/>
    </xf>
    <xf numFmtId="0" fontId="4" fillId="4" borderId="0" xfId="0" applyFont="1" applyFill="1"/>
    <xf numFmtId="0" fontId="1" fillId="4" borderId="1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4" fontId="3" fillId="3" borderId="1" xfId="0" applyNumberFormat="1" applyFont="1" applyFill="1" applyBorder="1" applyAlignment="1">
      <alignment horizontal="center" wrapText="1"/>
    </xf>
    <xf numFmtId="166" fontId="1" fillId="3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64" fontId="8" fillId="6" borderId="1" xfId="0" applyNumberFormat="1" applyFont="1" applyFill="1" applyBorder="1" applyAlignment="1">
      <alignment horizontal="center" wrapText="1"/>
    </xf>
    <xf numFmtId="167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67" fontId="1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67" fontId="3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166" fontId="1" fillId="4" borderId="1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2" fontId="8" fillId="6" borderId="1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164" fontId="1" fillId="4" borderId="1" xfId="0" applyNumberFormat="1" applyFont="1" applyFill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1" fillId="3" borderId="1" xfId="0" applyNumberFormat="1" applyFont="1" applyFill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wrapText="1"/>
    </xf>
    <xf numFmtId="2" fontId="7" fillId="4" borderId="2" xfId="0" applyNumberFormat="1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2" fontId="3" fillId="4" borderId="2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wrapText="1"/>
    </xf>
    <xf numFmtId="164" fontId="8" fillId="7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wrapText="1"/>
    </xf>
    <xf numFmtId="164" fontId="8" fillId="4" borderId="1" xfId="0" applyNumberFormat="1" applyFont="1" applyFill="1" applyBorder="1" applyAlignment="1">
      <alignment horizontal="center" wrapText="1"/>
    </xf>
    <xf numFmtId="166" fontId="3" fillId="4" borderId="2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wrapText="1"/>
    </xf>
    <xf numFmtId="2" fontId="11" fillId="4" borderId="1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2" fontId="1" fillId="4" borderId="2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7" fillId="6" borderId="0" xfId="0" applyFont="1" applyFill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64" fontId="7" fillId="4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164" fontId="3" fillId="5" borderId="1" xfId="0" applyNumberFormat="1" applyFont="1" applyFill="1" applyBorder="1" applyAlignment="1">
      <alignment horizontal="center" wrapText="1"/>
    </xf>
    <xf numFmtId="164" fontId="12" fillId="4" borderId="1" xfId="0" applyNumberFormat="1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8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4" fillId="4" borderId="0" xfId="0" applyNumberFormat="1" applyFont="1" applyFill="1"/>
    <xf numFmtId="0" fontId="4" fillId="0" borderId="0" xfId="0" applyFont="1" applyAlignment="1">
      <alignment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3" fontId="1" fillId="8" borderId="1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63"/>
  <sheetViews>
    <sheetView tabSelected="1" zoomScale="80" zoomScaleNormal="80" workbookViewId="0">
      <selection activeCell="J1" sqref="J1"/>
    </sheetView>
  </sheetViews>
  <sheetFormatPr defaultColWidth="12.6640625" defaultRowHeight="15.75" customHeight="1"/>
  <cols>
    <col min="1" max="1" width="9.6640625" customWidth="1"/>
    <col min="2" max="2" width="40.44140625" customWidth="1"/>
    <col min="3" max="3" width="10" customWidth="1"/>
    <col min="4" max="9" width="12.44140625" customWidth="1"/>
    <col min="10" max="10" width="40.109375" customWidth="1"/>
  </cols>
  <sheetData>
    <row r="1" spans="1:29" s="165" customFormat="1" ht="43.2">
      <c r="A1" s="159" t="s">
        <v>659</v>
      </c>
      <c r="B1" s="160" t="s">
        <v>660</v>
      </c>
      <c r="C1" s="160" t="s">
        <v>661</v>
      </c>
      <c r="D1" s="160" t="s">
        <v>662</v>
      </c>
      <c r="E1" s="161" t="s">
        <v>663</v>
      </c>
      <c r="F1" s="160" t="s">
        <v>664</v>
      </c>
      <c r="G1" s="160" t="s">
        <v>665</v>
      </c>
      <c r="H1" s="160" t="s">
        <v>666</v>
      </c>
      <c r="I1" s="160" t="s">
        <v>667</v>
      </c>
      <c r="J1" s="162"/>
      <c r="K1" s="163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14.4">
      <c r="A2" s="2" t="s">
        <v>0</v>
      </c>
      <c r="B2" s="3" t="s">
        <v>1</v>
      </c>
      <c r="C2" s="4" t="s">
        <v>2</v>
      </c>
      <c r="D2" s="4">
        <v>25443</v>
      </c>
      <c r="E2" s="124"/>
      <c r="F2" s="124"/>
      <c r="G2" s="124"/>
      <c r="H2" s="124"/>
      <c r="I2" s="124"/>
      <c r="J2" s="5" t="s">
        <v>3</v>
      </c>
    </row>
    <row r="3" spans="1:29" ht="14.4">
      <c r="A3" s="2"/>
      <c r="B3" s="6" t="s">
        <v>4</v>
      </c>
      <c r="C3" s="7" t="s">
        <v>5</v>
      </c>
      <c r="D3" s="8">
        <v>2.73</v>
      </c>
      <c r="E3" s="8"/>
      <c r="F3" s="8"/>
      <c r="G3" s="8"/>
      <c r="H3" s="8"/>
      <c r="I3" s="8"/>
      <c r="J3" s="9" t="s">
        <v>6</v>
      </c>
    </row>
    <row r="4" spans="1:29" ht="14.4">
      <c r="A4" s="2"/>
      <c r="B4" s="6" t="s">
        <v>7</v>
      </c>
      <c r="C4" s="7" t="s">
        <v>5</v>
      </c>
      <c r="D4" s="8">
        <v>1.07</v>
      </c>
      <c r="E4" s="8"/>
      <c r="F4" s="8"/>
      <c r="G4" s="8"/>
      <c r="H4" s="8"/>
      <c r="I4" s="8"/>
      <c r="J4" s="9" t="s">
        <v>8</v>
      </c>
    </row>
    <row r="5" spans="1:29" ht="14.4">
      <c r="A5" s="2"/>
      <c r="B5" s="6" t="s">
        <v>9</v>
      </c>
      <c r="C5" s="7" t="s">
        <v>2</v>
      </c>
      <c r="D5" s="8">
        <v>126</v>
      </c>
      <c r="E5" s="8"/>
      <c r="F5" s="8"/>
      <c r="G5" s="8"/>
      <c r="H5" s="8"/>
      <c r="I5" s="8"/>
      <c r="J5" s="10"/>
    </row>
    <row r="6" spans="1:29" ht="27">
      <c r="A6" s="2"/>
      <c r="B6" s="6" t="s">
        <v>10</v>
      </c>
      <c r="C6" s="7" t="s">
        <v>11</v>
      </c>
      <c r="D6" s="8">
        <v>154</v>
      </c>
      <c r="E6" s="8"/>
      <c r="F6" s="8"/>
      <c r="G6" s="8"/>
      <c r="H6" s="8"/>
      <c r="I6" s="8"/>
      <c r="J6" s="10"/>
    </row>
    <row r="7" spans="1:29" ht="14.4">
      <c r="A7" s="2"/>
      <c r="B7" s="6" t="s">
        <v>12</v>
      </c>
      <c r="C7" s="7" t="s">
        <v>13</v>
      </c>
      <c r="D7" s="8" t="s">
        <v>14</v>
      </c>
      <c r="E7" s="8"/>
      <c r="F7" s="8"/>
      <c r="G7" s="8"/>
      <c r="H7" s="8"/>
      <c r="I7" s="8"/>
      <c r="J7" s="10"/>
    </row>
    <row r="8" spans="1:29" ht="57.6">
      <c r="A8" s="2" t="s">
        <v>15</v>
      </c>
      <c r="B8" s="11" t="s">
        <v>16</v>
      </c>
      <c r="C8" s="11" t="s">
        <v>17</v>
      </c>
      <c r="D8" s="12">
        <v>36.423999999999999</v>
      </c>
      <c r="E8" s="12"/>
      <c r="F8" s="12"/>
      <c r="G8" s="12"/>
      <c r="H8" s="12"/>
      <c r="I8" s="12"/>
      <c r="J8" s="13" t="s">
        <v>18</v>
      </c>
    </row>
    <row r="9" spans="1:29" ht="57.6">
      <c r="A9" s="2" t="s">
        <v>19</v>
      </c>
      <c r="B9" s="11" t="s">
        <v>20</v>
      </c>
      <c r="C9" s="11" t="s">
        <v>21</v>
      </c>
      <c r="D9" s="11">
        <v>8992</v>
      </c>
      <c r="E9" s="122"/>
      <c r="F9" s="122"/>
      <c r="G9" s="122"/>
      <c r="H9" s="122"/>
      <c r="I9" s="122"/>
      <c r="J9" s="14"/>
    </row>
    <row r="10" spans="1:29" ht="28.8">
      <c r="A10" s="2" t="s">
        <v>22</v>
      </c>
      <c r="B10" s="15" t="s">
        <v>23</v>
      </c>
      <c r="C10" s="16" t="s">
        <v>2</v>
      </c>
      <c r="D10" s="16">
        <v>899.2</v>
      </c>
      <c r="E10" s="145"/>
      <c r="F10" s="145"/>
      <c r="G10" s="145"/>
      <c r="H10" s="145"/>
      <c r="I10" s="145"/>
      <c r="J10" s="17"/>
    </row>
    <row r="11" spans="1:29" ht="43.2">
      <c r="A11" s="2" t="s">
        <v>24</v>
      </c>
      <c r="B11" s="15" t="s">
        <v>25</v>
      </c>
      <c r="C11" s="16" t="s">
        <v>2</v>
      </c>
      <c r="D11" s="16">
        <v>899.2</v>
      </c>
      <c r="E11" s="145"/>
      <c r="F11" s="145"/>
      <c r="G11" s="145"/>
      <c r="H11" s="145"/>
      <c r="I11" s="145"/>
      <c r="J11" s="18" t="s">
        <v>26</v>
      </c>
    </row>
    <row r="12" spans="1:29" ht="14.4">
      <c r="A12" s="2" t="s">
        <v>27</v>
      </c>
      <c r="B12" s="15" t="s">
        <v>28</v>
      </c>
      <c r="C12" s="16" t="s">
        <v>2</v>
      </c>
      <c r="D12" s="19">
        <v>719.36</v>
      </c>
      <c r="E12" s="142"/>
      <c r="F12" s="142"/>
      <c r="G12" s="142"/>
      <c r="H12" s="142"/>
      <c r="I12" s="142"/>
      <c r="J12" s="18"/>
    </row>
    <row r="13" spans="1:29" ht="28.8">
      <c r="A13" s="2" t="s">
        <v>29</v>
      </c>
      <c r="B13" s="20" t="s">
        <v>30</v>
      </c>
      <c r="C13" s="16" t="s">
        <v>31</v>
      </c>
      <c r="D13" s="16">
        <v>2643.65</v>
      </c>
      <c r="E13" s="145"/>
      <c r="F13" s="145"/>
      <c r="G13" s="145"/>
      <c r="H13" s="145"/>
      <c r="I13" s="145"/>
      <c r="J13" s="18" t="s">
        <v>32</v>
      </c>
    </row>
    <row r="14" spans="1:29" ht="28.8">
      <c r="A14" s="2" t="s">
        <v>33</v>
      </c>
      <c r="B14" s="15" t="s">
        <v>34</v>
      </c>
      <c r="C14" s="16" t="s">
        <v>2</v>
      </c>
      <c r="D14" s="16">
        <v>899.2</v>
      </c>
      <c r="E14" s="145"/>
      <c r="F14" s="145"/>
      <c r="G14" s="145"/>
      <c r="H14" s="145"/>
      <c r="I14" s="145"/>
      <c r="J14" s="15" t="s">
        <v>35</v>
      </c>
    </row>
    <row r="15" spans="1:29" ht="28.8">
      <c r="A15" s="2" t="s">
        <v>36</v>
      </c>
      <c r="B15" s="20" t="s">
        <v>37</v>
      </c>
      <c r="C15" s="16" t="s">
        <v>38</v>
      </c>
      <c r="D15" s="21">
        <v>66540.800000000003</v>
      </c>
      <c r="E15" s="21"/>
      <c r="F15" s="21"/>
      <c r="G15" s="21"/>
      <c r="H15" s="21"/>
      <c r="I15" s="21"/>
      <c r="J15" s="15" t="s">
        <v>39</v>
      </c>
    </row>
    <row r="16" spans="1:29" ht="14.4">
      <c r="A16" s="2" t="s">
        <v>40</v>
      </c>
      <c r="B16" s="15" t="s">
        <v>41</v>
      </c>
      <c r="C16" s="16" t="s">
        <v>2</v>
      </c>
      <c r="D16" s="16">
        <v>1798.4</v>
      </c>
      <c r="E16" s="145"/>
      <c r="F16" s="145"/>
      <c r="G16" s="145"/>
      <c r="H16" s="145"/>
      <c r="I16" s="145"/>
      <c r="J16" s="18" t="s">
        <v>42</v>
      </c>
    </row>
    <row r="17" spans="1:10" ht="28.8">
      <c r="A17" s="2" t="s">
        <v>43</v>
      </c>
      <c r="B17" s="20" t="s">
        <v>44</v>
      </c>
      <c r="C17" s="16" t="s">
        <v>38</v>
      </c>
      <c r="D17" s="16">
        <f>0.2*8992*0.9</f>
        <v>1618.5600000000002</v>
      </c>
      <c r="E17" s="145"/>
      <c r="F17" s="145"/>
      <c r="G17" s="145"/>
      <c r="H17" s="145"/>
      <c r="I17" s="145"/>
      <c r="J17" s="15" t="s">
        <v>45</v>
      </c>
    </row>
    <row r="18" spans="1:10" ht="57.6">
      <c r="A18" s="2" t="s">
        <v>46</v>
      </c>
      <c r="B18" s="11" t="s">
        <v>47</v>
      </c>
      <c r="C18" s="11" t="s">
        <v>17</v>
      </c>
      <c r="D18" s="11">
        <v>6.8640000000000007E-2</v>
      </c>
      <c r="E18" s="122"/>
      <c r="F18" s="122"/>
      <c r="G18" s="122"/>
      <c r="H18" s="122"/>
      <c r="I18" s="122"/>
      <c r="J18" s="13" t="s">
        <v>48</v>
      </c>
    </row>
    <row r="19" spans="1:10" ht="57.6">
      <c r="A19" s="2" t="s">
        <v>49</v>
      </c>
      <c r="B19" s="11" t="s">
        <v>50</v>
      </c>
      <c r="C19" s="11" t="s">
        <v>21</v>
      </c>
      <c r="D19" s="11">
        <v>64.14</v>
      </c>
      <c r="E19" s="122"/>
      <c r="F19" s="122"/>
      <c r="G19" s="122"/>
      <c r="H19" s="122"/>
      <c r="I19" s="122"/>
      <c r="J19" s="13"/>
    </row>
    <row r="20" spans="1:10" ht="28.8">
      <c r="A20" s="2" t="s">
        <v>51</v>
      </c>
      <c r="B20" s="15" t="s">
        <v>23</v>
      </c>
      <c r="C20" s="16" t="s">
        <v>2</v>
      </c>
      <c r="D20" s="16">
        <v>3.85</v>
      </c>
      <c r="E20" s="145"/>
      <c r="F20" s="145"/>
      <c r="G20" s="145"/>
      <c r="H20" s="145"/>
      <c r="I20" s="145"/>
      <c r="J20" s="17"/>
    </row>
    <row r="21" spans="1:10" ht="43.2">
      <c r="A21" s="2" t="s">
        <v>52</v>
      </c>
      <c r="B21" s="15" t="s">
        <v>25</v>
      </c>
      <c r="C21" s="16" t="s">
        <v>2</v>
      </c>
      <c r="D21" s="16">
        <v>3.85</v>
      </c>
      <c r="E21" s="145"/>
      <c r="F21" s="145"/>
      <c r="G21" s="145"/>
      <c r="H21" s="145"/>
      <c r="I21" s="145"/>
      <c r="J21" s="18" t="s">
        <v>53</v>
      </c>
    </row>
    <row r="22" spans="1:10" ht="28.8">
      <c r="A22" s="2" t="s">
        <v>54</v>
      </c>
      <c r="B22" s="15" t="s">
        <v>28</v>
      </c>
      <c r="C22" s="16" t="s">
        <v>2</v>
      </c>
      <c r="D22" s="16">
        <v>1.28</v>
      </c>
      <c r="E22" s="145"/>
      <c r="F22" s="145"/>
      <c r="G22" s="145"/>
      <c r="H22" s="145"/>
      <c r="I22" s="145"/>
      <c r="J22" s="18" t="s">
        <v>55</v>
      </c>
    </row>
    <row r="23" spans="1:10" ht="14.4">
      <c r="A23" s="2" t="s">
        <v>56</v>
      </c>
      <c r="B23" s="20" t="s">
        <v>30</v>
      </c>
      <c r="C23" s="16" t="s">
        <v>31</v>
      </c>
      <c r="D23" s="16">
        <v>4.71</v>
      </c>
      <c r="E23" s="145"/>
      <c r="F23" s="145"/>
      <c r="G23" s="145"/>
      <c r="H23" s="145"/>
      <c r="I23" s="145"/>
      <c r="J23" s="17"/>
    </row>
    <row r="24" spans="1:10" ht="14.4">
      <c r="A24" s="2" t="s">
        <v>57</v>
      </c>
      <c r="B24" s="15" t="s">
        <v>58</v>
      </c>
      <c r="C24" s="16" t="s">
        <v>2</v>
      </c>
      <c r="D24" s="16">
        <v>3.85</v>
      </c>
      <c r="E24" s="145"/>
      <c r="F24" s="145"/>
      <c r="G24" s="145"/>
      <c r="H24" s="145"/>
      <c r="I24" s="145"/>
      <c r="J24" s="15" t="s">
        <v>59</v>
      </c>
    </row>
    <row r="25" spans="1:10" ht="28.8">
      <c r="A25" s="2" t="s">
        <v>60</v>
      </c>
      <c r="B25" s="20" t="s">
        <v>37</v>
      </c>
      <c r="C25" s="16" t="s">
        <v>38</v>
      </c>
      <c r="D25" s="22">
        <v>111</v>
      </c>
      <c r="E25" s="150"/>
      <c r="F25" s="150"/>
      <c r="G25" s="150"/>
      <c r="H25" s="150"/>
      <c r="I25" s="150"/>
      <c r="J25" s="15" t="s">
        <v>61</v>
      </c>
    </row>
    <row r="26" spans="1:10" ht="14.4">
      <c r="A26" s="2" t="s">
        <v>62</v>
      </c>
      <c r="B26" s="15" t="s">
        <v>41</v>
      </c>
      <c r="C26" s="16" t="s">
        <v>2</v>
      </c>
      <c r="D26" s="19">
        <v>7.6999999999999993</v>
      </c>
      <c r="E26" s="142"/>
      <c r="F26" s="142"/>
      <c r="G26" s="142"/>
      <c r="H26" s="142"/>
      <c r="I26" s="142"/>
      <c r="J26" s="18" t="s">
        <v>63</v>
      </c>
    </row>
    <row r="27" spans="1:10" ht="14.4">
      <c r="A27" s="2" t="s">
        <v>64</v>
      </c>
      <c r="B27" s="20" t="s">
        <v>44</v>
      </c>
      <c r="C27" s="16" t="s">
        <v>38</v>
      </c>
      <c r="D27" s="16">
        <v>6.93</v>
      </c>
      <c r="E27" s="145"/>
      <c r="F27" s="145"/>
      <c r="G27" s="145"/>
      <c r="H27" s="145"/>
      <c r="I27" s="145"/>
      <c r="J27" s="15" t="s">
        <v>65</v>
      </c>
    </row>
    <row r="28" spans="1:10" ht="57.6">
      <c r="A28" s="2" t="s">
        <v>66</v>
      </c>
      <c r="B28" s="11" t="s">
        <v>67</v>
      </c>
      <c r="C28" s="11" t="s">
        <v>68</v>
      </c>
      <c r="D28" s="11">
        <v>0.185</v>
      </c>
      <c r="E28" s="122"/>
      <c r="F28" s="122"/>
      <c r="G28" s="122"/>
      <c r="H28" s="122"/>
      <c r="I28" s="122"/>
      <c r="J28" s="13"/>
    </row>
    <row r="29" spans="1:10" ht="43.2">
      <c r="A29" s="2" t="s">
        <v>69</v>
      </c>
      <c r="B29" s="11" t="s">
        <v>70</v>
      </c>
      <c r="C29" s="11" t="s">
        <v>71</v>
      </c>
      <c r="D29" s="23">
        <v>37</v>
      </c>
      <c r="E29" s="23"/>
      <c r="F29" s="23"/>
      <c r="G29" s="23"/>
      <c r="H29" s="23"/>
      <c r="I29" s="23"/>
      <c r="J29" s="14"/>
    </row>
    <row r="30" spans="1:10" ht="28.8">
      <c r="A30" s="2" t="s">
        <v>72</v>
      </c>
      <c r="B30" s="15" t="s">
        <v>23</v>
      </c>
      <c r="C30" s="16" t="s">
        <v>2</v>
      </c>
      <c r="D30" s="16">
        <v>2.2200000000000002</v>
      </c>
      <c r="E30" s="145"/>
      <c r="F30" s="145"/>
      <c r="G30" s="145"/>
      <c r="H30" s="145"/>
      <c r="I30" s="145"/>
      <c r="J30" s="18"/>
    </row>
    <row r="31" spans="1:10" ht="43.2">
      <c r="A31" s="2" t="s">
        <v>73</v>
      </c>
      <c r="B31" s="15" t="s">
        <v>25</v>
      </c>
      <c r="C31" s="16" t="s">
        <v>2</v>
      </c>
      <c r="D31" s="16">
        <v>2.2200000000000002</v>
      </c>
      <c r="E31" s="145"/>
      <c r="F31" s="145"/>
      <c r="G31" s="145"/>
      <c r="H31" s="145"/>
      <c r="I31" s="145"/>
      <c r="J31" s="18" t="s">
        <v>74</v>
      </c>
    </row>
    <row r="32" spans="1:10" ht="43.2">
      <c r="A32" s="2" t="s">
        <v>75</v>
      </c>
      <c r="B32" s="15" t="s">
        <v>76</v>
      </c>
      <c r="C32" s="16" t="s">
        <v>2</v>
      </c>
      <c r="D32" s="16">
        <v>11.84</v>
      </c>
      <c r="E32" s="145"/>
      <c r="F32" s="145"/>
      <c r="G32" s="145"/>
      <c r="H32" s="145"/>
      <c r="I32" s="145"/>
      <c r="J32" s="18" t="s">
        <v>77</v>
      </c>
    </row>
    <row r="33" spans="1:10" ht="14.4">
      <c r="A33" s="2" t="s">
        <v>78</v>
      </c>
      <c r="B33" s="20" t="s">
        <v>79</v>
      </c>
      <c r="C33" s="16" t="s">
        <v>38</v>
      </c>
      <c r="D33" s="4">
        <v>49.7</v>
      </c>
      <c r="E33" s="124"/>
      <c r="F33" s="124"/>
      <c r="G33" s="124"/>
      <c r="H33" s="124"/>
      <c r="I33" s="124"/>
      <c r="J33" s="15" t="s">
        <v>80</v>
      </c>
    </row>
    <row r="34" spans="1:10" ht="14.4">
      <c r="A34" s="2" t="s">
        <v>81</v>
      </c>
      <c r="B34" s="15" t="s">
        <v>58</v>
      </c>
      <c r="C34" s="16" t="s">
        <v>2</v>
      </c>
      <c r="D34" s="16">
        <v>37</v>
      </c>
      <c r="E34" s="145"/>
      <c r="F34" s="145"/>
      <c r="G34" s="145"/>
      <c r="H34" s="145"/>
      <c r="I34" s="145"/>
      <c r="J34" s="15" t="s">
        <v>82</v>
      </c>
    </row>
    <row r="35" spans="1:10" ht="28.8">
      <c r="A35" s="2" t="s">
        <v>83</v>
      </c>
      <c r="B35" s="20" t="s">
        <v>37</v>
      </c>
      <c r="C35" s="16" t="s">
        <v>38</v>
      </c>
      <c r="D35" s="22">
        <f>0.37*1850</f>
        <v>684.5</v>
      </c>
      <c r="E35" s="150"/>
      <c r="F35" s="150"/>
      <c r="G35" s="150"/>
      <c r="H35" s="150"/>
      <c r="I35" s="150"/>
      <c r="J35" s="15" t="s">
        <v>84</v>
      </c>
    </row>
    <row r="36" spans="1:10" ht="14.4">
      <c r="A36" s="2" t="s">
        <v>85</v>
      </c>
      <c r="B36" s="15" t="s">
        <v>86</v>
      </c>
      <c r="C36" s="16" t="s">
        <v>2</v>
      </c>
      <c r="D36" s="16">
        <v>11.84</v>
      </c>
      <c r="E36" s="145"/>
      <c r="F36" s="145"/>
      <c r="G36" s="145"/>
      <c r="H36" s="145"/>
      <c r="I36" s="145"/>
      <c r="J36" s="18" t="s">
        <v>87</v>
      </c>
    </row>
    <row r="37" spans="1:10" ht="14.4">
      <c r="A37" s="2" t="s">
        <v>88</v>
      </c>
      <c r="B37" s="20" t="s">
        <v>44</v>
      </c>
      <c r="C37" s="16" t="s">
        <v>38</v>
      </c>
      <c r="D37" s="16">
        <v>10.66</v>
      </c>
      <c r="E37" s="145"/>
      <c r="F37" s="145"/>
      <c r="G37" s="145"/>
      <c r="H37" s="145"/>
      <c r="I37" s="145"/>
      <c r="J37" s="15" t="s">
        <v>65</v>
      </c>
    </row>
    <row r="38" spans="1:10" ht="43.2">
      <c r="A38" s="2" t="s">
        <v>89</v>
      </c>
      <c r="B38" s="11" t="s">
        <v>90</v>
      </c>
      <c r="C38" s="11" t="s">
        <v>17</v>
      </c>
      <c r="D38" s="11">
        <v>0</v>
      </c>
      <c r="E38" s="122"/>
      <c r="F38" s="122"/>
      <c r="G38" s="122"/>
      <c r="H38" s="122"/>
      <c r="I38" s="122"/>
      <c r="J38" s="24"/>
    </row>
    <row r="39" spans="1:10" ht="43.2">
      <c r="A39" s="2" t="s">
        <v>91</v>
      </c>
      <c r="B39" s="11" t="s">
        <v>92</v>
      </c>
      <c r="C39" s="11" t="s">
        <v>2</v>
      </c>
      <c r="D39" s="11">
        <v>319.2</v>
      </c>
      <c r="E39" s="122"/>
      <c r="F39" s="122"/>
      <c r="G39" s="122"/>
      <c r="H39" s="122"/>
      <c r="I39" s="122"/>
      <c r="J39" s="14"/>
    </row>
    <row r="40" spans="1:10" ht="28.8">
      <c r="A40" s="2" t="s">
        <v>93</v>
      </c>
      <c r="B40" s="15" t="s">
        <v>23</v>
      </c>
      <c r="C40" s="16" t="s">
        <v>2</v>
      </c>
      <c r="D40" s="16">
        <v>319.2</v>
      </c>
      <c r="E40" s="145"/>
      <c r="F40" s="145"/>
      <c r="G40" s="145"/>
      <c r="H40" s="145"/>
      <c r="I40" s="145"/>
      <c r="J40" s="17"/>
    </row>
    <row r="41" spans="1:10" ht="43.2">
      <c r="A41" s="2" t="s">
        <v>94</v>
      </c>
      <c r="B41" s="15" t="s">
        <v>25</v>
      </c>
      <c r="C41" s="16" t="s">
        <v>2</v>
      </c>
      <c r="D41" s="16">
        <v>319.2</v>
      </c>
      <c r="E41" s="145"/>
      <c r="F41" s="145"/>
      <c r="G41" s="145"/>
      <c r="H41" s="145"/>
      <c r="I41" s="145"/>
      <c r="J41" s="18" t="s">
        <v>53</v>
      </c>
    </row>
    <row r="42" spans="1:10" ht="14.4">
      <c r="A42" s="2" t="s">
        <v>95</v>
      </c>
      <c r="B42" s="15" t="s">
        <v>58</v>
      </c>
      <c r="C42" s="16" t="s">
        <v>2</v>
      </c>
      <c r="D42" s="16">
        <v>319.2</v>
      </c>
      <c r="E42" s="145"/>
      <c r="F42" s="145"/>
      <c r="G42" s="145"/>
      <c r="H42" s="145"/>
      <c r="I42" s="145"/>
      <c r="J42" s="15" t="s">
        <v>96</v>
      </c>
    </row>
    <row r="43" spans="1:10" ht="28.8">
      <c r="A43" s="2" t="s">
        <v>97</v>
      </c>
      <c r="B43" s="20" t="s">
        <v>37</v>
      </c>
      <c r="C43" s="16" t="s">
        <v>38</v>
      </c>
      <c r="D43" s="22">
        <f>319.2*0.01*1850</f>
        <v>5905.2000000000007</v>
      </c>
      <c r="E43" s="150"/>
      <c r="F43" s="150"/>
      <c r="G43" s="150"/>
      <c r="H43" s="150"/>
      <c r="I43" s="150"/>
      <c r="J43" s="15" t="s">
        <v>98</v>
      </c>
    </row>
    <row r="44" spans="1:10" ht="14.4">
      <c r="A44" s="2" t="s">
        <v>99</v>
      </c>
      <c r="B44" s="15" t="s">
        <v>100</v>
      </c>
      <c r="C44" s="16" t="s">
        <v>2</v>
      </c>
      <c r="D44" s="16">
        <v>319.2</v>
      </c>
      <c r="E44" s="145"/>
      <c r="F44" s="145"/>
      <c r="G44" s="145"/>
      <c r="H44" s="145"/>
      <c r="I44" s="145"/>
      <c r="J44" s="17"/>
    </row>
    <row r="45" spans="1:10" ht="14.4">
      <c r="A45" s="2" t="s">
        <v>101</v>
      </c>
      <c r="B45" s="20" t="s">
        <v>44</v>
      </c>
      <c r="C45" s="16" t="s">
        <v>38</v>
      </c>
      <c r="D45" s="16">
        <v>287.27999999999997</v>
      </c>
      <c r="E45" s="145"/>
      <c r="F45" s="145"/>
      <c r="G45" s="145"/>
      <c r="H45" s="145"/>
      <c r="I45" s="145"/>
      <c r="J45" s="15" t="s">
        <v>65</v>
      </c>
    </row>
    <row r="46" spans="1:10" ht="14.4">
      <c r="A46" s="26" t="s">
        <v>102</v>
      </c>
      <c r="B46" s="1" t="s">
        <v>103</v>
      </c>
      <c r="C46" s="27"/>
      <c r="D46" s="27"/>
      <c r="E46" s="27"/>
      <c r="F46" s="27"/>
      <c r="G46" s="27"/>
      <c r="H46" s="27"/>
      <c r="I46" s="27"/>
      <c r="J46" s="27"/>
    </row>
    <row r="47" spans="1:10" ht="14.4">
      <c r="A47" s="2" t="s">
        <v>104</v>
      </c>
      <c r="B47" s="28" t="s">
        <v>105</v>
      </c>
      <c r="C47" s="29"/>
      <c r="D47" s="30"/>
      <c r="E47" s="68"/>
      <c r="F47" s="68"/>
      <c r="G47" s="68"/>
      <c r="H47" s="68"/>
      <c r="I47" s="68"/>
      <c r="J47" s="15" t="s">
        <v>106</v>
      </c>
    </row>
    <row r="48" spans="1:10" ht="24" customHeight="1">
      <c r="A48" s="2" t="s">
        <v>107</v>
      </c>
      <c r="B48" s="31" t="s">
        <v>108</v>
      </c>
      <c r="C48" s="16" t="s">
        <v>2</v>
      </c>
      <c r="D48" s="4">
        <v>919.04</v>
      </c>
      <c r="E48" s="124"/>
      <c r="F48" s="124"/>
      <c r="G48" s="124"/>
      <c r="H48" s="124"/>
      <c r="I48" s="124"/>
      <c r="J48" s="15" t="s">
        <v>106</v>
      </c>
    </row>
    <row r="49" spans="1:10" ht="24.75" customHeight="1">
      <c r="A49" s="2" t="s">
        <v>109</v>
      </c>
      <c r="B49" s="31" t="s">
        <v>110</v>
      </c>
      <c r="C49" s="16" t="s">
        <v>2</v>
      </c>
      <c r="D49" s="4">
        <v>1436</v>
      </c>
      <c r="E49" s="124"/>
      <c r="F49" s="124"/>
      <c r="G49" s="124"/>
      <c r="H49" s="124"/>
      <c r="I49" s="124"/>
      <c r="J49" s="15" t="s">
        <v>106</v>
      </c>
    </row>
    <row r="50" spans="1:10" ht="14.4">
      <c r="A50" s="2" t="s">
        <v>111</v>
      </c>
      <c r="B50" s="31" t="s">
        <v>112</v>
      </c>
      <c r="C50" s="16" t="s">
        <v>113</v>
      </c>
      <c r="D50" s="32">
        <v>10344.700000000001</v>
      </c>
      <c r="E50" s="102"/>
      <c r="F50" s="102"/>
      <c r="G50" s="102"/>
      <c r="H50" s="102"/>
      <c r="I50" s="102"/>
      <c r="J50" s="15" t="s">
        <v>106</v>
      </c>
    </row>
    <row r="51" spans="1:10" ht="28.8">
      <c r="A51" s="2" t="s">
        <v>114</v>
      </c>
      <c r="B51" s="11" t="s">
        <v>115</v>
      </c>
      <c r="C51" s="11" t="s">
        <v>5</v>
      </c>
      <c r="D51" s="33">
        <f>96782.26/1000</f>
        <v>96.782259999999994</v>
      </c>
      <c r="E51" s="33"/>
      <c r="F51" s="33"/>
      <c r="G51" s="33"/>
      <c r="H51" s="33"/>
      <c r="I51" s="33"/>
      <c r="J51" s="13" t="s">
        <v>116</v>
      </c>
    </row>
    <row r="52" spans="1:10" ht="28.8">
      <c r="A52" s="2" t="s">
        <v>117</v>
      </c>
      <c r="B52" s="34" t="s">
        <v>118</v>
      </c>
      <c r="C52" s="35" t="s">
        <v>5</v>
      </c>
      <c r="D52" s="33">
        <f>1100.59*43/1000</f>
        <v>47.325369999999992</v>
      </c>
      <c r="E52" s="33"/>
      <c r="F52" s="33"/>
      <c r="G52" s="33"/>
      <c r="H52" s="33"/>
      <c r="I52" s="33"/>
      <c r="J52" s="15" t="s">
        <v>119</v>
      </c>
    </row>
    <row r="53" spans="1:10" ht="29.25" customHeight="1">
      <c r="A53" s="2" t="s">
        <v>120</v>
      </c>
      <c r="B53" s="36" t="s">
        <v>121</v>
      </c>
      <c r="C53" s="16" t="s">
        <v>5</v>
      </c>
      <c r="D53" s="19">
        <f>6*7.16*2*43/1000</f>
        <v>3.6945600000000001</v>
      </c>
      <c r="E53" s="142"/>
      <c r="F53" s="142"/>
      <c r="G53" s="142"/>
      <c r="H53" s="142"/>
      <c r="I53" s="142"/>
      <c r="J53" s="15" t="s">
        <v>122</v>
      </c>
    </row>
    <row r="54" spans="1:10" ht="18" customHeight="1">
      <c r="A54" s="2" t="s">
        <v>123</v>
      </c>
      <c r="B54" s="37" t="s">
        <v>124</v>
      </c>
      <c r="C54" s="16" t="s">
        <v>5</v>
      </c>
      <c r="D54" s="19">
        <f>6*9.31*2*43/1000</f>
        <v>4.80396</v>
      </c>
      <c r="E54" s="142"/>
      <c r="F54" s="142"/>
      <c r="G54" s="142"/>
      <c r="H54" s="142"/>
      <c r="I54" s="142"/>
      <c r="J54" s="15" t="s">
        <v>125</v>
      </c>
    </row>
    <row r="55" spans="1:10" ht="35.25" customHeight="1">
      <c r="A55" s="2" t="s">
        <v>126</v>
      </c>
      <c r="B55" s="37" t="s">
        <v>127</v>
      </c>
      <c r="C55" s="16" t="s">
        <v>5</v>
      </c>
      <c r="D55" s="19">
        <f>12*25.4*2*43/1000</f>
        <v>26.212799999999994</v>
      </c>
      <c r="E55" s="142"/>
      <c r="F55" s="142"/>
      <c r="G55" s="142"/>
      <c r="H55" s="142"/>
      <c r="I55" s="142"/>
      <c r="J55" s="15" t="s">
        <v>128</v>
      </c>
    </row>
    <row r="56" spans="1:10" ht="19.5" customHeight="1">
      <c r="A56" s="2" t="s">
        <v>129</v>
      </c>
      <c r="B56" s="37" t="s">
        <v>130</v>
      </c>
      <c r="C56" s="16" t="s">
        <v>5</v>
      </c>
      <c r="D56" s="38">
        <f>2*73.35*2*43/1000</f>
        <v>12.616199999999999</v>
      </c>
      <c r="E56" s="38"/>
      <c r="F56" s="38"/>
      <c r="G56" s="38"/>
      <c r="H56" s="38"/>
      <c r="I56" s="38"/>
      <c r="J56" s="15" t="s">
        <v>131</v>
      </c>
    </row>
    <row r="57" spans="1:10" ht="28.8">
      <c r="A57" s="2" t="s">
        <v>132</v>
      </c>
      <c r="B57" s="34" t="s">
        <v>133</v>
      </c>
      <c r="C57" s="35" t="s">
        <v>5</v>
      </c>
      <c r="D57" s="33">
        <f>1116.89*43/1000</f>
        <v>48.026270000000004</v>
      </c>
      <c r="E57" s="33"/>
      <c r="F57" s="33"/>
      <c r="G57" s="33"/>
      <c r="H57" s="33"/>
      <c r="I57" s="33"/>
      <c r="J57" s="15" t="s">
        <v>119</v>
      </c>
    </row>
    <row r="58" spans="1:10" ht="14.4">
      <c r="A58" s="2" t="s">
        <v>120</v>
      </c>
      <c r="B58" s="37" t="s">
        <v>121</v>
      </c>
      <c r="C58" s="16" t="s">
        <v>5</v>
      </c>
      <c r="D58" s="19">
        <f>6*7.16*2*43/1000</f>
        <v>3.6945600000000001</v>
      </c>
      <c r="E58" s="142"/>
      <c r="F58" s="142"/>
      <c r="G58" s="142"/>
      <c r="H58" s="142"/>
      <c r="I58" s="142"/>
      <c r="J58" s="15" t="s">
        <v>122</v>
      </c>
    </row>
    <row r="59" spans="1:10" ht="14.4">
      <c r="A59" s="2" t="s">
        <v>123</v>
      </c>
      <c r="B59" s="37" t="s">
        <v>124</v>
      </c>
      <c r="C59" s="16" t="s">
        <v>5</v>
      </c>
      <c r="D59" s="19">
        <f>6*9.31*2*43/1000</f>
        <v>4.80396</v>
      </c>
      <c r="E59" s="142"/>
      <c r="F59" s="142"/>
      <c r="G59" s="142"/>
      <c r="H59" s="142"/>
      <c r="I59" s="142"/>
      <c r="J59" s="15" t="s">
        <v>125</v>
      </c>
    </row>
    <row r="60" spans="1:10" ht="28.8">
      <c r="A60" s="2" t="s">
        <v>126</v>
      </c>
      <c r="B60" s="37" t="s">
        <v>127</v>
      </c>
      <c r="C60" s="16" t="s">
        <v>5</v>
      </c>
      <c r="D60" s="19">
        <f>12*25.4*2*43/1000</f>
        <v>26.212799999999994</v>
      </c>
      <c r="E60" s="142"/>
      <c r="F60" s="142"/>
      <c r="G60" s="142"/>
      <c r="H60" s="142"/>
      <c r="I60" s="142"/>
      <c r="J60" s="15" t="s">
        <v>128</v>
      </c>
    </row>
    <row r="61" spans="1:10" ht="14.4">
      <c r="A61" s="2" t="s">
        <v>129</v>
      </c>
      <c r="B61" s="37" t="s">
        <v>134</v>
      </c>
      <c r="C61" s="16" t="s">
        <v>5</v>
      </c>
      <c r="D61" s="38">
        <f>2*77.43*2*43/1000</f>
        <v>13.317960000000001</v>
      </c>
      <c r="E61" s="38"/>
      <c r="F61" s="38"/>
      <c r="G61" s="38"/>
      <c r="H61" s="38"/>
      <c r="I61" s="38"/>
      <c r="J61" s="15" t="s">
        <v>135</v>
      </c>
    </row>
    <row r="62" spans="1:10" ht="14.4">
      <c r="A62" s="2" t="s">
        <v>136</v>
      </c>
      <c r="B62" s="15" t="s">
        <v>137</v>
      </c>
      <c r="C62" s="16" t="s">
        <v>5</v>
      </c>
      <c r="D62" s="39">
        <f>33.26*43/1000</f>
        <v>1.4301799999999998</v>
      </c>
      <c r="E62" s="39"/>
      <c r="F62" s="39"/>
      <c r="G62" s="39"/>
      <c r="H62" s="39"/>
      <c r="I62" s="39"/>
      <c r="J62" s="15" t="s">
        <v>138</v>
      </c>
    </row>
    <row r="63" spans="1:10" ht="28.8">
      <c r="A63" s="2" t="s">
        <v>139</v>
      </c>
      <c r="B63" s="11" t="s">
        <v>140</v>
      </c>
      <c r="C63" s="40" t="s">
        <v>5</v>
      </c>
      <c r="D63" s="39">
        <f>28615.44/1000</f>
        <v>28.61544</v>
      </c>
      <c r="E63" s="39"/>
      <c r="F63" s="39"/>
      <c r="G63" s="39"/>
      <c r="H63" s="39"/>
      <c r="I63" s="39"/>
      <c r="J63" s="13" t="s">
        <v>141</v>
      </c>
    </row>
    <row r="64" spans="1:10" ht="14.4">
      <c r="A64" s="2" t="s">
        <v>142</v>
      </c>
      <c r="B64" s="34" t="s">
        <v>143</v>
      </c>
      <c r="C64" s="35" t="s">
        <v>5</v>
      </c>
      <c r="D64" s="39">
        <f>1100.59384615385*26/1000</f>
        <v>28.615440000000103</v>
      </c>
      <c r="E64" s="39"/>
      <c r="F64" s="39"/>
      <c r="G64" s="39"/>
      <c r="H64" s="39"/>
      <c r="I64" s="39"/>
      <c r="J64" s="15" t="s">
        <v>119</v>
      </c>
    </row>
    <row r="65" spans="1:10" ht="14.4">
      <c r="A65" s="2" t="s">
        <v>144</v>
      </c>
      <c r="B65" s="37" t="s">
        <v>121</v>
      </c>
      <c r="C65" s="16" t="s">
        <v>5</v>
      </c>
      <c r="D65" s="19">
        <f>6*7.16*2*26/1000</f>
        <v>2.2339199999999999</v>
      </c>
      <c r="E65" s="142"/>
      <c r="F65" s="142"/>
      <c r="G65" s="142"/>
      <c r="H65" s="142"/>
      <c r="I65" s="142"/>
      <c r="J65" s="15" t="s">
        <v>145</v>
      </c>
    </row>
    <row r="66" spans="1:10" ht="14.4">
      <c r="A66" s="2" t="s">
        <v>146</v>
      </c>
      <c r="B66" s="37" t="s">
        <v>124</v>
      </c>
      <c r="C66" s="16" t="s">
        <v>5</v>
      </c>
      <c r="D66" s="19">
        <f>6*9.31*2*26/1000</f>
        <v>2.9047199999999997</v>
      </c>
      <c r="E66" s="142"/>
      <c r="F66" s="142"/>
      <c r="G66" s="142"/>
      <c r="H66" s="142"/>
      <c r="I66" s="142"/>
      <c r="J66" s="15" t="s">
        <v>147</v>
      </c>
    </row>
    <row r="67" spans="1:10" ht="28.8">
      <c r="A67" s="2" t="s">
        <v>148</v>
      </c>
      <c r="B67" s="37" t="s">
        <v>127</v>
      </c>
      <c r="C67" s="16" t="s">
        <v>5</v>
      </c>
      <c r="D67" s="19">
        <f>12*25.4*2*26/1000</f>
        <v>15.849599999999999</v>
      </c>
      <c r="E67" s="142"/>
      <c r="F67" s="142"/>
      <c r="G67" s="142"/>
      <c r="H67" s="142"/>
      <c r="I67" s="142"/>
      <c r="J67" s="15" t="s">
        <v>149</v>
      </c>
    </row>
    <row r="68" spans="1:10" ht="14.4">
      <c r="A68" s="2" t="s">
        <v>150</v>
      </c>
      <c r="B68" s="37" t="s">
        <v>130</v>
      </c>
      <c r="C68" s="16" t="s">
        <v>5</v>
      </c>
      <c r="D68" s="38">
        <f>2*73.35*2*26/1000</f>
        <v>7.6284000000000001</v>
      </c>
      <c r="E68" s="38"/>
      <c r="F68" s="38"/>
      <c r="G68" s="38"/>
      <c r="H68" s="38"/>
      <c r="I68" s="38"/>
      <c r="J68" s="15" t="s">
        <v>151</v>
      </c>
    </row>
    <row r="69" spans="1:10" ht="14.4">
      <c r="A69" s="2" t="s">
        <v>152</v>
      </c>
      <c r="B69" s="15" t="s">
        <v>137</v>
      </c>
      <c r="C69" s="16" t="s">
        <v>5</v>
      </c>
      <c r="D69" s="39">
        <f>16.63*26/1000</f>
        <v>0.43237999999999999</v>
      </c>
      <c r="E69" s="39"/>
      <c r="F69" s="39"/>
      <c r="G69" s="39"/>
      <c r="H69" s="39"/>
      <c r="I69" s="39"/>
      <c r="J69" s="15" t="s">
        <v>153</v>
      </c>
    </row>
    <row r="70" spans="1:10" ht="28.8">
      <c r="A70" s="2" t="s">
        <v>154</v>
      </c>
      <c r="B70" s="11" t="s">
        <v>155</v>
      </c>
      <c r="C70" s="11" t="s">
        <v>5</v>
      </c>
      <c r="D70" s="41">
        <f>50407.01/1000</f>
        <v>50.40701</v>
      </c>
      <c r="E70" s="41"/>
      <c r="F70" s="41"/>
      <c r="G70" s="41"/>
      <c r="H70" s="41"/>
      <c r="I70" s="41"/>
      <c r="J70" s="13" t="s">
        <v>156</v>
      </c>
    </row>
    <row r="71" spans="1:10" ht="43.2">
      <c r="A71" s="2" t="s">
        <v>157</v>
      </c>
      <c r="B71" s="42" t="s">
        <v>158</v>
      </c>
      <c r="C71" s="35" t="s">
        <v>5</v>
      </c>
      <c r="D71" s="43">
        <f>911.15*27/1000</f>
        <v>24.601050000000001</v>
      </c>
      <c r="E71" s="43"/>
      <c r="F71" s="43"/>
      <c r="G71" s="43"/>
      <c r="H71" s="43"/>
      <c r="I71" s="43"/>
      <c r="J71" s="44" t="s">
        <v>119</v>
      </c>
    </row>
    <row r="72" spans="1:10" ht="14.4">
      <c r="A72" s="2" t="s">
        <v>159</v>
      </c>
      <c r="B72" s="37" t="s">
        <v>160</v>
      </c>
      <c r="C72" s="16" t="s">
        <v>5</v>
      </c>
      <c r="D72" s="45">
        <f>40.09*2*27/1000</f>
        <v>2.16486</v>
      </c>
      <c r="E72" s="45"/>
      <c r="F72" s="45"/>
      <c r="G72" s="45"/>
      <c r="H72" s="45"/>
      <c r="I72" s="45"/>
      <c r="J72" s="15" t="s">
        <v>161</v>
      </c>
    </row>
    <row r="73" spans="1:10" ht="14.4">
      <c r="A73" s="2" t="s">
        <v>162</v>
      </c>
      <c r="B73" s="37" t="s">
        <v>163</v>
      </c>
      <c r="C73" s="16" t="s">
        <v>5</v>
      </c>
      <c r="D73" s="45">
        <f>48.68*2*27/1000</f>
        <v>2.6287199999999999</v>
      </c>
      <c r="E73" s="45"/>
      <c r="F73" s="45"/>
      <c r="G73" s="45"/>
      <c r="H73" s="45"/>
      <c r="I73" s="45"/>
      <c r="J73" s="15" t="s">
        <v>164</v>
      </c>
    </row>
    <row r="74" spans="1:10" ht="14.4">
      <c r="A74" s="2" t="s">
        <v>165</v>
      </c>
      <c r="B74" s="37" t="s">
        <v>166</v>
      </c>
      <c r="C74" s="16" t="s">
        <v>5</v>
      </c>
      <c r="D74" s="45">
        <f>278.76*2*27/1000</f>
        <v>15.053039999999999</v>
      </c>
      <c r="E74" s="45"/>
      <c r="F74" s="45"/>
      <c r="G74" s="45"/>
      <c r="H74" s="45"/>
      <c r="I74" s="45"/>
      <c r="J74" s="15" t="s">
        <v>167</v>
      </c>
    </row>
    <row r="75" spans="1:10" ht="14.4">
      <c r="A75" s="2" t="s">
        <v>168</v>
      </c>
      <c r="B75" s="37" t="s">
        <v>169</v>
      </c>
      <c r="C75" s="16" t="s">
        <v>5</v>
      </c>
      <c r="D75" s="45">
        <f>88*2*27/1000</f>
        <v>4.7519999999999998</v>
      </c>
      <c r="E75" s="45"/>
      <c r="F75" s="45"/>
      <c r="G75" s="45"/>
      <c r="H75" s="45"/>
      <c r="I75" s="45"/>
      <c r="J75" s="15" t="s">
        <v>170</v>
      </c>
    </row>
    <row r="76" spans="1:10" ht="43.2">
      <c r="A76" s="2" t="s">
        <v>171</v>
      </c>
      <c r="B76" s="42" t="s">
        <v>172</v>
      </c>
      <c r="C76" s="35" t="s">
        <v>5</v>
      </c>
      <c r="D76" s="43">
        <f>928.19*27/1000</f>
        <v>25.061130000000002</v>
      </c>
      <c r="E76" s="43"/>
      <c r="F76" s="43"/>
      <c r="G76" s="43"/>
      <c r="H76" s="43"/>
      <c r="I76" s="43"/>
      <c r="J76" s="44" t="s">
        <v>119</v>
      </c>
    </row>
    <row r="77" spans="1:10" ht="14.4">
      <c r="A77" s="2" t="s">
        <v>173</v>
      </c>
      <c r="B77" s="37" t="s">
        <v>160</v>
      </c>
      <c r="C77" s="16" t="s">
        <v>5</v>
      </c>
      <c r="D77" s="45">
        <f>40.09*2*27/1000</f>
        <v>2.16486</v>
      </c>
      <c r="E77" s="45"/>
      <c r="F77" s="45"/>
      <c r="G77" s="45"/>
      <c r="H77" s="45"/>
      <c r="I77" s="45"/>
      <c r="J77" s="15" t="s">
        <v>161</v>
      </c>
    </row>
    <row r="78" spans="1:10" ht="14.4">
      <c r="A78" s="2" t="s">
        <v>174</v>
      </c>
      <c r="B78" s="37" t="s">
        <v>163</v>
      </c>
      <c r="C78" s="16" t="s">
        <v>5</v>
      </c>
      <c r="D78" s="45">
        <f>48.68*2*27/1000</f>
        <v>2.6287199999999999</v>
      </c>
      <c r="E78" s="45"/>
      <c r="F78" s="45"/>
      <c r="G78" s="45"/>
      <c r="H78" s="45"/>
      <c r="I78" s="45"/>
      <c r="J78" s="15" t="s">
        <v>164</v>
      </c>
    </row>
    <row r="79" spans="1:10" ht="14.4">
      <c r="A79" s="2" t="s">
        <v>175</v>
      </c>
      <c r="B79" s="37" t="s">
        <v>176</v>
      </c>
      <c r="C79" s="16" t="s">
        <v>5</v>
      </c>
      <c r="D79" s="45">
        <f>278.76*2*27/1000</f>
        <v>15.053039999999999</v>
      </c>
      <c r="E79" s="45"/>
      <c r="F79" s="45"/>
      <c r="G79" s="45"/>
      <c r="H79" s="45"/>
      <c r="I79" s="45"/>
      <c r="J79" s="15" t="s">
        <v>167</v>
      </c>
    </row>
    <row r="80" spans="1:10" ht="14.4">
      <c r="A80" s="2" t="s">
        <v>177</v>
      </c>
      <c r="B80" s="37" t="s">
        <v>178</v>
      </c>
      <c r="C80" s="16" t="s">
        <v>5</v>
      </c>
      <c r="D80" s="45">
        <f>97*2*27/1000</f>
        <v>5.2380000000000004</v>
      </c>
      <c r="E80" s="45"/>
      <c r="F80" s="45"/>
      <c r="G80" s="45"/>
      <c r="H80" s="45"/>
      <c r="I80" s="45"/>
      <c r="J80" s="15" t="s">
        <v>179</v>
      </c>
    </row>
    <row r="81" spans="1:10" ht="14.4">
      <c r="A81" s="2" t="s">
        <v>180</v>
      </c>
      <c r="B81" s="15" t="s">
        <v>137</v>
      </c>
      <c r="C81" s="16" t="s">
        <v>5</v>
      </c>
      <c r="D81" s="46">
        <f>27.59*27/1000</f>
        <v>0.74492999999999998</v>
      </c>
      <c r="E81" s="46"/>
      <c r="F81" s="46"/>
      <c r="G81" s="46"/>
      <c r="H81" s="46"/>
      <c r="I81" s="46"/>
      <c r="J81" s="15" t="s">
        <v>181</v>
      </c>
    </row>
    <row r="82" spans="1:10" ht="28.8">
      <c r="A82" s="2" t="s">
        <v>182</v>
      </c>
      <c r="B82" s="11" t="s">
        <v>183</v>
      </c>
      <c r="C82" s="11" t="s">
        <v>5</v>
      </c>
      <c r="D82" s="43">
        <f>100814.02/1000</f>
        <v>100.81402</v>
      </c>
      <c r="E82" s="43"/>
      <c r="F82" s="43"/>
      <c r="G82" s="43"/>
      <c r="H82" s="43"/>
      <c r="I82" s="43"/>
      <c r="J82" s="13" t="s">
        <v>184</v>
      </c>
    </row>
    <row r="83" spans="1:10" ht="14.4">
      <c r="A83" s="2" t="s">
        <v>185</v>
      </c>
      <c r="B83" s="42" t="s">
        <v>186</v>
      </c>
      <c r="C83" s="35" t="s">
        <v>5</v>
      </c>
      <c r="D83" s="43">
        <f>911.15*54/1000</f>
        <v>49.202100000000002</v>
      </c>
      <c r="E83" s="43"/>
      <c r="F83" s="43"/>
      <c r="G83" s="43"/>
      <c r="H83" s="43"/>
      <c r="I83" s="43"/>
      <c r="J83" s="44" t="s">
        <v>119</v>
      </c>
    </row>
    <row r="84" spans="1:10" ht="14.4">
      <c r="A84" s="2" t="s">
        <v>187</v>
      </c>
      <c r="B84" s="37" t="s">
        <v>188</v>
      </c>
      <c r="C84" s="16" t="s">
        <v>5</v>
      </c>
      <c r="D84" s="45">
        <f>40.09*2*54/1000</f>
        <v>4.32972</v>
      </c>
      <c r="E84" s="45"/>
      <c r="F84" s="45"/>
      <c r="G84" s="45"/>
      <c r="H84" s="45"/>
      <c r="I84" s="45"/>
      <c r="J84" s="15" t="s">
        <v>189</v>
      </c>
    </row>
    <row r="85" spans="1:10" ht="14.4">
      <c r="A85" s="2" t="s">
        <v>190</v>
      </c>
      <c r="B85" s="37" t="s">
        <v>191</v>
      </c>
      <c r="C85" s="16" t="s">
        <v>5</v>
      </c>
      <c r="D85" s="45">
        <f>48.68*2*54/1000</f>
        <v>5.2574399999999999</v>
      </c>
      <c r="E85" s="45"/>
      <c r="F85" s="45"/>
      <c r="G85" s="45"/>
      <c r="H85" s="45"/>
      <c r="I85" s="45"/>
      <c r="J85" s="15" t="s">
        <v>192</v>
      </c>
    </row>
    <row r="86" spans="1:10" ht="14.4">
      <c r="A86" s="2" t="s">
        <v>193</v>
      </c>
      <c r="B86" s="37" t="s">
        <v>166</v>
      </c>
      <c r="C86" s="16" t="s">
        <v>5</v>
      </c>
      <c r="D86" s="45">
        <f>278.76*2*54/1000</f>
        <v>30.106079999999999</v>
      </c>
      <c r="E86" s="45"/>
      <c r="F86" s="45"/>
      <c r="G86" s="45"/>
      <c r="H86" s="45"/>
      <c r="I86" s="45"/>
      <c r="J86" s="15" t="s">
        <v>194</v>
      </c>
    </row>
    <row r="87" spans="1:10" ht="14.4">
      <c r="A87" s="2" t="s">
        <v>195</v>
      </c>
      <c r="B87" s="37" t="s">
        <v>169</v>
      </c>
      <c r="C87" s="16" t="s">
        <v>5</v>
      </c>
      <c r="D87" s="45">
        <f>88*2*54/1000</f>
        <v>9.5039999999999996</v>
      </c>
      <c r="E87" s="45"/>
      <c r="F87" s="45"/>
      <c r="G87" s="45"/>
      <c r="H87" s="45"/>
      <c r="I87" s="45"/>
      <c r="J87" s="15" t="s">
        <v>196</v>
      </c>
    </row>
    <row r="88" spans="1:10" ht="14.4">
      <c r="A88" s="2" t="s">
        <v>197</v>
      </c>
      <c r="B88" s="42" t="s">
        <v>198</v>
      </c>
      <c r="C88" s="35" t="s">
        <v>5</v>
      </c>
      <c r="D88" s="43">
        <f>928.19*54/1000</f>
        <v>50.122260000000004</v>
      </c>
      <c r="E88" s="43"/>
      <c r="F88" s="43"/>
      <c r="G88" s="43"/>
      <c r="H88" s="43"/>
      <c r="I88" s="43"/>
      <c r="J88" s="44" t="s">
        <v>119</v>
      </c>
    </row>
    <row r="89" spans="1:10" ht="14.4">
      <c r="A89" s="2" t="s">
        <v>199</v>
      </c>
      <c r="B89" s="37" t="s">
        <v>188</v>
      </c>
      <c r="C89" s="16" t="s">
        <v>5</v>
      </c>
      <c r="D89" s="45">
        <f>40.09*2*54/1000</f>
        <v>4.32972</v>
      </c>
      <c r="E89" s="45"/>
      <c r="F89" s="45"/>
      <c r="G89" s="45"/>
      <c r="H89" s="45"/>
      <c r="I89" s="45"/>
      <c r="J89" s="15" t="s">
        <v>189</v>
      </c>
    </row>
    <row r="90" spans="1:10" ht="14.4">
      <c r="A90" s="2" t="s">
        <v>200</v>
      </c>
      <c r="B90" s="37" t="s">
        <v>201</v>
      </c>
      <c r="C90" s="16" t="s">
        <v>5</v>
      </c>
      <c r="D90" s="45">
        <f>48.68*2*54/1000</f>
        <v>5.2574399999999999</v>
      </c>
      <c r="E90" s="45"/>
      <c r="F90" s="45"/>
      <c r="G90" s="45"/>
      <c r="H90" s="45"/>
      <c r="I90" s="45"/>
      <c r="J90" s="15" t="s">
        <v>192</v>
      </c>
    </row>
    <row r="91" spans="1:10" ht="14.4">
      <c r="A91" s="2" t="s">
        <v>202</v>
      </c>
      <c r="B91" s="37" t="s">
        <v>176</v>
      </c>
      <c r="C91" s="16" t="s">
        <v>5</v>
      </c>
      <c r="D91" s="45">
        <f>278.76*2*54/1000</f>
        <v>30.106079999999999</v>
      </c>
      <c r="E91" s="45"/>
      <c r="F91" s="45"/>
      <c r="G91" s="45"/>
      <c r="H91" s="45"/>
      <c r="I91" s="45"/>
      <c r="J91" s="15" t="s">
        <v>194</v>
      </c>
    </row>
    <row r="92" spans="1:10" ht="14.4">
      <c r="A92" s="2" t="s">
        <v>203</v>
      </c>
      <c r="B92" s="37" t="s">
        <v>178</v>
      </c>
      <c r="C92" s="16" t="s">
        <v>5</v>
      </c>
      <c r="D92" s="45">
        <f>97*2*54/1000</f>
        <v>10.476000000000001</v>
      </c>
      <c r="E92" s="45"/>
      <c r="F92" s="45"/>
      <c r="G92" s="45"/>
      <c r="H92" s="45"/>
      <c r="I92" s="45"/>
      <c r="J92" s="15" t="s">
        <v>204</v>
      </c>
    </row>
    <row r="93" spans="1:10" ht="14.4">
      <c r="A93" s="2" t="s">
        <v>205</v>
      </c>
      <c r="B93" s="25" t="s">
        <v>137</v>
      </c>
      <c r="C93" s="16" t="s">
        <v>5</v>
      </c>
      <c r="D93" s="47">
        <f>27.59*54/1000</f>
        <v>1.48986</v>
      </c>
      <c r="E93" s="47"/>
      <c r="F93" s="47"/>
      <c r="G93" s="47"/>
      <c r="H93" s="47"/>
      <c r="I93" s="47"/>
      <c r="J93" s="15" t="s">
        <v>206</v>
      </c>
    </row>
    <row r="94" spans="1:10" ht="28.8">
      <c r="A94" s="2" t="s">
        <v>207</v>
      </c>
      <c r="B94" s="11" t="s">
        <v>208</v>
      </c>
      <c r="C94" s="11" t="s">
        <v>5</v>
      </c>
      <c r="D94" s="48">
        <f>48294.07/1000</f>
        <v>48.294069999999998</v>
      </c>
      <c r="E94" s="48"/>
      <c r="F94" s="48"/>
      <c r="G94" s="48"/>
      <c r="H94" s="48"/>
      <c r="I94" s="48"/>
      <c r="J94" s="13" t="s">
        <v>209</v>
      </c>
    </row>
    <row r="95" spans="1:10" ht="14.4">
      <c r="A95" s="2" t="s">
        <v>210</v>
      </c>
      <c r="B95" s="44" t="s">
        <v>211</v>
      </c>
      <c r="C95" s="35" t="s">
        <v>5</v>
      </c>
      <c r="D95" s="48">
        <f>610.95*26/1000</f>
        <v>15.8847</v>
      </c>
      <c r="E95" s="48"/>
      <c r="F95" s="48"/>
      <c r="G95" s="48"/>
      <c r="H95" s="48"/>
      <c r="I95" s="48"/>
      <c r="J95" s="44" t="s">
        <v>119</v>
      </c>
    </row>
    <row r="96" spans="1:10" ht="14.4">
      <c r="A96" s="2" t="s">
        <v>212</v>
      </c>
      <c r="B96" s="20" t="s">
        <v>213</v>
      </c>
      <c r="C96" s="16" t="s">
        <v>5</v>
      </c>
      <c r="D96" s="21">
        <f>40.09*2*26/1000</f>
        <v>2.0846800000000001</v>
      </c>
      <c r="E96" s="21"/>
      <c r="F96" s="21"/>
      <c r="G96" s="21"/>
      <c r="H96" s="21"/>
      <c r="I96" s="21"/>
      <c r="J96" s="15" t="s">
        <v>189</v>
      </c>
    </row>
    <row r="97" spans="1:10" ht="14.4">
      <c r="A97" s="2" t="s">
        <v>214</v>
      </c>
      <c r="B97" s="20" t="s">
        <v>215</v>
      </c>
      <c r="C97" s="16" t="s">
        <v>5</v>
      </c>
      <c r="D97" s="21">
        <f>34.36*2*26/1000</f>
        <v>1.7867200000000001</v>
      </c>
      <c r="E97" s="21"/>
      <c r="F97" s="21"/>
      <c r="G97" s="21"/>
      <c r="H97" s="21"/>
      <c r="I97" s="21"/>
      <c r="J97" s="15" t="s">
        <v>216</v>
      </c>
    </row>
    <row r="98" spans="1:10" ht="14.4">
      <c r="A98" s="2" t="s">
        <v>217</v>
      </c>
      <c r="B98" s="20" t="s">
        <v>218</v>
      </c>
      <c r="C98" s="16" t="s">
        <v>5</v>
      </c>
      <c r="D98" s="21">
        <f>181.32*2*26/1000</f>
        <v>9.4286399999999997</v>
      </c>
      <c r="E98" s="21"/>
      <c r="F98" s="21"/>
      <c r="G98" s="21"/>
      <c r="H98" s="21"/>
      <c r="I98" s="21"/>
      <c r="J98" s="15" t="s">
        <v>219</v>
      </c>
    </row>
    <row r="99" spans="1:10" ht="14.4">
      <c r="A99" s="2" t="s">
        <v>220</v>
      </c>
      <c r="B99" s="20" t="s">
        <v>221</v>
      </c>
      <c r="C99" s="16" t="s">
        <v>5</v>
      </c>
      <c r="D99" s="21">
        <f>50*2*26/1000</f>
        <v>2.6</v>
      </c>
      <c r="E99" s="21"/>
      <c r="F99" s="21"/>
      <c r="G99" s="21"/>
      <c r="H99" s="21"/>
      <c r="I99" s="21"/>
      <c r="J99" s="15" t="s">
        <v>222</v>
      </c>
    </row>
    <row r="100" spans="1:10" ht="14.4">
      <c r="A100" s="2" t="s">
        <v>223</v>
      </c>
      <c r="B100" s="44" t="s">
        <v>224</v>
      </c>
      <c r="C100" s="35" t="s">
        <v>5</v>
      </c>
      <c r="D100" s="48">
        <f>596.75*26/1000</f>
        <v>15.515499999999999</v>
      </c>
      <c r="E100" s="48"/>
      <c r="F100" s="48"/>
      <c r="G100" s="48"/>
      <c r="H100" s="48"/>
      <c r="I100" s="48"/>
      <c r="J100" s="44" t="s">
        <v>119</v>
      </c>
    </row>
    <row r="101" spans="1:10" ht="14.4">
      <c r="A101" s="2" t="s">
        <v>225</v>
      </c>
      <c r="B101" s="20" t="s">
        <v>213</v>
      </c>
      <c r="C101" s="16" t="s">
        <v>5</v>
      </c>
      <c r="D101" s="21">
        <f>40.09*2*26/1000</f>
        <v>2.0846800000000001</v>
      </c>
      <c r="E101" s="21"/>
      <c r="F101" s="21"/>
      <c r="G101" s="21"/>
      <c r="H101" s="21"/>
      <c r="I101" s="21"/>
      <c r="J101" s="15" t="s">
        <v>189</v>
      </c>
    </row>
    <row r="102" spans="1:10" ht="14.4">
      <c r="A102" s="2" t="s">
        <v>226</v>
      </c>
      <c r="B102" s="20" t="s">
        <v>215</v>
      </c>
      <c r="C102" s="16" t="s">
        <v>5</v>
      </c>
      <c r="D102" s="21">
        <f>34.36*2*26/1000</f>
        <v>1.7867200000000001</v>
      </c>
      <c r="E102" s="21"/>
      <c r="F102" s="21"/>
      <c r="G102" s="21"/>
      <c r="H102" s="21"/>
      <c r="I102" s="21"/>
      <c r="J102" s="15" t="s">
        <v>216</v>
      </c>
    </row>
    <row r="103" spans="1:10" ht="14.4">
      <c r="A103" s="2" t="s">
        <v>227</v>
      </c>
      <c r="B103" s="20" t="s">
        <v>228</v>
      </c>
      <c r="C103" s="16" t="s">
        <v>5</v>
      </c>
      <c r="D103" s="21">
        <f>181.32*2*26/1000</f>
        <v>9.4286399999999997</v>
      </c>
      <c r="E103" s="21"/>
      <c r="F103" s="21"/>
      <c r="G103" s="21"/>
      <c r="H103" s="21"/>
      <c r="I103" s="21"/>
      <c r="J103" s="15" t="s">
        <v>219</v>
      </c>
    </row>
    <row r="104" spans="1:10" ht="14.4">
      <c r="A104" s="2" t="s">
        <v>229</v>
      </c>
      <c r="B104" s="20" t="s">
        <v>230</v>
      </c>
      <c r="C104" s="16" t="s">
        <v>5</v>
      </c>
      <c r="D104" s="21">
        <f>43*2*26/1000</f>
        <v>2.2360000000000002</v>
      </c>
      <c r="E104" s="21"/>
      <c r="F104" s="21"/>
      <c r="G104" s="21"/>
      <c r="H104" s="21"/>
      <c r="I104" s="21"/>
      <c r="J104" s="15" t="s">
        <v>231</v>
      </c>
    </row>
    <row r="105" spans="1:10" ht="14.4">
      <c r="A105" s="2" t="s">
        <v>232</v>
      </c>
      <c r="B105" s="44" t="s">
        <v>233</v>
      </c>
      <c r="C105" s="35" t="s">
        <v>5</v>
      </c>
      <c r="D105" s="48">
        <f>622.31*26/1000</f>
        <v>16.180059999999997</v>
      </c>
      <c r="E105" s="48"/>
      <c r="F105" s="48"/>
      <c r="G105" s="48"/>
      <c r="H105" s="48"/>
      <c r="I105" s="48"/>
      <c r="J105" s="44" t="s">
        <v>119</v>
      </c>
    </row>
    <row r="106" spans="1:10" ht="14.4">
      <c r="A106" s="2" t="s">
        <v>234</v>
      </c>
      <c r="B106" s="20" t="s">
        <v>235</v>
      </c>
      <c r="C106" s="16" t="s">
        <v>5</v>
      </c>
      <c r="D106" s="21">
        <f>40.09*2*26/1000</f>
        <v>2.0846800000000001</v>
      </c>
      <c r="E106" s="21"/>
      <c r="F106" s="21"/>
      <c r="G106" s="21"/>
      <c r="H106" s="21"/>
      <c r="I106" s="21"/>
      <c r="J106" s="15" t="s">
        <v>189</v>
      </c>
    </row>
    <row r="107" spans="1:10" ht="14.4">
      <c r="A107" s="2" t="s">
        <v>236</v>
      </c>
      <c r="B107" s="20" t="s">
        <v>237</v>
      </c>
      <c r="C107" s="16" t="s">
        <v>5</v>
      </c>
      <c r="D107" s="21">
        <f>34.36*2*26/1000</f>
        <v>1.7867200000000001</v>
      </c>
      <c r="E107" s="21"/>
      <c r="F107" s="21"/>
      <c r="G107" s="21"/>
      <c r="H107" s="21"/>
      <c r="I107" s="21"/>
      <c r="J107" s="15" t="s">
        <v>216</v>
      </c>
    </row>
    <row r="108" spans="1:10" ht="14.4">
      <c r="A108" s="2" t="s">
        <v>238</v>
      </c>
      <c r="B108" s="20" t="s">
        <v>239</v>
      </c>
      <c r="C108" s="16" t="s">
        <v>5</v>
      </c>
      <c r="D108" s="21">
        <f>181.32*2*26/1000</f>
        <v>9.4286399999999997</v>
      </c>
      <c r="E108" s="21"/>
      <c r="F108" s="21"/>
      <c r="G108" s="21"/>
      <c r="H108" s="21"/>
      <c r="I108" s="21"/>
      <c r="J108" s="15" t="s">
        <v>219</v>
      </c>
    </row>
    <row r="109" spans="1:10" ht="14.4">
      <c r="A109" s="2" t="s">
        <v>240</v>
      </c>
      <c r="B109" s="20" t="s">
        <v>241</v>
      </c>
      <c r="C109" s="16" t="s">
        <v>5</v>
      </c>
      <c r="D109" s="21">
        <f>55*2*26/1000</f>
        <v>2.86</v>
      </c>
      <c r="E109" s="21"/>
      <c r="F109" s="21"/>
      <c r="G109" s="21"/>
      <c r="H109" s="21"/>
      <c r="I109" s="21"/>
      <c r="J109" s="15" t="s">
        <v>242</v>
      </c>
    </row>
    <row r="110" spans="1:10" ht="14.4">
      <c r="A110" s="2" t="s">
        <v>243</v>
      </c>
      <c r="B110" s="25" t="s">
        <v>137</v>
      </c>
      <c r="C110" s="49" t="s">
        <v>5</v>
      </c>
      <c r="D110" s="47">
        <f>27.45*26/1000</f>
        <v>0.71369999999999989</v>
      </c>
      <c r="E110" s="47"/>
      <c r="F110" s="47"/>
      <c r="G110" s="47"/>
      <c r="H110" s="47"/>
      <c r="I110" s="47"/>
      <c r="J110" s="15" t="s">
        <v>244</v>
      </c>
    </row>
    <row r="111" spans="1:10" ht="14.4">
      <c r="A111" s="2" t="s">
        <v>245</v>
      </c>
      <c r="B111" s="50" t="s">
        <v>246</v>
      </c>
      <c r="C111" s="51"/>
      <c r="D111" s="51"/>
      <c r="E111" s="51"/>
      <c r="F111" s="51"/>
      <c r="G111" s="51"/>
      <c r="H111" s="51"/>
      <c r="I111" s="51"/>
      <c r="J111" s="52"/>
    </row>
    <row r="112" spans="1:10" ht="14.4">
      <c r="A112" s="2" t="s">
        <v>247</v>
      </c>
      <c r="B112" s="31" t="s">
        <v>248</v>
      </c>
      <c r="C112" s="4" t="s">
        <v>2</v>
      </c>
      <c r="D112" s="4">
        <v>4788.97</v>
      </c>
      <c r="E112" s="124"/>
      <c r="F112" s="124"/>
      <c r="G112" s="124"/>
      <c r="H112" s="124"/>
      <c r="I112" s="124"/>
      <c r="J112" s="15" t="s">
        <v>106</v>
      </c>
    </row>
    <row r="113" spans="1:29" ht="28.8">
      <c r="A113" s="2" t="s">
        <v>249</v>
      </c>
      <c r="B113" s="31" t="s">
        <v>250</v>
      </c>
      <c r="C113" s="4" t="s">
        <v>2</v>
      </c>
      <c r="D113" s="4">
        <v>4788.97</v>
      </c>
      <c r="E113" s="124"/>
      <c r="F113" s="124"/>
      <c r="G113" s="124"/>
      <c r="H113" s="124"/>
      <c r="I113" s="124"/>
      <c r="J113" s="15" t="s">
        <v>251</v>
      </c>
    </row>
    <row r="114" spans="1:29" ht="14.4">
      <c r="A114" s="2" t="s">
        <v>252</v>
      </c>
      <c r="B114" s="37" t="s">
        <v>253</v>
      </c>
      <c r="C114" s="16" t="s">
        <v>38</v>
      </c>
      <c r="D114" s="53">
        <f>D113*0.115</f>
        <v>550.73155000000008</v>
      </c>
      <c r="E114" s="53"/>
      <c r="F114" s="53"/>
      <c r="G114" s="53"/>
      <c r="H114" s="53"/>
      <c r="I114" s="53"/>
      <c r="J114" s="54" t="s">
        <v>254</v>
      </c>
    </row>
    <row r="115" spans="1:29" ht="14.4">
      <c r="A115" s="2" t="s">
        <v>255</v>
      </c>
      <c r="B115" s="31" t="s">
        <v>256</v>
      </c>
      <c r="C115" s="16" t="s">
        <v>2</v>
      </c>
      <c r="D115" s="4">
        <v>9577.9500000000007</v>
      </c>
      <c r="E115" s="124"/>
      <c r="F115" s="124"/>
      <c r="G115" s="124"/>
      <c r="H115" s="124"/>
      <c r="I115" s="124"/>
      <c r="J115" s="15" t="s">
        <v>106</v>
      </c>
    </row>
    <row r="116" spans="1:29" ht="14.4">
      <c r="A116" s="2" t="s">
        <v>257</v>
      </c>
      <c r="B116" s="37" t="s">
        <v>258</v>
      </c>
      <c r="C116" s="16" t="s">
        <v>38</v>
      </c>
      <c r="D116" s="4">
        <f>9577.95*0.1</f>
        <v>957.79500000000007</v>
      </c>
      <c r="E116" s="124"/>
      <c r="F116" s="124"/>
      <c r="G116" s="124"/>
      <c r="H116" s="124"/>
      <c r="I116" s="124"/>
      <c r="J116" s="15" t="s">
        <v>259</v>
      </c>
    </row>
    <row r="117" spans="1:29" ht="28.8">
      <c r="A117" s="2" t="s">
        <v>260</v>
      </c>
      <c r="B117" s="31" t="s">
        <v>261</v>
      </c>
      <c r="C117" s="16" t="s">
        <v>2</v>
      </c>
      <c r="D117" s="4">
        <v>4788.97</v>
      </c>
      <c r="E117" s="124"/>
      <c r="F117" s="124"/>
      <c r="G117" s="124"/>
      <c r="H117" s="124"/>
      <c r="I117" s="124"/>
      <c r="J117" s="15" t="s">
        <v>106</v>
      </c>
    </row>
    <row r="118" spans="1:29" ht="14.4">
      <c r="A118" s="2" t="s">
        <v>262</v>
      </c>
      <c r="B118" s="37" t="s">
        <v>263</v>
      </c>
      <c r="C118" s="16" t="s">
        <v>38</v>
      </c>
      <c r="D118" s="55">
        <f>D117*1.5</f>
        <v>7183.4549999999999</v>
      </c>
      <c r="E118" s="55"/>
      <c r="F118" s="55"/>
      <c r="G118" s="55"/>
      <c r="H118" s="55"/>
      <c r="I118" s="55"/>
      <c r="J118" s="15" t="s">
        <v>264</v>
      </c>
    </row>
    <row r="119" spans="1:29" ht="14.4">
      <c r="A119" s="26" t="s">
        <v>265</v>
      </c>
      <c r="B119" s="56" t="s">
        <v>266</v>
      </c>
      <c r="C119" s="57"/>
      <c r="D119" s="58"/>
      <c r="E119" s="58"/>
      <c r="F119" s="58"/>
      <c r="G119" s="58"/>
      <c r="H119" s="58"/>
      <c r="I119" s="58"/>
      <c r="J119" s="59"/>
    </row>
    <row r="120" spans="1:29" ht="14.4">
      <c r="A120" s="2" t="s">
        <v>267</v>
      </c>
      <c r="B120" s="60" t="s">
        <v>105</v>
      </c>
      <c r="C120" s="30"/>
      <c r="D120" s="30"/>
      <c r="E120" s="68"/>
      <c r="F120" s="68"/>
      <c r="G120" s="68"/>
      <c r="H120" s="68"/>
      <c r="I120" s="68"/>
      <c r="J120" s="61"/>
    </row>
    <row r="121" spans="1:29" ht="28.8">
      <c r="A121" s="2" t="s">
        <v>268</v>
      </c>
      <c r="B121" s="15" t="s">
        <v>269</v>
      </c>
      <c r="C121" s="4" t="s">
        <v>2</v>
      </c>
      <c r="D121" s="62">
        <v>37.304000000000002</v>
      </c>
      <c r="E121" s="103"/>
      <c r="F121" s="103"/>
      <c r="G121" s="103"/>
      <c r="H121" s="103"/>
      <c r="I121" s="103"/>
      <c r="J121" s="15" t="s">
        <v>270</v>
      </c>
    </row>
    <row r="122" spans="1:29" ht="14.4">
      <c r="A122" s="2" t="s">
        <v>271</v>
      </c>
      <c r="B122" s="31" t="s">
        <v>272</v>
      </c>
      <c r="C122" s="16" t="s">
        <v>113</v>
      </c>
      <c r="D122" s="4">
        <v>6000</v>
      </c>
      <c r="E122" s="124"/>
      <c r="F122" s="124"/>
      <c r="G122" s="124"/>
      <c r="H122" s="124"/>
      <c r="I122" s="124"/>
      <c r="J122" s="63"/>
    </row>
    <row r="123" spans="1:29" ht="14.4">
      <c r="A123" s="2" t="s">
        <v>273</v>
      </c>
      <c r="B123" s="64" t="s">
        <v>274</v>
      </c>
      <c r="C123" s="64" t="s">
        <v>5</v>
      </c>
      <c r="D123" s="65">
        <f>161.33*18/1000</f>
        <v>2.90394</v>
      </c>
      <c r="E123" s="65"/>
      <c r="F123" s="65"/>
      <c r="G123" s="65"/>
      <c r="H123" s="65"/>
      <c r="I123" s="65"/>
      <c r="J123" s="66" t="s">
        <v>275</v>
      </c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</row>
    <row r="124" spans="1:29" ht="14.4">
      <c r="A124" s="2" t="s">
        <v>276</v>
      </c>
      <c r="B124" s="60" t="s">
        <v>277</v>
      </c>
      <c r="C124" s="68" t="s">
        <v>5</v>
      </c>
      <c r="D124" s="39">
        <f>D125+D126+D127+D128</f>
        <v>1.3712214600000001</v>
      </c>
      <c r="E124" s="39"/>
      <c r="F124" s="39"/>
      <c r="G124" s="39"/>
      <c r="H124" s="39"/>
      <c r="I124" s="39"/>
      <c r="J124" s="60" t="s">
        <v>278</v>
      </c>
    </row>
    <row r="125" spans="1:29" ht="14.4">
      <c r="A125" s="2" t="s">
        <v>279</v>
      </c>
      <c r="B125" s="20" t="s">
        <v>280</v>
      </c>
      <c r="C125" s="16" t="s">
        <v>5</v>
      </c>
      <c r="D125" s="38">
        <f>73.30799*18/1000</f>
        <v>1.31954382</v>
      </c>
      <c r="E125" s="38"/>
      <c r="F125" s="38"/>
      <c r="G125" s="38"/>
      <c r="H125" s="38"/>
      <c r="I125" s="38"/>
      <c r="J125" s="15" t="s">
        <v>281</v>
      </c>
    </row>
    <row r="126" spans="1:29" ht="14.4">
      <c r="A126" s="2" t="s">
        <v>282</v>
      </c>
      <c r="B126" s="20" t="s">
        <v>283</v>
      </c>
      <c r="C126" s="16" t="s">
        <v>5</v>
      </c>
      <c r="D126" s="19">
        <f>1.13098*18/1000</f>
        <v>2.0357640000000003E-2</v>
      </c>
      <c r="E126" s="142"/>
      <c r="F126" s="142"/>
      <c r="G126" s="142"/>
      <c r="H126" s="142"/>
      <c r="I126" s="142"/>
      <c r="J126" s="15" t="s">
        <v>284</v>
      </c>
    </row>
    <row r="127" spans="1:29" ht="14.4">
      <c r="A127" s="2" t="s">
        <v>285</v>
      </c>
      <c r="B127" s="20" t="s">
        <v>286</v>
      </c>
      <c r="C127" s="16" t="s">
        <v>5</v>
      </c>
      <c r="D127" s="21">
        <f>1.28*18/1000</f>
        <v>2.3039999999999998E-2</v>
      </c>
      <c r="E127" s="21"/>
      <c r="F127" s="21"/>
      <c r="G127" s="21"/>
      <c r="H127" s="21"/>
      <c r="I127" s="21"/>
      <c r="J127" s="15" t="s">
        <v>287</v>
      </c>
    </row>
    <row r="128" spans="1:29" ht="14.4">
      <c r="A128" s="2" t="s">
        <v>288</v>
      </c>
      <c r="B128" s="20" t="s">
        <v>289</v>
      </c>
      <c r="C128" s="16" t="s">
        <v>5</v>
      </c>
      <c r="D128" s="21">
        <f>0.46*18/1000</f>
        <v>8.2800000000000009E-3</v>
      </c>
      <c r="E128" s="21"/>
      <c r="F128" s="21"/>
      <c r="G128" s="21"/>
      <c r="H128" s="21"/>
      <c r="I128" s="21"/>
      <c r="J128" s="15" t="s">
        <v>290</v>
      </c>
    </row>
    <row r="129" spans="1:10" ht="14.4">
      <c r="A129" s="2" t="s">
        <v>291</v>
      </c>
      <c r="B129" s="15" t="s">
        <v>292</v>
      </c>
      <c r="C129" s="16" t="s">
        <v>5</v>
      </c>
      <c r="D129" s="69">
        <f>0.0731210191082803*39.25*18/1000</f>
        <v>5.1660000000000025E-2</v>
      </c>
      <c r="E129" s="69"/>
      <c r="F129" s="69"/>
      <c r="G129" s="69"/>
      <c r="H129" s="69"/>
      <c r="I129" s="69"/>
      <c r="J129" s="15" t="s">
        <v>293</v>
      </c>
    </row>
    <row r="130" spans="1:10" ht="14.4">
      <c r="A130" s="2" t="s">
        <v>294</v>
      </c>
      <c r="B130" s="15" t="s">
        <v>295</v>
      </c>
      <c r="C130" s="16" t="s">
        <v>5</v>
      </c>
      <c r="D130" s="70">
        <f>0.37*18/1000</f>
        <v>6.6600000000000001E-3</v>
      </c>
      <c r="E130" s="70"/>
      <c r="F130" s="70"/>
      <c r="G130" s="70"/>
      <c r="H130" s="70"/>
      <c r="I130" s="70"/>
      <c r="J130" s="15" t="s">
        <v>296</v>
      </c>
    </row>
    <row r="131" spans="1:10" ht="14.4">
      <c r="A131" s="2" t="s">
        <v>297</v>
      </c>
      <c r="B131" s="60" t="s">
        <v>298</v>
      </c>
      <c r="C131" s="68" t="s">
        <v>5</v>
      </c>
      <c r="D131" s="39">
        <f>D132+D133+D134+D135</f>
        <v>1.3712214600000001</v>
      </c>
      <c r="E131" s="39"/>
      <c r="F131" s="39"/>
      <c r="G131" s="39"/>
      <c r="H131" s="39"/>
      <c r="I131" s="39"/>
      <c r="J131" s="60" t="s">
        <v>299</v>
      </c>
    </row>
    <row r="132" spans="1:10" ht="14.4">
      <c r="A132" s="2" t="s">
        <v>300</v>
      </c>
      <c r="B132" s="20" t="s">
        <v>280</v>
      </c>
      <c r="C132" s="16" t="s">
        <v>5</v>
      </c>
      <c r="D132" s="38">
        <f>73.30799*18/1000</f>
        <v>1.31954382</v>
      </c>
      <c r="E132" s="38"/>
      <c r="F132" s="38"/>
      <c r="G132" s="38"/>
      <c r="H132" s="38"/>
      <c r="I132" s="38"/>
      <c r="J132" s="71" t="s">
        <v>281</v>
      </c>
    </row>
    <row r="133" spans="1:10" ht="14.4">
      <c r="A133" s="2" t="s">
        <v>301</v>
      </c>
      <c r="B133" s="20" t="s">
        <v>283</v>
      </c>
      <c r="C133" s="16" t="s">
        <v>5</v>
      </c>
      <c r="D133" s="19">
        <f>1.13098*18/1000</f>
        <v>2.0357640000000003E-2</v>
      </c>
      <c r="E133" s="142"/>
      <c r="F133" s="142"/>
      <c r="G133" s="142"/>
      <c r="H133" s="142"/>
      <c r="I133" s="142"/>
      <c r="J133" s="15" t="s">
        <v>302</v>
      </c>
    </row>
    <row r="134" spans="1:10" ht="14.4">
      <c r="A134" s="2" t="s">
        <v>303</v>
      </c>
      <c r="B134" s="20" t="s">
        <v>286</v>
      </c>
      <c r="C134" s="16" t="s">
        <v>5</v>
      </c>
      <c r="D134" s="21">
        <f>1.28*18/1000</f>
        <v>2.3039999999999998E-2</v>
      </c>
      <c r="E134" s="21"/>
      <c r="F134" s="21"/>
      <c r="G134" s="21"/>
      <c r="H134" s="21"/>
      <c r="I134" s="21"/>
      <c r="J134" s="15" t="s">
        <v>287</v>
      </c>
    </row>
    <row r="135" spans="1:10" ht="14.4">
      <c r="A135" s="2" t="s">
        <v>304</v>
      </c>
      <c r="B135" s="20" t="s">
        <v>289</v>
      </c>
      <c r="C135" s="16" t="s">
        <v>5</v>
      </c>
      <c r="D135" s="21">
        <f>0.46*18/1000</f>
        <v>8.2800000000000009E-3</v>
      </c>
      <c r="E135" s="21"/>
      <c r="F135" s="21"/>
      <c r="G135" s="21"/>
      <c r="H135" s="21"/>
      <c r="I135" s="21"/>
      <c r="J135" s="15" t="s">
        <v>290</v>
      </c>
    </row>
    <row r="136" spans="1:10" ht="14.4">
      <c r="A136" s="2" t="s">
        <v>305</v>
      </c>
      <c r="B136" s="15" t="s">
        <v>292</v>
      </c>
      <c r="C136" s="16" t="s">
        <v>5</v>
      </c>
      <c r="D136" s="69">
        <f>2.87*18/1000</f>
        <v>5.1660000000000005E-2</v>
      </c>
      <c r="E136" s="69"/>
      <c r="F136" s="69"/>
      <c r="G136" s="69"/>
      <c r="H136" s="69"/>
      <c r="I136" s="69"/>
      <c r="J136" s="15" t="s">
        <v>306</v>
      </c>
    </row>
    <row r="137" spans="1:10" ht="14.4">
      <c r="A137" s="2" t="s">
        <v>307</v>
      </c>
      <c r="B137" s="15" t="s">
        <v>295</v>
      </c>
      <c r="C137" s="16" t="s">
        <v>5</v>
      </c>
      <c r="D137" s="72">
        <f>0.37*18/1000</f>
        <v>6.6600000000000001E-3</v>
      </c>
      <c r="E137" s="72"/>
      <c r="F137" s="72"/>
      <c r="G137" s="72"/>
      <c r="H137" s="72"/>
      <c r="I137" s="72"/>
      <c r="J137" s="15" t="s">
        <v>308</v>
      </c>
    </row>
    <row r="138" spans="1:10" ht="14.4">
      <c r="A138" s="2" t="s">
        <v>309</v>
      </c>
      <c r="B138" s="60" t="s">
        <v>310</v>
      </c>
      <c r="C138" s="68" t="s">
        <v>5</v>
      </c>
      <c r="D138" s="73">
        <f>D139+D140+D141</f>
        <v>0.10470599999999998</v>
      </c>
      <c r="E138" s="73"/>
      <c r="F138" s="73"/>
      <c r="G138" s="73"/>
      <c r="H138" s="73"/>
      <c r="I138" s="73"/>
      <c r="J138" s="60" t="s">
        <v>311</v>
      </c>
    </row>
    <row r="139" spans="1:10" ht="14.4">
      <c r="A139" s="2" t="s">
        <v>312</v>
      </c>
      <c r="B139" s="20" t="s">
        <v>313</v>
      </c>
      <c r="C139" s="16" t="s">
        <v>5</v>
      </c>
      <c r="D139" s="21">
        <f>0.86*18*3/1000</f>
        <v>4.6439999999999995E-2</v>
      </c>
      <c r="E139" s="21"/>
      <c r="F139" s="21"/>
      <c r="G139" s="21"/>
      <c r="H139" s="21"/>
      <c r="I139" s="21"/>
      <c r="J139" s="71" t="s">
        <v>314</v>
      </c>
    </row>
    <row r="140" spans="1:10" ht="14.4">
      <c r="A140" s="2" t="s">
        <v>315</v>
      </c>
      <c r="B140" s="20" t="s">
        <v>316</v>
      </c>
      <c r="C140" s="16" t="s">
        <v>5</v>
      </c>
      <c r="D140" s="21">
        <f>0.494*18*3/1000</f>
        <v>2.6675999999999998E-2</v>
      </c>
      <c r="E140" s="21"/>
      <c r="F140" s="21"/>
      <c r="G140" s="21"/>
      <c r="H140" s="21"/>
      <c r="I140" s="21"/>
      <c r="J140" s="71" t="s">
        <v>317</v>
      </c>
    </row>
    <row r="141" spans="1:10" ht="14.4">
      <c r="A141" s="2" t="s">
        <v>318</v>
      </c>
      <c r="B141" s="20" t="s">
        <v>319</v>
      </c>
      <c r="C141" s="16" t="s">
        <v>5</v>
      </c>
      <c r="D141" s="21">
        <f>0.585*18*3/1000</f>
        <v>3.1589999999999993E-2</v>
      </c>
      <c r="E141" s="21"/>
      <c r="F141" s="21"/>
      <c r="G141" s="21"/>
      <c r="H141" s="21"/>
      <c r="I141" s="21"/>
      <c r="J141" s="71" t="s">
        <v>320</v>
      </c>
    </row>
    <row r="142" spans="1:10" ht="14.4">
      <c r="A142" s="2" t="s">
        <v>321</v>
      </c>
      <c r="B142" s="15" t="s">
        <v>292</v>
      </c>
      <c r="C142" s="22" t="s">
        <v>5</v>
      </c>
      <c r="D142" s="69">
        <f>1.08*18*3/1000</f>
        <v>5.8320000000000011E-2</v>
      </c>
      <c r="E142" s="69"/>
      <c r="F142" s="69"/>
      <c r="G142" s="69"/>
      <c r="H142" s="69"/>
      <c r="I142" s="69"/>
      <c r="J142" s="71" t="s">
        <v>322</v>
      </c>
    </row>
    <row r="143" spans="1:10" ht="14.4">
      <c r="A143" s="2" t="s">
        <v>323</v>
      </c>
      <c r="B143" s="15" t="s">
        <v>324</v>
      </c>
      <c r="C143" s="22" t="s">
        <v>5</v>
      </c>
      <c r="D143" s="70">
        <f>0.1*18*3/1000</f>
        <v>5.4000000000000003E-3</v>
      </c>
      <c r="E143" s="70"/>
      <c r="F143" s="70"/>
      <c r="G143" s="70"/>
      <c r="H143" s="70"/>
      <c r="I143" s="70"/>
      <c r="J143" s="71" t="s">
        <v>325</v>
      </c>
    </row>
    <row r="144" spans="1:10" ht="14.4">
      <c r="A144" s="2" t="s">
        <v>326</v>
      </c>
      <c r="B144" s="60" t="s">
        <v>327</v>
      </c>
      <c r="C144" s="74" t="s">
        <v>5</v>
      </c>
      <c r="D144" s="39">
        <f t="shared" ref="D144:D146" si="0">3.17*18/1000</f>
        <v>5.706E-2</v>
      </c>
      <c r="E144" s="39"/>
      <c r="F144" s="39"/>
      <c r="G144" s="39"/>
      <c r="H144" s="39"/>
      <c r="I144" s="39"/>
      <c r="J144" s="75"/>
    </row>
    <row r="145" spans="1:10" ht="14.4">
      <c r="A145" s="2" t="s">
        <v>328</v>
      </c>
      <c r="B145" s="20" t="s">
        <v>329</v>
      </c>
      <c r="C145" s="22" t="s">
        <v>5</v>
      </c>
      <c r="D145" s="19">
        <f t="shared" si="0"/>
        <v>5.706E-2</v>
      </c>
      <c r="E145" s="142"/>
      <c r="F145" s="142"/>
      <c r="G145" s="142"/>
      <c r="H145" s="142"/>
      <c r="I145" s="142"/>
      <c r="J145" s="71" t="s">
        <v>330</v>
      </c>
    </row>
    <row r="146" spans="1:10" ht="14.4">
      <c r="A146" s="2" t="s">
        <v>331</v>
      </c>
      <c r="B146" s="15" t="s">
        <v>292</v>
      </c>
      <c r="C146" s="22" t="s">
        <v>5</v>
      </c>
      <c r="D146" s="53">
        <f t="shared" si="0"/>
        <v>5.706E-2</v>
      </c>
      <c r="E146" s="53"/>
      <c r="F146" s="53"/>
      <c r="G146" s="53"/>
      <c r="H146" s="53"/>
      <c r="I146" s="53"/>
      <c r="J146" s="71" t="s">
        <v>332</v>
      </c>
    </row>
    <row r="147" spans="1:10" ht="14.4">
      <c r="A147" s="2" t="s">
        <v>333</v>
      </c>
      <c r="B147" s="11" t="s">
        <v>334</v>
      </c>
      <c r="C147" s="40" t="s">
        <v>5</v>
      </c>
      <c r="D147" s="76">
        <f>76.52*9/1000</f>
        <v>0.68867999999999996</v>
      </c>
      <c r="E147" s="76"/>
      <c r="F147" s="76"/>
      <c r="G147" s="76"/>
      <c r="H147" s="76"/>
      <c r="I147" s="76"/>
      <c r="J147" s="13" t="s">
        <v>335</v>
      </c>
    </row>
    <row r="148" spans="1:10" ht="14.4">
      <c r="A148" s="2" t="s">
        <v>336</v>
      </c>
      <c r="B148" s="60" t="s">
        <v>337</v>
      </c>
      <c r="C148" s="68" t="s">
        <v>5</v>
      </c>
      <c r="D148" s="77">
        <f>D149+D150</f>
        <v>0.67086000000000001</v>
      </c>
      <c r="E148" s="77"/>
      <c r="F148" s="77"/>
      <c r="G148" s="77"/>
      <c r="H148" s="77"/>
      <c r="I148" s="77"/>
      <c r="J148" s="78"/>
    </row>
    <row r="149" spans="1:10" ht="14.4">
      <c r="A149" s="2" t="s">
        <v>338</v>
      </c>
      <c r="B149" s="20" t="s">
        <v>339</v>
      </c>
      <c r="C149" s="22" t="s">
        <v>5</v>
      </c>
      <c r="D149" s="21">
        <f>73.53*9/1000</f>
        <v>0.66176999999999997</v>
      </c>
      <c r="E149" s="21"/>
      <c r="F149" s="21"/>
      <c r="G149" s="21"/>
      <c r="H149" s="21"/>
      <c r="I149" s="21"/>
      <c r="J149" s="71" t="s">
        <v>340</v>
      </c>
    </row>
    <row r="150" spans="1:10" ht="14.4">
      <c r="A150" s="2" t="s">
        <v>341</v>
      </c>
      <c r="B150" s="20" t="s">
        <v>342</v>
      </c>
      <c r="C150" s="22" t="s">
        <v>5</v>
      </c>
      <c r="D150" s="38">
        <f t="shared" ref="D150:D151" si="1">1.01*9/1000</f>
        <v>9.0899999999999991E-3</v>
      </c>
      <c r="E150" s="38"/>
      <c r="F150" s="38"/>
      <c r="G150" s="38"/>
      <c r="H150" s="38"/>
      <c r="I150" s="38"/>
      <c r="J150" s="71" t="s">
        <v>343</v>
      </c>
    </row>
    <row r="151" spans="1:10" ht="14.4">
      <c r="A151" s="2" t="s">
        <v>344</v>
      </c>
      <c r="B151" s="15" t="s">
        <v>292</v>
      </c>
      <c r="C151" s="22" t="s">
        <v>5</v>
      </c>
      <c r="D151" s="38">
        <f t="shared" si="1"/>
        <v>9.0899999999999991E-3</v>
      </c>
      <c r="E151" s="38"/>
      <c r="F151" s="38"/>
      <c r="G151" s="38"/>
      <c r="H151" s="38"/>
      <c r="I151" s="38"/>
      <c r="J151" s="71" t="s">
        <v>345</v>
      </c>
    </row>
    <row r="152" spans="1:10" ht="14.4">
      <c r="A152" s="2" t="s">
        <v>346</v>
      </c>
      <c r="B152" s="15" t="s">
        <v>295</v>
      </c>
      <c r="C152" s="22" t="s">
        <v>5</v>
      </c>
      <c r="D152" s="21">
        <f>0.23*9/1000</f>
        <v>2.0700000000000002E-3</v>
      </c>
      <c r="E152" s="21"/>
      <c r="F152" s="21"/>
      <c r="G152" s="21"/>
      <c r="H152" s="21"/>
      <c r="I152" s="21"/>
      <c r="J152" s="71" t="s">
        <v>347</v>
      </c>
    </row>
    <row r="153" spans="1:10" ht="14.4">
      <c r="A153" s="2" t="s">
        <v>348</v>
      </c>
      <c r="B153" s="60" t="s">
        <v>349</v>
      </c>
      <c r="C153" s="35" t="s">
        <v>5</v>
      </c>
      <c r="D153" s="79">
        <f t="shared" ref="D153:D154" si="2">0.927778*9/1000</f>
        <v>8.3500020000000005E-3</v>
      </c>
      <c r="E153" s="79"/>
      <c r="F153" s="79"/>
      <c r="G153" s="79"/>
      <c r="H153" s="79"/>
      <c r="I153" s="79"/>
      <c r="J153" s="80"/>
    </row>
    <row r="154" spans="1:10" ht="14.4">
      <c r="A154" s="2" t="s">
        <v>350</v>
      </c>
      <c r="B154" s="20" t="s">
        <v>351</v>
      </c>
      <c r="C154" s="16" t="s">
        <v>5</v>
      </c>
      <c r="D154" s="81">
        <f t="shared" si="2"/>
        <v>8.3500020000000005E-3</v>
      </c>
      <c r="E154" s="81"/>
      <c r="F154" s="81"/>
      <c r="G154" s="81"/>
      <c r="H154" s="81"/>
      <c r="I154" s="81"/>
      <c r="J154" s="15" t="s">
        <v>352</v>
      </c>
    </row>
    <row r="155" spans="1:10" ht="14.4">
      <c r="A155" s="2" t="s">
        <v>353</v>
      </c>
      <c r="B155" s="60" t="s">
        <v>354</v>
      </c>
      <c r="C155" s="35" t="s">
        <v>5</v>
      </c>
      <c r="D155" s="82">
        <f t="shared" ref="D155:D157" si="3">1.98*9/1000</f>
        <v>1.7819999999999999E-2</v>
      </c>
      <c r="E155" s="82"/>
      <c r="F155" s="82"/>
      <c r="G155" s="82"/>
      <c r="H155" s="82"/>
      <c r="I155" s="82"/>
      <c r="J155" s="80"/>
    </row>
    <row r="156" spans="1:10" ht="14.4">
      <c r="A156" s="2" t="s">
        <v>355</v>
      </c>
      <c r="B156" s="20" t="s">
        <v>356</v>
      </c>
      <c r="C156" s="16" t="s">
        <v>5</v>
      </c>
      <c r="D156" s="83">
        <f t="shared" si="3"/>
        <v>1.7819999999999999E-2</v>
      </c>
      <c r="E156" s="83"/>
      <c r="F156" s="83"/>
      <c r="G156" s="83"/>
      <c r="H156" s="83"/>
      <c r="I156" s="83"/>
      <c r="J156" s="15" t="s">
        <v>357</v>
      </c>
    </row>
    <row r="157" spans="1:10" ht="14.4">
      <c r="A157" s="2" t="s">
        <v>358</v>
      </c>
      <c r="B157" s="15" t="s">
        <v>292</v>
      </c>
      <c r="C157" s="16" t="s">
        <v>5</v>
      </c>
      <c r="D157" s="83">
        <f t="shared" si="3"/>
        <v>1.7819999999999999E-2</v>
      </c>
      <c r="E157" s="83"/>
      <c r="F157" s="83"/>
      <c r="G157" s="83"/>
      <c r="H157" s="83"/>
      <c r="I157" s="83"/>
      <c r="J157" s="15" t="s">
        <v>359</v>
      </c>
    </row>
    <row r="158" spans="1:10" ht="28.8">
      <c r="A158" s="2" t="s">
        <v>360</v>
      </c>
      <c r="B158" s="11" t="s">
        <v>361</v>
      </c>
      <c r="C158" s="11" t="s">
        <v>5</v>
      </c>
      <c r="D158" s="12">
        <f>D159+D166+D173+D179</f>
        <v>39.351881999999996</v>
      </c>
      <c r="E158" s="12"/>
      <c r="F158" s="12"/>
      <c r="G158" s="12"/>
      <c r="H158" s="12"/>
      <c r="I158" s="12"/>
      <c r="J158" s="13" t="s">
        <v>362</v>
      </c>
    </row>
    <row r="159" spans="1:10" ht="14.4">
      <c r="A159" s="2" t="s">
        <v>363</v>
      </c>
      <c r="B159" s="60" t="s">
        <v>364</v>
      </c>
      <c r="C159" s="68" t="s">
        <v>5</v>
      </c>
      <c r="D159" s="84">
        <f>76.17*246/1000</f>
        <v>18.737819999999999</v>
      </c>
      <c r="E159" s="84"/>
      <c r="F159" s="84"/>
      <c r="G159" s="84"/>
      <c r="H159" s="84"/>
      <c r="I159" s="84"/>
      <c r="J159" s="61"/>
    </row>
    <row r="160" spans="1:10" ht="14.4">
      <c r="A160" s="2" t="s">
        <v>365</v>
      </c>
      <c r="B160" s="20" t="s">
        <v>280</v>
      </c>
      <c r="C160" s="16" t="s">
        <v>5</v>
      </c>
      <c r="D160" s="19">
        <f>73.31*246/1000</f>
        <v>18.034260000000003</v>
      </c>
      <c r="E160" s="142"/>
      <c r="F160" s="142"/>
      <c r="G160" s="142"/>
      <c r="H160" s="142"/>
      <c r="I160" s="142"/>
      <c r="J160" s="71" t="s">
        <v>366</v>
      </c>
    </row>
    <row r="161" spans="1:10" ht="14.4">
      <c r="A161" s="2" t="s">
        <v>367</v>
      </c>
      <c r="B161" s="20" t="s">
        <v>283</v>
      </c>
      <c r="C161" s="16" t="s">
        <v>5</v>
      </c>
      <c r="D161" s="83">
        <f>1.13*246/1000</f>
        <v>0.27797999999999995</v>
      </c>
      <c r="E161" s="83"/>
      <c r="F161" s="83"/>
      <c r="G161" s="83"/>
      <c r="H161" s="83"/>
      <c r="I161" s="83"/>
      <c r="J161" s="15" t="s">
        <v>368</v>
      </c>
    </row>
    <row r="162" spans="1:10" ht="14.4">
      <c r="A162" s="2" t="s">
        <v>369</v>
      </c>
      <c r="B162" s="20" t="s">
        <v>286</v>
      </c>
      <c r="C162" s="16" t="s">
        <v>5</v>
      </c>
      <c r="D162" s="83">
        <f>1.28*246/1000</f>
        <v>0.31487999999999999</v>
      </c>
      <c r="E162" s="83"/>
      <c r="F162" s="83"/>
      <c r="G162" s="83"/>
      <c r="H162" s="83"/>
      <c r="I162" s="83"/>
      <c r="J162" s="15" t="s">
        <v>370</v>
      </c>
    </row>
    <row r="163" spans="1:10" ht="14.4">
      <c r="A163" s="2" t="s">
        <v>371</v>
      </c>
      <c r="B163" s="20" t="s">
        <v>289</v>
      </c>
      <c r="C163" s="16" t="s">
        <v>5</v>
      </c>
      <c r="D163" s="38">
        <f>0.46*246/1000</f>
        <v>0.11316000000000001</v>
      </c>
      <c r="E163" s="38"/>
      <c r="F163" s="38"/>
      <c r="G163" s="38"/>
      <c r="H163" s="38"/>
      <c r="I163" s="38"/>
      <c r="J163" s="15" t="s">
        <v>372</v>
      </c>
    </row>
    <row r="164" spans="1:10" ht="14.4">
      <c r="A164" s="2" t="s">
        <v>373</v>
      </c>
      <c r="B164" s="15" t="s">
        <v>292</v>
      </c>
      <c r="C164" s="16" t="s">
        <v>5</v>
      </c>
      <c r="D164" s="85">
        <f>2.87*246/1000</f>
        <v>0.70601999999999998</v>
      </c>
      <c r="E164" s="85"/>
      <c r="F164" s="85"/>
      <c r="G164" s="85"/>
      <c r="H164" s="85"/>
      <c r="I164" s="85"/>
      <c r="J164" s="15" t="s">
        <v>374</v>
      </c>
    </row>
    <row r="165" spans="1:10" ht="14.4">
      <c r="A165" s="2" t="s">
        <v>375</v>
      </c>
      <c r="B165" s="15" t="s">
        <v>295</v>
      </c>
      <c r="C165" s="16" t="s">
        <v>5</v>
      </c>
      <c r="D165" s="86">
        <f>0.37*246/1000</f>
        <v>9.101999999999999E-2</v>
      </c>
      <c r="E165" s="86"/>
      <c r="F165" s="86"/>
      <c r="G165" s="86"/>
      <c r="H165" s="86"/>
      <c r="I165" s="86"/>
      <c r="J165" s="15" t="s">
        <v>376</v>
      </c>
    </row>
    <row r="166" spans="1:10" ht="14.4">
      <c r="A166" s="2" t="s">
        <v>377</v>
      </c>
      <c r="B166" s="60" t="s">
        <v>378</v>
      </c>
      <c r="C166" s="68" t="s">
        <v>5</v>
      </c>
      <c r="D166" s="84">
        <f>76.17*246/1000</f>
        <v>18.737819999999999</v>
      </c>
      <c r="E166" s="84"/>
      <c r="F166" s="84"/>
      <c r="G166" s="84"/>
      <c r="H166" s="84"/>
      <c r="I166" s="84"/>
      <c r="J166" s="61"/>
    </row>
    <row r="167" spans="1:10" ht="14.4">
      <c r="A167" s="2" t="s">
        <v>379</v>
      </c>
      <c r="B167" s="20" t="s">
        <v>280</v>
      </c>
      <c r="C167" s="16" t="s">
        <v>5</v>
      </c>
      <c r="D167" s="19">
        <f>73.31*246/1000</f>
        <v>18.034260000000003</v>
      </c>
      <c r="E167" s="142"/>
      <c r="F167" s="142"/>
      <c r="G167" s="142"/>
      <c r="H167" s="142"/>
      <c r="I167" s="142"/>
      <c r="J167" s="71" t="s">
        <v>366</v>
      </c>
    </row>
    <row r="168" spans="1:10" ht="14.4">
      <c r="A168" s="2" t="s">
        <v>380</v>
      </c>
      <c r="B168" s="20" t="s">
        <v>283</v>
      </c>
      <c r="C168" s="16" t="s">
        <v>5</v>
      </c>
      <c r="D168" s="83">
        <f>1.13*246/1000</f>
        <v>0.27797999999999995</v>
      </c>
      <c r="E168" s="83"/>
      <c r="F168" s="83"/>
      <c r="G168" s="83"/>
      <c r="H168" s="83"/>
      <c r="I168" s="83"/>
      <c r="J168" s="15" t="s">
        <v>368</v>
      </c>
    </row>
    <row r="169" spans="1:10" ht="14.4">
      <c r="A169" s="2" t="s">
        <v>381</v>
      </c>
      <c r="B169" s="20" t="s">
        <v>286</v>
      </c>
      <c r="C169" s="16" t="s">
        <v>5</v>
      </c>
      <c r="D169" s="83">
        <f>1.28*246/1000</f>
        <v>0.31487999999999999</v>
      </c>
      <c r="E169" s="83"/>
      <c r="F169" s="83"/>
      <c r="G169" s="83"/>
      <c r="H169" s="83"/>
      <c r="I169" s="83"/>
      <c r="J169" s="15" t="s">
        <v>370</v>
      </c>
    </row>
    <row r="170" spans="1:10" ht="14.4">
      <c r="A170" s="2" t="s">
        <v>382</v>
      </c>
      <c r="B170" s="20" t="s">
        <v>289</v>
      </c>
      <c r="C170" s="16" t="s">
        <v>5</v>
      </c>
      <c r="D170" s="38">
        <f>0.46*246/1000</f>
        <v>0.11316000000000001</v>
      </c>
      <c r="E170" s="38"/>
      <c r="F170" s="38"/>
      <c r="G170" s="38"/>
      <c r="H170" s="38"/>
      <c r="I170" s="38"/>
      <c r="J170" s="15" t="s">
        <v>372</v>
      </c>
    </row>
    <row r="171" spans="1:10" ht="14.4">
      <c r="A171" s="2" t="s">
        <v>383</v>
      </c>
      <c r="B171" s="15" t="s">
        <v>292</v>
      </c>
      <c r="C171" s="16" t="s">
        <v>5</v>
      </c>
      <c r="D171" s="85">
        <f>2.87*246/1000</f>
        <v>0.70601999999999998</v>
      </c>
      <c r="E171" s="85"/>
      <c r="F171" s="85"/>
      <c r="G171" s="85"/>
      <c r="H171" s="85"/>
      <c r="I171" s="85"/>
      <c r="J171" s="15" t="s">
        <v>374</v>
      </c>
    </row>
    <row r="172" spans="1:10" ht="14.4">
      <c r="A172" s="2" t="s">
        <v>384</v>
      </c>
      <c r="B172" s="15" t="s">
        <v>295</v>
      </c>
      <c r="C172" s="16" t="s">
        <v>5</v>
      </c>
      <c r="D172" s="86">
        <f>0.37*246/1000</f>
        <v>9.101999999999999E-2</v>
      </c>
      <c r="E172" s="86"/>
      <c r="F172" s="86"/>
      <c r="G172" s="86"/>
      <c r="H172" s="86"/>
      <c r="I172" s="86"/>
      <c r="J172" s="15" t="s">
        <v>376</v>
      </c>
    </row>
    <row r="173" spans="1:10" ht="14.4">
      <c r="A173" s="2" t="s">
        <v>385</v>
      </c>
      <c r="B173" s="60" t="s">
        <v>386</v>
      </c>
      <c r="C173" s="68" t="s">
        <v>5</v>
      </c>
      <c r="D173" s="87">
        <f>D174+D175+D176</f>
        <v>1.430982</v>
      </c>
      <c r="E173" s="87"/>
      <c r="F173" s="87"/>
      <c r="G173" s="87"/>
      <c r="H173" s="87"/>
      <c r="I173" s="87"/>
      <c r="J173" s="78" t="s">
        <v>387</v>
      </c>
    </row>
    <row r="174" spans="1:10" ht="14.4">
      <c r="A174" s="2" t="s">
        <v>388</v>
      </c>
      <c r="B174" s="20" t="s">
        <v>313</v>
      </c>
      <c r="C174" s="16" t="s">
        <v>5</v>
      </c>
      <c r="D174" s="21">
        <f>0.86*246*3/1000</f>
        <v>0.63468000000000002</v>
      </c>
      <c r="E174" s="21"/>
      <c r="F174" s="21"/>
      <c r="G174" s="21"/>
      <c r="H174" s="21"/>
      <c r="I174" s="21"/>
      <c r="J174" s="71" t="s">
        <v>389</v>
      </c>
    </row>
    <row r="175" spans="1:10" ht="14.4">
      <c r="A175" s="2" t="s">
        <v>390</v>
      </c>
      <c r="B175" s="20" t="s">
        <v>316</v>
      </c>
      <c r="C175" s="16" t="s">
        <v>5</v>
      </c>
      <c r="D175" s="38">
        <f>0.494*246*3/1000</f>
        <v>0.36457200000000001</v>
      </c>
      <c r="E175" s="38"/>
      <c r="F175" s="38"/>
      <c r="G175" s="38"/>
      <c r="H175" s="38"/>
      <c r="I175" s="38"/>
      <c r="J175" s="71" t="s">
        <v>391</v>
      </c>
    </row>
    <row r="176" spans="1:10" ht="14.4">
      <c r="A176" s="2" t="s">
        <v>392</v>
      </c>
      <c r="B176" s="20" t="s">
        <v>319</v>
      </c>
      <c r="C176" s="16" t="s">
        <v>5</v>
      </c>
      <c r="D176" s="38">
        <f>0.585*246*3/1000</f>
        <v>0.43173</v>
      </c>
      <c r="E176" s="38"/>
      <c r="F176" s="38"/>
      <c r="G176" s="38"/>
      <c r="H176" s="38"/>
      <c r="I176" s="38"/>
      <c r="J176" s="71" t="s">
        <v>393</v>
      </c>
    </row>
    <row r="177" spans="1:10" ht="14.4">
      <c r="A177" s="2" t="s">
        <v>394</v>
      </c>
      <c r="B177" s="15" t="s">
        <v>292</v>
      </c>
      <c r="C177" s="22" t="s">
        <v>5</v>
      </c>
      <c r="D177" s="85">
        <f>0.03*39.25*246*3/1000</f>
        <v>0.86899500000000007</v>
      </c>
      <c r="E177" s="85"/>
      <c r="F177" s="85"/>
      <c r="G177" s="85"/>
      <c r="H177" s="85"/>
      <c r="I177" s="85"/>
      <c r="J177" s="71" t="s">
        <v>345</v>
      </c>
    </row>
    <row r="178" spans="1:10" ht="14.4">
      <c r="A178" s="2" t="s">
        <v>395</v>
      </c>
      <c r="B178" s="15" t="s">
        <v>295</v>
      </c>
      <c r="C178" s="22" t="s">
        <v>5</v>
      </c>
      <c r="D178" s="70">
        <f>0.1*246*3/1000</f>
        <v>7.3800000000000004E-2</v>
      </c>
      <c r="E178" s="70"/>
      <c r="F178" s="70"/>
      <c r="G178" s="70"/>
      <c r="H178" s="70"/>
      <c r="I178" s="70"/>
      <c r="J178" s="71" t="s">
        <v>396</v>
      </c>
    </row>
    <row r="179" spans="1:10" ht="14.4">
      <c r="A179" s="2" t="s">
        <v>397</v>
      </c>
      <c r="B179" s="60" t="s">
        <v>398</v>
      </c>
      <c r="C179" s="35" t="s">
        <v>5</v>
      </c>
      <c r="D179" s="82">
        <f t="shared" ref="D179:D180" si="4">1.81*246/1000</f>
        <v>0.44525999999999999</v>
      </c>
      <c r="E179" s="82"/>
      <c r="F179" s="82"/>
      <c r="G179" s="82"/>
      <c r="H179" s="82"/>
      <c r="I179" s="82"/>
      <c r="J179" s="80"/>
    </row>
    <row r="180" spans="1:10" ht="14.4">
      <c r="A180" s="2" t="s">
        <v>399</v>
      </c>
      <c r="B180" s="20" t="s">
        <v>351</v>
      </c>
      <c r="C180" s="16" t="s">
        <v>5</v>
      </c>
      <c r="D180" s="88">
        <f t="shared" si="4"/>
        <v>0.44525999999999999</v>
      </c>
      <c r="E180" s="88"/>
      <c r="F180" s="88"/>
      <c r="G180" s="88"/>
      <c r="H180" s="88"/>
      <c r="I180" s="88"/>
      <c r="J180" s="15" t="s">
        <v>400</v>
      </c>
    </row>
    <row r="181" spans="1:10" ht="14.4">
      <c r="A181" s="2" t="s">
        <v>401</v>
      </c>
      <c r="B181" s="11" t="s">
        <v>402</v>
      </c>
      <c r="C181" s="11" t="s">
        <v>5</v>
      </c>
      <c r="D181" s="89">
        <f>78.995*121/1000</f>
        <v>9.5583950000000009</v>
      </c>
      <c r="E181" s="89"/>
      <c r="F181" s="89"/>
      <c r="G181" s="89"/>
      <c r="H181" s="89"/>
      <c r="I181" s="89"/>
      <c r="J181" s="13" t="s">
        <v>403</v>
      </c>
    </row>
    <row r="182" spans="1:10" ht="28.8">
      <c r="A182" s="2" t="s">
        <v>404</v>
      </c>
      <c r="B182" s="90" t="s">
        <v>405</v>
      </c>
      <c r="C182" s="4" t="s">
        <v>11</v>
      </c>
      <c r="D182" s="4">
        <v>121</v>
      </c>
      <c r="E182" s="124"/>
      <c r="F182" s="124"/>
      <c r="G182" s="124"/>
      <c r="H182" s="124"/>
      <c r="I182" s="124"/>
      <c r="J182" s="30"/>
    </row>
    <row r="183" spans="1:10" ht="14.4">
      <c r="A183" s="2" t="s">
        <v>406</v>
      </c>
      <c r="B183" s="60" t="s">
        <v>407</v>
      </c>
      <c r="C183" s="68" t="s">
        <v>5</v>
      </c>
      <c r="D183" s="91">
        <f>D184+D185</f>
        <v>9.0193400000000015</v>
      </c>
      <c r="E183" s="91"/>
      <c r="F183" s="91"/>
      <c r="G183" s="91"/>
      <c r="H183" s="91"/>
      <c r="I183" s="91"/>
      <c r="J183" s="75"/>
    </row>
    <row r="184" spans="1:10" ht="14.4">
      <c r="A184" s="2" t="s">
        <v>408</v>
      </c>
      <c r="B184" s="20" t="s">
        <v>339</v>
      </c>
      <c r="C184" s="22" t="s">
        <v>5</v>
      </c>
      <c r="D184" s="38">
        <f>73.53*121/1000</f>
        <v>8.8971300000000006</v>
      </c>
      <c r="E184" s="38"/>
      <c r="F184" s="38"/>
      <c r="G184" s="38"/>
      <c r="H184" s="38"/>
      <c r="I184" s="38"/>
      <c r="J184" s="71" t="s">
        <v>340</v>
      </c>
    </row>
    <row r="185" spans="1:10" ht="14.4">
      <c r="A185" s="2" t="s">
        <v>409</v>
      </c>
      <c r="B185" s="20" t="s">
        <v>342</v>
      </c>
      <c r="C185" s="22" t="s">
        <v>5</v>
      </c>
      <c r="D185" s="92">
        <f>1.01*121/1000</f>
        <v>0.12221000000000001</v>
      </c>
      <c r="E185" s="92"/>
      <c r="F185" s="92"/>
      <c r="G185" s="92"/>
      <c r="H185" s="92"/>
      <c r="I185" s="92"/>
      <c r="J185" s="71" t="s">
        <v>343</v>
      </c>
    </row>
    <row r="186" spans="1:10" ht="14.4">
      <c r="A186" s="2" t="s">
        <v>410</v>
      </c>
      <c r="B186" s="15" t="s">
        <v>295</v>
      </c>
      <c r="C186" s="22" t="s">
        <v>5</v>
      </c>
      <c r="D186" s="70">
        <f>0.23*121/1000</f>
        <v>2.7830000000000001E-2</v>
      </c>
      <c r="E186" s="70"/>
      <c r="F186" s="70"/>
      <c r="G186" s="70"/>
      <c r="H186" s="70"/>
      <c r="I186" s="70"/>
      <c r="J186" s="71" t="s">
        <v>347</v>
      </c>
    </row>
    <row r="187" spans="1:10" ht="14.4">
      <c r="A187" s="2" t="s">
        <v>411</v>
      </c>
      <c r="B187" s="15" t="s">
        <v>292</v>
      </c>
      <c r="C187" s="22" t="s">
        <v>5</v>
      </c>
      <c r="D187" s="93">
        <f>1.01*121/1000</f>
        <v>0.12221000000000001</v>
      </c>
      <c r="E187" s="93"/>
      <c r="F187" s="93"/>
      <c r="G187" s="93"/>
      <c r="H187" s="93"/>
      <c r="I187" s="93"/>
      <c r="J187" s="71" t="s">
        <v>345</v>
      </c>
    </row>
    <row r="188" spans="1:10" ht="14.4">
      <c r="A188" s="2" t="s">
        <v>412</v>
      </c>
      <c r="B188" s="60" t="s">
        <v>413</v>
      </c>
      <c r="C188" s="68" t="s">
        <v>5</v>
      </c>
      <c r="D188" s="77">
        <f>D189</f>
        <v>0.11229042</v>
      </c>
      <c r="E188" s="77"/>
      <c r="F188" s="77"/>
      <c r="G188" s="77"/>
      <c r="H188" s="77"/>
      <c r="I188" s="77"/>
      <c r="J188" s="80"/>
    </row>
    <row r="189" spans="1:10" ht="14.4">
      <c r="A189" s="2" t="s">
        <v>414</v>
      </c>
      <c r="B189" s="20" t="s">
        <v>351</v>
      </c>
      <c r="C189" s="16" t="s">
        <v>5</v>
      </c>
      <c r="D189" s="83">
        <f>0.92802*121/1000</f>
        <v>0.11229042</v>
      </c>
      <c r="E189" s="83"/>
      <c r="F189" s="83"/>
      <c r="G189" s="83"/>
      <c r="H189" s="83"/>
      <c r="I189" s="83"/>
      <c r="J189" s="15" t="s">
        <v>352</v>
      </c>
    </row>
    <row r="190" spans="1:10" ht="14.4">
      <c r="A190" s="2" t="s">
        <v>415</v>
      </c>
      <c r="B190" s="60" t="s">
        <v>416</v>
      </c>
      <c r="C190" s="68" t="s">
        <v>5</v>
      </c>
      <c r="D190" s="91">
        <f>D191</f>
        <v>0.53905500000000006</v>
      </c>
      <c r="E190" s="91"/>
      <c r="F190" s="91"/>
      <c r="G190" s="91"/>
      <c r="H190" s="91"/>
      <c r="I190" s="91"/>
      <c r="J190" s="80"/>
    </row>
    <row r="191" spans="1:10" ht="14.4">
      <c r="A191" s="2" t="s">
        <v>417</v>
      </c>
      <c r="B191" s="20" t="s">
        <v>356</v>
      </c>
      <c r="C191" s="16" t="s">
        <v>5</v>
      </c>
      <c r="D191" s="94">
        <f>27*0.165*121/1000</f>
        <v>0.53905500000000006</v>
      </c>
      <c r="E191" s="94"/>
      <c r="F191" s="94"/>
      <c r="G191" s="94"/>
      <c r="H191" s="94"/>
      <c r="I191" s="94"/>
      <c r="J191" s="15" t="s">
        <v>418</v>
      </c>
    </row>
    <row r="192" spans="1:10" ht="14.4">
      <c r="A192" s="2" t="s">
        <v>419</v>
      </c>
      <c r="B192" s="60" t="s">
        <v>420</v>
      </c>
      <c r="C192" s="74" t="s">
        <v>5</v>
      </c>
      <c r="D192" s="95">
        <f>D193</f>
        <v>0.19360000000000002</v>
      </c>
      <c r="E192" s="95"/>
      <c r="F192" s="95"/>
      <c r="G192" s="95"/>
      <c r="H192" s="95"/>
      <c r="I192" s="95"/>
      <c r="J192" s="80"/>
    </row>
    <row r="193" spans="1:10" ht="14.4">
      <c r="A193" s="2" t="s">
        <v>421</v>
      </c>
      <c r="B193" s="36" t="s">
        <v>422</v>
      </c>
      <c r="C193" s="22" t="s">
        <v>5</v>
      </c>
      <c r="D193" s="96">
        <f>1.6*121/1000</f>
        <v>0.19360000000000002</v>
      </c>
      <c r="E193" s="96"/>
      <c r="F193" s="96"/>
      <c r="G193" s="96"/>
      <c r="H193" s="96"/>
      <c r="I193" s="96"/>
      <c r="J193" s="71" t="s">
        <v>423</v>
      </c>
    </row>
    <row r="194" spans="1:10" ht="28.8">
      <c r="A194" s="2" t="s">
        <v>424</v>
      </c>
      <c r="B194" s="90" t="s">
        <v>425</v>
      </c>
      <c r="C194" s="22" t="s">
        <v>11</v>
      </c>
      <c r="D194" s="97">
        <v>242</v>
      </c>
      <c r="E194" s="97"/>
      <c r="F194" s="97"/>
      <c r="G194" s="97"/>
      <c r="H194" s="97"/>
      <c r="I194" s="97"/>
      <c r="J194" s="98"/>
    </row>
    <row r="195" spans="1:10" ht="14.4">
      <c r="A195" s="2" t="s">
        <v>426</v>
      </c>
      <c r="B195" s="60" t="s">
        <v>427</v>
      </c>
      <c r="C195" s="99"/>
      <c r="D195" s="100"/>
      <c r="E195" s="100"/>
      <c r="F195" s="100"/>
      <c r="G195" s="100"/>
      <c r="H195" s="100"/>
      <c r="I195" s="100"/>
      <c r="J195" s="80"/>
    </row>
    <row r="196" spans="1:10" ht="14.4">
      <c r="A196" s="2" t="s">
        <v>428</v>
      </c>
      <c r="B196" s="36" t="s">
        <v>429</v>
      </c>
      <c r="C196" s="22" t="s">
        <v>430</v>
      </c>
      <c r="D196" s="101">
        <v>4840</v>
      </c>
      <c r="E196" s="101"/>
      <c r="F196" s="101"/>
      <c r="G196" s="101"/>
      <c r="H196" s="101"/>
      <c r="I196" s="101"/>
      <c r="J196" s="71" t="s">
        <v>431</v>
      </c>
    </row>
    <row r="197" spans="1:10" ht="14.4">
      <c r="A197" s="2" t="s">
        <v>432</v>
      </c>
      <c r="B197" s="15" t="s">
        <v>292</v>
      </c>
      <c r="C197" s="22" t="s">
        <v>5</v>
      </c>
      <c r="D197" s="92">
        <f>4.46*121/1000</f>
        <v>0.53965999999999992</v>
      </c>
      <c r="E197" s="92"/>
      <c r="F197" s="92"/>
      <c r="G197" s="92"/>
      <c r="H197" s="92"/>
      <c r="I197" s="92"/>
      <c r="J197" s="71" t="s">
        <v>433</v>
      </c>
    </row>
    <row r="198" spans="1:10" ht="14.4">
      <c r="A198" s="2" t="s">
        <v>434</v>
      </c>
      <c r="B198" s="28" t="s">
        <v>435</v>
      </c>
      <c r="C198" s="102"/>
      <c r="D198" s="103"/>
      <c r="E198" s="103"/>
      <c r="F198" s="103"/>
      <c r="G198" s="103"/>
      <c r="H198" s="103"/>
      <c r="I198" s="103"/>
      <c r="J198" s="5" t="s">
        <v>270</v>
      </c>
    </row>
    <row r="199" spans="1:10" ht="14.4">
      <c r="A199" s="2" t="s">
        <v>436</v>
      </c>
      <c r="B199" s="31" t="s">
        <v>248</v>
      </c>
      <c r="C199" s="4" t="s">
        <v>2</v>
      </c>
      <c r="D199" s="62">
        <v>37.304000000000002</v>
      </c>
      <c r="E199" s="103"/>
      <c r="F199" s="103"/>
      <c r="G199" s="103"/>
      <c r="H199" s="103"/>
      <c r="I199" s="103"/>
      <c r="J199" s="63"/>
    </row>
    <row r="200" spans="1:10" ht="43.2">
      <c r="A200" s="2" t="s">
        <v>437</v>
      </c>
      <c r="B200" s="31" t="s">
        <v>438</v>
      </c>
      <c r="C200" s="4" t="s">
        <v>2</v>
      </c>
      <c r="D200" s="104">
        <v>2981.4679999999998</v>
      </c>
      <c r="E200" s="104"/>
      <c r="F200" s="104"/>
      <c r="G200" s="104"/>
      <c r="H200" s="104"/>
      <c r="I200" s="104"/>
      <c r="J200" s="15" t="s">
        <v>439</v>
      </c>
    </row>
    <row r="201" spans="1:10" ht="14.4">
      <c r="A201" s="2" t="s">
        <v>440</v>
      </c>
      <c r="B201" s="37" t="s">
        <v>253</v>
      </c>
      <c r="C201" s="16" t="s">
        <v>38</v>
      </c>
      <c r="D201" s="53">
        <f>D200*0.115</f>
        <v>342.86881999999997</v>
      </c>
      <c r="E201" s="53"/>
      <c r="F201" s="53"/>
      <c r="G201" s="53"/>
      <c r="H201" s="53"/>
      <c r="I201" s="53"/>
      <c r="J201" s="54" t="s">
        <v>441</v>
      </c>
    </row>
    <row r="202" spans="1:10" ht="14.4">
      <c r="A202" s="2" t="s">
        <v>442</v>
      </c>
      <c r="B202" s="31" t="s">
        <v>256</v>
      </c>
      <c r="C202" s="16" t="s">
        <v>2</v>
      </c>
      <c r="D202" s="53">
        <f>2981.468*2</f>
        <v>5962.9359999999997</v>
      </c>
      <c r="E202" s="53"/>
      <c r="F202" s="53"/>
      <c r="G202" s="53"/>
      <c r="H202" s="53"/>
      <c r="I202" s="53"/>
      <c r="J202" s="17"/>
    </row>
    <row r="203" spans="1:10" ht="14.4">
      <c r="A203" s="2" t="s">
        <v>443</v>
      </c>
      <c r="B203" s="37" t="s">
        <v>258</v>
      </c>
      <c r="C203" s="16" t="s">
        <v>38</v>
      </c>
      <c r="D203" s="53">
        <f>D202*0.1</f>
        <v>596.29359999999997</v>
      </c>
      <c r="E203" s="53"/>
      <c r="F203" s="53"/>
      <c r="G203" s="53"/>
      <c r="H203" s="53"/>
      <c r="I203" s="53"/>
      <c r="J203" s="15" t="s">
        <v>259</v>
      </c>
    </row>
    <row r="204" spans="1:10" ht="28.8">
      <c r="A204" s="2" t="s">
        <v>444</v>
      </c>
      <c r="B204" s="31" t="s">
        <v>261</v>
      </c>
      <c r="C204" s="16" t="s">
        <v>2</v>
      </c>
      <c r="D204" s="62">
        <f>2981.468</f>
        <v>2981.4679999999998</v>
      </c>
      <c r="E204" s="103"/>
      <c r="F204" s="103"/>
      <c r="G204" s="103"/>
      <c r="H204" s="103"/>
      <c r="I204" s="103"/>
      <c r="J204" s="17"/>
    </row>
    <row r="205" spans="1:10" ht="14.4">
      <c r="A205" s="2" t="s">
        <v>445</v>
      </c>
      <c r="B205" s="37" t="s">
        <v>263</v>
      </c>
      <c r="C205" s="16" t="s">
        <v>38</v>
      </c>
      <c r="D205" s="55">
        <f>D204*1.5</f>
        <v>4472.2019999999993</v>
      </c>
      <c r="E205" s="55"/>
      <c r="F205" s="55"/>
      <c r="G205" s="55"/>
      <c r="H205" s="55"/>
      <c r="I205" s="55"/>
      <c r="J205" s="15" t="s">
        <v>264</v>
      </c>
    </row>
    <row r="206" spans="1:10" ht="14.4">
      <c r="A206" s="2" t="s">
        <v>446</v>
      </c>
      <c r="B206" s="1" t="s">
        <v>447</v>
      </c>
      <c r="C206" s="57"/>
      <c r="D206" s="27"/>
      <c r="E206" s="27"/>
      <c r="F206" s="27"/>
      <c r="G206" s="27"/>
      <c r="H206" s="27"/>
      <c r="I206" s="27"/>
      <c r="J206" s="105"/>
    </row>
    <row r="207" spans="1:10" ht="28.8">
      <c r="A207" s="2" t="s">
        <v>448</v>
      </c>
      <c r="B207" s="15" t="s">
        <v>449</v>
      </c>
      <c r="C207" s="16" t="s">
        <v>2</v>
      </c>
      <c r="D207" s="16">
        <v>17.846</v>
      </c>
      <c r="E207" s="145"/>
      <c r="F207" s="145"/>
      <c r="G207" s="145"/>
      <c r="H207" s="145"/>
      <c r="I207" s="145"/>
      <c r="J207" s="5" t="s">
        <v>450</v>
      </c>
    </row>
    <row r="208" spans="1:10" ht="14.4">
      <c r="A208" s="2" t="s">
        <v>451</v>
      </c>
      <c r="B208" s="64" t="s">
        <v>452</v>
      </c>
      <c r="C208" s="106" t="s">
        <v>5</v>
      </c>
      <c r="D208" s="107">
        <f>D210+D212+D214</f>
        <v>7.8634451999999992</v>
      </c>
      <c r="E208" s="107"/>
      <c r="F208" s="107"/>
      <c r="G208" s="107"/>
      <c r="H208" s="107"/>
      <c r="I208" s="107"/>
      <c r="J208" s="108" t="s">
        <v>453</v>
      </c>
    </row>
    <row r="209" spans="1:10" ht="14.4">
      <c r="A209" s="2" t="s">
        <v>454</v>
      </c>
      <c r="B209" s="60" t="s">
        <v>455</v>
      </c>
      <c r="C209" s="99"/>
      <c r="D209" s="109"/>
      <c r="E209" s="109"/>
      <c r="F209" s="109"/>
      <c r="G209" s="109"/>
      <c r="H209" s="109"/>
      <c r="I209" s="109"/>
      <c r="J209" s="75"/>
    </row>
    <row r="210" spans="1:10" ht="14.4">
      <c r="A210" s="2" t="s">
        <v>456</v>
      </c>
      <c r="B210" s="110" t="s">
        <v>457</v>
      </c>
      <c r="C210" s="32" t="s">
        <v>5</v>
      </c>
      <c r="D210" s="111">
        <f>16*6.17*17/1000</f>
        <v>1.67824</v>
      </c>
      <c r="E210" s="111"/>
      <c r="F210" s="111"/>
      <c r="G210" s="111"/>
      <c r="H210" s="111"/>
      <c r="I210" s="111"/>
      <c r="J210" s="3" t="s">
        <v>458</v>
      </c>
    </row>
    <row r="211" spans="1:10" ht="14.4">
      <c r="A211" s="2" t="s">
        <v>459</v>
      </c>
      <c r="B211" s="60" t="s">
        <v>460</v>
      </c>
      <c r="C211" s="102"/>
      <c r="D211" s="112"/>
      <c r="E211" s="132"/>
      <c r="F211" s="132"/>
      <c r="G211" s="132"/>
      <c r="H211" s="132"/>
      <c r="I211" s="132"/>
      <c r="J211" s="80"/>
    </row>
    <row r="212" spans="1:10" ht="14.4">
      <c r="A212" s="2" t="s">
        <v>461</v>
      </c>
      <c r="B212" s="110" t="s">
        <v>462</v>
      </c>
      <c r="C212" s="32" t="s">
        <v>5</v>
      </c>
      <c r="D212" s="113">
        <f>10.28*3.77*17/1000</f>
        <v>0.65884520000000002</v>
      </c>
      <c r="E212" s="113"/>
      <c r="F212" s="113"/>
      <c r="G212" s="113"/>
      <c r="H212" s="113"/>
      <c r="I212" s="113"/>
      <c r="J212" s="3" t="s">
        <v>463</v>
      </c>
    </row>
    <row r="213" spans="1:10" ht="14.4">
      <c r="A213" s="2" t="s">
        <v>464</v>
      </c>
      <c r="B213" s="60" t="s">
        <v>465</v>
      </c>
      <c r="C213" s="102"/>
      <c r="D213" s="99"/>
      <c r="E213" s="99"/>
      <c r="F213" s="99"/>
      <c r="G213" s="99"/>
      <c r="H213" s="99"/>
      <c r="I213" s="99"/>
      <c r="J213" s="80"/>
    </row>
    <row r="214" spans="1:10" ht="14.4">
      <c r="A214" s="2" t="s">
        <v>466</v>
      </c>
      <c r="B214" s="110" t="s">
        <v>467</v>
      </c>
      <c r="C214" s="32" t="s">
        <v>5</v>
      </c>
      <c r="D214" s="113">
        <f>24.08*13.5*17/1000</f>
        <v>5.5263599999999995</v>
      </c>
      <c r="E214" s="113"/>
      <c r="F214" s="113"/>
      <c r="G214" s="113"/>
      <c r="H214" s="113"/>
      <c r="I214" s="113"/>
      <c r="J214" s="3" t="s">
        <v>468</v>
      </c>
    </row>
    <row r="215" spans="1:10" ht="14.4">
      <c r="A215" s="2" t="s">
        <v>469</v>
      </c>
      <c r="B215" s="64" t="s">
        <v>470</v>
      </c>
      <c r="C215" s="106" t="s">
        <v>5</v>
      </c>
      <c r="D215" s="107">
        <f>D217+D219</f>
        <v>0.27495120000000001</v>
      </c>
      <c r="E215" s="107"/>
      <c r="F215" s="107"/>
      <c r="G215" s="107"/>
      <c r="H215" s="107"/>
      <c r="I215" s="107"/>
      <c r="J215" s="108" t="s">
        <v>471</v>
      </c>
    </row>
    <row r="216" spans="1:10" ht="14.4">
      <c r="A216" s="2" t="s">
        <v>472</v>
      </c>
      <c r="B216" s="60" t="s">
        <v>455</v>
      </c>
      <c r="C216" s="99"/>
      <c r="D216" s="109"/>
      <c r="E216" s="109"/>
      <c r="F216" s="109"/>
      <c r="G216" s="109"/>
      <c r="H216" s="109"/>
      <c r="I216" s="109"/>
      <c r="J216" s="75"/>
    </row>
    <row r="217" spans="1:10" ht="14.4">
      <c r="A217" s="2" t="s">
        <v>473</v>
      </c>
      <c r="B217" s="110" t="s">
        <v>457</v>
      </c>
      <c r="C217" s="32" t="s">
        <v>5</v>
      </c>
      <c r="D217" s="111">
        <f>16*6.17*2/1000</f>
        <v>0.19744</v>
      </c>
      <c r="E217" s="111"/>
      <c r="F217" s="111"/>
      <c r="G217" s="111"/>
      <c r="H217" s="111"/>
      <c r="I217" s="111"/>
      <c r="J217" s="3" t="s">
        <v>458</v>
      </c>
    </row>
    <row r="218" spans="1:10" ht="14.4">
      <c r="A218" s="2" t="s">
        <v>474</v>
      </c>
      <c r="B218" s="60" t="s">
        <v>460</v>
      </c>
      <c r="C218" s="102"/>
      <c r="D218" s="112"/>
      <c r="E218" s="132"/>
      <c r="F218" s="132"/>
      <c r="G218" s="132"/>
      <c r="H218" s="132"/>
      <c r="I218" s="132"/>
      <c r="J218" s="80"/>
    </row>
    <row r="219" spans="1:10" ht="14.4">
      <c r="A219" s="2" t="s">
        <v>475</v>
      </c>
      <c r="B219" s="110" t="s">
        <v>462</v>
      </c>
      <c r="C219" s="32" t="s">
        <v>5</v>
      </c>
      <c r="D219" s="113">
        <f>10.28*3.77*2/1000</f>
        <v>7.7511200000000002E-2</v>
      </c>
      <c r="E219" s="113"/>
      <c r="F219" s="113"/>
      <c r="G219" s="113"/>
      <c r="H219" s="113"/>
      <c r="I219" s="113"/>
      <c r="J219" s="3" t="s">
        <v>463</v>
      </c>
    </row>
    <row r="220" spans="1:10" ht="14.4">
      <c r="A220" s="2" t="s">
        <v>476</v>
      </c>
      <c r="B220" s="64" t="s">
        <v>477</v>
      </c>
      <c r="C220" s="106" t="s">
        <v>5</v>
      </c>
      <c r="D220" s="107">
        <f>D222</f>
        <v>0.13203519999999999</v>
      </c>
      <c r="E220" s="107"/>
      <c r="F220" s="107"/>
      <c r="G220" s="107"/>
      <c r="H220" s="107"/>
      <c r="I220" s="107"/>
      <c r="J220" s="108" t="s">
        <v>478</v>
      </c>
    </row>
    <row r="221" spans="1:10" ht="14.4">
      <c r="A221" s="2" t="s">
        <v>479</v>
      </c>
      <c r="B221" s="60" t="s">
        <v>480</v>
      </c>
      <c r="C221" s="99"/>
      <c r="D221" s="99"/>
      <c r="E221" s="99"/>
      <c r="F221" s="99"/>
      <c r="G221" s="99"/>
      <c r="H221" s="99"/>
      <c r="I221" s="99"/>
      <c r="J221" s="75"/>
    </row>
    <row r="222" spans="1:10" ht="14.4">
      <c r="A222" s="2" t="s">
        <v>481</v>
      </c>
      <c r="B222" s="110" t="s">
        <v>482</v>
      </c>
      <c r="C222" s="32" t="s">
        <v>5</v>
      </c>
      <c r="D222" s="111">
        <f>6.82*2.42*8/1000</f>
        <v>0.13203519999999999</v>
      </c>
      <c r="E222" s="111"/>
      <c r="F222" s="111"/>
      <c r="G222" s="111"/>
      <c r="H222" s="111"/>
      <c r="I222" s="111"/>
      <c r="J222" s="3" t="s">
        <v>483</v>
      </c>
    </row>
    <row r="223" spans="1:10" ht="14.4">
      <c r="A223" s="2" t="s">
        <v>484</v>
      </c>
      <c r="B223" s="64" t="s">
        <v>485</v>
      </c>
      <c r="C223" s="114"/>
      <c r="D223" s="114"/>
      <c r="E223" s="114"/>
      <c r="F223" s="114"/>
      <c r="G223" s="114"/>
      <c r="H223" s="114"/>
      <c r="I223" s="114"/>
      <c r="J223" s="115"/>
    </row>
    <row r="224" spans="1:10" ht="14.4">
      <c r="A224" s="2" t="s">
        <v>486</v>
      </c>
      <c r="B224" s="60" t="s">
        <v>487</v>
      </c>
      <c r="C224" s="74" t="s">
        <v>5</v>
      </c>
      <c r="D224" s="116">
        <f>D225</f>
        <v>1.2779208</v>
      </c>
      <c r="E224" s="116"/>
      <c r="F224" s="116"/>
      <c r="G224" s="116"/>
      <c r="H224" s="116"/>
      <c r="I224" s="116"/>
      <c r="J224" s="78" t="s">
        <v>488</v>
      </c>
    </row>
    <row r="225" spans="1:10" ht="14.4">
      <c r="A225" s="2" t="s">
        <v>489</v>
      </c>
      <c r="B225" s="20" t="s">
        <v>490</v>
      </c>
      <c r="C225" s="32" t="s">
        <v>5</v>
      </c>
      <c r="D225" s="88">
        <f>11.07*4.81*24/1000</f>
        <v>1.2779208</v>
      </c>
      <c r="E225" s="88"/>
      <c r="F225" s="88"/>
      <c r="G225" s="88"/>
      <c r="H225" s="88"/>
      <c r="I225" s="88"/>
      <c r="J225" s="71" t="s">
        <v>491</v>
      </c>
    </row>
    <row r="226" spans="1:10" ht="14.4">
      <c r="A226" s="2" t="s">
        <v>492</v>
      </c>
      <c r="B226" s="28" t="s">
        <v>137</v>
      </c>
      <c r="C226" s="32" t="s">
        <v>5</v>
      </c>
      <c r="D226" s="117">
        <f>57.829/1000</f>
        <v>5.7828999999999998E-2</v>
      </c>
      <c r="E226" s="117"/>
      <c r="F226" s="117"/>
      <c r="G226" s="117"/>
      <c r="H226" s="117"/>
      <c r="I226" s="117"/>
      <c r="J226" s="5" t="s">
        <v>493</v>
      </c>
    </row>
    <row r="227" spans="1:10" ht="14.4">
      <c r="A227" s="2" t="s">
        <v>494</v>
      </c>
      <c r="B227" s="28" t="s">
        <v>435</v>
      </c>
      <c r="C227" s="102"/>
      <c r="D227" s="103"/>
      <c r="E227" s="103"/>
      <c r="F227" s="103"/>
      <c r="G227" s="103"/>
      <c r="H227" s="103"/>
      <c r="I227" s="103"/>
      <c r="J227" s="5" t="s">
        <v>450</v>
      </c>
    </row>
    <row r="228" spans="1:10" ht="14.4">
      <c r="A228" s="2" t="s">
        <v>495</v>
      </c>
      <c r="B228" s="31" t="s">
        <v>248</v>
      </c>
      <c r="C228" s="4" t="s">
        <v>2</v>
      </c>
      <c r="D228" s="16">
        <v>436.37</v>
      </c>
      <c r="E228" s="145"/>
      <c r="F228" s="145"/>
      <c r="G228" s="145"/>
      <c r="H228" s="145"/>
      <c r="I228" s="145"/>
      <c r="J228" s="63"/>
    </row>
    <row r="229" spans="1:10" ht="43.2">
      <c r="A229" s="2" t="s">
        <v>496</v>
      </c>
      <c r="B229" s="31" t="s">
        <v>438</v>
      </c>
      <c r="C229" s="4" t="s">
        <v>2</v>
      </c>
      <c r="D229" s="62">
        <v>436.37</v>
      </c>
      <c r="E229" s="103"/>
      <c r="F229" s="103"/>
      <c r="G229" s="103"/>
      <c r="H229" s="103"/>
      <c r="I229" s="103"/>
      <c r="J229" s="15" t="s">
        <v>439</v>
      </c>
    </row>
    <row r="230" spans="1:10" ht="14.4">
      <c r="A230" s="2" t="s">
        <v>497</v>
      </c>
      <c r="B230" s="37" t="s">
        <v>253</v>
      </c>
      <c r="C230" s="16" t="s">
        <v>38</v>
      </c>
      <c r="D230" s="53">
        <f>D229*0.115</f>
        <v>50.182550000000006</v>
      </c>
      <c r="E230" s="53"/>
      <c r="F230" s="53"/>
      <c r="G230" s="53"/>
      <c r="H230" s="53"/>
      <c r="I230" s="53"/>
      <c r="J230" s="54" t="s">
        <v>441</v>
      </c>
    </row>
    <row r="231" spans="1:10" ht="14.4">
      <c r="A231" s="2" t="s">
        <v>498</v>
      </c>
      <c r="B231" s="31" t="s">
        <v>256</v>
      </c>
      <c r="C231" s="16" t="s">
        <v>2</v>
      </c>
      <c r="D231" s="53">
        <f>436.371*2</f>
        <v>872.74199999999996</v>
      </c>
      <c r="E231" s="53"/>
      <c r="F231" s="53"/>
      <c r="G231" s="53"/>
      <c r="H231" s="53"/>
      <c r="I231" s="53"/>
      <c r="J231" s="17"/>
    </row>
    <row r="232" spans="1:10" ht="14.4">
      <c r="A232" s="2" t="s">
        <v>499</v>
      </c>
      <c r="B232" s="37" t="s">
        <v>258</v>
      </c>
      <c r="C232" s="16" t="s">
        <v>38</v>
      </c>
      <c r="D232" s="53">
        <f>D231*0.1</f>
        <v>87.274200000000008</v>
      </c>
      <c r="E232" s="53"/>
      <c r="F232" s="53"/>
      <c r="G232" s="53"/>
      <c r="H232" s="53"/>
      <c r="I232" s="53"/>
      <c r="J232" s="15" t="s">
        <v>259</v>
      </c>
    </row>
    <row r="233" spans="1:10" ht="28.8">
      <c r="A233" s="2" t="s">
        <v>500</v>
      </c>
      <c r="B233" s="31" t="s">
        <v>261</v>
      </c>
      <c r="C233" s="16" t="s">
        <v>2</v>
      </c>
      <c r="D233" s="104">
        <f>436.371</f>
        <v>436.37099999999998</v>
      </c>
      <c r="E233" s="104"/>
      <c r="F233" s="104"/>
      <c r="G233" s="104"/>
      <c r="H233" s="104"/>
      <c r="I233" s="104"/>
      <c r="J233" s="17"/>
    </row>
    <row r="234" spans="1:10" ht="14.4">
      <c r="A234" s="118" t="s">
        <v>501</v>
      </c>
      <c r="B234" s="37" t="s">
        <v>263</v>
      </c>
      <c r="C234" s="16" t="s">
        <v>38</v>
      </c>
      <c r="D234" s="119">
        <f>D233*1.5</f>
        <v>654.55649999999991</v>
      </c>
      <c r="E234" s="119"/>
      <c r="F234" s="119"/>
      <c r="G234" s="119"/>
      <c r="H234" s="119"/>
      <c r="I234" s="119"/>
      <c r="J234" s="15" t="s">
        <v>264</v>
      </c>
    </row>
    <row r="235" spans="1:10" ht="14.4">
      <c r="A235" s="2" t="s">
        <v>502</v>
      </c>
      <c r="B235" s="1" t="s">
        <v>503</v>
      </c>
      <c r="C235" s="57"/>
      <c r="D235" s="27"/>
      <c r="E235" s="27"/>
      <c r="F235" s="27"/>
      <c r="G235" s="27"/>
      <c r="H235" s="27"/>
      <c r="I235" s="27"/>
      <c r="J235" s="105"/>
    </row>
    <row r="236" spans="1:10" ht="28.8">
      <c r="A236" s="2" t="s">
        <v>504</v>
      </c>
      <c r="B236" s="5" t="s">
        <v>505</v>
      </c>
      <c r="C236" s="16" t="s">
        <v>5</v>
      </c>
      <c r="D236" s="16">
        <f>26.65/1000</f>
        <v>2.665E-2</v>
      </c>
      <c r="E236" s="145"/>
      <c r="F236" s="145"/>
      <c r="G236" s="145"/>
      <c r="H236" s="145"/>
      <c r="I236" s="145"/>
      <c r="J236" s="3" t="s">
        <v>506</v>
      </c>
    </row>
    <row r="237" spans="1:10" ht="28.8">
      <c r="A237" s="2" t="s">
        <v>507</v>
      </c>
      <c r="B237" s="15" t="s">
        <v>508</v>
      </c>
      <c r="C237" s="16" t="s">
        <v>5</v>
      </c>
      <c r="D237" s="120">
        <v>2.2559999999999998</v>
      </c>
      <c r="E237" s="120"/>
      <c r="F237" s="120"/>
      <c r="G237" s="120"/>
      <c r="H237" s="120"/>
      <c r="I237" s="120"/>
      <c r="J237" s="71" t="s">
        <v>509</v>
      </c>
    </row>
    <row r="238" spans="1:10" ht="14.4">
      <c r="A238" s="2" t="s">
        <v>510</v>
      </c>
      <c r="B238" s="11" t="s">
        <v>511</v>
      </c>
      <c r="C238" s="121"/>
      <c r="D238" s="122"/>
      <c r="E238" s="122"/>
      <c r="F238" s="122"/>
      <c r="G238" s="122"/>
      <c r="H238" s="122"/>
      <c r="I238" s="122"/>
      <c r="J238" s="123"/>
    </row>
    <row r="239" spans="1:10" ht="28.8">
      <c r="A239" s="2" t="s">
        <v>512</v>
      </c>
      <c r="B239" s="68" t="s">
        <v>513</v>
      </c>
      <c r="C239" s="124"/>
      <c r="D239" s="30"/>
      <c r="E239" s="68"/>
      <c r="F239" s="68"/>
      <c r="G239" s="68"/>
      <c r="H239" s="68"/>
      <c r="I239" s="68"/>
      <c r="J239" s="80"/>
    </row>
    <row r="240" spans="1:10" ht="57.6">
      <c r="A240" s="2" t="s">
        <v>514</v>
      </c>
      <c r="B240" s="5" t="s">
        <v>515</v>
      </c>
      <c r="C240" s="4" t="s">
        <v>2</v>
      </c>
      <c r="D240" s="4">
        <v>27.44</v>
      </c>
      <c r="E240" s="124"/>
      <c r="F240" s="124"/>
      <c r="G240" s="124"/>
      <c r="H240" s="124"/>
      <c r="I240" s="124"/>
      <c r="J240" s="80"/>
    </row>
    <row r="241" spans="1:10" ht="14.4">
      <c r="A241" s="2" t="s">
        <v>516</v>
      </c>
      <c r="B241" s="68" t="s">
        <v>517</v>
      </c>
      <c r="C241" s="68" t="s">
        <v>5</v>
      </c>
      <c r="D241" s="91">
        <f>D242</f>
        <v>7.9942199999999991E-2</v>
      </c>
      <c r="E241" s="91"/>
      <c r="F241" s="91"/>
      <c r="G241" s="91"/>
      <c r="H241" s="91"/>
      <c r="I241" s="91"/>
      <c r="J241" s="78" t="s">
        <v>518</v>
      </c>
    </row>
    <row r="242" spans="1:10" ht="14.4">
      <c r="A242" s="2" t="s">
        <v>519</v>
      </c>
      <c r="B242" s="110" t="s">
        <v>490</v>
      </c>
      <c r="C242" s="4" t="s">
        <v>38</v>
      </c>
      <c r="D242" s="113">
        <f>5.54*4.81*3/1000</f>
        <v>7.9942199999999991E-2</v>
      </c>
      <c r="E242" s="113"/>
      <c r="F242" s="113"/>
      <c r="G242" s="113"/>
      <c r="H242" s="113"/>
      <c r="I242" s="113"/>
      <c r="J242" s="5" t="s">
        <v>520</v>
      </c>
    </row>
    <row r="243" spans="1:10" ht="14.4">
      <c r="A243" s="2" t="s">
        <v>521</v>
      </c>
      <c r="B243" s="5" t="s">
        <v>295</v>
      </c>
      <c r="C243" s="4" t="s">
        <v>38</v>
      </c>
      <c r="D243" s="4">
        <v>0.08</v>
      </c>
      <c r="E243" s="124"/>
      <c r="F243" s="124"/>
      <c r="G243" s="124"/>
      <c r="H243" s="124"/>
      <c r="I243" s="124"/>
      <c r="J243" s="5" t="s">
        <v>522</v>
      </c>
    </row>
    <row r="244" spans="1:10" ht="14.4">
      <c r="A244" s="2" t="s">
        <v>523</v>
      </c>
      <c r="B244" s="68" t="s">
        <v>524</v>
      </c>
      <c r="C244" s="68" t="s">
        <v>5</v>
      </c>
      <c r="D244" s="125">
        <f>D245</f>
        <v>0.5174399999999999</v>
      </c>
      <c r="E244" s="125"/>
      <c r="F244" s="125"/>
      <c r="G244" s="125"/>
      <c r="H244" s="125"/>
      <c r="I244" s="125"/>
      <c r="J244" s="5" t="s">
        <v>525</v>
      </c>
    </row>
    <row r="245" spans="1:10" ht="14.4">
      <c r="A245" s="2" t="s">
        <v>526</v>
      </c>
      <c r="B245" s="110" t="s">
        <v>527</v>
      </c>
      <c r="C245" s="4" t="s">
        <v>38</v>
      </c>
      <c r="D245" s="53">
        <f>5.6*15.4*6/1000</f>
        <v>0.5174399999999999</v>
      </c>
      <c r="E245" s="53"/>
      <c r="F245" s="53"/>
      <c r="G245" s="53"/>
      <c r="H245" s="53"/>
      <c r="I245" s="53"/>
      <c r="J245" s="5" t="s">
        <v>528</v>
      </c>
    </row>
    <row r="246" spans="1:10" ht="14.4">
      <c r="A246" s="2" t="s">
        <v>529</v>
      </c>
      <c r="B246" s="5" t="s">
        <v>295</v>
      </c>
      <c r="C246" s="4" t="s">
        <v>38</v>
      </c>
      <c r="D246" s="4">
        <v>0.27</v>
      </c>
      <c r="E246" s="124"/>
      <c r="F246" s="124"/>
      <c r="G246" s="124"/>
      <c r="H246" s="124"/>
      <c r="I246" s="124"/>
      <c r="J246" s="5" t="s">
        <v>530</v>
      </c>
    </row>
    <row r="247" spans="1:10" ht="28.8">
      <c r="A247" s="2" t="s">
        <v>531</v>
      </c>
      <c r="B247" s="68" t="s">
        <v>532</v>
      </c>
      <c r="C247" s="102"/>
      <c r="D247" s="99"/>
      <c r="E247" s="99"/>
      <c r="F247" s="99"/>
      <c r="G247" s="99"/>
      <c r="H247" s="99"/>
      <c r="I247" s="99"/>
      <c r="J247" s="126"/>
    </row>
    <row r="248" spans="1:10" ht="14.4">
      <c r="A248" s="2" t="s">
        <v>533</v>
      </c>
      <c r="B248" s="31" t="s">
        <v>256</v>
      </c>
      <c r="C248" s="16" t="s">
        <v>2</v>
      </c>
      <c r="D248" s="16">
        <f>27.44*2</f>
        <v>54.88</v>
      </c>
      <c r="E248" s="145"/>
      <c r="F248" s="145"/>
      <c r="G248" s="145"/>
      <c r="H248" s="145"/>
      <c r="I248" s="145"/>
      <c r="J248" s="63"/>
    </row>
    <row r="249" spans="1:10" ht="14.4">
      <c r="A249" s="2" t="s">
        <v>534</v>
      </c>
      <c r="B249" s="37" t="s">
        <v>258</v>
      </c>
      <c r="C249" s="16" t="s">
        <v>38</v>
      </c>
      <c r="D249" s="4">
        <f>D248*0.1</f>
        <v>5.4880000000000004</v>
      </c>
      <c r="E249" s="124"/>
      <c r="F249" s="124"/>
      <c r="G249" s="124"/>
      <c r="H249" s="124"/>
      <c r="I249" s="124"/>
      <c r="J249" s="15" t="s">
        <v>259</v>
      </c>
    </row>
    <row r="250" spans="1:10" ht="28.8">
      <c r="A250" s="2" t="s">
        <v>535</v>
      </c>
      <c r="B250" s="15" t="s">
        <v>536</v>
      </c>
      <c r="C250" s="16" t="s">
        <v>2</v>
      </c>
      <c r="D250" s="16">
        <v>27.44</v>
      </c>
      <c r="E250" s="145"/>
      <c r="F250" s="145"/>
      <c r="G250" s="145"/>
      <c r="H250" s="145"/>
      <c r="I250" s="145"/>
      <c r="J250" s="63"/>
    </row>
    <row r="251" spans="1:10" ht="14.4">
      <c r="A251" s="2" t="s">
        <v>537</v>
      </c>
      <c r="B251" s="37" t="s">
        <v>263</v>
      </c>
      <c r="C251" s="16" t="s">
        <v>38</v>
      </c>
      <c r="D251" s="55">
        <v>41.2</v>
      </c>
      <c r="E251" s="55"/>
      <c r="F251" s="55"/>
      <c r="G251" s="55"/>
      <c r="H251" s="55"/>
      <c r="I251" s="55"/>
      <c r="J251" s="15" t="s">
        <v>264</v>
      </c>
    </row>
    <row r="252" spans="1:10" ht="14.4">
      <c r="A252" s="26" t="s">
        <v>538</v>
      </c>
      <c r="B252" s="1" t="s">
        <v>539</v>
      </c>
      <c r="C252" s="57"/>
      <c r="D252" s="57"/>
      <c r="E252" s="57"/>
      <c r="F252" s="57"/>
      <c r="G252" s="57"/>
      <c r="H252" s="57"/>
      <c r="I252" s="57"/>
      <c r="J252" s="127"/>
    </row>
    <row r="253" spans="1:10" ht="14.4">
      <c r="A253" s="2" t="s">
        <v>540</v>
      </c>
      <c r="B253" s="68" t="s">
        <v>541</v>
      </c>
      <c r="C253" s="68"/>
      <c r="D253" s="68"/>
      <c r="E253" s="68"/>
      <c r="F253" s="68"/>
      <c r="G253" s="68"/>
      <c r="H253" s="68"/>
      <c r="I253" s="68"/>
      <c r="J253" s="60" t="s">
        <v>542</v>
      </c>
    </row>
    <row r="254" spans="1:10" ht="14.4">
      <c r="A254" s="2" t="s">
        <v>543</v>
      </c>
      <c r="B254" s="5" t="s">
        <v>544</v>
      </c>
      <c r="C254" s="4" t="s">
        <v>5</v>
      </c>
      <c r="D254" s="4">
        <f>1.412*22</f>
        <v>31.064</v>
      </c>
      <c r="E254" s="124"/>
      <c r="F254" s="124"/>
      <c r="G254" s="124"/>
      <c r="H254" s="124"/>
      <c r="I254" s="124"/>
      <c r="J254" s="128"/>
    </row>
    <row r="255" spans="1:10" ht="14.4">
      <c r="A255" s="2" t="s">
        <v>545</v>
      </c>
      <c r="B255" s="5" t="s">
        <v>546</v>
      </c>
      <c r="C255" s="4" t="s">
        <v>2</v>
      </c>
      <c r="D255" s="4">
        <v>0.93700000000000006</v>
      </c>
      <c r="E255" s="124"/>
      <c r="F255" s="124"/>
      <c r="G255" s="124"/>
      <c r="H255" s="124"/>
      <c r="I255" s="124"/>
      <c r="J255" s="5" t="s">
        <v>547</v>
      </c>
    </row>
    <row r="256" spans="1:10" ht="14.4">
      <c r="A256" s="2" t="s">
        <v>548</v>
      </c>
      <c r="B256" s="68" t="s">
        <v>105</v>
      </c>
      <c r="C256" s="4"/>
      <c r="D256" s="4"/>
      <c r="E256" s="124"/>
      <c r="F256" s="124"/>
      <c r="G256" s="124"/>
      <c r="H256" s="124"/>
      <c r="I256" s="124"/>
      <c r="J256" s="128"/>
    </row>
    <row r="257" spans="1:10" ht="14.4">
      <c r="A257" s="118" t="s">
        <v>543</v>
      </c>
      <c r="B257" s="129" t="s">
        <v>549</v>
      </c>
      <c r="C257" s="32" t="s">
        <v>2</v>
      </c>
      <c r="D257" s="32">
        <v>98.6</v>
      </c>
      <c r="E257" s="102"/>
      <c r="F257" s="102"/>
      <c r="G257" s="102"/>
      <c r="H257" s="102"/>
      <c r="I257" s="102"/>
      <c r="J257" s="126"/>
    </row>
    <row r="258" spans="1:10" ht="14.4">
      <c r="A258" s="2" t="s">
        <v>545</v>
      </c>
      <c r="B258" s="3" t="s">
        <v>550</v>
      </c>
      <c r="C258" s="4" t="s">
        <v>2</v>
      </c>
      <c r="D258" s="4">
        <v>98.6</v>
      </c>
      <c r="E258" s="124"/>
      <c r="F258" s="124"/>
      <c r="G258" s="124"/>
      <c r="H258" s="124"/>
      <c r="I258" s="124"/>
      <c r="J258" s="128"/>
    </row>
    <row r="259" spans="1:10" ht="14.4">
      <c r="A259" s="2" t="s">
        <v>551</v>
      </c>
      <c r="B259" s="31" t="s">
        <v>256</v>
      </c>
      <c r="C259" s="16" t="s">
        <v>2</v>
      </c>
      <c r="D259" s="4">
        <f>1191.52+86.504</f>
        <v>1278.0239999999999</v>
      </c>
      <c r="E259" s="124"/>
      <c r="F259" s="124"/>
      <c r="G259" s="124"/>
      <c r="H259" s="124"/>
      <c r="I259" s="124"/>
      <c r="J259" s="17"/>
    </row>
    <row r="260" spans="1:10" ht="14.4">
      <c r="A260" s="2" t="s">
        <v>552</v>
      </c>
      <c r="B260" s="37" t="s">
        <v>258</v>
      </c>
      <c r="C260" s="16" t="s">
        <v>38</v>
      </c>
      <c r="D260" s="4">
        <f>D259*0.1</f>
        <v>127.80239999999999</v>
      </c>
      <c r="E260" s="124"/>
      <c r="F260" s="124"/>
      <c r="G260" s="124"/>
      <c r="H260" s="124"/>
      <c r="I260" s="124"/>
      <c r="J260" s="15" t="s">
        <v>259</v>
      </c>
    </row>
    <row r="261" spans="1:10" ht="28.8">
      <c r="A261" s="2" t="s">
        <v>553</v>
      </c>
      <c r="B261" s="15" t="s">
        <v>536</v>
      </c>
      <c r="C261" s="16" t="s">
        <v>2</v>
      </c>
      <c r="D261" s="16">
        <f>595.76+43.252</f>
        <v>639.01199999999994</v>
      </c>
      <c r="E261" s="145"/>
      <c r="F261" s="145"/>
      <c r="G261" s="145"/>
      <c r="H261" s="145"/>
      <c r="I261" s="145"/>
      <c r="J261" s="63"/>
    </row>
    <row r="262" spans="1:10" ht="14.4">
      <c r="A262" s="2" t="s">
        <v>554</v>
      </c>
      <c r="B262" s="37" t="s">
        <v>263</v>
      </c>
      <c r="C262" s="16" t="s">
        <v>31</v>
      </c>
      <c r="D262" s="16">
        <f>D261*1.5</f>
        <v>958.51799999999992</v>
      </c>
      <c r="E262" s="145"/>
      <c r="F262" s="145"/>
      <c r="G262" s="145"/>
      <c r="H262" s="145"/>
      <c r="I262" s="145"/>
      <c r="J262" s="15" t="s">
        <v>264</v>
      </c>
    </row>
    <row r="263" spans="1:10" ht="28.8">
      <c r="A263" s="2" t="s">
        <v>548</v>
      </c>
      <c r="B263" s="130" t="s">
        <v>555</v>
      </c>
      <c r="C263" s="24"/>
      <c r="D263" s="24"/>
      <c r="E263" s="24"/>
      <c r="F263" s="24"/>
      <c r="G263" s="24"/>
      <c r="H263" s="24"/>
      <c r="I263" s="24"/>
      <c r="J263" s="24"/>
    </row>
    <row r="264" spans="1:10" ht="14.4">
      <c r="A264" s="2" t="s">
        <v>556</v>
      </c>
      <c r="B264" s="131" t="s">
        <v>272</v>
      </c>
      <c r="C264" s="16" t="s">
        <v>113</v>
      </c>
      <c r="D264" s="4">
        <v>5579.87</v>
      </c>
      <c r="E264" s="124"/>
      <c r="F264" s="124"/>
      <c r="G264" s="124"/>
      <c r="H264" s="124"/>
      <c r="I264" s="124"/>
      <c r="J264" s="63"/>
    </row>
    <row r="265" spans="1:10" ht="14.4">
      <c r="A265" s="2" t="s">
        <v>557</v>
      </c>
      <c r="B265" s="68" t="s">
        <v>558</v>
      </c>
      <c r="C265" s="74" t="s">
        <v>5</v>
      </c>
      <c r="D265" s="132">
        <f>D266+D267+D268+D269</f>
        <v>5.1220400000000001</v>
      </c>
      <c r="E265" s="132"/>
      <c r="F265" s="132"/>
      <c r="G265" s="132"/>
      <c r="H265" s="132"/>
      <c r="I265" s="132"/>
      <c r="J265" s="133" t="s">
        <v>559</v>
      </c>
    </row>
    <row r="266" spans="1:10" ht="14.4">
      <c r="A266" s="2" t="s">
        <v>560</v>
      </c>
      <c r="B266" s="37" t="s">
        <v>561</v>
      </c>
      <c r="C266" s="4" t="s">
        <v>5</v>
      </c>
      <c r="D266" s="134">
        <f>190.16*22/1000</f>
        <v>4.1835199999999997</v>
      </c>
      <c r="E266" s="134"/>
      <c r="F266" s="134"/>
      <c r="G266" s="134"/>
      <c r="H266" s="134"/>
      <c r="I266" s="134"/>
      <c r="J266" s="15" t="s">
        <v>562</v>
      </c>
    </row>
    <row r="267" spans="1:10" ht="14.4">
      <c r="A267" s="2" t="s">
        <v>563</v>
      </c>
      <c r="B267" s="37" t="s">
        <v>564</v>
      </c>
      <c r="C267" s="4" t="s">
        <v>5</v>
      </c>
      <c r="D267" s="134">
        <f>4.92*22/1000</f>
        <v>0.10823999999999999</v>
      </c>
      <c r="E267" s="134"/>
      <c r="F267" s="134"/>
      <c r="G267" s="134"/>
      <c r="H267" s="134"/>
      <c r="I267" s="134"/>
      <c r="J267" s="15" t="s">
        <v>565</v>
      </c>
    </row>
    <row r="268" spans="1:10" ht="14.4">
      <c r="A268" s="2" t="s">
        <v>566</v>
      </c>
      <c r="B268" s="37" t="s">
        <v>567</v>
      </c>
      <c r="C268" s="4" t="s">
        <v>5</v>
      </c>
      <c r="D268" s="134">
        <f>18*22/1000</f>
        <v>0.39600000000000002</v>
      </c>
      <c r="E268" s="134"/>
      <c r="F268" s="134"/>
      <c r="G268" s="134"/>
      <c r="H268" s="134"/>
      <c r="I268" s="134"/>
      <c r="J268" s="15" t="s">
        <v>568</v>
      </c>
    </row>
    <row r="269" spans="1:10" ht="14.4">
      <c r="A269" s="2" t="s">
        <v>569</v>
      </c>
      <c r="B269" s="37" t="s">
        <v>570</v>
      </c>
      <c r="C269" s="4" t="s">
        <v>5</v>
      </c>
      <c r="D269" s="134">
        <f>19.74*22/1000</f>
        <v>0.43428</v>
      </c>
      <c r="E269" s="134"/>
      <c r="F269" s="134"/>
      <c r="G269" s="134"/>
      <c r="H269" s="134"/>
      <c r="I269" s="134"/>
      <c r="J269" s="15" t="s">
        <v>571</v>
      </c>
    </row>
    <row r="270" spans="1:10" ht="14.4">
      <c r="A270" s="2" t="s">
        <v>557</v>
      </c>
      <c r="B270" s="31" t="s">
        <v>572</v>
      </c>
      <c r="C270" s="4" t="s">
        <v>5</v>
      </c>
      <c r="D270" s="88">
        <f>42.66*22/1000</f>
        <v>0.93852000000000002</v>
      </c>
      <c r="E270" s="88"/>
      <c r="F270" s="88"/>
      <c r="G270" s="88"/>
      <c r="H270" s="88"/>
      <c r="I270" s="88"/>
      <c r="J270" s="15" t="s">
        <v>573</v>
      </c>
    </row>
    <row r="271" spans="1:10" ht="14.4">
      <c r="A271" s="2" t="s">
        <v>574</v>
      </c>
      <c r="B271" s="31" t="s">
        <v>575</v>
      </c>
      <c r="C271" s="4" t="s">
        <v>5</v>
      </c>
      <c r="D271" s="88">
        <f>4.16*22/1000</f>
        <v>9.1520000000000004E-2</v>
      </c>
      <c r="E271" s="88"/>
      <c r="F271" s="88"/>
      <c r="G271" s="88"/>
      <c r="H271" s="88"/>
      <c r="I271" s="88"/>
      <c r="J271" s="15" t="s">
        <v>576</v>
      </c>
    </row>
    <row r="272" spans="1:10" ht="14.4">
      <c r="A272" s="2" t="s">
        <v>577</v>
      </c>
      <c r="B272" s="68" t="s">
        <v>578</v>
      </c>
      <c r="C272" s="74" t="s">
        <v>5</v>
      </c>
      <c r="D272" s="132">
        <f>D273+D274+D275+D276</f>
        <v>5.1220400000000001</v>
      </c>
      <c r="E272" s="132"/>
      <c r="F272" s="132"/>
      <c r="G272" s="132"/>
      <c r="H272" s="132"/>
      <c r="I272" s="132"/>
      <c r="J272" s="133" t="s">
        <v>559</v>
      </c>
    </row>
    <row r="273" spans="1:10" ht="14.4">
      <c r="A273" s="2" t="s">
        <v>579</v>
      </c>
      <c r="B273" s="36" t="s">
        <v>561</v>
      </c>
      <c r="C273" s="4" t="s">
        <v>5</v>
      </c>
      <c r="D273" s="134">
        <f>190.16*22/1000</f>
        <v>4.1835199999999997</v>
      </c>
      <c r="E273" s="134"/>
      <c r="F273" s="134"/>
      <c r="G273" s="134"/>
      <c r="H273" s="134"/>
      <c r="I273" s="134"/>
      <c r="J273" s="5" t="s">
        <v>562</v>
      </c>
    </row>
    <row r="274" spans="1:10" ht="14.4">
      <c r="A274" s="2" t="s">
        <v>580</v>
      </c>
      <c r="B274" s="36" t="s">
        <v>564</v>
      </c>
      <c r="C274" s="4" t="s">
        <v>5</v>
      </c>
      <c r="D274" s="134">
        <f>4.92*22/1000</f>
        <v>0.10823999999999999</v>
      </c>
      <c r="E274" s="134"/>
      <c r="F274" s="134"/>
      <c r="G274" s="134"/>
      <c r="H274" s="134"/>
      <c r="I274" s="134"/>
      <c r="J274" s="5" t="s">
        <v>565</v>
      </c>
    </row>
    <row r="275" spans="1:10" ht="14.4">
      <c r="A275" s="2" t="s">
        <v>581</v>
      </c>
      <c r="B275" s="36" t="s">
        <v>567</v>
      </c>
      <c r="C275" s="4" t="s">
        <v>5</v>
      </c>
      <c r="D275" s="134">
        <f>18*22/1000</f>
        <v>0.39600000000000002</v>
      </c>
      <c r="E275" s="134"/>
      <c r="F275" s="134"/>
      <c r="G275" s="134"/>
      <c r="H275" s="134"/>
      <c r="I275" s="134"/>
      <c r="J275" s="5" t="s">
        <v>568</v>
      </c>
    </row>
    <row r="276" spans="1:10" ht="14.4">
      <c r="A276" s="2" t="s">
        <v>582</v>
      </c>
      <c r="B276" s="36" t="s">
        <v>570</v>
      </c>
      <c r="C276" s="4" t="s">
        <v>5</v>
      </c>
      <c r="D276" s="134">
        <f>19.74*22/1000</f>
        <v>0.43428</v>
      </c>
      <c r="E276" s="134"/>
      <c r="F276" s="134"/>
      <c r="G276" s="134"/>
      <c r="H276" s="134"/>
      <c r="I276" s="134"/>
      <c r="J276" s="5" t="s">
        <v>571</v>
      </c>
    </row>
    <row r="277" spans="1:10" ht="14.4">
      <c r="A277" s="2" t="s">
        <v>583</v>
      </c>
      <c r="B277" s="90" t="s">
        <v>572</v>
      </c>
      <c r="C277" s="4" t="s">
        <v>5</v>
      </c>
      <c r="D277" s="88">
        <f>42.66*22/1000</f>
        <v>0.93852000000000002</v>
      </c>
      <c r="E277" s="88"/>
      <c r="F277" s="88"/>
      <c r="G277" s="88"/>
      <c r="H277" s="88"/>
      <c r="I277" s="88"/>
      <c r="J277" s="5" t="s">
        <v>573</v>
      </c>
    </row>
    <row r="278" spans="1:10" ht="14.4">
      <c r="A278" s="2" t="s">
        <v>584</v>
      </c>
      <c r="B278" s="90" t="s">
        <v>575</v>
      </c>
      <c r="C278" s="4" t="s">
        <v>5</v>
      </c>
      <c r="D278" s="88">
        <f>4.16*22/1000</f>
        <v>9.1520000000000004E-2</v>
      </c>
      <c r="E278" s="88"/>
      <c r="F278" s="88"/>
      <c r="G278" s="88"/>
      <c r="H278" s="88"/>
      <c r="I278" s="88"/>
      <c r="J278" s="15" t="s">
        <v>576</v>
      </c>
    </row>
    <row r="279" spans="1:10" ht="14.4">
      <c r="A279" s="2" t="s">
        <v>585</v>
      </c>
      <c r="B279" s="68" t="s">
        <v>586</v>
      </c>
      <c r="C279" s="68" t="s">
        <v>5</v>
      </c>
      <c r="D279" s="91">
        <f>5.56*6.39*22/1000</f>
        <v>0.7816247999999999</v>
      </c>
      <c r="E279" s="91"/>
      <c r="F279" s="91"/>
      <c r="G279" s="91"/>
      <c r="H279" s="91"/>
      <c r="I279" s="91"/>
      <c r="J279" s="61"/>
    </row>
    <row r="280" spans="1:10" ht="14.4">
      <c r="A280" s="2" t="s">
        <v>587</v>
      </c>
      <c r="B280" s="36" t="s">
        <v>588</v>
      </c>
      <c r="C280" s="4" t="s">
        <v>5</v>
      </c>
      <c r="D280" s="135">
        <f>122.32*6.39/1000</f>
        <v>0.7816247999999999</v>
      </c>
      <c r="E280" s="135"/>
      <c r="F280" s="135"/>
      <c r="G280" s="135"/>
      <c r="H280" s="135"/>
      <c r="I280" s="135"/>
      <c r="J280" s="5" t="s">
        <v>589</v>
      </c>
    </row>
    <row r="281" spans="1:10" ht="14.4">
      <c r="A281" s="2" t="s">
        <v>590</v>
      </c>
      <c r="B281" s="68" t="s">
        <v>591</v>
      </c>
      <c r="C281" s="68" t="s">
        <v>5</v>
      </c>
      <c r="D281" s="91">
        <f t="shared" ref="D281:D282" si="5">2*12.06*22/1000</f>
        <v>0.53064</v>
      </c>
      <c r="E281" s="91"/>
      <c r="F281" s="91"/>
      <c r="G281" s="91"/>
      <c r="H281" s="91"/>
      <c r="I281" s="91"/>
      <c r="J281" s="61"/>
    </row>
    <row r="282" spans="1:10" ht="14.4">
      <c r="A282" s="2" t="s">
        <v>592</v>
      </c>
      <c r="B282" s="36" t="s">
        <v>593</v>
      </c>
      <c r="C282" s="4" t="s">
        <v>5</v>
      </c>
      <c r="D282" s="113">
        <f t="shared" si="5"/>
        <v>0.53064</v>
      </c>
      <c r="E282" s="113"/>
      <c r="F282" s="113"/>
      <c r="G282" s="113"/>
      <c r="H282" s="113"/>
      <c r="I282" s="113"/>
      <c r="J282" s="5" t="s">
        <v>594</v>
      </c>
    </row>
    <row r="283" spans="1:10" ht="28.8">
      <c r="A283" s="2" t="s">
        <v>595</v>
      </c>
      <c r="B283" s="136" t="s">
        <v>596</v>
      </c>
      <c r="C283" s="122"/>
      <c r="D283" s="122"/>
      <c r="E283" s="122"/>
      <c r="F283" s="122"/>
      <c r="G283" s="122"/>
      <c r="H283" s="122"/>
      <c r="I283" s="122"/>
      <c r="J283" s="122"/>
    </row>
    <row r="284" spans="1:10" ht="43.2">
      <c r="A284" s="2" t="s">
        <v>597</v>
      </c>
      <c r="B284" s="31" t="s">
        <v>598</v>
      </c>
      <c r="C284" s="16" t="s">
        <v>5</v>
      </c>
      <c r="D284" s="113">
        <f>6.38*13.11*22/1000</f>
        <v>1.8401195999999997</v>
      </c>
      <c r="E284" s="113"/>
      <c r="F284" s="113"/>
      <c r="G284" s="113"/>
      <c r="H284" s="113"/>
      <c r="I284" s="113"/>
      <c r="J284" s="15" t="s">
        <v>599</v>
      </c>
    </row>
    <row r="285" spans="1:10" ht="14.4">
      <c r="A285" s="2" t="s">
        <v>600</v>
      </c>
      <c r="B285" s="136" t="s">
        <v>601</v>
      </c>
      <c r="C285" s="122"/>
      <c r="D285" s="122"/>
      <c r="E285" s="122"/>
      <c r="F285" s="122"/>
      <c r="G285" s="122"/>
      <c r="H285" s="122"/>
      <c r="I285" s="122"/>
      <c r="J285" s="122"/>
    </row>
    <row r="286" spans="1:10" ht="14.4">
      <c r="A286" s="2" t="s">
        <v>602</v>
      </c>
      <c r="B286" s="5" t="s">
        <v>603</v>
      </c>
      <c r="C286" s="4" t="s">
        <v>2</v>
      </c>
      <c r="D286" s="4">
        <v>66</v>
      </c>
      <c r="E286" s="124"/>
      <c r="F286" s="124"/>
      <c r="G286" s="124"/>
      <c r="H286" s="124"/>
      <c r="I286" s="124"/>
      <c r="J286" s="5"/>
    </row>
    <row r="287" spans="1:10" ht="14.4">
      <c r="A287" s="2" t="s">
        <v>604</v>
      </c>
      <c r="B287" s="42" t="s">
        <v>605</v>
      </c>
      <c r="C287" s="22"/>
      <c r="D287" s="22"/>
      <c r="E287" s="150"/>
      <c r="F287" s="150"/>
      <c r="G287" s="150"/>
      <c r="H287" s="150"/>
      <c r="I287" s="150"/>
      <c r="J287" s="18"/>
    </row>
    <row r="288" spans="1:10" ht="28.8">
      <c r="A288" s="2" t="s">
        <v>606</v>
      </c>
      <c r="B288" s="31" t="s">
        <v>607</v>
      </c>
      <c r="C288" s="22" t="s">
        <v>5</v>
      </c>
      <c r="D288" s="137">
        <f>10*0.023*528/1000</f>
        <v>0.12143999999999999</v>
      </c>
      <c r="E288" s="137"/>
      <c r="F288" s="137"/>
      <c r="G288" s="137"/>
      <c r="H288" s="137"/>
      <c r="I288" s="137"/>
      <c r="J288" s="18" t="s">
        <v>608</v>
      </c>
    </row>
    <row r="289" spans="1:10" ht="28.8">
      <c r="A289" s="2" t="s">
        <v>609</v>
      </c>
      <c r="B289" s="31" t="s">
        <v>610</v>
      </c>
      <c r="C289" s="16" t="s">
        <v>5</v>
      </c>
      <c r="D289" s="88">
        <f>2*0.573*528/1000</f>
        <v>0.60508799999999996</v>
      </c>
      <c r="E289" s="88"/>
      <c r="F289" s="88"/>
      <c r="G289" s="88"/>
      <c r="H289" s="88"/>
      <c r="I289" s="88"/>
      <c r="J289" s="15" t="s">
        <v>611</v>
      </c>
    </row>
    <row r="290" spans="1:10" ht="14.4">
      <c r="A290" s="2" t="s">
        <v>612</v>
      </c>
      <c r="B290" s="42" t="s">
        <v>613</v>
      </c>
      <c r="C290" s="124"/>
      <c r="D290" s="124"/>
      <c r="E290" s="124"/>
      <c r="F290" s="124"/>
      <c r="G290" s="124"/>
      <c r="H290" s="124"/>
      <c r="I290" s="124"/>
      <c r="J290" s="128"/>
    </row>
    <row r="291" spans="1:10" ht="14.4">
      <c r="A291" s="2" t="s">
        <v>614</v>
      </c>
      <c r="B291" s="31" t="s">
        <v>615</v>
      </c>
      <c r="C291" s="16" t="s">
        <v>5</v>
      </c>
      <c r="D291" s="88">
        <f>26.6*0.395*22/1000</f>
        <v>0.23115400000000003</v>
      </c>
      <c r="E291" s="88"/>
      <c r="F291" s="88"/>
      <c r="G291" s="88"/>
      <c r="H291" s="88"/>
      <c r="I291" s="88"/>
      <c r="J291" s="15" t="s">
        <v>616</v>
      </c>
    </row>
    <row r="292" spans="1:10" ht="28.8">
      <c r="A292" s="2" t="s">
        <v>617</v>
      </c>
      <c r="B292" s="90" t="s">
        <v>618</v>
      </c>
      <c r="C292" s="4" t="s">
        <v>38</v>
      </c>
      <c r="D292" s="4">
        <v>15</v>
      </c>
      <c r="E292" s="124"/>
      <c r="F292" s="124"/>
      <c r="G292" s="124"/>
      <c r="H292" s="124"/>
      <c r="I292" s="124"/>
      <c r="J292" s="128"/>
    </row>
    <row r="293" spans="1:10" ht="14.4">
      <c r="A293" s="2" t="s">
        <v>619</v>
      </c>
      <c r="B293" s="31" t="s">
        <v>575</v>
      </c>
      <c r="C293" s="16" t="s">
        <v>38</v>
      </c>
      <c r="D293" s="16">
        <f>0.97*22/1000</f>
        <v>2.1340000000000001E-2</v>
      </c>
      <c r="E293" s="145"/>
      <c r="F293" s="145"/>
      <c r="G293" s="145"/>
      <c r="H293" s="145"/>
      <c r="I293" s="145"/>
      <c r="J293" s="15" t="s">
        <v>620</v>
      </c>
    </row>
    <row r="294" spans="1:10" ht="14.4">
      <c r="A294" s="2" t="s">
        <v>621</v>
      </c>
      <c r="B294" s="31" t="s">
        <v>622</v>
      </c>
      <c r="C294" s="16" t="s">
        <v>38</v>
      </c>
      <c r="D294" s="16">
        <f>0.08*22/1000</f>
        <v>1.7600000000000001E-3</v>
      </c>
      <c r="E294" s="145"/>
      <c r="F294" s="145"/>
      <c r="G294" s="145"/>
      <c r="H294" s="145"/>
      <c r="I294" s="145"/>
      <c r="J294" s="15" t="s">
        <v>623</v>
      </c>
    </row>
    <row r="295" spans="1:10" ht="28.8">
      <c r="A295" s="2" t="s">
        <v>624</v>
      </c>
      <c r="B295" s="136" t="s">
        <v>625</v>
      </c>
      <c r="C295" s="122"/>
      <c r="D295" s="122"/>
      <c r="E295" s="122"/>
      <c r="F295" s="122"/>
      <c r="G295" s="122"/>
      <c r="H295" s="122"/>
      <c r="I295" s="122"/>
      <c r="J295" s="122"/>
    </row>
    <row r="296" spans="1:10" ht="14.4">
      <c r="A296" s="2" t="s">
        <v>626</v>
      </c>
      <c r="B296" s="37" t="s">
        <v>627</v>
      </c>
      <c r="C296" s="16" t="s">
        <v>2</v>
      </c>
      <c r="D296" s="16">
        <v>288.42</v>
      </c>
      <c r="E296" s="145"/>
      <c r="F296" s="145"/>
      <c r="G296" s="145"/>
      <c r="H296" s="145"/>
      <c r="I296" s="145"/>
      <c r="J296" s="15" t="s">
        <v>628</v>
      </c>
    </row>
    <row r="297" spans="1:10" ht="14.4">
      <c r="A297" s="2" t="s">
        <v>629</v>
      </c>
      <c r="B297" s="11" t="s">
        <v>630</v>
      </c>
      <c r="C297" s="11" t="s">
        <v>631</v>
      </c>
      <c r="D297" s="23">
        <v>263.12</v>
      </c>
      <c r="E297" s="23"/>
      <c r="F297" s="23"/>
      <c r="G297" s="23"/>
      <c r="H297" s="23"/>
      <c r="I297" s="23"/>
      <c r="J297" s="14"/>
    </row>
    <row r="298" spans="1:10" ht="14.4">
      <c r="A298" s="2" t="s">
        <v>632</v>
      </c>
      <c r="B298" s="5" t="s">
        <v>633</v>
      </c>
      <c r="C298" s="4" t="s">
        <v>2</v>
      </c>
      <c r="D298" s="138">
        <v>82.88</v>
      </c>
      <c r="E298" s="138"/>
      <c r="F298" s="138"/>
      <c r="G298" s="138"/>
      <c r="H298" s="138"/>
      <c r="I298" s="138"/>
      <c r="J298" s="61"/>
    </row>
    <row r="299" spans="1:10" ht="28.8">
      <c r="A299" s="2" t="s">
        <v>634</v>
      </c>
      <c r="B299" s="15" t="s">
        <v>635</v>
      </c>
      <c r="C299" s="4" t="s">
        <v>2</v>
      </c>
      <c r="D299" s="138">
        <v>82.88</v>
      </c>
      <c r="E299" s="138"/>
      <c r="F299" s="138"/>
      <c r="G299" s="138"/>
      <c r="H299" s="138"/>
      <c r="I299" s="138"/>
      <c r="J299" s="17"/>
    </row>
    <row r="300" spans="1:10" ht="28.8">
      <c r="A300" s="2" t="s">
        <v>636</v>
      </c>
      <c r="B300" s="5" t="s">
        <v>637</v>
      </c>
      <c r="C300" s="4" t="s">
        <v>2</v>
      </c>
      <c r="D300" s="138">
        <v>82.88</v>
      </c>
      <c r="E300" s="138"/>
      <c r="F300" s="138"/>
      <c r="G300" s="138"/>
      <c r="H300" s="138"/>
      <c r="I300" s="138"/>
      <c r="J300" s="61"/>
    </row>
    <row r="301" spans="1:10" ht="28.8">
      <c r="A301" s="2" t="s">
        <v>638</v>
      </c>
      <c r="B301" s="5" t="s">
        <v>639</v>
      </c>
      <c r="C301" s="4" t="s">
        <v>2</v>
      </c>
      <c r="D301" s="32">
        <v>13.2</v>
      </c>
      <c r="E301" s="102"/>
      <c r="F301" s="102"/>
      <c r="G301" s="102"/>
      <c r="H301" s="102"/>
      <c r="I301" s="102"/>
      <c r="J301" s="60" t="s">
        <v>640</v>
      </c>
    </row>
    <row r="302" spans="1:10" ht="28.8">
      <c r="A302" s="2" t="s">
        <v>641</v>
      </c>
      <c r="B302" s="15" t="s">
        <v>34</v>
      </c>
      <c r="C302" s="16" t="s">
        <v>2</v>
      </c>
      <c r="D302" s="139">
        <v>13.154999999999999</v>
      </c>
      <c r="E302" s="142"/>
      <c r="F302" s="142"/>
      <c r="G302" s="142"/>
      <c r="H302" s="142"/>
      <c r="I302" s="142"/>
      <c r="J302" s="15" t="s">
        <v>642</v>
      </c>
    </row>
    <row r="303" spans="1:10" ht="28.8">
      <c r="A303" s="2" t="s">
        <v>643</v>
      </c>
      <c r="B303" s="20" t="s">
        <v>37</v>
      </c>
      <c r="C303" s="16" t="s">
        <v>38</v>
      </c>
      <c r="D303" s="21">
        <f>4.79*1850</f>
        <v>8861.5</v>
      </c>
      <c r="E303" s="21"/>
      <c r="F303" s="21"/>
      <c r="G303" s="21"/>
      <c r="H303" s="21"/>
      <c r="I303" s="21"/>
      <c r="J303" s="15" t="s">
        <v>644</v>
      </c>
    </row>
    <row r="304" spans="1:10" ht="14.4">
      <c r="A304" s="140">
        <v>45825</v>
      </c>
      <c r="B304" s="141" t="s">
        <v>41</v>
      </c>
      <c r="C304" s="142" t="s">
        <v>2</v>
      </c>
      <c r="D304" s="139">
        <v>13.154999999999999</v>
      </c>
      <c r="E304" s="142"/>
      <c r="F304" s="142"/>
      <c r="G304" s="142"/>
      <c r="H304" s="142"/>
      <c r="I304" s="142"/>
      <c r="J304" s="143"/>
    </row>
    <row r="305" spans="1:10" ht="14.4">
      <c r="A305" s="4" t="s">
        <v>645</v>
      </c>
      <c r="B305" s="144" t="s">
        <v>44</v>
      </c>
      <c r="C305" s="145" t="s">
        <v>38</v>
      </c>
      <c r="D305" s="142">
        <f>D304*0.9</f>
        <v>11.839499999999999</v>
      </c>
      <c r="E305" s="142"/>
      <c r="F305" s="142"/>
      <c r="G305" s="142"/>
      <c r="H305" s="142"/>
      <c r="I305" s="142"/>
      <c r="J305" s="15" t="s">
        <v>646</v>
      </c>
    </row>
    <row r="306" spans="1:10" ht="15.6">
      <c r="A306" s="2" t="s">
        <v>647</v>
      </c>
      <c r="B306" s="146" t="s">
        <v>648</v>
      </c>
      <c r="C306" s="147" t="s">
        <v>5</v>
      </c>
      <c r="D306" s="147">
        <v>239.976</v>
      </c>
      <c r="E306" s="147"/>
      <c r="F306" s="147"/>
      <c r="G306" s="147"/>
      <c r="H306" s="147"/>
      <c r="I306" s="147"/>
      <c r="J306" s="148" t="s">
        <v>649</v>
      </c>
    </row>
    <row r="307" spans="1:10" ht="43.2">
      <c r="A307" s="2" t="s">
        <v>650</v>
      </c>
      <c r="B307" s="149" t="s">
        <v>651</v>
      </c>
      <c r="C307" s="22" t="s">
        <v>652</v>
      </c>
      <c r="D307" s="150"/>
      <c r="E307" s="150"/>
      <c r="F307" s="150"/>
      <c r="G307" s="150"/>
      <c r="H307" s="150"/>
      <c r="I307" s="150"/>
      <c r="J307" s="151"/>
    </row>
    <row r="308" spans="1:10" ht="57.6">
      <c r="A308" s="2" t="s">
        <v>653</v>
      </c>
      <c r="B308" s="149" t="s">
        <v>654</v>
      </c>
      <c r="C308" s="22" t="s">
        <v>652</v>
      </c>
      <c r="D308" s="150"/>
      <c r="E308" s="150"/>
      <c r="F308" s="150"/>
      <c r="G308" s="150"/>
      <c r="H308" s="150"/>
      <c r="I308" s="150"/>
      <c r="J308" s="151"/>
    </row>
    <row r="309" spans="1:10" ht="15.6">
      <c r="A309" s="2" t="s">
        <v>655</v>
      </c>
      <c r="B309" s="152" t="s">
        <v>656</v>
      </c>
      <c r="C309" s="153" t="s">
        <v>652</v>
      </c>
      <c r="D309" s="154"/>
      <c r="E309" s="154"/>
      <c r="F309" s="154"/>
      <c r="G309" s="154"/>
      <c r="H309" s="154"/>
      <c r="I309" s="154"/>
      <c r="J309" s="151"/>
    </row>
    <row r="310" spans="1:10" ht="15.6">
      <c r="A310" s="2" t="s">
        <v>657</v>
      </c>
      <c r="B310" s="155" t="s">
        <v>658</v>
      </c>
      <c r="C310" s="156" t="s">
        <v>38</v>
      </c>
      <c r="D310" s="22">
        <v>26.65</v>
      </c>
      <c r="E310" s="150"/>
      <c r="F310" s="150"/>
      <c r="G310" s="150"/>
      <c r="H310" s="150"/>
      <c r="I310" s="150"/>
      <c r="J310" s="148"/>
    </row>
    <row r="311" spans="1:10" ht="13.2">
      <c r="A311" s="157"/>
      <c r="B311" s="158"/>
      <c r="J311" s="158"/>
    </row>
    <row r="312" spans="1:10" ht="13.2">
      <c r="A312" s="157"/>
      <c r="B312" s="158"/>
      <c r="J312" s="158"/>
    </row>
    <row r="313" spans="1:10" ht="13.2">
      <c r="A313" s="157"/>
      <c r="B313" s="158"/>
      <c r="J313" s="158"/>
    </row>
    <row r="314" spans="1:10" ht="13.2">
      <c r="A314" s="157"/>
      <c r="B314" s="158"/>
      <c r="J314" s="158"/>
    </row>
    <row r="315" spans="1:10" ht="13.2">
      <c r="A315" s="157"/>
      <c r="B315" s="158"/>
      <c r="J315" s="158"/>
    </row>
    <row r="316" spans="1:10" ht="13.2">
      <c r="A316" s="157"/>
      <c r="B316" s="158"/>
      <c r="J316" s="158"/>
    </row>
    <row r="317" spans="1:10" ht="13.2">
      <c r="A317" s="157"/>
      <c r="B317" s="158"/>
      <c r="J317" s="158"/>
    </row>
    <row r="318" spans="1:10" ht="13.2">
      <c r="A318" s="157"/>
      <c r="B318" s="158"/>
      <c r="J318" s="158"/>
    </row>
    <row r="319" spans="1:10" ht="13.2">
      <c r="A319" s="157"/>
      <c r="B319" s="158"/>
      <c r="J319" s="158"/>
    </row>
    <row r="320" spans="1:10" ht="13.2">
      <c r="A320" s="157"/>
      <c r="B320" s="158"/>
      <c r="J320" s="158"/>
    </row>
    <row r="321" spans="1:10" ht="13.2">
      <c r="A321" s="157"/>
      <c r="B321" s="158"/>
      <c r="J321" s="158"/>
    </row>
    <row r="322" spans="1:10" ht="13.2">
      <c r="A322" s="157"/>
      <c r="B322" s="158"/>
      <c r="J322" s="158"/>
    </row>
    <row r="323" spans="1:10" ht="13.2">
      <c r="A323" s="157"/>
      <c r="B323" s="158"/>
      <c r="J323" s="158"/>
    </row>
    <row r="324" spans="1:10" ht="13.2">
      <c r="A324" s="157"/>
      <c r="B324" s="158"/>
      <c r="J324" s="158"/>
    </row>
    <row r="325" spans="1:10" ht="13.2">
      <c r="A325" s="157"/>
      <c r="B325" s="158"/>
      <c r="J325" s="158"/>
    </row>
    <row r="326" spans="1:10" ht="13.2">
      <c r="A326" s="157"/>
      <c r="B326" s="158"/>
      <c r="J326" s="158"/>
    </row>
    <row r="327" spans="1:10" ht="13.2">
      <c r="A327" s="157"/>
      <c r="B327" s="158"/>
      <c r="J327" s="158"/>
    </row>
    <row r="328" spans="1:10" ht="13.2">
      <c r="A328" s="157"/>
      <c r="B328" s="158"/>
      <c r="J328" s="158"/>
    </row>
    <row r="329" spans="1:10" ht="13.2">
      <c r="A329" s="157"/>
      <c r="B329" s="158"/>
      <c r="J329" s="158"/>
    </row>
    <row r="330" spans="1:10" ht="13.2">
      <c r="A330" s="157"/>
      <c r="B330" s="158"/>
      <c r="J330" s="158"/>
    </row>
    <row r="331" spans="1:10" ht="13.2">
      <c r="A331" s="157"/>
      <c r="B331" s="158"/>
      <c r="J331" s="158"/>
    </row>
    <row r="332" spans="1:10" ht="13.2">
      <c r="A332" s="157"/>
      <c r="B332" s="158"/>
      <c r="J332" s="158"/>
    </row>
    <row r="333" spans="1:10" ht="13.2">
      <c r="A333" s="157"/>
      <c r="B333" s="158"/>
      <c r="J333" s="158"/>
    </row>
    <row r="334" spans="1:10" ht="13.2">
      <c r="A334" s="157"/>
      <c r="B334" s="158"/>
      <c r="J334" s="158"/>
    </row>
    <row r="335" spans="1:10" ht="13.2">
      <c r="A335" s="157"/>
      <c r="B335" s="158"/>
      <c r="J335" s="158"/>
    </row>
    <row r="336" spans="1:10" ht="13.2">
      <c r="A336" s="157"/>
      <c r="B336" s="158"/>
      <c r="J336" s="158"/>
    </row>
    <row r="337" spans="1:10" ht="13.2">
      <c r="A337" s="157"/>
      <c r="B337" s="158"/>
      <c r="J337" s="158"/>
    </row>
    <row r="338" spans="1:10" ht="13.2">
      <c r="A338" s="157"/>
      <c r="B338" s="158"/>
      <c r="J338" s="158"/>
    </row>
    <row r="339" spans="1:10" ht="13.2">
      <c r="A339" s="157"/>
      <c r="B339" s="158"/>
      <c r="J339" s="158"/>
    </row>
    <row r="340" spans="1:10" ht="13.2">
      <c r="A340" s="157"/>
      <c r="B340" s="158"/>
      <c r="J340" s="158"/>
    </row>
    <row r="341" spans="1:10" ht="13.2">
      <c r="A341" s="157"/>
      <c r="B341" s="158"/>
      <c r="J341" s="158"/>
    </row>
    <row r="342" spans="1:10" ht="13.2">
      <c r="A342" s="157"/>
      <c r="B342" s="158"/>
      <c r="J342" s="158"/>
    </row>
    <row r="343" spans="1:10" ht="13.2">
      <c r="A343" s="157"/>
      <c r="B343" s="158"/>
      <c r="J343" s="158"/>
    </row>
    <row r="344" spans="1:10" ht="13.2">
      <c r="A344" s="157"/>
      <c r="B344" s="158"/>
      <c r="J344" s="158"/>
    </row>
    <row r="345" spans="1:10" ht="13.2">
      <c r="A345" s="157"/>
      <c r="B345" s="158"/>
      <c r="J345" s="158"/>
    </row>
    <row r="346" spans="1:10" ht="13.2">
      <c r="A346" s="157"/>
      <c r="B346" s="158"/>
      <c r="J346" s="158"/>
    </row>
    <row r="347" spans="1:10" ht="13.2">
      <c r="A347" s="157"/>
      <c r="B347" s="158"/>
      <c r="J347" s="158"/>
    </row>
    <row r="348" spans="1:10" ht="13.2">
      <c r="A348" s="157"/>
      <c r="B348" s="158"/>
      <c r="J348" s="158"/>
    </row>
    <row r="349" spans="1:10" ht="13.2">
      <c r="A349" s="157"/>
      <c r="B349" s="158"/>
      <c r="J349" s="158"/>
    </row>
    <row r="350" spans="1:10" ht="13.2">
      <c r="A350" s="157"/>
      <c r="B350" s="158"/>
      <c r="J350" s="158"/>
    </row>
    <row r="351" spans="1:10" ht="13.2">
      <c r="A351" s="157"/>
      <c r="B351" s="158"/>
      <c r="J351" s="158"/>
    </row>
    <row r="352" spans="1:10" ht="13.2">
      <c r="A352" s="157"/>
      <c r="B352" s="158"/>
      <c r="J352" s="158"/>
    </row>
    <row r="353" spans="1:10" ht="13.2">
      <c r="A353" s="157"/>
      <c r="B353" s="158"/>
      <c r="J353" s="158"/>
    </row>
    <row r="354" spans="1:10" ht="13.2">
      <c r="A354" s="157"/>
      <c r="B354" s="158"/>
      <c r="J354" s="158"/>
    </row>
    <row r="355" spans="1:10" ht="13.2">
      <c r="A355" s="157"/>
      <c r="B355" s="158"/>
      <c r="J355" s="158"/>
    </row>
    <row r="356" spans="1:10" ht="13.2">
      <c r="A356" s="157"/>
      <c r="B356" s="158"/>
      <c r="J356" s="158"/>
    </row>
    <row r="357" spans="1:10" ht="13.2">
      <c r="A357" s="157"/>
      <c r="B357" s="158"/>
      <c r="J357" s="158"/>
    </row>
    <row r="358" spans="1:10" ht="13.2">
      <c r="A358" s="157"/>
      <c r="B358" s="158"/>
      <c r="J358" s="158"/>
    </row>
    <row r="359" spans="1:10" ht="13.2">
      <c r="A359" s="157"/>
      <c r="B359" s="158"/>
      <c r="J359" s="158"/>
    </row>
    <row r="360" spans="1:10" ht="13.2">
      <c r="A360" s="157"/>
      <c r="B360" s="158"/>
      <c r="J360" s="158"/>
    </row>
    <row r="361" spans="1:10" ht="13.2">
      <c r="A361" s="157"/>
      <c r="B361" s="158"/>
      <c r="J361" s="158"/>
    </row>
    <row r="362" spans="1:10" ht="13.2">
      <c r="A362" s="157"/>
      <c r="B362" s="158"/>
      <c r="J362" s="158"/>
    </row>
    <row r="363" spans="1:10" ht="13.2">
      <c r="A363" s="157"/>
      <c r="B363" s="158"/>
      <c r="J363" s="158"/>
    </row>
    <row r="364" spans="1:10" ht="13.2">
      <c r="A364" s="157"/>
      <c r="B364" s="158"/>
      <c r="J364" s="158"/>
    </row>
    <row r="365" spans="1:10" ht="13.2">
      <c r="A365" s="157"/>
      <c r="B365" s="158"/>
      <c r="J365" s="158"/>
    </row>
    <row r="366" spans="1:10" ht="13.2">
      <c r="A366" s="157"/>
      <c r="B366" s="158"/>
      <c r="J366" s="158"/>
    </row>
    <row r="367" spans="1:10" ht="13.2">
      <c r="A367" s="157"/>
      <c r="B367" s="158"/>
      <c r="J367" s="158"/>
    </row>
    <row r="368" spans="1:10" ht="13.2">
      <c r="A368" s="157"/>
      <c r="B368" s="158"/>
      <c r="J368" s="158"/>
    </row>
    <row r="369" spans="1:10" ht="13.2">
      <c r="A369" s="157"/>
      <c r="B369" s="158"/>
      <c r="J369" s="158"/>
    </row>
    <row r="370" spans="1:10" ht="13.2">
      <c r="A370" s="157"/>
      <c r="B370" s="158"/>
      <c r="J370" s="158"/>
    </row>
    <row r="371" spans="1:10" ht="13.2">
      <c r="A371" s="157"/>
      <c r="B371" s="158"/>
      <c r="J371" s="158"/>
    </row>
    <row r="372" spans="1:10" ht="13.2">
      <c r="A372" s="157"/>
      <c r="B372" s="158"/>
      <c r="J372" s="158"/>
    </row>
    <row r="373" spans="1:10" ht="13.2">
      <c r="A373" s="157"/>
      <c r="B373" s="158"/>
      <c r="J373" s="158"/>
    </row>
    <row r="374" spans="1:10" ht="13.2">
      <c r="A374" s="157"/>
      <c r="B374" s="158"/>
      <c r="J374" s="158"/>
    </row>
    <row r="375" spans="1:10" ht="13.2">
      <c r="A375" s="157"/>
      <c r="B375" s="158"/>
      <c r="J375" s="158"/>
    </row>
    <row r="376" spans="1:10" ht="13.2">
      <c r="A376" s="157"/>
      <c r="B376" s="158"/>
      <c r="J376" s="158"/>
    </row>
    <row r="377" spans="1:10" ht="13.2">
      <c r="A377" s="157"/>
      <c r="B377" s="158"/>
      <c r="J377" s="158"/>
    </row>
    <row r="378" spans="1:10" ht="13.2">
      <c r="A378" s="157"/>
      <c r="B378" s="158"/>
      <c r="J378" s="158"/>
    </row>
    <row r="379" spans="1:10" ht="13.2">
      <c r="A379" s="157"/>
      <c r="B379" s="158"/>
      <c r="J379" s="158"/>
    </row>
    <row r="380" spans="1:10" ht="13.2">
      <c r="A380" s="157"/>
      <c r="B380" s="158"/>
      <c r="J380" s="158"/>
    </row>
    <row r="381" spans="1:10" ht="13.2">
      <c r="A381" s="157"/>
      <c r="B381" s="158"/>
      <c r="J381" s="158"/>
    </row>
    <row r="382" spans="1:10" ht="13.2">
      <c r="A382" s="157"/>
      <c r="B382" s="158"/>
      <c r="J382" s="158"/>
    </row>
    <row r="383" spans="1:10" ht="13.2">
      <c r="A383" s="157"/>
      <c r="B383" s="158"/>
      <c r="J383" s="158"/>
    </row>
    <row r="384" spans="1:10" ht="13.2">
      <c r="A384" s="157"/>
      <c r="B384" s="158"/>
      <c r="J384" s="158"/>
    </row>
    <row r="385" spans="1:10" ht="13.2">
      <c r="A385" s="157"/>
      <c r="B385" s="158"/>
      <c r="J385" s="158"/>
    </row>
    <row r="386" spans="1:10" ht="13.2">
      <c r="A386" s="157"/>
      <c r="B386" s="158"/>
      <c r="J386" s="158"/>
    </row>
    <row r="387" spans="1:10" ht="13.2">
      <c r="A387" s="157"/>
      <c r="B387" s="158"/>
      <c r="J387" s="158"/>
    </row>
    <row r="388" spans="1:10" ht="13.2">
      <c r="A388" s="157"/>
      <c r="B388" s="158"/>
      <c r="J388" s="158"/>
    </row>
    <row r="389" spans="1:10" ht="13.2">
      <c r="A389" s="157"/>
      <c r="B389" s="158"/>
      <c r="J389" s="158"/>
    </row>
    <row r="390" spans="1:10" ht="13.2">
      <c r="A390" s="157"/>
      <c r="B390" s="158"/>
      <c r="J390" s="158"/>
    </row>
    <row r="391" spans="1:10" ht="13.2">
      <c r="A391" s="157"/>
      <c r="B391" s="158"/>
      <c r="J391" s="158"/>
    </row>
    <row r="392" spans="1:10" ht="13.2">
      <c r="A392" s="157"/>
      <c r="B392" s="158"/>
      <c r="J392" s="158"/>
    </row>
    <row r="393" spans="1:10" ht="13.2">
      <c r="A393" s="157"/>
      <c r="B393" s="158"/>
      <c r="J393" s="158"/>
    </row>
    <row r="394" spans="1:10" ht="13.2">
      <c r="A394" s="157"/>
      <c r="B394" s="158"/>
      <c r="J394" s="158"/>
    </row>
    <row r="395" spans="1:10" ht="13.2">
      <c r="A395" s="157"/>
      <c r="B395" s="158"/>
      <c r="J395" s="158"/>
    </row>
    <row r="396" spans="1:10" ht="13.2">
      <c r="A396" s="157"/>
      <c r="B396" s="158"/>
      <c r="J396" s="158"/>
    </row>
    <row r="397" spans="1:10" ht="13.2">
      <c r="A397" s="157"/>
      <c r="B397" s="158"/>
      <c r="J397" s="158"/>
    </row>
    <row r="398" spans="1:10" ht="13.2">
      <c r="A398" s="157"/>
      <c r="B398" s="158"/>
      <c r="J398" s="158"/>
    </row>
    <row r="399" spans="1:10" ht="13.2">
      <c r="A399" s="157"/>
      <c r="B399" s="158"/>
      <c r="J399" s="158"/>
    </row>
    <row r="400" spans="1:10" ht="13.2">
      <c r="A400" s="157"/>
      <c r="B400" s="158"/>
      <c r="J400" s="158"/>
    </row>
    <row r="401" spans="1:10" ht="13.2">
      <c r="A401" s="157"/>
      <c r="B401" s="158"/>
      <c r="J401" s="158"/>
    </row>
    <row r="402" spans="1:10" ht="13.2">
      <c r="A402" s="157"/>
      <c r="B402" s="158"/>
      <c r="J402" s="158"/>
    </row>
    <row r="403" spans="1:10" ht="13.2">
      <c r="A403" s="157"/>
      <c r="B403" s="158"/>
      <c r="J403" s="158"/>
    </row>
    <row r="404" spans="1:10" ht="13.2">
      <c r="A404" s="157"/>
      <c r="B404" s="158"/>
      <c r="J404" s="158"/>
    </row>
    <row r="405" spans="1:10" ht="13.2">
      <c r="A405" s="157"/>
      <c r="B405" s="158"/>
      <c r="J405" s="158"/>
    </row>
    <row r="406" spans="1:10" ht="13.2">
      <c r="A406" s="157"/>
      <c r="B406" s="158"/>
      <c r="J406" s="158"/>
    </row>
    <row r="407" spans="1:10" ht="13.2">
      <c r="A407" s="157"/>
      <c r="B407" s="158"/>
      <c r="J407" s="158"/>
    </row>
    <row r="408" spans="1:10" ht="13.2">
      <c r="A408" s="157"/>
      <c r="B408" s="158"/>
      <c r="J408" s="158"/>
    </row>
    <row r="409" spans="1:10" ht="13.2">
      <c r="A409" s="157"/>
      <c r="B409" s="158"/>
      <c r="J409" s="158"/>
    </row>
    <row r="410" spans="1:10" ht="13.2">
      <c r="A410" s="157"/>
      <c r="B410" s="158"/>
      <c r="J410" s="158"/>
    </row>
    <row r="411" spans="1:10" ht="13.2">
      <c r="A411" s="157"/>
      <c r="B411" s="158"/>
      <c r="J411" s="158"/>
    </row>
    <row r="412" spans="1:10" ht="13.2">
      <c r="A412" s="157"/>
      <c r="B412" s="158"/>
      <c r="J412" s="158"/>
    </row>
    <row r="413" spans="1:10" ht="13.2">
      <c r="A413" s="157"/>
      <c r="B413" s="158"/>
      <c r="J413" s="158"/>
    </row>
    <row r="414" spans="1:10" ht="13.2">
      <c r="A414" s="157"/>
      <c r="B414" s="158"/>
      <c r="J414" s="158"/>
    </row>
    <row r="415" spans="1:10" ht="13.2">
      <c r="A415" s="157"/>
      <c r="B415" s="158"/>
      <c r="J415" s="158"/>
    </row>
    <row r="416" spans="1:10" ht="13.2">
      <c r="A416" s="157"/>
      <c r="B416" s="158"/>
      <c r="J416" s="158"/>
    </row>
    <row r="417" spans="1:10" ht="13.2">
      <c r="A417" s="157"/>
      <c r="B417" s="158"/>
      <c r="J417" s="158"/>
    </row>
    <row r="418" spans="1:10" ht="13.2">
      <c r="A418" s="157"/>
      <c r="B418" s="158"/>
      <c r="J418" s="158"/>
    </row>
    <row r="419" spans="1:10" ht="13.2">
      <c r="A419" s="157"/>
      <c r="B419" s="158"/>
      <c r="J419" s="158"/>
    </row>
    <row r="420" spans="1:10" ht="13.2">
      <c r="A420" s="157"/>
      <c r="B420" s="158"/>
      <c r="J420" s="158"/>
    </row>
    <row r="421" spans="1:10" ht="13.2">
      <c r="A421" s="157"/>
      <c r="B421" s="158"/>
      <c r="J421" s="158"/>
    </row>
    <row r="422" spans="1:10" ht="13.2">
      <c r="A422" s="157"/>
      <c r="B422" s="158"/>
      <c r="J422" s="158"/>
    </row>
    <row r="423" spans="1:10" ht="13.2">
      <c r="A423" s="157"/>
      <c r="B423" s="158"/>
      <c r="J423" s="158"/>
    </row>
    <row r="424" spans="1:10" ht="13.2">
      <c r="A424" s="157"/>
      <c r="B424" s="158"/>
      <c r="J424" s="158"/>
    </row>
    <row r="425" spans="1:10" ht="13.2">
      <c r="A425" s="157"/>
      <c r="B425" s="158"/>
      <c r="J425" s="158"/>
    </row>
    <row r="426" spans="1:10" ht="13.2">
      <c r="A426" s="157"/>
      <c r="B426" s="158"/>
      <c r="J426" s="158"/>
    </row>
    <row r="427" spans="1:10" ht="13.2">
      <c r="A427" s="157"/>
      <c r="B427" s="158"/>
      <c r="J427" s="158"/>
    </row>
    <row r="428" spans="1:10" ht="13.2">
      <c r="A428" s="157"/>
      <c r="B428" s="158"/>
      <c r="J428" s="158"/>
    </row>
    <row r="429" spans="1:10" ht="13.2">
      <c r="A429" s="157"/>
      <c r="B429" s="158"/>
      <c r="J429" s="158"/>
    </row>
    <row r="430" spans="1:10" ht="13.2">
      <c r="A430" s="157"/>
      <c r="B430" s="158"/>
      <c r="J430" s="158"/>
    </row>
    <row r="431" spans="1:10" ht="13.2">
      <c r="A431" s="157"/>
      <c r="B431" s="158"/>
      <c r="J431" s="158"/>
    </row>
    <row r="432" spans="1:10" ht="13.2">
      <c r="A432" s="157"/>
      <c r="B432" s="158"/>
      <c r="J432" s="158"/>
    </row>
    <row r="433" spans="1:10" ht="13.2">
      <c r="A433" s="157"/>
      <c r="B433" s="158"/>
      <c r="J433" s="158"/>
    </row>
    <row r="434" spans="1:10" ht="13.2">
      <c r="A434" s="157"/>
      <c r="B434" s="158"/>
      <c r="J434" s="158"/>
    </row>
    <row r="435" spans="1:10" ht="13.2">
      <c r="A435" s="157"/>
      <c r="B435" s="158"/>
      <c r="J435" s="158"/>
    </row>
    <row r="436" spans="1:10" ht="13.2">
      <c r="A436" s="157"/>
      <c r="B436" s="158"/>
      <c r="J436" s="158"/>
    </row>
    <row r="437" spans="1:10" ht="13.2">
      <c r="A437" s="157"/>
      <c r="B437" s="158"/>
      <c r="J437" s="158"/>
    </row>
    <row r="438" spans="1:10" ht="13.2">
      <c r="A438" s="157"/>
      <c r="B438" s="158"/>
      <c r="J438" s="158"/>
    </row>
    <row r="439" spans="1:10" ht="13.2">
      <c r="A439" s="157"/>
      <c r="B439" s="158"/>
      <c r="J439" s="158"/>
    </row>
    <row r="440" spans="1:10" ht="13.2">
      <c r="A440" s="157"/>
      <c r="B440" s="158"/>
      <c r="J440" s="158"/>
    </row>
    <row r="441" spans="1:10" ht="13.2">
      <c r="A441" s="157"/>
      <c r="B441" s="158"/>
      <c r="J441" s="158"/>
    </row>
    <row r="442" spans="1:10" ht="13.2">
      <c r="A442" s="157"/>
      <c r="B442" s="158"/>
      <c r="J442" s="158"/>
    </row>
    <row r="443" spans="1:10" ht="13.2">
      <c r="A443" s="157"/>
      <c r="B443" s="158"/>
      <c r="J443" s="158"/>
    </row>
    <row r="444" spans="1:10" ht="13.2">
      <c r="A444" s="157"/>
      <c r="B444" s="158"/>
      <c r="J444" s="158"/>
    </row>
    <row r="445" spans="1:10" ht="13.2">
      <c r="A445" s="157"/>
      <c r="B445" s="158"/>
      <c r="J445" s="158"/>
    </row>
    <row r="446" spans="1:10" ht="13.2">
      <c r="A446" s="157"/>
      <c r="B446" s="158"/>
      <c r="J446" s="158"/>
    </row>
    <row r="447" spans="1:10" ht="13.2">
      <c r="A447" s="157"/>
      <c r="B447" s="158"/>
      <c r="J447" s="158"/>
    </row>
    <row r="448" spans="1:10" ht="13.2">
      <c r="A448" s="157"/>
      <c r="B448" s="158"/>
      <c r="J448" s="158"/>
    </row>
    <row r="449" spans="1:10" ht="13.2">
      <c r="A449" s="157"/>
      <c r="B449" s="158"/>
      <c r="J449" s="158"/>
    </row>
    <row r="450" spans="1:10" ht="13.2">
      <c r="A450" s="157"/>
      <c r="B450" s="158"/>
      <c r="J450" s="158"/>
    </row>
    <row r="451" spans="1:10" ht="13.2">
      <c r="A451" s="157"/>
      <c r="B451" s="158"/>
      <c r="J451" s="158"/>
    </row>
    <row r="452" spans="1:10" ht="13.2">
      <c r="A452" s="157"/>
      <c r="B452" s="158"/>
      <c r="J452" s="158"/>
    </row>
    <row r="453" spans="1:10" ht="13.2">
      <c r="A453" s="157"/>
      <c r="B453" s="158"/>
      <c r="J453" s="158"/>
    </row>
    <row r="454" spans="1:10" ht="13.2">
      <c r="A454" s="157"/>
      <c r="B454" s="158"/>
      <c r="J454" s="158"/>
    </row>
    <row r="455" spans="1:10" ht="13.2">
      <c r="A455" s="157"/>
      <c r="B455" s="158"/>
      <c r="J455" s="158"/>
    </row>
    <row r="456" spans="1:10" ht="13.2">
      <c r="A456" s="157"/>
      <c r="B456" s="158"/>
      <c r="J456" s="158"/>
    </row>
    <row r="457" spans="1:10" ht="13.2">
      <c r="A457" s="157"/>
      <c r="B457" s="158"/>
      <c r="J457" s="158"/>
    </row>
    <row r="458" spans="1:10" ht="13.2">
      <c r="A458" s="157"/>
      <c r="B458" s="158"/>
      <c r="J458" s="158"/>
    </row>
    <row r="459" spans="1:10" ht="13.2">
      <c r="A459" s="157"/>
      <c r="B459" s="158"/>
      <c r="J459" s="158"/>
    </row>
    <row r="460" spans="1:10" ht="13.2">
      <c r="A460" s="157"/>
      <c r="B460" s="158"/>
      <c r="J460" s="158"/>
    </row>
    <row r="461" spans="1:10" ht="13.2">
      <c r="A461" s="157"/>
      <c r="B461" s="158"/>
      <c r="J461" s="158"/>
    </row>
    <row r="462" spans="1:10" ht="13.2">
      <c r="A462" s="157"/>
      <c r="B462" s="158"/>
      <c r="J462" s="158"/>
    </row>
    <row r="463" spans="1:10" ht="13.2">
      <c r="A463" s="157"/>
      <c r="B463" s="158"/>
      <c r="J463" s="158"/>
    </row>
    <row r="464" spans="1:10" ht="13.2">
      <c r="A464" s="157"/>
      <c r="B464" s="158"/>
      <c r="J464" s="158"/>
    </row>
    <row r="465" spans="1:10" ht="13.2">
      <c r="A465" s="157"/>
      <c r="B465" s="158"/>
      <c r="J465" s="158"/>
    </row>
    <row r="466" spans="1:10" ht="13.2">
      <c r="A466" s="157"/>
      <c r="B466" s="158"/>
      <c r="J466" s="158"/>
    </row>
    <row r="467" spans="1:10" ht="13.2">
      <c r="A467" s="157"/>
      <c r="B467" s="158"/>
      <c r="J467" s="158"/>
    </row>
    <row r="468" spans="1:10" ht="13.2">
      <c r="A468" s="157"/>
      <c r="B468" s="158"/>
      <c r="J468" s="158"/>
    </row>
    <row r="469" spans="1:10" ht="13.2">
      <c r="A469" s="157"/>
      <c r="B469" s="158"/>
      <c r="J469" s="158"/>
    </row>
    <row r="470" spans="1:10" ht="13.2">
      <c r="A470" s="157"/>
      <c r="B470" s="158"/>
      <c r="J470" s="158"/>
    </row>
    <row r="471" spans="1:10" ht="13.2">
      <c r="A471" s="157"/>
      <c r="B471" s="158"/>
      <c r="J471" s="158"/>
    </row>
    <row r="472" spans="1:10" ht="13.2">
      <c r="A472" s="157"/>
      <c r="B472" s="158"/>
      <c r="J472" s="158"/>
    </row>
    <row r="473" spans="1:10" ht="13.2">
      <c r="A473" s="157"/>
      <c r="B473" s="158"/>
      <c r="J473" s="158"/>
    </row>
    <row r="474" spans="1:10" ht="13.2">
      <c r="A474" s="157"/>
      <c r="B474" s="158"/>
      <c r="J474" s="158"/>
    </row>
    <row r="475" spans="1:10" ht="13.2">
      <c r="A475" s="157"/>
      <c r="B475" s="158"/>
      <c r="J475" s="158"/>
    </row>
    <row r="476" spans="1:10" ht="13.2">
      <c r="A476" s="157"/>
      <c r="B476" s="158"/>
      <c r="J476" s="158"/>
    </row>
    <row r="477" spans="1:10" ht="13.2">
      <c r="A477" s="157"/>
      <c r="B477" s="158"/>
      <c r="J477" s="158"/>
    </row>
    <row r="478" spans="1:10" ht="13.2">
      <c r="A478" s="157"/>
      <c r="B478" s="158"/>
      <c r="J478" s="158"/>
    </row>
    <row r="479" spans="1:10" ht="13.2">
      <c r="A479" s="157"/>
      <c r="B479" s="158"/>
      <c r="J479" s="158"/>
    </row>
    <row r="480" spans="1:10" ht="13.2">
      <c r="A480" s="157"/>
      <c r="B480" s="158"/>
      <c r="J480" s="158"/>
    </row>
    <row r="481" spans="1:10" ht="13.2">
      <c r="A481" s="157"/>
      <c r="B481" s="158"/>
      <c r="J481" s="158"/>
    </row>
    <row r="482" spans="1:10" ht="13.2">
      <c r="A482" s="157"/>
      <c r="B482" s="158"/>
      <c r="J482" s="158"/>
    </row>
    <row r="483" spans="1:10" ht="13.2">
      <c r="A483" s="157"/>
      <c r="B483" s="158"/>
      <c r="J483" s="158"/>
    </row>
    <row r="484" spans="1:10" ht="13.2">
      <c r="A484" s="157"/>
      <c r="B484" s="158"/>
      <c r="J484" s="158"/>
    </row>
    <row r="485" spans="1:10" ht="13.2">
      <c r="A485" s="157"/>
      <c r="B485" s="158"/>
      <c r="J485" s="158"/>
    </row>
    <row r="486" spans="1:10" ht="13.2">
      <c r="A486" s="157"/>
      <c r="B486" s="158"/>
      <c r="J486" s="158"/>
    </row>
    <row r="487" spans="1:10" ht="13.2">
      <c r="A487" s="157"/>
      <c r="B487" s="158"/>
      <c r="J487" s="158"/>
    </row>
    <row r="488" spans="1:10" ht="13.2">
      <c r="A488" s="157"/>
      <c r="B488" s="158"/>
      <c r="J488" s="158"/>
    </row>
    <row r="489" spans="1:10" ht="13.2">
      <c r="A489" s="157"/>
      <c r="B489" s="158"/>
      <c r="J489" s="158"/>
    </row>
    <row r="490" spans="1:10" ht="13.2">
      <c r="A490" s="157"/>
      <c r="B490" s="158"/>
      <c r="J490" s="158"/>
    </row>
    <row r="491" spans="1:10" ht="13.2">
      <c r="A491" s="157"/>
      <c r="B491" s="158"/>
      <c r="J491" s="158"/>
    </row>
    <row r="492" spans="1:10" ht="13.2">
      <c r="A492" s="157"/>
      <c r="B492" s="158"/>
      <c r="J492" s="158"/>
    </row>
    <row r="493" spans="1:10" ht="13.2">
      <c r="A493" s="157"/>
      <c r="B493" s="158"/>
      <c r="J493" s="158"/>
    </row>
    <row r="494" spans="1:10" ht="13.2">
      <c r="A494" s="157"/>
      <c r="B494" s="158"/>
      <c r="J494" s="158"/>
    </row>
    <row r="495" spans="1:10" ht="13.2">
      <c r="A495" s="157"/>
      <c r="B495" s="158"/>
      <c r="J495" s="158"/>
    </row>
    <row r="496" spans="1:10" ht="13.2">
      <c r="A496" s="157"/>
      <c r="B496" s="158"/>
      <c r="J496" s="158"/>
    </row>
    <row r="497" spans="1:10" ht="13.2">
      <c r="A497" s="157"/>
      <c r="B497" s="158"/>
      <c r="J497" s="158"/>
    </row>
    <row r="498" spans="1:10" ht="13.2">
      <c r="A498" s="157"/>
      <c r="B498" s="158"/>
      <c r="J498" s="158"/>
    </row>
    <row r="499" spans="1:10" ht="13.2">
      <c r="A499" s="157"/>
      <c r="B499" s="158"/>
      <c r="J499" s="158"/>
    </row>
    <row r="500" spans="1:10" ht="13.2">
      <c r="A500" s="157"/>
      <c r="B500" s="158"/>
      <c r="J500" s="158"/>
    </row>
    <row r="501" spans="1:10" ht="13.2">
      <c r="A501" s="157"/>
      <c r="B501" s="158"/>
      <c r="J501" s="158"/>
    </row>
    <row r="502" spans="1:10" ht="13.2">
      <c r="A502" s="157"/>
      <c r="B502" s="158"/>
      <c r="J502" s="158"/>
    </row>
    <row r="503" spans="1:10" ht="13.2">
      <c r="A503" s="157"/>
      <c r="B503" s="158"/>
      <c r="J503" s="158"/>
    </row>
    <row r="504" spans="1:10" ht="13.2">
      <c r="A504" s="157"/>
      <c r="B504" s="158"/>
      <c r="J504" s="158"/>
    </row>
    <row r="505" spans="1:10" ht="13.2">
      <c r="A505" s="157"/>
      <c r="B505" s="158"/>
      <c r="J505" s="158"/>
    </row>
    <row r="506" spans="1:10" ht="13.2">
      <c r="A506" s="157"/>
      <c r="B506" s="158"/>
      <c r="J506" s="158"/>
    </row>
    <row r="507" spans="1:10" ht="13.2">
      <c r="A507" s="157"/>
      <c r="B507" s="158"/>
      <c r="J507" s="158"/>
    </row>
    <row r="508" spans="1:10" ht="13.2">
      <c r="A508" s="157"/>
      <c r="B508" s="158"/>
      <c r="J508" s="158"/>
    </row>
    <row r="509" spans="1:10" ht="13.2">
      <c r="A509" s="157"/>
      <c r="B509" s="158"/>
      <c r="J509" s="158"/>
    </row>
    <row r="510" spans="1:10" ht="13.2">
      <c r="A510" s="157"/>
      <c r="B510" s="158"/>
      <c r="J510" s="158"/>
    </row>
    <row r="511" spans="1:10" ht="13.2">
      <c r="A511" s="157"/>
      <c r="B511" s="158"/>
      <c r="J511" s="158"/>
    </row>
    <row r="512" spans="1:10" ht="13.2">
      <c r="A512" s="157"/>
      <c r="B512" s="158"/>
      <c r="J512" s="158"/>
    </row>
    <row r="513" spans="1:10" ht="13.2">
      <c r="A513" s="157"/>
      <c r="B513" s="158"/>
      <c r="J513" s="158"/>
    </row>
    <row r="514" spans="1:10" ht="13.2">
      <c r="A514" s="157"/>
      <c r="B514" s="158"/>
      <c r="J514" s="158"/>
    </row>
    <row r="515" spans="1:10" ht="13.2">
      <c r="A515" s="157"/>
      <c r="B515" s="158"/>
      <c r="J515" s="158"/>
    </row>
    <row r="516" spans="1:10" ht="13.2">
      <c r="A516" s="157"/>
      <c r="B516" s="158"/>
      <c r="J516" s="158"/>
    </row>
    <row r="517" spans="1:10" ht="13.2">
      <c r="A517" s="157"/>
      <c r="B517" s="158"/>
      <c r="J517" s="158"/>
    </row>
    <row r="518" spans="1:10" ht="13.2">
      <c r="A518" s="157"/>
      <c r="B518" s="158"/>
      <c r="J518" s="158"/>
    </row>
    <row r="519" spans="1:10" ht="13.2">
      <c r="A519" s="157"/>
      <c r="B519" s="158"/>
      <c r="J519" s="158"/>
    </row>
    <row r="520" spans="1:10" ht="13.2">
      <c r="A520" s="157"/>
      <c r="B520" s="158"/>
      <c r="J520" s="158"/>
    </row>
    <row r="521" spans="1:10" ht="13.2">
      <c r="A521" s="157"/>
      <c r="B521" s="158"/>
      <c r="J521" s="158"/>
    </row>
    <row r="522" spans="1:10" ht="13.2">
      <c r="A522" s="157"/>
      <c r="B522" s="158"/>
      <c r="J522" s="158"/>
    </row>
    <row r="523" spans="1:10" ht="13.2">
      <c r="A523" s="157"/>
      <c r="B523" s="158"/>
      <c r="J523" s="158"/>
    </row>
    <row r="524" spans="1:10" ht="13.2">
      <c r="A524" s="157"/>
      <c r="B524" s="158"/>
      <c r="J524" s="158"/>
    </row>
    <row r="525" spans="1:10" ht="13.2">
      <c r="A525" s="157"/>
      <c r="B525" s="158"/>
      <c r="J525" s="158"/>
    </row>
    <row r="526" spans="1:10" ht="13.2">
      <c r="A526" s="157"/>
      <c r="B526" s="158"/>
      <c r="J526" s="158"/>
    </row>
    <row r="527" spans="1:10" ht="13.2">
      <c r="A527" s="157"/>
      <c r="B527" s="158"/>
      <c r="J527" s="158"/>
    </row>
    <row r="528" spans="1:10" ht="13.2">
      <c r="A528" s="157"/>
      <c r="B528" s="158"/>
      <c r="J528" s="158"/>
    </row>
    <row r="529" spans="1:10" ht="13.2">
      <c r="A529" s="157"/>
      <c r="B529" s="158"/>
      <c r="J529" s="158"/>
    </row>
    <row r="530" spans="1:10" ht="13.2">
      <c r="A530" s="157"/>
      <c r="B530" s="158"/>
      <c r="J530" s="158"/>
    </row>
    <row r="531" spans="1:10" ht="13.2">
      <c r="A531" s="157"/>
      <c r="B531" s="158"/>
      <c r="J531" s="158"/>
    </row>
    <row r="532" spans="1:10" ht="13.2">
      <c r="A532" s="157"/>
      <c r="B532" s="158"/>
      <c r="J532" s="158"/>
    </row>
    <row r="533" spans="1:10" ht="13.2">
      <c r="A533" s="157"/>
      <c r="B533" s="158"/>
      <c r="J533" s="158"/>
    </row>
    <row r="534" spans="1:10" ht="13.2">
      <c r="A534" s="157"/>
      <c r="B534" s="158"/>
      <c r="J534" s="158"/>
    </row>
    <row r="535" spans="1:10" ht="13.2">
      <c r="A535" s="157"/>
      <c r="B535" s="158"/>
      <c r="J535" s="158"/>
    </row>
    <row r="536" spans="1:10" ht="13.2">
      <c r="A536" s="157"/>
      <c r="B536" s="158"/>
      <c r="J536" s="158"/>
    </row>
    <row r="537" spans="1:10" ht="13.2">
      <c r="A537" s="157"/>
      <c r="B537" s="158"/>
      <c r="J537" s="158"/>
    </row>
    <row r="538" spans="1:10" ht="13.2">
      <c r="A538" s="157"/>
      <c r="B538" s="158"/>
      <c r="J538" s="158"/>
    </row>
    <row r="539" spans="1:10" ht="13.2">
      <c r="A539" s="157"/>
      <c r="B539" s="158"/>
      <c r="J539" s="158"/>
    </row>
    <row r="540" spans="1:10" ht="13.2">
      <c r="A540" s="157"/>
      <c r="B540" s="158"/>
      <c r="J540" s="158"/>
    </row>
    <row r="541" spans="1:10" ht="13.2">
      <c r="A541" s="157"/>
      <c r="B541" s="158"/>
      <c r="J541" s="158"/>
    </row>
    <row r="542" spans="1:10" ht="13.2">
      <c r="A542" s="157"/>
      <c r="B542" s="158"/>
      <c r="J542" s="158"/>
    </row>
    <row r="543" spans="1:10" ht="13.2">
      <c r="A543" s="157"/>
      <c r="B543" s="158"/>
      <c r="J543" s="158"/>
    </row>
    <row r="544" spans="1:10" ht="13.2">
      <c r="A544" s="157"/>
      <c r="B544" s="158"/>
      <c r="J544" s="158"/>
    </row>
    <row r="545" spans="1:10" ht="13.2">
      <c r="A545" s="157"/>
      <c r="B545" s="158"/>
      <c r="J545" s="158"/>
    </row>
    <row r="546" spans="1:10" ht="13.2">
      <c r="A546" s="157"/>
      <c r="B546" s="158"/>
      <c r="J546" s="158"/>
    </row>
    <row r="547" spans="1:10" ht="13.2">
      <c r="A547" s="157"/>
      <c r="B547" s="158"/>
      <c r="J547" s="158"/>
    </row>
    <row r="548" spans="1:10" ht="13.2">
      <c r="A548" s="157"/>
      <c r="B548" s="158"/>
      <c r="J548" s="158"/>
    </row>
    <row r="549" spans="1:10" ht="13.2">
      <c r="A549" s="157"/>
      <c r="B549" s="158"/>
      <c r="J549" s="158"/>
    </row>
    <row r="550" spans="1:10" ht="13.2">
      <c r="A550" s="157"/>
      <c r="B550" s="158"/>
      <c r="J550" s="158"/>
    </row>
    <row r="551" spans="1:10" ht="13.2">
      <c r="A551" s="157"/>
      <c r="B551" s="158"/>
      <c r="J551" s="158"/>
    </row>
    <row r="552" spans="1:10" ht="13.2">
      <c r="A552" s="157"/>
      <c r="B552" s="158"/>
      <c r="J552" s="158"/>
    </row>
    <row r="553" spans="1:10" ht="13.2">
      <c r="A553" s="157"/>
      <c r="B553" s="158"/>
      <c r="J553" s="158"/>
    </row>
    <row r="554" spans="1:10" ht="13.2">
      <c r="A554" s="157"/>
      <c r="B554" s="158"/>
      <c r="J554" s="158"/>
    </row>
    <row r="555" spans="1:10" ht="13.2">
      <c r="A555" s="157"/>
      <c r="B555" s="158"/>
      <c r="J555" s="158"/>
    </row>
    <row r="556" spans="1:10" ht="13.2">
      <c r="A556" s="157"/>
      <c r="B556" s="158"/>
      <c r="J556" s="158"/>
    </row>
    <row r="557" spans="1:10" ht="13.2">
      <c r="A557" s="157"/>
      <c r="B557" s="158"/>
      <c r="J557" s="158"/>
    </row>
    <row r="558" spans="1:10" ht="13.2">
      <c r="A558" s="157"/>
      <c r="B558" s="158"/>
      <c r="J558" s="158"/>
    </row>
    <row r="559" spans="1:10" ht="13.2">
      <c r="A559" s="157"/>
      <c r="B559" s="158"/>
      <c r="J559" s="158"/>
    </row>
    <row r="560" spans="1:10" ht="13.2">
      <c r="A560" s="157"/>
      <c r="B560" s="158"/>
      <c r="J560" s="158"/>
    </row>
    <row r="561" spans="1:10" ht="13.2">
      <c r="A561" s="157"/>
      <c r="B561" s="158"/>
      <c r="J561" s="158"/>
    </row>
    <row r="562" spans="1:10" ht="13.2">
      <c r="A562" s="157"/>
      <c r="B562" s="158"/>
      <c r="J562" s="158"/>
    </row>
    <row r="563" spans="1:10" ht="13.2">
      <c r="A563" s="157"/>
      <c r="B563" s="158"/>
      <c r="J563" s="158"/>
    </row>
    <row r="564" spans="1:10" ht="13.2">
      <c r="A564" s="157"/>
      <c r="B564" s="158"/>
      <c r="J564" s="158"/>
    </row>
    <row r="565" spans="1:10" ht="13.2">
      <c r="A565" s="157"/>
      <c r="B565" s="158"/>
      <c r="J565" s="158"/>
    </row>
    <row r="566" spans="1:10" ht="13.2">
      <c r="A566" s="157"/>
      <c r="B566" s="158"/>
      <c r="J566" s="158"/>
    </row>
    <row r="567" spans="1:10" ht="13.2">
      <c r="A567" s="157"/>
      <c r="B567" s="158"/>
      <c r="J567" s="158"/>
    </row>
    <row r="568" spans="1:10" ht="13.2">
      <c r="A568" s="157"/>
      <c r="B568" s="158"/>
      <c r="J568" s="158"/>
    </row>
    <row r="569" spans="1:10" ht="13.2">
      <c r="A569" s="157"/>
      <c r="B569" s="158"/>
      <c r="J569" s="158"/>
    </row>
    <row r="570" spans="1:10" ht="13.2">
      <c r="A570" s="157"/>
      <c r="B570" s="158"/>
      <c r="J570" s="158"/>
    </row>
    <row r="571" spans="1:10" ht="13.2">
      <c r="A571" s="157"/>
      <c r="B571" s="158"/>
      <c r="J571" s="158"/>
    </row>
    <row r="572" spans="1:10" ht="13.2">
      <c r="A572" s="157"/>
      <c r="B572" s="158"/>
      <c r="J572" s="158"/>
    </row>
    <row r="573" spans="1:10" ht="13.2">
      <c r="A573" s="157"/>
      <c r="B573" s="158"/>
      <c r="J573" s="158"/>
    </row>
    <row r="574" spans="1:10" ht="13.2">
      <c r="A574" s="157"/>
      <c r="B574" s="158"/>
      <c r="J574" s="158"/>
    </row>
    <row r="575" spans="1:10" ht="13.2">
      <c r="A575" s="157"/>
      <c r="B575" s="158"/>
      <c r="J575" s="158"/>
    </row>
    <row r="576" spans="1:10" ht="13.2">
      <c r="A576" s="157"/>
      <c r="B576" s="158"/>
      <c r="J576" s="158"/>
    </row>
    <row r="577" spans="1:10" ht="13.2">
      <c r="A577" s="157"/>
      <c r="B577" s="158"/>
      <c r="J577" s="158"/>
    </row>
    <row r="578" spans="1:10" ht="13.2">
      <c r="A578" s="157"/>
      <c r="B578" s="158"/>
      <c r="J578" s="158"/>
    </row>
    <row r="579" spans="1:10" ht="13.2">
      <c r="A579" s="157"/>
      <c r="B579" s="158"/>
      <c r="J579" s="158"/>
    </row>
    <row r="580" spans="1:10" ht="13.2">
      <c r="A580" s="157"/>
      <c r="B580" s="158"/>
      <c r="J580" s="158"/>
    </row>
    <row r="581" spans="1:10" ht="13.2">
      <c r="A581" s="157"/>
      <c r="B581" s="158"/>
      <c r="J581" s="158"/>
    </row>
    <row r="582" spans="1:10" ht="13.2">
      <c r="A582" s="157"/>
      <c r="B582" s="158"/>
      <c r="J582" s="158"/>
    </row>
    <row r="583" spans="1:10" ht="13.2">
      <c r="A583" s="157"/>
      <c r="B583" s="158"/>
      <c r="J583" s="158"/>
    </row>
    <row r="584" spans="1:10" ht="13.2">
      <c r="A584" s="157"/>
      <c r="B584" s="158"/>
      <c r="J584" s="158"/>
    </row>
    <row r="585" spans="1:10" ht="13.2">
      <c r="A585" s="157"/>
      <c r="B585" s="158"/>
      <c r="J585" s="158"/>
    </row>
    <row r="586" spans="1:10" ht="13.2">
      <c r="A586" s="157"/>
      <c r="B586" s="158"/>
      <c r="J586" s="158"/>
    </row>
    <row r="587" spans="1:10" ht="13.2">
      <c r="A587" s="157"/>
      <c r="B587" s="158"/>
      <c r="J587" s="158"/>
    </row>
    <row r="588" spans="1:10" ht="13.2">
      <c r="A588" s="157"/>
      <c r="B588" s="158"/>
      <c r="J588" s="158"/>
    </row>
    <row r="589" spans="1:10" ht="13.2">
      <c r="A589" s="157"/>
      <c r="B589" s="158"/>
      <c r="J589" s="158"/>
    </row>
    <row r="590" spans="1:10" ht="13.2">
      <c r="A590" s="157"/>
      <c r="B590" s="158"/>
      <c r="J590" s="158"/>
    </row>
    <row r="591" spans="1:10" ht="13.2">
      <c r="A591" s="157"/>
      <c r="B591" s="158"/>
      <c r="J591" s="158"/>
    </row>
    <row r="592" spans="1:10" ht="13.2">
      <c r="A592" s="157"/>
      <c r="B592" s="158"/>
      <c r="J592" s="158"/>
    </row>
    <row r="593" spans="1:10" ht="13.2">
      <c r="A593" s="157"/>
      <c r="B593" s="158"/>
      <c r="J593" s="158"/>
    </row>
    <row r="594" spans="1:10" ht="13.2">
      <c r="A594" s="157"/>
      <c r="B594" s="158"/>
      <c r="J594" s="158"/>
    </row>
    <row r="595" spans="1:10" ht="13.2">
      <c r="A595" s="157"/>
      <c r="B595" s="158"/>
      <c r="J595" s="158"/>
    </row>
    <row r="596" spans="1:10" ht="13.2">
      <c r="A596" s="157"/>
      <c r="B596" s="158"/>
      <c r="J596" s="158"/>
    </row>
    <row r="597" spans="1:10" ht="13.2">
      <c r="A597" s="157"/>
      <c r="B597" s="158"/>
      <c r="J597" s="158"/>
    </row>
    <row r="598" spans="1:10" ht="13.2">
      <c r="A598" s="157"/>
      <c r="B598" s="158"/>
      <c r="J598" s="158"/>
    </row>
    <row r="599" spans="1:10" ht="13.2">
      <c r="A599" s="157"/>
      <c r="B599" s="158"/>
      <c r="J599" s="158"/>
    </row>
    <row r="600" spans="1:10" ht="13.2">
      <c r="A600" s="157"/>
      <c r="B600" s="158"/>
      <c r="J600" s="158"/>
    </row>
    <row r="601" spans="1:10" ht="13.2">
      <c r="A601" s="157"/>
      <c r="B601" s="158"/>
      <c r="J601" s="158"/>
    </row>
    <row r="602" spans="1:10" ht="13.2">
      <c r="A602" s="157"/>
      <c r="B602" s="158"/>
      <c r="J602" s="158"/>
    </row>
    <row r="603" spans="1:10" ht="13.2">
      <c r="A603" s="157"/>
      <c r="B603" s="158"/>
      <c r="J603" s="158"/>
    </row>
    <row r="604" spans="1:10" ht="13.2">
      <c r="A604" s="157"/>
      <c r="B604" s="158"/>
      <c r="J604" s="158"/>
    </row>
    <row r="605" spans="1:10" ht="13.2">
      <c r="A605" s="157"/>
      <c r="B605" s="158"/>
      <c r="J605" s="158"/>
    </row>
    <row r="606" spans="1:10" ht="13.2">
      <c r="A606" s="157"/>
      <c r="B606" s="158"/>
      <c r="J606" s="158"/>
    </row>
    <row r="607" spans="1:10" ht="13.2">
      <c r="A607" s="157"/>
      <c r="B607" s="158"/>
      <c r="J607" s="158"/>
    </row>
    <row r="608" spans="1:10" ht="13.2">
      <c r="A608" s="157"/>
      <c r="B608" s="158"/>
      <c r="J608" s="158"/>
    </row>
    <row r="609" spans="1:10" ht="13.2">
      <c r="A609" s="157"/>
      <c r="B609" s="158"/>
      <c r="J609" s="158"/>
    </row>
    <row r="610" spans="1:10" ht="13.2">
      <c r="A610" s="157"/>
      <c r="B610" s="158"/>
      <c r="J610" s="158"/>
    </row>
    <row r="611" spans="1:10" ht="13.2">
      <c r="A611" s="157"/>
      <c r="B611" s="158"/>
      <c r="J611" s="158"/>
    </row>
    <row r="612" spans="1:10" ht="13.2">
      <c r="A612" s="157"/>
      <c r="B612" s="158"/>
      <c r="J612" s="158"/>
    </row>
    <row r="613" spans="1:10" ht="13.2">
      <c r="A613" s="157"/>
      <c r="B613" s="158"/>
      <c r="J613" s="158"/>
    </row>
    <row r="614" spans="1:10" ht="13.2">
      <c r="A614" s="157"/>
      <c r="B614" s="158"/>
      <c r="J614" s="158"/>
    </row>
    <row r="615" spans="1:10" ht="13.2">
      <c r="A615" s="157"/>
      <c r="B615" s="158"/>
      <c r="J615" s="158"/>
    </row>
    <row r="616" spans="1:10" ht="13.2">
      <c r="A616" s="157"/>
      <c r="B616" s="158"/>
      <c r="J616" s="158"/>
    </row>
    <row r="617" spans="1:10" ht="13.2">
      <c r="A617" s="157"/>
      <c r="B617" s="158"/>
      <c r="J617" s="158"/>
    </row>
    <row r="618" spans="1:10" ht="13.2">
      <c r="A618" s="157"/>
      <c r="B618" s="158"/>
      <c r="J618" s="158"/>
    </row>
    <row r="619" spans="1:10" ht="13.2">
      <c r="A619" s="157"/>
      <c r="B619" s="158"/>
      <c r="J619" s="158"/>
    </row>
    <row r="620" spans="1:10" ht="13.2">
      <c r="A620" s="157"/>
      <c r="B620" s="158"/>
      <c r="J620" s="158"/>
    </row>
    <row r="621" spans="1:10" ht="13.2">
      <c r="A621" s="157"/>
      <c r="B621" s="158"/>
      <c r="J621" s="158"/>
    </row>
    <row r="622" spans="1:10" ht="13.2">
      <c r="A622" s="157"/>
      <c r="B622" s="158"/>
      <c r="J622" s="158"/>
    </row>
    <row r="623" spans="1:10" ht="13.2">
      <c r="A623" s="157"/>
      <c r="B623" s="158"/>
      <c r="J623" s="158"/>
    </row>
    <row r="624" spans="1:10" ht="13.2">
      <c r="A624" s="157"/>
      <c r="B624" s="158"/>
      <c r="J624" s="158"/>
    </row>
    <row r="625" spans="1:10" ht="13.2">
      <c r="A625" s="157"/>
      <c r="B625" s="158"/>
      <c r="J625" s="158"/>
    </row>
    <row r="626" spans="1:10" ht="13.2">
      <c r="A626" s="157"/>
      <c r="B626" s="158"/>
      <c r="J626" s="158"/>
    </row>
    <row r="627" spans="1:10" ht="13.2">
      <c r="A627" s="157"/>
      <c r="B627" s="158"/>
      <c r="J627" s="158"/>
    </row>
    <row r="628" spans="1:10" ht="13.2">
      <c r="A628" s="157"/>
      <c r="B628" s="158"/>
      <c r="J628" s="158"/>
    </row>
    <row r="629" spans="1:10" ht="13.2">
      <c r="A629" s="157"/>
      <c r="B629" s="158"/>
      <c r="J629" s="158"/>
    </row>
    <row r="630" spans="1:10" ht="13.2">
      <c r="A630" s="157"/>
      <c r="B630" s="158"/>
      <c r="J630" s="158"/>
    </row>
    <row r="631" spans="1:10" ht="13.2">
      <c r="A631" s="157"/>
      <c r="B631" s="158"/>
      <c r="J631" s="158"/>
    </row>
    <row r="632" spans="1:10" ht="13.2">
      <c r="A632" s="157"/>
      <c r="B632" s="158"/>
      <c r="J632" s="158"/>
    </row>
    <row r="633" spans="1:10" ht="13.2">
      <c r="A633" s="157"/>
      <c r="B633" s="158"/>
      <c r="J633" s="158"/>
    </row>
    <row r="634" spans="1:10" ht="13.2">
      <c r="A634" s="157"/>
      <c r="B634" s="158"/>
      <c r="J634" s="158"/>
    </row>
    <row r="635" spans="1:10" ht="13.2">
      <c r="A635" s="157"/>
      <c r="B635" s="158"/>
      <c r="J635" s="158"/>
    </row>
    <row r="636" spans="1:10" ht="13.2">
      <c r="A636" s="157"/>
      <c r="B636" s="158"/>
      <c r="J636" s="158"/>
    </row>
    <row r="637" spans="1:10" ht="13.2">
      <c r="A637" s="157"/>
      <c r="B637" s="158"/>
      <c r="J637" s="158"/>
    </row>
    <row r="638" spans="1:10" ht="13.2">
      <c r="A638" s="157"/>
      <c r="B638" s="158"/>
      <c r="J638" s="158"/>
    </row>
    <row r="639" spans="1:10" ht="13.2">
      <c r="A639" s="157"/>
      <c r="B639" s="158"/>
      <c r="J639" s="158"/>
    </row>
    <row r="640" spans="1:10" ht="13.2">
      <c r="A640" s="157"/>
      <c r="B640" s="158"/>
      <c r="J640" s="158"/>
    </row>
    <row r="641" spans="1:10" ht="13.2">
      <c r="A641" s="157"/>
      <c r="B641" s="158"/>
      <c r="J641" s="158"/>
    </row>
    <row r="642" spans="1:10" ht="13.2">
      <c r="A642" s="157"/>
      <c r="B642" s="158"/>
      <c r="J642" s="158"/>
    </row>
    <row r="643" spans="1:10" ht="13.2">
      <c r="A643" s="157"/>
      <c r="B643" s="158"/>
      <c r="J643" s="158"/>
    </row>
    <row r="644" spans="1:10" ht="13.2">
      <c r="A644" s="157"/>
      <c r="B644" s="158"/>
      <c r="J644" s="158"/>
    </row>
    <row r="645" spans="1:10" ht="13.2">
      <c r="A645" s="157"/>
      <c r="B645" s="158"/>
      <c r="J645" s="158"/>
    </row>
    <row r="646" spans="1:10" ht="13.2">
      <c r="A646" s="157"/>
      <c r="B646" s="158"/>
      <c r="J646" s="158"/>
    </row>
    <row r="647" spans="1:10" ht="13.2">
      <c r="A647" s="157"/>
      <c r="B647" s="158"/>
      <c r="J647" s="158"/>
    </row>
    <row r="648" spans="1:10" ht="13.2">
      <c r="A648" s="157"/>
      <c r="B648" s="158"/>
      <c r="J648" s="158"/>
    </row>
    <row r="649" spans="1:10" ht="13.2">
      <c r="A649" s="157"/>
      <c r="B649" s="158"/>
      <c r="J649" s="158"/>
    </row>
    <row r="650" spans="1:10" ht="13.2">
      <c r="A650" s="157"/>
      <c r="B650" s="158"/>
      <c r="J650" s="158"/>
    </row>
    <row r="651" spans="1:10" ht="13.2">
      <c r="A651" s="157"/>
      <c r="B651" s="158"/>
      <c r="J651" s="158"/>
    </row>
    <row r="652" spans="1:10" ht="13.2">
      <c r="A652" s="157"/>
      <c r="B652" s="158"/>
      <c r="J652" s="158"/>
    </row>
    <row r="653" spans="1:10" ht="13.2">
      <c r="A653" s="157"/>
      <c r="B653" s="158"/>
      <c r="J653" s="158"/>
    </row>
    <row r="654" spans="1:10" ht="13.2">
      <c r="A654" s="157"/>
      <c r="B654" s="158"/>
      <c r="J654" s="158"/>
    </row>
    <row r="655" spans="1:10" ht="13.2">
      <c r="A655" s="157"/>
      <c r="B655" s="158"/>
      <c r="J655" s="158"/>
    </row>
    <row r="656" spans="1:10" ht="13.2">
      <c r="A656" s="157"/>
      <c r="B656" s="158"/>
      <c r="J656" s="158"/>
    </row>
    <row r="657" spans="1:10" ht="13.2">
      <c r="A657" s="157"/>
      <c r="B657" s="158"/>
      <c r="J657" s="158"/>
    </row>
    <row r="658" spans="1:10" ht="13.2">
      <c r="A658" s="157"/>
      <c r="B658" s="158"/>
      <c r="J658" s="158"/>
    </row>
    <row r="659" spans="1:10" ht="13.2">
      <c r="A659" s="157"/>
      <c r="B659" s="158"/>
      <c r="J659" s="158"/>
    </row>
    <row r="660" spans="1:10" ht="13.2">
      <c r="A660" s="157"/>
      <c r="B660" s="158"/>
      <c r="J660" s="158"/>
    </row>
    <row r="661" spans="1:10" ht="13.2">
      <c r="A661" s="157"/>
      <c r="B661" s="158"/>
      <c r="J661" s="158"/>
    </row>
    <row r="662" spans="1:10" ht="13.2">
      <c r="A662" s="157"/>
      <c r="B662" s="158"/>
      <c r="J662" s="158"/>
    </row>
    <row r="663" spans="1:10" ht="13.2">
      <c r="A663" s="157"/>
      <c r="B663" s="158"/>
      <c r="J663" s="158"/>
    </row>
    <row r="664" spans="1:10" ht="13.2">
      <c r="A664" s="157"/>
      <c r="B664" s="158"/>
      <c r="J664" s="158"/>
    </row>
    <row r="665" spans="1:10" ht="13.2">
      <c r="A665" s="157"/>
      <c r="B665" s="158"/>
      <c r="J665" s="158"/>
    </row>
    <row r="666" spans="1:10" ht="13.2">
      <c r="A666" s="157"/>
      <c r="B666" s="158"/>
      <c r="J666" s="158"/>
    </row>
    <row r="667" spans="1:10" ht="13.2">
      <c r="A667" s="157"/>
      <c r="B667" s="158"/>
      <c r="J667" s="158"/>
    </row>
    <row r="668" spans="1:10" ht="13.2">
      <c r="A668" s="157"/>
      <c r="B668" s="158"/>
      <c r="J668" s="158"/>
    </row>
    <row r="669" spans="1:10" ht="13.2">
      <c r="A669" s="157"/>
      <c r="B669" s="158"/>
      <c r="J669" s="158"/>
    </row>
    <row r="670" spans="1:10" ht="13.2">
      <c r="A670" s="157"/>
      <c r="B670" s="158"/>
      <c r="J670" s="158"/>
    </row>
    <row r="671" spans="1:10" ht="13.2">
      <c r="A671" s="157"/>
      <c r="B671" s="158"/>
      <c r="J671" s="158"/>
    </row>
    <row r="672" spans="1:10" ht="13.2">
      <c r="A672" s="157"/>
      <c r="B672" s="158"/>
      <c r="J672" s="158"/>
    </row>
    <row r="673" spans="1:10" ht="13.2">
      <c r="A673" s="157"/>
      <c r="B673" s="158"/>
      <c r="J673" s="158"/>
    </row>
    <row r="674" spans="1:10" ht="13.2">
      <c r="A674" s="157"/>
      <c r="B674" s="158"/>
      <c r="J674" s="158"/>
    </row>
    <row r="675" spans="1:10" ht="13.2">
      <c r="A675" s="157"/>
      <c r="B675" s="158"/>
      <c r="J675" s="158"/>
    </row>
    <row r="676" spans="1:10" ht="13.2">
      <c r="A676" s="157"/>
      <c r="B676" s="158"/>
      <c r="J676" s="158"/>
    </row>
    <row r="677" spans="1:10" ht="13.2">
      <c r="A677" s="157"/>
      <c r="B677" s="158"/>
      <c r="J677" s="158"/>
    </row>
    <row r="678" spans="1:10" ht="13.2">
      <c r="A678" s="157"/>
      <c r="B678" s="158"/>
      <c r="J678" s="158"/>
    </row>
    <row r="679" spans="1:10" ht="13.2">
      <c r="A679" s="157"/>
      <c r="B679" s="158"/>
      <c r="J679" s="158"/>
    </row>
    <row r="680" spans="1:10" ht="13.2">
      <c r="A680" s="157"/>
      <c r="B680" s="158"/>
      <c r="J680" s="158"/>
    </row>
    <row r="681" spans="1:10" ht="13.2">
      <c r="A681" s="157"/>
      <c r="B681" s="158"/>
      <c r="J681" s="158"/>
    </row>
    <row r="682" spans="1:10" ht="13.2">
      <c r="A682" s="157"/>
      <c r="B682" s="158"/>
      <c r="J682" s="158"/>
    </row>
    <row r="683" spans="1:10" ht="13.2">
      <c r="A683" s="157"/>
      <c r="B683" s="158"/>
      <c r="J683" s="158"/>
    </row>
    <row r="684" spans="1:10" ht="13.2">
      <c r="A684" s="157"/>
      <c r="B684" s="158"/>
      <c r="J684" s="158"/>
    </row>
    <row r="685" spans="1:10" ht="13.2">
      <c r="A685" s="157"/>
      <c r="B685" s="158"/>
      <c r="J685" s="158"/>
    </row>
    <row r="686" spans="1:10" ht="13.2">
      <c r="A686" s="157"/>
      <c r="B686" s="158"/>
      <c r="J686" s="158"/>
    </row>
    <row r="687" spans="1:10" ht="13.2">
      <c r="A687" s="157"/>
      <c r="B687" s="158"/>
      <c r="J687" s="158"/>
    </row>
    <row r="688" spans="1:10" ht="13.2">
      <c r="A688" s="157"/>
      <c r="B688" s="158"/>
      <c r="J688" s="158"/>
    </row>
    <row r="689" spans="1:10" ht="13.2">
      <c r="A689" s="157"/>
      <c r="B689" s="158"/>
      <c r="J689" s="158"/>
    </row>
    <row r="690" spans="1:10" ht="13.2">
      <c r="A690" s="157"/>
      <c r="B690" s="158"/>
      <c r="J690" s="158"/>
    </row>
    <row r="691" spans="1:10" ht="13.2">
      <c r="A691" s="157"/>
      <c r="B691" s="158"/>
      <c r="J691" s="158"/>
    </row>
    <row r="692" spans="1:10" ht="13.2">
      <c r="A692" s="157"/>
      <c r="B692" s="158"/>
      <c r="J692" s="158"/>
    </row>
    <row r="693" spans="1:10" ht="13.2">
      <c r="A693" s="157"/>
      <c r="B693" s="158"/>
      <c r="J693" s="158"/>
    </row>
    <row r="694" spans="1:10" ht="13.2">
      <c r="A694" s="157"/>
      <c r="B694" s="158"/>
      <c r="J694" s="158"/>
    </row>
    <row r="695" spans="1:10" ht="13.2">
      <c r="A695" s="157"/>
      <c r="B695" s="158"/>
      <c r="J695" s="158"/>
    </row>
    <row r="696" spans="1:10" ht="13.2">
      <c r="A696" s="157"/>
      <c r="B696" s="158"/>
      <c r="J696" s="158"/>
    </row>
    <row r="697" spans="1:10" ht="13.2">
      <c r="A697" s="157"/>
      <c r="B697" s="158"/>
      <c r="J697" s="158"/>
    </row>
    <row r="698" spans="1:10" ht="13.2">
      <c r="A698" s="157"/>
      <c r="B698" s="158"/>
      <c r="J698" s="158"/>
    </row>
    <row r="699" spans="1:10" ht="13.2">
      <c r="A699" s="157"/>
      <c r="B699" s="158"/>
      <c r="J699" s="158"/>
    </row>
    <row r="700" spans="1:10" ht="13.2">
      <c r="A700" s="157"/>
      <c r="B700" s="158"/>
      <c r="J700" s="158"/>
    </row>
    <row r="701" spans="1:10" ht="13.2">
      <c r="A701" s="157"/>
      <c r="B701" s="158"/>
      <c r="J701" s="158"/>
    </row>
    <row r="702" spans="1:10" ht="13.2">
      <c r="A702" s="157"/>
      <c r="B702" s="158"/>
      <c r="J702" s="158"/>
    </row>
    <row r="703" spans="1:10" ht="13.2">
      <c r="A703" s="157"/>
      <c r="B703" s="158"/>
      <c r="J703" s="158"/>
    </row>
    <row r="704" spans="1:10" ht="13.2">
      <c r="A704" s="157"/>
      <c r="B704" s="158"/>
      <c r="J704" s="158"/>
    </row>
    <row r="705" spans="1:10" ht="13.2">
      <c r="A705" s="157"/>
      <c r="B705" s="158"/>
      <c r="J705" s="158"/>
    </row>
    <row r="706" spans="1:10" ht="13.2">
      <c r="A706" s="157"/>
      <c r="B706" s="158"/>
      <c r="J706" s="158"/>
    </row>
    <row r="707" spans="1:10" ht="13.2">
      <c r="A707" s="157"/>
      <c r="B707" s="158"/>
      <c r="J707" s="158"/>
    </row>
    <row r="708" spans="1:10" ht="13.2">
      <c r="A708" s="157"/>
      <c r="B708" s="158"/>
      <c r="J708" s="158"/>
    </row>
    <row r="709" spans="1:10" ht="13.2">
      <c r="A709" s="157"/>
      <c r="B709" s="158"/>
      <c r="J709" s="158"/>
    </row>
    <row r="710" spans="1:10" ht="13.2">
      <c r="A710" s="157"/>
      <c r="B710" s="158"/>
      <c r="J710" s="158"/>
    </row>
    <row r="711" spans="1:10" ht="13.2">
      <c r="A711" s="157"/>
      <c r="B711" s="158"/>
      <c r="J711" s="158"/>
    </row>
    <row r="712" spans="1:10" ht="13.2">
      <c r="A712" s="157"/>
      <c r="B712" s="158"/>
      <c r="J712" s="158"/>
    </row>
    <row r="713" spans="1:10" ht="13.2">
      <c r="A713" s="157"/>
      <c r="B713" s="158"/>
      <c r="J713" s="158"/>
    </row>
    <row r="714" spans="1:10" ht="13.2">
      <c r="A714" s="157"/>
      <c r="B714" s="158"/>
      <c r="J714" s="158"/>
    </row>
    <row r="715" spans="1:10" ht="13.2">
      <c r="A715" s="157"/>
      <c r="B715" s="158"/>
      <c r="J715" s="158"/>
    </row>
    <row r="716" spans="1:10" ht="13.2">
      <c r="A716" s="157"/>
      <c r="B716" s="158"/>
      <c r="J716" s="158"/>
    </row>
    <row r="717" spans="1:10" ht="13.2">
      <c r="A717" s="157"/>
      <c r="B717" s="158"/>
      <c r="J717" s="158"/>
    </row>
    <row r="718" spans="1:10" ht="13.2">
      <c r="A718" s="157"/>
      <c r="B718" s="158"/>
      <c r="J718" s="158"/>
    </row>
    <row r="719" spans="1:10" ht="13.2">
      <c r="A719" s="157"/>
      <c r="B719" s="158"/>
      <c r="J719" s="158"/>
    </row>
    <row r="720" spans="1:10" ht="13.2">
      <c r="A720" s="157"/>
      <c r="B720" s="158"/>
      <c r="J720" s="158"/>
    </row>
    <row r="721" spans="1:10" ht="13.2">
      <c r="A721" s="157"/>
      <c r="B721" s="158"/>
      <c r="J721" s="158"/>
    </row>
    <row r="722" spans="1:10" ht="13.2">
      <c r="A722" s="157"/>
      <c r="B722" s="158"/>
      <c r="J722" s="158"/>
    </row>
    <row r="723" spans="1:10" ht="13.2">
      <c r="A723" s="157"/>
      <c r="B723" s="158"/>
      <c r="J723" s="158"/>
    </row>
    <row r="724" spans="1:10" ht="13.2">
      <c r="A724" s="157"/>
      <c r="B724" s="158"/>
      <c r="J724" s="158"/>
    </row>
    <row r="725" spans="1:10" ht="13.2">
      <c r="A725" s="157"/>
      <c r="B725" s="158"/>
      <c r="J725" s="158"/>
    </row>
    <row r="726" spans="1:10" ht="13.2">
      <c r="A726" s="157"/>
      <c r="B726" s="158"/>
      <c r="J726" s="158"/>
    </row>
    <row r="727" spans="1:10" ht="13.2">
      <c r="A727" s="157"/>
      <c r="B727" s="158"/>
      <c r="J727" s="158"/>
    </row>
    <row r="728" spans="1:10" ht="13.2">
      <c r="A728" s="157"/>
      <c r="B728" s="158"/>
      <c r="J728" s="158"/>
    </row>
    <row r="729" spans="1:10" ht="13.2">
      <c r="A729" s="157"/>
      <c r="B729" s="158"/>
      <c r="J729" s="158"/>
    </row>
    <row r="730" spans="1:10" ht="13.2">
      <c r="A730" s="157"/>
      <c r="B730" s="158"/>
      <c r="J730" s="158"/>
    </row>
    <row r="731" spans="1:10" ht="13.2">
      <c r="A731" s="157"/>
      <c r="B731" s="158"/>
      <c r="J731" s="158"/>
    </row>
    <row r="732" spans="1:10" ht="13.2">
      <c r="A732" s="157"/>
      <c r="B732" s="158"/>
      <c r="J732" s="158"/>
    </row>
    <row r="733" spans="1:10" ht="13.2">
      <c r="A733" s="157"/>
      <c r="B733" s="158"/>
      <c r="J733" s="158"/>
    </row>
    <row r="734" spans="1:10" ht="13.2">
      <c r="A734" s="157"/>
      <c r="B734" s="158"/>
      <c r="J734" s="158"/>
    </row>
    <row r="735" spans="1:10" ht="13.2">
      <c r="A735" s="157"/>
      <c r="B735" s="158"/>
      <c r="J735" s="158"/>
    </row>
    <row r="736" spans="1:10" ht="13.2">
      <c r="A736" s="157"/>
      <c r="B736" s="158"/>
      <c r="J736" s="158"/>
    </row>
    <row r="737" spans="1:10" ht="13.2">
      <c r="A737" s="157"/>
      <c r="B737" s="158"/>
      <c r="J737" s="158"/>
    </row>
    <row r="738" spans="1:10" ht="13.2">
      <c r="A738" s="157"/>
      <c r="B738" s="158"/>
      <c r="J738" s="158"/>
    </row>
    <row r="739" spans="1:10" ht="13.2">
      <c r="A739" s="157"/>
      <c r="B739" s="158"/>
      <c r="J739" s="158"/>
    </row>
    <row r="740" spans="1:10" ht="13.2">
      <c r="A740" s="157"/>
      <c r="B740" s="158"/>
      <c r="J740" s="158"/>
    </row>
    <row r="741" spans="1:10" ht="13.2">
      <c r="A741" s="157"/>
      <c r="B741" s="158"/>
      <c r="J741" s="158"/>
    </row>
    <row r="742" spans="1:10" ht="13.2">
      <c r="A742" s="157"/>
      <c r="B742" s="158"/>
      <c r="J742" s="158"/>
    </row>
    <row r="743" spans="1:10" ht="13.2">
      <c r="A743" s="157"/>
      <c r="B743" s="158"/>
      <c r="J743" s="158"/>
    </row>
    <row r="744" spans="1:10" ht="13.2">
      <c r="A744" s="157"/>
      <c r="B744" s="158"/>
      <c r="J744" s="158"/>
    </row>
    <row r="745" spans="1:10" ht="13.2">
      <c r="A745" s="157"/>
      <c r="B745" s="158"/>
      <c r="J745" s="158"/>
    </row>
    <row r="746" spans="1:10" ht="13.2">
      <c r="A746" s="157"/>
      <c r="B746" s="158"/>
      <c r="J746" s="158"/>
    </row>
    <row r="747" spans="1:10" ht="13.2">
      <c r="A747" s="157"/>
      <c r="B747" s="158"/>
      <c r="J747" s="158"/>
    </row>
    <row r="748" spans="1:10" ht="13.2">
      <c r="A748" s="157"/>
      <c r="B748" s="158"/>
      <c r="J748" s="158"/>
    </row>
    <row r="749" spans="1:10" ht="13.2">
      <c r="A749" s="157"/>
      <c r="B749" s="158"/>
      <c r="J749" s="158"/>
    </row>
    <row r="750" spans="1:10" ht="13.2">
      <c r="A750" s="157"/>
      <c r="B750" s="158"/>
      <c r="J750" s="158"/>
    </row>
    <row r="751" spans="1:10" ht="13.2">
      <c r="A751" s="157"/>
      <c r="B751" s="158"/>
      <c r="J751" s="158"/>
    </row>
    <row r="752" spans="1:10" ht="13.2">
      <c r="A752" s="157"/>
      <c r="B752" s="158"/>
      <c r="J752" s="158"/>
    </row>
    <row r="753" spans="1:10" ht="13.2">
      <c r="A753" s="157"/>
      <c r="B753" s="158"/>
      <c r="J753" s="158"/>
    </row>
    <row r="754" spans="1:10" ht="13.2">
      <c r="A754" s="157"/>
      <c r="B754" s="158"/>
      <c r="J754" s="158"/>
    </row>
    <row r="755" spans="1:10" ht="13.2">
      <c r="A755" s="157"/>
      <c r="B755" s="158"/>
      <c r="J755" s="158"/>
    </row>
    <row r="756" spans="1:10" ht="13.2">
      <c r="A756" s="157"/>
      <c r="B756" s="158"/>
      <c r="J756" s="158"/>
    </row>
    <row r="757" spans="1:10" ht="13.2">
      <c r="A757" s="157"/>
      <c r="B757" s="158"/>
      <c r="J757" s="158"/>
    </row>
    <row r="758" spans="1:10" ht="13.2">
      <c r="A758" s="157"/>
      <c r="B758" s="158"/>
      <c r="J758" s="158"/>
    </row>
    <row r="759" spans="1:10" ht="13.2">
      <c r="A759" s="157"/>
      <c r="B759" s="158"/>
      <c r="J759" s="158"/>
    </row>
    <row r="760" spans="1:10" ht="13.2">
      <c r="A760" s="157"/>
      <c r="B760" s="158"/>
      <c r="J760" s="158"/>
    </row>
    <row r="761" spans="1:10" ht="13.2">
      <c r="A761" s="157"/>
      <c r="B761" s="158"/>
      <c r="J761" s="158"/>
    </row>
    <row r="762" spans="1:10" ht="13.2">
      <c r="A762" s="157"/>
      <c r="B762" s="158"/>
      <c r="J762" s="158"/>
    </row>
    <row r="763" spans="1:10" ht="13.2">
      <c r="A763" s="157"/>
      <c r="B763" s="158"/>
      <c r="J763" s="158"/>
    </row>
    <row r="764" spans="1:10" ht="13.2">
      <c r="A764" s="157"/>
      <c r="B764" s="158"/>
      <c r="J764" s="158"/>
    </row>
    <row r="765" spans="1:10" ht="13.2">
      <c r="A765" s="157"/>
      <c r="B765" s="158"/>
      <c r="J765" s="158"/>
    </row>
    <row r="766" spans="1:10" ht="13.2">
      <c r="A766" s="157"/>
      <c r="B766" s="158"/>
      <c r="J766" s="158"/>
    </row>
    <row r="767" spans="1:10" ht="13.2">
      <c r="A767" s="157"/>
      <c r="B767" s="158"/>
      <c r="J767" s="158"/>
    </row>
    <row r="768" spans="1:10" ht="13.2">
      <c r="A768" s="157"/>
      <c r="B768" s="158"/>
      <c r="J768" s="158"/>
    </row>
    <row r="769" spans="1:10" ht="13.2">
      <c r="A769" s="157"/>
      <c r="B769" s="158"/>
      <c r="J769" s="158"/>
    </row>
    <row r="770" spans="1:10" ht="13.2">
      <c r="A770" s="157"/>
      <c r="B770" s="158"/>
      <c r="J770" s="158"/>
    </row>
    <row r="771" spans="1:10" ht="13.2">
      <c r="A771" s="157"/>
      <c r="B771" s="158"/>
      <c r="J771" s="158"/>
    </row>
    <row r="772" spans="1:10" ht="13.2">
      <c r="A772" s="157"/>
      <c r="B772" s="158"/>
      <c r="J772" s="158"/>
    </row>
    <row r="773" spans="1:10" ht="13.2">
      <c r="A773" s="157"/>
      <c r="B773" s="158"/>
      <c r="J773" s="158"/>
    </row>
    <row r="774" spans="1:10" ht="13.2">
      <c r="A774" s="157"/>
      <c r="B774" s="158"/>
      <c r="J774" s="158"/>
    </row>
    <row r="775" spans="1:10" ht="13.2">
      <c r="A775" s="157"/>
      <c r="B775" s="158"/>
      <c r="J775" s="158"/>
    </row>
    <row r="776" spans="1:10" ht="13.2">
      <c r="A776" s="157"/>
      <c r="B776" s="158"/>
      <c r="J776" s="158"/>
    </row>
    <row r="777" spans="1:10" ht="13.2">
      <c r="A777" s="157"/>
      <c r="B777" s="158"/>
      <c r="J777" s="158"/>
    </row>
    <row r="778" spans="1:10" ht="13.2">
      <c r="A778" s="157"/>
      <c r="B778" s="158"/>
      <c r="J778" s="158"/>
    </row>
    <row r="779" spans="1:10" ht="13.2">
      <c r="A779" s="157"/>
      <c r="B779" s="158"/>
      <c r="J779" s="158"/>
    </row>
    <row r="780" spans="1:10" ht="13.2">
      <c r="A780" s="157"/>
      <c r="B780" s="158"/>
      <c r="J780" s="158"/>
    </row>
    <row r="781" spans="1:10" ht="13.2">
      <c r="A781" s="157"/>
      <c r="B781" s="158"/>
      <c r="J781" s="158"/>
    </row>
    <row r="782" spans="1:10" ht="13.2">
      <c r="A782" s="157"/>
      <c r="B782" s="158"/>
      <c r="J782" s="158"/>
    </row>
    <row r="783" spans="1:10" ht="13.2">
      <c r="A783" s="157"/>
      <c r="B783" s="158"/>
      <c r="J783" s="158"/>
    </row>
    <row r="784" spans="1:10" ht="13.2">
      <c r="A784" s="157"/>
      <c r="B784" s="158"/>
      <c r="J784" s="158"/>
    </row>
    <row r="785" spans="1:10" ht="13.2">
      <c r="A785" s="157"/>
      <c r="B785" s="158"/>
      <c r="J785" s="158"/>
    </row>
    <row r="786" spans="1:10" ht="13.2">
      <c r="A786" s="157"/>
      <c r="B786" s="158"/>
      <c r="J786" s="158"/>
    </row>
    <row r="787" spans="1:10" ht="13.2">
      <c r="A787" s="157"/>
      <c r="B787" s="158"/>
      <c r="J787" s="158"/>
    </row>
    <row r="788" spans="1:10" ht="13.2">
      <c r="A788" s="157"/>
      <c r="B788" s="158"/>
      <c r="J788" s="158"/>
    </row>
    <row r="789" spans="1:10" ht="13.2">
      <c r="A789" s="157"/>
      <c r="B789" s="158"/>
      <c r="J789" s="158"/>
    </row>
    <row r="790" spans="1:10" ht="13.2">
      <c r="A790" s="157"/>
      <c r="B790" s="158"/>
      <c r="J790" s="158"/>
    </row>
    <row r="791" spans="1:10" ht="13.2">
      <c r="A791" s="157"/>
      <c r="B791" s="158"/>
      <c r="J791" s="158"/>
    </row>
    <row r="792" spans="1:10" ht="13.2">
      <c r="A792" s="157"/>
      <c r="B792" s="158"/>
      <c r="J792" s="158"/>
    </row>
    <row r="793" spans="1:10" ht="13.2">
      <c r="A793" s="157"/>
      <c r="B793" s="158"/>
      <c r="J793" s="158"/>
    </row>
    <row r="794" spans="1:10" ht="13.2">
      <c r="A794" s="157"/>
      <c r="B794" s="158"/>
      <c r="J794" s="158"/>
    </row>
    <row r="795" spans="1:10" ht="13.2">
      <c r="A795" s="157"/>
      <c r="B795" s="158"/>
      <c r="J795" s="158"/>
    </row>
    <row r="796" spans="1:10" ht="13.2">
      <c r="A796" s="157"/>
      <c r="B796" s="158"/>
      <c r="J796" s="158"/>
    </row>
    <row r="797" spans="1:10" ht="13.2">
      <c r="A797" s="157"/>
      <c r="B797" s="158"/>
      <c r="J797" s="158"/>
    </row>
    <row r="798" spans="1:10" ht="13.2">
      <c r="A798" s="157"/>
      <c r="B798" s="158"/>
      <c r="J798" s="158"/>
    </row>
    <row r="799" spans="1:10" ht="13.2">
      <c r="A799" s="157"/>
      <c r="B799" s="158"/>
      <c r="J799" s="158"/>
    </row>
    <row r="800" spans="1:10" ht="13.2">
      <c r="A800" s="157"/>
      <c r="B800" s="158"/>
      <c r="J800" s="158"/>
    </row>
    <row r="801" spans="1:10" ht="13.2">
      <c r="A801" s="157"/>
      <c r="B801" s="158"/>
      <c r="J801" s="158"/>
    </row>
    <row r="802" spans="1:10" ht="13.2">
      <c r="A802" s="157"/>
      <c r="B802" s="158"/>
      <c r="J802" s="158"/>
    </row>
    <row r="803" spans="1:10" ht="13.2">
      <c r="A803" s="157"/>
      <c r="B803" s="158"/>
      <c r="J803" s="158"/>
    </row>
    <row r="804" spans="1:10" ht="13.2">
      <c r="A804" s="157"/>
      <c r="B804" s="158"/>
      <c r="J804" s="158"/>
    </row>
    <row r="805" spans="1:10" ht="13.2">
      <c r="A805" s="157"/>
      <c r="B805" s="158"/>
      <c r="J805" s="158"/>
    </row>
    <row r="806" spans="1:10" ht="13.2">
      <c r="A806" s="157"/>
      <c r="B806" s="158"/>
      <c r="J806" s="158"/>
    </row>
    <row r="807" spans="1:10" ht="13.2">
      <c r="A807" s="157"/>
      <c r="B807" s="158"/>
      <c r="J807" s="158"/>
    </row>
    <row r="808" spans="1:10" ht="13.2">
      <c r="A808" s="157"/>
      <c r="B808" s="158"/>
      <c r="J808" s="158"/>
    </row>
    <row r="809" spans="1:10" ht="13.2">
      <c r="A809" s="157"/>
      <c r="B809" s="158"/>
      <c r="J809" s="158"/>
    </row>
    <row r="810" spans="1:10" ht="13.2">
      <c r="A810" s="157"/>
      <c r="B810" s="158"/>
      <c r="J810" s="158"/>
    </row>
    <row r="811" spans="1:10" ht="13.2">
      <c r="A811" s="157"/>
      <c r="B811" s="158"/>
      <c r="J811" s="158"/>
    </row>
    <row r="812" spans="1:10" ht="13.2">
      <c r="A812" s="157"/>
      <c r="B812" s="158"/>
      <c r="J812" s="158"/>
    </row>
    <row r="813" spans="1:10" ht="13.2">
      <c r="A813" s="157"/>
      <c r="B813" s="158"/>
      <c r="J813" s="158"/>
    </row>
    <row r="814" spans="1:10" ht="13.2">
      <c r="A814" s="157"/>
      <c r="B814" s="158"/>
      <c r="J814" s="158"/>
    </row>
    <row r="815" spans="1:10" ht="13.2">
      <c r="A815" s="157"/>
      <c r="B815" s="158"/>
      <c r="J815" s="158"/>
    </row>
    <row r="816" spans="1:10" ht="13.2">
      <c r="A816" s="157"/>
      <c r="B816" s="158"/>
      <c r="J816" s="158"/>
    </row>
    <row r="817" spans="1:10" ht="13.2">
      <c r="A817" s="157"/>
      <c r="B817" s="158"/>
      <c r="J817" s="158"/>
    </row>
    <row r="818" spans="1:10" ht="13.2">
      <c r="A818" s="157"/>
      <c r="B818" s="158"/>
      <c r="J818" s="158"/>
    </row>
    <row r="819" spans="1:10" ht="13.2">
      <c r="A819" s="157"/>
      <c r="B819" s="158"/>
      <c r="J819" s="158"/>
    </row>
    <row r="820" spans="1:10" ht="13.2">
      <c r="A820" s="157"/>
      <c r="B820" s="158"/>
      <c r="J820" s="158"/>
    </row>
    <row r="821" spans="1:10" ht="13.2">
      <c r="A821" s="157"/>
      <c r="B821" s="158"/>
      <c r="J821" s="158"/>
    </row>
    <row r="822" spans="1:10" ht="13.2">
      <c r="A822" s="157"/>
      <c r="B822" s="158"/>
      <c r="J822" s="158"/>
    </row>
    <row r="823" spans="1:10" ht="13.2">
      <c r="A823" s="157"/>
      <c r="B823" s="158"/>
      <c r="J823" s="158"/>
    </row>
    <row r="824" spans="1:10" ht="13.2">
      <c r="A824" s="157"/>
      <c r="B824" s="158"/>
      <c r="J824" s="158"/>
    </row>
    <row r="825" spans="1:10" ht="13.2">
      <c r="A825" s="157"/>
      <c r="B825" s="158"/>
      <c r="J825" s="158"/>
    </row>
    <row r="826" spans="1:10" ht="13.2">
      <c r="A826" s="157"/>
      <c r="B826" s="158"/>
      <c r="J826" s="158"/>
    </row>
    <row r="827" spans="1:10" ht="13.2">
      <c r="A827" s="157"/>
      <c r="B827" s="158"/>
      <c r="J827" s="158"/>
    </row>
    <row r="828" spans="1:10" ht="13.2">
      <c r="A828" s="157"/>
      <c r="B828" s="158"/>
      <c r="J828" s="158"/>
    </row>
    <row r="829" spans="1:10" ht="13.2">
      <c r="A829" s="157"/>
      <c r="B829" s="158"/>
      <c r="J829" s="158"/>
    </row>
    <row r="830" spans="1:10" ht="13.2">
      <c r="A830" s="157"/>
      <c r="B830" s="158"/>
      <c r="J830" s="158"/>
    </row>
    <row r="831" spans="1:10" ht="13.2">
      <c r="A831" s="157"/>
      <c r="B831" s="158"/>
      <c r="J831" s="158"/>
    </row>
    <row r="832" spans="1:10" ht="13.2">
      <c r="A832" s="157"/>
      <c r="B832" s="158"/>
      <c r="J832" s="158"/>
    </row>
    <row r="833" spans="1:10" ht="13.2">
      <c r="A833" s="157"/>
      <c r="B833" s="158"/>
      <c r="J833" s="158"/>
    </row>
    <row r="834" spans="1:10" ht="13.2">
      <c r="A834" s="157"/>
      <c r="B834" s="158"/>
      <c r="J834" s="158"/>
    </row>
    <row r="835" spans="1:10" ht="13.2">
      <c r="A835" s="157"/>
      <c r="B835" s="158"/>
      <c r="J835" s="158"/>
    </row>
    <row r="836" spans="1:10" ht="13.2">
      <c r="A836" s="157"/>
      <c r="B836" s="158"/>
      <c r="J836" s="158"/>
    </row>
    <row r="837" spans="1:10" ht="13.2">
      <c r="A837" s="157"/>
      <c r="B837" s="158"/>
      <c r="J837" s="158"/>
    </row>
    <row r="838" spans="1:10" ht="13.2">
      <c r="A838" s="157"/>
      <c r="B838" s="158"/>
      <c r="J838" s="158"/>
    </row>
    <row r="839" spans="1:10" ht="13.2">
      <c r="A839" s="157"/>
      <c r="B839" s="158"/>
      <c r="J839" s="158"/>
    </row>
    <row r="840" spans="1:10" ht="13.2">
      <c r="A840" s="157"/>
      <c r="B840" s="158"/>
      <c r="J840" s="158"/>
    </row>
    <row r="841" spans="1:10" ht="13.2">
      <c r="A841" s="157"/>
      <c r="B841" s="158"/>
      <c r="J841" s="158"/>
    </row>
    <row r="842" spans="1:10" ht="13.2">
      <c r="A842" s="157"/>
      <c r="B842" s="158"/>
      <c r="J842" s="158"/>
    </row>
    <row r="843" spans="1:10" ht="13.2">
      <c r="A843" s="157"/>
      <c r="B843" s="158"/>
      <c r="J843" s="158"/>
    </row>
    <row r="844" spans="1:10" ht="13.2">
      <c r="A844" s="157"/>
      <c r="B844" s="158"/>
      <c r="J844" s="158"/>
    </row>
    <row r="845" spans="1:10" ht="13.2">
      <c r="A845" s="157"/>
      <c r="B845" s="158"/>
      <c r="J845" s="158"/>
    </row>
    <row r="846" spans="1:10" ht="13.2">
      <c r="A846" s="157"/>
      <c r="B846" s="158"/>
      <c r="J846" s="158"/>
    </row>
    <row r="847" spans="1:10" ht="13.2">
      <c r="A847" s="157"/>
      <c r="B847" s="158"/>
      <c r="J847" s="158"/>
    </row>
    <row r="848" spans="1:10" ht="13.2">
      <c r="A848" s="157"/>
      <c r="B848" s="158"/>
      <c r="J848" s="158"/>
    </row>
    <row r="849" spans="1:10" ht="13.2">
      <c r="A849" s="157"/>
      <c r="B849" s="158"/>
      <c r="J849" s="158"/>
    </row>
    <row r="850" spans="1:10" ht="13.2">
      <c r="A850" s="157"/>
      <c r="B850" s="158"/>
      <c r="J850" s="158"/>
    </row>
    <row r="851" spans="1:10" ht="13.2">
      <c r="A851" s="157"/>
      <c r="B851" s="158"/>
      <c r="J851" s="158"/>
    </row>
    <row r="852" spans="1:10" ht="13.2">
      <c r="A852" s="157"/>
      <c r="B852" s="158"/>
      <c r="J852" s="158"/>
    </row>
    <row r="853" spans="1:10" ht="13.2">
      <c r="A853" s="157"/>
      <c r="B853" s="158"/>
      <c r="J853" s="158"/>
    </row>
    <row r="854" spans="1:10" ht="13.2">
      <c r="A854" s="157"/>
      <c r="B854" s="158"/>
      <c r="J854" s="158"/>
    </row>
    <row r="855" spans="1:10" ht="13.2">
      <c r="A855" s="157"/>
      <c r="B855" s="158"/>
      <c r="J855" s="158"/>
    </row>
    <row r="856" spans="1:10" ht="13.2">
      <c r="A856" s="157"/>
      <c r="B856" s="158"/>
      <c r="J856" s="158"/>
    </row>
    <row r="857" spans="1:10" ht="13.2">
      <c r="A857" s="157"/>
      <c r="B857" s="158"/>
      <c r="J857" s="158"/>
    </row>
    <row r="858" spans="1:10" ht="13.2">
      <c r="A858" s="157"/>
      <c r="B858" s="158"/>
      <c r="J858" s="158"/>
    </row>
    <row r="859" spans="1:10" ht="13.2">
      <c r="A859" s="157"/>
      <c r="B859" s="158"/>
      <c r="J859" s="158"/>
    </row>
    <row r="860" spans="1:10" ht="13.2">
      <c r="A860" s="157"/>
      <c r="B860" s="158"/>
      <c r="J860" s="158"/>
    </row>
    <row r="861" spans="1:10" ht="13.2">
      <c r="A861" s="157"/>
      <c r="B861" s="158"/>
      <c r="J861" s="158"/>
    </row>
    <row r="862" spans="1:10" ht="13.2">
      <c r="A862" s="157"/>
      <c r="B862" s="158"/>
      <c r="J862" s="158"/>
    </row>
    <row r="863" spans="1:10" ht="13.2">
      <c r="A863" s="157"/>
      <c r="B863" s="158"/>
      <c r="J863" s="158"/>
    </row>
    <row r="864" spans="1:10" ht="13.2">
      <c r="A864" s="157"/>
      <c r="B864" s="158"/>
      <c r="J864" s="158"/>
    </row>
    <row r="865" spans="1:10" ht="13.2">
      <c r="A865" s="157"/>
      <c r="B865" s="158"/>
      <c r="J865" s="158"/>
    </row>
    <row r="866" spans="1:10" ht="13.2">
      <c r="A866" s="157"/>
      <c r="B866" s="158"/>
      <c r="J866" s="158"/>
    </row>
    <row r="867" spans="1:10" ht="13.2">
      <c r="A867" s="157"/>
      <c r="B867" s="158"/>
      <c r="J867" s="158"/>
    </row>
    <row r="868" spans="1:10" ht="13.2">
      <c r="A868" s="157"/>
      <c r="B868" s="158"/>
      <c r="J868" s="158"/>
    </row>
    <row r="869" spans="1:10" ht="13.2">
      <c r="A869" s="157"/>
      <c r="B869" s="158"/>
      <c r="J869" s="158"/>
    </row>
    <row r="870" spans="1:10" ht="13.2">
      <c r="A870" s="157"/>
      <c r="B870" s="158"/>
      <c r="J870" s="158"/>
    </row>
    <row r="871" spans="1:10" ht="13.2">
      <c r="A871" s="157"/>
      <c r="B871" s="158"/>
      <c r="J871" s="158"/>
    </row>
    <row r="872" spans="1:10" ht="13.2">
      <c r="A872" s="157"/>
      <c r="B872" s="158"/>
      <c r="J872" s="158"/>
    </row>
    <row r="873" spans="1:10" ht="13.2">
      <c r="A873" s="157"/>
      <c r="B873" s="158"/>
      <c r="J873" s="158"/>
    </row>
    <row r="874" spans="1:10" ht="13.2">
      <c r="A874" s="157"/>
      <c r="B874" s="158"/>
      <c r="J874" s="158"/>
    </row>
    <row r="875" spans="1:10" ht="13.2">
      <c r="A875" s="157"/>
      <c r="B875" s="158"/>
      <c r="J875" s="158"/>
    </row>
    <row r="876" spans="1:10" ht="13.2">
      <c r="A876" s="157"/>
      <c r="B876" s="158"/>
      <c r="J876" s="158"/>
    </row>
    <row r="877" spans="1:10" ht="13.2">
      <c r="A877" s="157"/>
      <c r="B877" s="158"/>
      <c r="J877" s="158"/>
    </row>
    <row r="878" spans="1:10" ht="13.2">
      <c r="A878" s="157"/>
      <c r="B878" s="158"/>
      <c r="J878" s="158"/>
    </row>
    <row r="879" spans="1:10" ht="13.2">
      <c r="A879" s="157"/>
      <c r="B879" s="158"/>
      <c r="J879" s="158"/>
    </row>
    <row r="880" spans="1:10" ht="13.2">
      <c r="A880" s="157"/>
      <c r="B880" s="158"/>
      <c r="J880" s="158"/>
    </row>
    <row r="881" spans="1:10" ht="13.2">
      <c r="A881" s="157"/>
      <c r="B881" s="158"/>
      <c r="J881" s="158"/>
    </row>
    <row r="882" spans="1:10" ht="13.2">
      <c r="A882" s="157"/>
      <c r="B882" s="158"/>
      <c r="J882" s="158"/>
    </row>
    <row r="883" spans="1:10" ht="13.2">
      <c r="A883" s="157"/>
      <c r="B883" s="158"/>
      <c r="J883" s="158"/>
    </row>
    <row r="884" spans="1:10" ht="13.2">
      <c r="A884" s="157"/>
      <c r="B884" s="158"/>
      <c r="J884" s="158"/>
    </row>
    <row r="885" spans="1:10" ht="13.2">
      <c r="A885" s="157"/>
      <c r="B885" s="158"/>
      <c r="J885" s="158"/>
    </row>
    <row r="886" spans="1:10" ht="13.2">
      <c r="A886" s="157"/>
      <c r="B886" s="158"/>
      <c r="J886" s="158"/>
    </row>
    <row r="887" spans="1:10" ht="13.2">
      <c r="A887" s="157"/>
      <c r="B887" s="158"/>
      <c r="J887" s="158"/>
    </row>
    <row r="888" spans="1:10" ht="13.2">
      <c r="A888" s="157"/>
      <c r="B888" s="158"/>
      <c r="J888" s="158"/>
    </row>
    <row r="889" spans="1:10" ht="13.2">
      <c r="A889" s="157"/>
      <c r="B889" s="158"/>
      <c r="J889" s="158"/>
    </row>
    <row r="890" spans="1:10" ht="13.2">
      <c r="A890" s="157"/>
      <c r="B890" s="158"/>
      <c r="J890" s="158"/>
    </row>
    <row r="891" spans="1:10" ht="13.2">
      <c r="A891" s="157"/>
      <c r="B891" s="158"/>
      <c r="J891" s="158"/>
    </row>
    <row r="892" spans="1:10" ht="13.2">
      <c r="A892" s="157"/>
      <c r="B892" s="158"/>
      <c r="J892" s="158"/>
    </row>
    <row r="893" spans="1:10" ht="13.2">
      <c r="A893" s="157"/>
      <c r="B893" s="158"/>
      <c r="J893" s="158"/>
    </row>
    <row r="894" spans="1:10" ht="13.2">
      <c r="A894" s="157"/>
      <c r="B894" s="158"/>
      <c r="J894" s="158"/>
    </row>
    <row r="895" spans="1:10" ht="13.2">
      <c r="A895" s="157"/>
      <c r="B895" s="158"/>
      <c r="J895" s="158"/>
    </row>
    <row r="896" spans="1:10" ht="13.2">
      <c r="A896" s="157"/>
      <c r="B896" s="158"/>
      <c r="J896" s="158"/>
    </row>
    <row r="897" spans="1:10" ht="13.2">
      <c r="A897" s="157"/>
      <c r="B897" s="158"/>
      <c r="J897" s="158"/>
    </row>
    <row r="898" spans="1:10" ht="13.2">
      <c r="A898" s="157"/>
      <c r="B898" s="158"/>
      <c r="J898" s="158"/>
    </row>
    <row r="899" spans="1:10" ht="13.2">
      <c r="A899" s="157"/>
      <c r="B899" s="158"/>
      <c r="J899" s="158"/>
    </row>
    <row r="900" spans="1:10" ht="13.2">
      <c r="A900" s="157"/>
      <c r="B900" s="158"/>
      <c r="J900" s="158"/>
    </row>
    <row r="901" spans="1:10" ht="13.2">
      <c r="A901" s="157"/>
      <c r="B901" s="158"/>
      <c r="J901" s="158"/>
    </row>
    <row r="902" spans="1:10" ht="13.2">
      <c r="A902" s="157"/>
      <c r="B902" s="158"/>
      <c r="J902" s="158"/>
    </row>
    <row r="903" spans="1:10" ht="13.2">
      <c r="A903" s="157"/>
      <c r="B903" s="158"/>
      <c r="J903" s="158"/>
    </row>
    <row r="904" spans="1:10" ht="13.2">
      <c r="A904" s="157"/>
      <c r="B904" s="158"/>
      <c r="J904" s="158"/>
    </row>
    <row r="905" spans="1:10" ht="13.2">
      <c r="A905" s="157"/>
      <c r="B905" s="158"/>
      <c r="J905" s="158"/>
    </row>
    <row r="906" spans="1:10" ht="13.2">
      <c r="A906" s="157"/>
      <c r="B906" s="158"/>
      <c r="J906" s="158"/>
    </row>
    <row r="907" spans="1:10" ht="13.2">
      <c r="A907" s="157"/>
      <c r="B907" s="158"/>
      <c r="J907" s="158"/>
    </row>
    <row r="908" spans="1:10" ht="13.2">
      <c r="A908" s="157"/>
      <c r="B908" s="158"/>
      <c r="J908" s="158"/>
    </row>
    <row r="909" spans="1:10" ht="13.2">
      <c r="A909" s="157"/>
      <c r="B909" s="158"/>
      <c r="J909" s="158"/>
    </row>
    <row r="910" spans="1:10" ht="13.2">
      <c r="A910" s="157"/>
      <c r="B910" s="158"/>
      <c r="J910" s="158"/>
    </row>
    <row r="911" spans="1:10" ht="13.2">
      <c r="A911" s="157"/>
      <c r="B911" s="158"/>
      <c r="J911" s="158"/>
    </row>
    <row r="912" spans="1:10" ht="13.2">
      <c r="A912" s="157"/>
      <c r="B912" s="158"/>
      <c r="J912" s="158"/>
    </row>
    <row r="913" spans="1:10" ht="13.2">
      <c r="A913" s="157"/>
      <c r="B913" s="158"/>
      <c r="J913" s="158"/>
    </row>
    <row r="914" spans="1:10" ht="13.2">
      <c r="A914" s="157"/>
      <c r="B914" s="158"/>
      <c r="J914" s="158"/>
    </row>
    <row r="915" spans="1:10" ht="13.2">
      <c r="A915" s="157"/>
      <c r="B915" s="158"/>
      <c r="J915" s="158"/>
    </row>
    <row r="916" spans="1:10" ht="13.2">
      <c r="A916" s="157"/>
      <c r="B916" s="158"/>
      <c r="J916" s="158"/>
    </row>
    <row r="917" spans="1:10" ht="13.2">
      <c r="A917" s="157"/>
      <c r="B917" s="158"/>
      <c r="J917" s="158"/>
    </row>
    <row r="918" spans="1:10" ht="13.2">
      <c r="A918" s="157"/>
      <c r="B918" s="158"/>
      <c r="J918" s="158"/>
    </row>
    <row r="919" spans="1:10" ht="13.2">
      <c r="A919" s="157"/>
      <c r="B919" s="158"/>
      <c r="J919" s="158"/>
    </row>
    <row r="920" spans="1:10" ht="13.2">
      <c r="A920" s="157"/>
      <c r="B920" s="158"/>
      <c r="J920" s="158"/>
    </row>
    <row r="921" spans="1:10" ht="13.2">
      <c r="A921" s="157"/>
      <c r="B921" s="158"/>
      <c r="J921" s="158"/>
    </row>
    <row r="922" spans="1:10" ht="13.2">
      <c r="A922" s="157"/>
      <c r="B922" s="158"/>
      <c r="J922" s="158"/>
    </row>
    <row r="923" spans="1:10" ht="13.2">
      <c r="A923" s="157"/>
      <c r="B923" s="158"/>
      <c r="J923" s="158"/>
    </row>
    <row r="924" spans="1:10" ht="13.2">
      <c r="A924" s="157"/>
      <c r="B924" s="158"/>
      <c r="J924" s="158"/>
    </row>
    <row r="925" spans="1:10" ht="13.2">
      <c r="A925" s="157"/>
      <c r="B925" s="158"/>
      <c r="J925" s="158"/>
    </row>
    <row r="926" spans="1:10" ht="13.2">
      <c r="A926" s="157"/>
      <c r="B926" s="158"/>
      <c r="J926" s="158"/>
    </row>
    <row r="927" spans="1:10" ht="13.2">
      <c r="A927" s="157"/>
      <c r="B927" s="158"/>
      <c r="J927" s="158"/>
    </row>
    <row r="928" spans="1:10" ht="13.2">
      <c r="A928" s="157"/>
      <c r="B928" s="158"/>
      <c r="J928" s="158"/>
    </row>
    <row r="929" spans="1:10" ht="13.2">
      <c r="A929" s="157"/>
      <c r="B929" s="158"/>
      <c r="J929" s="158"/>
    </row>
    <row r="930" spans="1:10" ht="13.2">
      <c r="A930" s="157"/>
      <c r="B930" s="158"/>
      <c r="J930" s="158"/>
    </row>
    <row r="931" spans="1:10" ht="13.2">
      <c r="A931" s="157"/>
      <c r="B931" s="158"/>
      <c r="J931" s="158"/>
    </row>
    <row r="932" spans="1:10" ht="13.2">
      <c r="A932" s="157"/>
      <c r="B932" s="158"/>
      <c r="J932" s="158"/>
    </row>
    <row r="933" spans="1:10" ht="13.2">
      <c r="A933" s="157"/>
      <c r="B933" s="158"/>
      <c r="J933" s="158"/>
    </row>
    <row r="934" spans="1:10" ht="13.2">
      <c r="A934" s="157"/>
      <c r="B934" s="158"/>
      <c r="J934" s="158"/>
    </row>
    <row r="935" spans="1:10" ht="13.2">
      <c r="A935" s="157"/>
      <c r="B935" s="158"/>
      <c r="J935" s="158"/>
    </row>
    <row r="936" spans="1:10" ht="13.2">
      <c r="A936" s="157"/>
      <c r="B936" s="158"/>
      <c r="J936" s="158"/>
    </row>
    <row r="937" spans="1:10" ht="13.2">
      <c r="A937" s="157"/>
      <c r="B937" s="158"/>
      <c r="J937" s="158"/>
    </row>
    <row r="938" spans="1:10" ht="13.2">
      <c r="A938" s="157"/>
      <c r="B938" s="158"/>
      <c r="J938" s="158"/>
    </row>
    <row r="939" spans="1:10" ht="13.2">
      <c r="A939" s="157"/>
      <c r="B939" s="158"/>
      <c r="J939" s="158"/>
    </row>
    <row r="940" spans="1:10" ht="13.2">
      <c r="A940" s="157"/>
      <c r="B940" s="158"/>
      <c r="J940" s="158"/>
    </row>
    <row r="941" spans="1:10" ht="13.2">
      <c r="A941" s="157"/>
      <c r="B941" s="158"/>
      <c r="J941" s="158"/>
    </row>
    <row r="942" spans="1:10" ht="13.2">
      <c r="A942" s="157"/>
      <c r="B942" s="158"/>
      <c r="J942" s="158"/>
    </row>
    <row r="943" spans="1:10" ht="13.2">
      <c r="A943" s="157"/>
      <c r="B943" s="158"/>
      <c r="J943" s="158"/>
    </row>
    <row r="944" spans="1:10" ht="13.2">
      <c r="A944" s="157"/>
      <c r="B944" s="158"/>
      <c r="J944" s="158"/>
    </row>
    <row r="945" spans="1:10" ht="13.2">
      <c r="A945" s="157"/>
      <c r="B945" s="158"/>
      <c r="J945" s="158"/>
    </row>
    <row r="946" spans="1:10" ht="13.2">
      <c r="A946" s="157"/>
      <c r="B946" s="158"/>
      <c r="J946" s="158"/>
    </row>
    <row r="947" spans="1:10" ht="13.2">
      <c r="A947" s="157"/>
      <c r="B947" s="158"/>
      <c r="J947" s="158"/>
    </row>
    <row r="948" spans="1:10" ht="13.2">
      <c r="A948" s="157"/>
      <c r="B948" s="158"/>
      <c r="J948" s="158"/>
    </row>
    <row r="949" spans="1:10" ht="13.2">
      <c r="A949" s="157"/>
      <c r="B949" s="158"/>
      <c r="J949" s="158"/>
    </row>
    <row r="950" spans="1:10" ht="13.2">
      <c r="A950" s="157"/>
      <c r="B950" s="158"/>
      <c r="J950" s="158"/>
    </row>
    <row r="951" spans="1:10" ht="13.2">
      <c r="A951" s="157"/>
      <c r="B951" s="158"/>
      <c r="J951" s="158"/>
    </row>
    <row r="952" spans="1:10" ht="13.2">
      <c r="A952" s="157"/>
      <c r="B952" s="158"/>
      <c r="J952" s="158"/>
    </row>
    <row r="953" spans="1:10" ht="13.2">
      <c r="A953" s="157"/>
      <c r="B953" s="158"/>
      <c r="J953" s="158"/>
    </row>
    <row r="954" spans="1:10" ht="13.2">
      <c r="A954" s="157"/>
      <c r="B954" s="158"/>
      <c r="J954" s="158"/>
    </row>
    <row r="955" spans="1:10" ht="13.2">
      <c r="A955" s="157"/>
      <c r="B955" s="158"/>
      <c r="J955" s="158"/>
    </row>
    <row r="956" spans="1:10" ht="13.2">
      <c r="A956" s="157"/>
      <c r="B956" s="158"/>
      <c r="J956" s="158"/>
    </row>
    <row r="957" spans="1:10" ht="13.2">
      <c r="A957" s="157"/>
      <c r="B957" s="158"/>
      <c r="J957" s="158"/>
    </row>
    <row r="958" spans="1:10" ht="13.2">
      <c r="A958" s="157"/>
      <c r="B958" s="158"/>
      <c r="J958" s="158"/>
    </row>
    <row r="959" spans="1:10" ht="13.2">
      <c r="A959" s="157"/>
      <c r="B959" s="158"/>
      <c r="J959" s="158"/>
    </row>
    <row r="960" spans="1:10" ht="13.2">
      <c r="A960" s="157"/>
      <c r="B960" s="158"/>
      <c r="J960" s="158"/>
    </row>
    <row r="961" spans="1:10" ht="13.2">
      <c r="A961" s="157"/>
      <c r="B961" s="158"/>
      <c r="J961" s="158"/>
    </row>
    <row r="962" spans="1:10" ht="13.2">
      <c r="A962" s="157"/>
      <c r="B962" s="158"/>
      <c r="J962" s="158"/>
    </row>
    <row r="963" spans="1:10" ht="13.2">
      <c r="A963" s="157"/>
      <c r="B963" s="158"/>
      <c r="J963" s="1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2025-11-01T14:56:51Z</dcterms:created>
  <dcterms:modified xsi:type="dcterms:W3CDTF">2025-11-01T14:56:51Z</dcterms:modified>
</cp:coreProperties>
</file>